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C_DRMC\Studio_Projects_C\BB_Hybrid_Def_Folder\hybrid_def_decoupler\"/>
    </mc:Choice>
  </mc:AlternateContent>
  <xr:revisionPtr revIDLastSave="0" documentId="13_ncr:1_{75E7EC91-E27F-4CE7-B2BE-6E8344191078}" xr6:coauthVersionLast="47" xr6:coauthVersionMax="47" xr10:uidLastSave="{00000000-0000-0000-0000-000000000000}"/>
  <bookViews>
    <workbookView xWindow="1260" yWindow="2340" windowWidth="20918" windowHeight="9383" activeTab="1" xr2:uid="{00000000-000D-0000-FFFF-FFFF00000000}"/>
  </bookViews>
  <sheets>
    <sheet name="explanation" sheetId="1" r:id="rId1"/>
    <sheet name="private" sheetId="2" r:id="rId2"/>
    <sheet name="synopsis" sheetId="3" r:id="rId3"/>
    <sheet name="L" sheetId="4" r:id="rId4"/>
    <sheet name="Sheet7" sheetId="5" r:id="rId5"/>
    <sheet name="test-synopsis" sheetId="6" r:id="rId6"/>
    <sheet name="test-hybrid" sheetId="7" r:id="rId7"/>
    <sheet name="test" sheetId="8" r:id="rId8"/>
    <sheet name="public"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77" i="2" l="1"/>
  <c r="C677" i="2"/>
  <c r="D676" i="2"/>
  <c r="C676" i="2"/>
  <c r="D675" i="2"/>
  <c r="C675" i="2"/>
  <c r="D674" i="2"/>
  <c r="C674" i="2"/>
  <c r="D673" i="2"/>
  <c r="C673" i="2"/>
  <c r="D672" i="2"/>
  <c r="C672" i="2"/>
  <c r="D671" i="2"/>
  <c r="C671" i="2"/>
  <c r="D670" i="2"/>
  <c r="C670" i="2"/>
  <c r="D669" i="2"/>
  <c r="C669" i="2"/>
  <c r="D668" i="2"/>
  <c r="C668" i="2"/>
  <c r="D667" i="2"/>
  <c r="C667" i="2"/>
  <c r="D666" i="2"/>
  <c r="C666" i="2"/>
  <c r="D665" i="2"/>
  <c r="C665" i="2"/>
  <c r="D664" i="2"/>
  <c r="C664" i="2"/>
  <c r="D663" i="2"/>
  <c r="C663" i="2"/>
  <c r="D662" i="2"/>
  <c r="C662" i="2"/>
  <c r="D661" i="2"/>
  <c r="C661" i="2"/>
  <c r="D660" i="2"/>
  <c r="C660" i="2"/>
  <c r="D659" i="2"/>
  <c r="C659" i="2"/>
  <c r="D658" i="2"/>
  <c r="C658" i="2"/>
  <c r="D657" i="2"/>
  <c r="C657" i="2"/>
  <c r="D656" i="2"/>
  <c r="C656" i="2"/>
  <c r="D655" i="2"/>
  <c r="C655" i="2"/>
  <c r="D654" i="2"/>
  <c r="C654" i="2"/>
  <c r="D653" i="2"/>
  <c r="C653" i="2"/>
  <c r="D652" i="2"/>
  <c r="C652" i="2"/>
  <c r="D651" i="2"/>
  <c r="C651" i="2"/>
  <c r="D650" i="2"/>
  <c r="C650" i="2"/>
  <c r="D649" i="2"/>
  <c r="C649" i="2"/>
  <c r="D648" i="2"/>
  <c r="C648" i="2"/>
  <c r="D647" i="2"/>
  <c r="C647" i="2"/>
  <c r="D646" i="2"/>
  <c r="C646" i="2"/>
  <c r="D645" i="2"/>
  <c r="C645" i="2"/>
  <c r="D644" i="2"/>
  <c r="C644" i="2"/>
  <c r="D643" i="2"/>
  <c r="C643" i="2"/>
  <c r="D642" i="2"/>
  <c r="C642" i="2"/>
  <c r="D641" i="2"/>
  <c r="C641" i="2"/>
  <c r="D640" i="2"/>
  <c r="C640" i="2"/>
  <c r="D639" i="2"/>
  <c r="C639" i="2"/>
  <c r="D638" i="2"/>
  <c r="C638" i="2"/>
  <c r="D637" i="2"/>
  <c r="C637" i="2"/>
  <c r="D636" i="2"/>
  <c r="C636" i="2"/>
  <c r="D635" i="2"/>
  <c r="C635" i="2"/>
  <c r="D634" i="2"/>
  <c r="C634" i="2"/>
  <c r="D633" i="2"/>
  <c r="C633" i="2"/>
  <c r="D632" i="2"/>
  <c r="C632" i="2"/>
  <c r="D631" i="2"/>
  <c r="C631" i="2"/>
  <c r="D630" i="2"/>
  <c r="C630" i="2"/>
  <c r="D629" i="2"/>
  <c r="C629" i="2"/>
  <c r="D628" i="2"/>
  <c r="C628" i="2"/>
  <c r="D627" i="2"/>
  <c r="C627" i="2"/>
  <c r="D626" i="2"/>
  <c r="C626" i="2"/>
  <c r="D625" i="2"/>
  <c r="C625" i="2"/>
  <c r="D624" i="2"/>
  <c r="C624" i="2"/>
  <c r="D623" i="2"/>
  <c r="C623" i="2"/>
  <c r="D622" i="2"/>
  <c r="C622" i="2"/>
  <c r="D621" i="2"/>
  <c r="C621" i="2"/>
  <c r="D620" i="2"/>
  <c r="C620" i="2"/>
  <c r="D619" i="2"/>
  <c r="C619" i="2"/>
  <c r="D618" i="2"/>
  <c r="C618" i="2"/>
  <c r="D617" i="2"/>
  <c r="C617" i="2"/>
  <c r="D616" i="2"/>
  <c r="C616" i="2"/>
  <c r="D615" i="2"/>
  <c r="C615" i="2"/>
  <c r="D614" i="2"/>
  <c r="C614" i="2"/>
  <c r="D613" i="2"/>
  <c r="C613" i="2"/>
  <c r="D612" i="2"/>
  <c r="C612" i="2"/>
  <c r="D611" i="2"/>
  <c r="C611" i="2"/>
  <c r="D610" i="2"/>
  <c r="C610" i="2"/>
  <c r="D609" i="2"/>
  <c r="C609" i="2"/>
  <c r="D608" i="2"/>
  <c r="C608" i="2"/>
  <c r="D607" i="2"/>
  <c r="C607" i="2"/>
  <c r="D606" i="2"/>
  <c r="C606" i="2"/>
  <c r="D605" i="2"/>
  <c r="C605" i="2"/>
  <c r="D604" i="2"/>
  <c r="C604" i="2"/>
  <c r="D603" i="2"/>
  <c r="C603" i="2"/>
  <c r="D602" i="2"/>
  <c r="C602" i="2"/>
  <c r="D601" i="2"/>
  <c r="C601" i="2"/>
  <c r="D600" i="2"/>
  <c r="C600" i="2"/>
  <c r="D599" i="2"/>
  <c r="C599" i="2"/>
  <c r="D598" i="2"/>
  <c r="C598" i="2"/>
  <c r="D597" i="2"/>
  <c r="C597" i="2"/>
  <c r="D596" i="2"/>
  <c r="C596" i="2"/>
  <c r="D595" i="2"/>
  <c r="C595" i="2"/>
  <c r="D594" i="2"/>
  <c r="C594" i="2"/>
  <c r="D593" i="2"/>
  <c r="C593" i="2"/>
  <c r="D592" i="2"/>
  <c r="C592" i="2"/>
  <c r="D591" i="2"/>
  <c r="C591" i="2"/>
  <c r="D590" i="2"/>
  <c r="C590" i="2"/>
  <c r="D589" i="2"/>
  <c r="C589" i="2"/>
  <c r="D588" i="2"/>
  <c r="C588" i="2"/>
  <c r="D587" i="2"/>
  <c r="C587" i="2"/>
  <c r="D586" i="2"/>
  <c r="C586" i="2"/>
  <c r="D585" i="2"/>
  <c r="C585" i="2"/>
  <c r="D584" i="2"/>
  <c r="C584" i="2"/>
  <c r="D583" i="2"/>
  <c r="C583" i="2"/>
  <c r="D582" i="2"/>
  <c r="C582" i="2"/>
  <c r="D581" i="2"/>
  <c r="C581" i="2"/>
  <c r="D580" i="2"/>
  <c r="C580" i="2"/>
  <c r="D579" i="2"/>
  <c r="C579" i="2"/>
  <c r="D578" i="2"/>
  <c r="C578" i="2"/>
  <c r="D577" i="2"/>
  <c r="C577" i="2"/>
  <c r="D576" i="2"/>
  <c r="C576" i="2"/>
  <c r="D575" i="2"/>
  <c r="C575" i="2"/>
  <c r="D574" i="2"/>
  <c r="C574" i="2"/>
  <c r="D573" i="2"/>
  <c r="C573" i="2"/>
  <c r="D572" i="2"/>
  <c r="C572" i="2"/>
  <c r="D571" i="2"/>
  <c r="C571" i="2"/>
  <c r="D570" i="2"/>
  <c r="C570" i="2"/>
  <c r="D569" i="2"/>
  <c r="C569" i="2"/>
  <c r="D568" i="2"/>
  <c r="C568" i="2"/>
  <c r="D567" i="2"/>
  <c r="C567" i="2"/>
  <c r="D566" i="2"/>
  <c r="C566" i="2"/>
  <c r="D565" i="2"/>
  <c r="C565" i="2"/>
  <c r="D564" i="2"/>
  <c r="C564" i="2"/>
  <c r="D563" i="2"/>
  <c r="C563" i="2"/>
  <c r="D562" i="2"/>
  <c r="C562" i="2"/>
  <c r="D561" i="2"/>
  <c r="C561" i="2"/>
  <c r="D560" i="2"/>
  <c r="C560" i="2"/>
  <c r="D559" i="2"/>
  <c r="C559" i="2"/>
  <c r="D558" i="2"/>
  <c r="C558" i="2"/>
  <c r="D557" i="2"/>
  <c r="C557" i="2"/>
  <c r="D556" i="2"/>
  <c r="C556" i="2"/>
  <c r="D555" i="2"/>
  <c r="C555" i="2"/>
  <c r="D554" i="2"/>
  <c r="C554" i="2"/>
  <c r="D553" i="2"/>
  <c r="C553" i="2"/>
  <c r="D552" i="2"/>
  <c r="C552" i="2"/>
  <c r="D551" i="2"/>
  <c r="C551" i="2"/>
  <c r="D550" i="2"/>
  <c r="C550" i="2"/>
  <c r="D549" i="2"/>
  <c r="C549" i="2"/>
  <c r="D548" i="2"/>
  <c r="C548" i="2"/>
  <c r="D547" i="2"/>
  <c r="C547" i="2"/>
  <c r="D546" i="2"/>
  <c r="C546" i="2"/>
  <c r="D545" i="2"/>
  <c r="C545" i="2"/>
  <c r="D544" i="2"/>
  <c r="C544" i="2"/>
  <c r="D543" i="2"/>
  <c r="C543" i="2"/>
  <c r="D542" i="2"/>
  <c r="C542" i="2"/>
  <c r="D541" i="2"/>
  <c r="C541" i="2"/>
  <c r="D540" i="2"/>
  <c r="C540" i="2"/>
  <c r="D539" i="2"/>
  <c r="C539" i="2"/>
  <c r="D538" i="2"/>
  <c r="C538" i="2"/>
  <c r="D537" i="2"/>
  <c r="C537" i="2"/>
  <c r="D536" i="2"/>
  <c r="C536" i="2"/>
  <c r="D535" i="2"/>
  <c r="C535" i="2"/>
  <c r="D534" i="2"/>
  <c r="C534" i="2"/>
  <c r="D533" i="2"/>
  <c r="C533" i="2"/>
  <c r="D532" i="2"/>
  <c r="C532" i="2"/>
  <c r="D531" i="2"/>
  <c r="C531" i="2"/>
  <c r="D530" i="2"/>
  <c r="C530" i="2"/>
  <c r="D529" i="2"/>
  <c r="C529" i="2"/>
  <c r="D528" i="2"/>
  <c r="C528" i="2"/>
  <c r="D527" i="2"/>
  <c r="C527" i="2"/>
  <c r="D526" i="2"/>
  <c r="C526" i="2"/>
  <c r="D525" i="2"/>
  <c r="C525" i="2"/>
  <c r="D524" i="2"/>
  <c r="C524" i="2"/>
  <c r="D523" i="2"/>
  <c r="C523" i="2"/>
  <c r="D522" i="2"/>
  <c r="C522" i="2"/>
  <c r="D521" i="2"/>
  <c r="C521" i="2"/>
  <c r="D520" i="2"/>
  <c r="C520" i="2"/>
  <c r="D519" i="2"/>
  <c r="C519" i="2"/>
  <c r="D518" i="2"/>
  <c r="C518" i="2"/>
  <c r="D517" i="2"/>
  <c r="C517" i="2"/>
  <c r="D516" i="2"/>
  <c r="C516" i="2"/>
  <c r="D515" i="2"/>
  <c r="C515" i="2"/>
  <c r="D514" i="2"/>
  <c r="C514" i="2"/>
  <c r="D513" i="2"/>
  <c r="C513" i="2"/>
  <c r="D512" i="2"/>
  <c r="C512" i="2"/>
  <c r="D511" i="2"/>
  <c r="C511" i="2"/>
  <c r="D510" i="2"/>
  <c r="C510" i="2"/>
  <c r="D509" i="2"/>
  <c r="C509" i="2"/>
  <c r="D508" i="2"/>
  <c r="C508" i="2"/>
  <c r="D507" i="2"/>
  <c r="C507" i="2"/>
  <c r="D506" i="2"/>
  <c r="C506" i="2"/>
  <c r="D505" i="2"/>
  <c r="C505" i="2"/>
  <c r="D504" i="2"/>
  <c r="C504" i="2"/>
  <c r="D503" i="2"/>
  <c r="C503" i="2"/>
  <c r="D502" i="2"/>
  <c r="C502" i="2"/>
  <c r="D501" i="2"/>
  <c r="C501" i="2"/>
  <c r="D500" i="2"/>
  <c r="C500" i="2"/>
  <c r="D499" i="2"/>
  <c r="C499" i="2"/>
  <c r="D498" i="2"/>
  <c r="C498" i="2"/>
  <c r="D497" i="2"/>
  <c r="C497" i="2"/>
  <c r="D496" i="2"/>
  <c r="C496" i="2"/>
  <c r="D495" i="2"/>
  <c r="C495" i="2"/>
  <c r="D494" i="2"/>
  <c r="C494" i="2"/>
  <c r="D493" i="2"/>
  <c r="C493" i="2"/>
  <c r="D492" i="2"/>
  <c r="C492" i="2"/>
  <c r="D491" i="2"/>
  <c r="C491" i="2"/>
  <c r="D490" i="2"/>
  <c r="C490" i="2"/>
  <c r="D489" i="2"/>
  <c r="C489" i="2"/>
  <c r="D488" i="2"/>
  <c r="C488" i="2"/>
  <c r="D487" i="2"/>
  <c r="C487" i="2"/>
  <c r="D486" i="2"/>
  <c r="C486" i="2"/>
  <c r="D485" i="2"/>
  <c r="C485" i="2"/>
  <c r="D484" i="2"/>
  <c r="C484" i="2"/>
  <c r="D483" i="2"/>
  <c r="C483" i="2"/>
  <c r="D482" i="2"/>
  <c r="C482" i="2"/>
  <c r="D481" i="2"/>
  <c r="C481" i="2"/>
  <c r="D480" i="2"/>
  <c r="C480" i="2"/>
  <c r="D479" i="2"/>
  <c r="C479" i="2"/>
  <c r="D478" i="2"/>
  <c r="C478" i="2"/>
  <c r="D477" i="2"/>
  <c r="C477" i="2"/>
  <c r="D476" i="2"/>
  <c r="C476" i="2"/>
  <c r="D475" i="2"/>
  <c r="C475" i="2"/>
  <c r="D474" i="2"/>
  <c r="C474" i="2"/>
  <c r="D473" i="2"/>
  <c r="C473" i="2"/>
  <c r="D472" i="2"/>
  <c r="C472" i="2"/>
  <c r="D471" i="2"/>
  <c r="C471" i="2"/>
  <c r="D470" i="2"/>
  <c r="C470" i="2"/>
  <c r="D469" i="2"/>
  <c r="C469" i="2"/>
  <c r="D468" i="2"/>
  <c r="C468" i="2"/>
  <c r="D467" i="2"/>
  <c r="C467" i="2"/>
  <c r="D466" i="2"/>
  <c r="C466" i="2"/>
  <c r="D465" i="2"/>
  <c r="C465" i="2"/>
  <c r="D464" i="2"/>
  <c r="C464" i="2"/>
  <c r="D463" i="2"/>
  <c r="C463" i="2"/>
  <c r="D462" i="2"/>
  <c r="C462" i="2"/>
  <c r="D461" i="2"/>
  <c r="C461" i="2"/>
  <c r="D460" i="2"/>
  <c r="C460" i="2"/>
  <c r="D459" i="2"/>
  <c r="C459" i="2"/>
  <c r="D458" i="2"/>
  <c r="C458" i="2"/>
  <c r="D457" i="2"/>
  <c r="C457" i="2"/>
  <c r="D456" i="2"/>
  <c r="C456" i="2"/>
  <c r="D455" i="2"/>
  <c r="C455" i="2"/>
  <c r="D454" i="2"/>
  <c r="C454" i="2"/>
  <c r="D453" i="2"/>
  <c r="C453" i="2"/>
  <c r="D452" i="2"/>
  <c r="C452" i="2"/>
  <c r="D451" i="2"/>
  <c r="C451" i="2"/>
  <c r="D450" i="2"/>
  <c r="C450" i="2"/>
  <c r="D449" i="2"/>
  <c r="C449" i="2"/>
  <c r="D448" i="2"/>
  <c r="C448" i="2"/>
  <c r="D447" i="2"/>
  <c r="C447" i="2"/>
  <c r="D446" i="2"/>
  <c r="C446" i="2"/>
  <c r="D445" i="2"/>
  <c r="C445" i="2"/>
  <c r="D444" i="2"/>
  <c r="C444" i="2"/>
  <c r="D443" i="2"/>
  <c r="C443" i="2"/>
  <c r="D442" i="2"/>
  <c r="C442" i="2"/>
  <c r="D441" i="2"/>
  <c r="C441" i="2"/>
  <c r="D440" i="2"/>
  <c r="C440" i="2"/>
  <c r="D439" i="2"/>
  <c r="C439" i="2"/>
  <c r="D438" i="2"/>
  <c r="C438" i="2"/>
  <c r="D437" i="2"/>
  <c r="C437" i="2"/>
  <c r="D436" i="2"/>
  <c r="C436" i="2"/>
  <c r="D435" i="2"/>
  <c r="C435" i="2"/>
  <c r="D434" i="2"/>
  <c r="C434" i="2"/>
  <c r="D433" i="2"/>
  <c r="C433" i="2"/>
  <c r="D432" i="2"/>
  <c r="C432" i="2"/>
  <c r="D431" i="2"/>
  <c r="C431" i="2"/>
  <c r="D430" i="2"/>
  <c r="C430" i="2"/>
  <c r="D429" i="2"/>
  <c r="C429" i="2"/>
  <c r="D428" i="2"/>
  <c r="C428" i="2"/>
  <c r="D427" i="2"/>
  <c r="C427" i="2"/>
  <c r="D426" i="2"/>
  <c r="C426" i="2"/>
  <c r="D425" i="2"/>
  <c r="C425" i="2"/>
  <c r="D424" i="2"/>
  <c r="C424" i="2"/>
  <c r="D423" i="2"/>
  <c r="C423" i="2"/>
  <c r="D422" i="2"/>
  <c r="C422" i="2"/>
  <c r="D421" i="2"/>
  <c r="C421" i="2"/>
  <c r="D420" i="2"/>
  <c r="C420" i="2"/>
  <c r="D419" i="2"/>
  <c r="C419" i="2"/>
  <c r="D418" i="2"/>
  <c r="C418" i="2"/>
  <c r="D417" i="2"/>
  <c r="C417" i="2"/>
  <c r="D416" i="2"/>
  <c r="C416" i="2"/>
  <c r="D415" i="2"/>
  <c r="C415" i="2"/>
  <c r="D414" i="2"/>
  <c r="C414" i="2"/>
  <c r="D413" i="2"/>
  <c r="C413" i="2"/>
  <c r="D412" i="2"/>
  <c r="C412" i="2"/>
  <c r="D411" i="2"/>
  <c r="C411" i="2"/>
  <c r="D410" i="2"/>
  <c r="C410" i="2"/>
  <c r="D409" i="2"/>
  <c r="C409" i="2"/>
  <c r="D408" i="2"/>
  <c r="C408" i="2"/>
  <c r="D407" i="2"/>
  <c r="C407" i="2"/>
  <c r="D406" i="2"/>
  <c r="C406" i="2"/>
  <c r="D405" i="2"/>
  <c r="C405" i="2"/>
  <c r="D404" i="2"/>
  <c r="C404" i="2"/>
  <c r="D403" i="2"/>
  <c r="C403" i="2"/>
  <c r="D402" i="2"/>
  <c r="C402" i="2"/>
  <c r="D401" i="2"/>
  <c r="C401" i="2"/>
  <c r="D400" i="2"/>
  <c r="C400" i="2"/>
  <c r="D399" i="2"/>
  <c r="C399" i="2"/>
  <c r="D398" i="2"/>
  <c r="C398" i="2"/>
  <c r="D397" i="2"/>
  <c r="C397" i="2"/>
  <c r="D396" i="2"/>
  <c r="C396" i="2"/>
  <c r="D395" i="2"/>
  <c r="C395" i="2"/>
  <c r="D394" i="2"/>
  <c r="C394" i="2"/>
  <c r="D393" i="2"/>
  <c r="C393" i="2"/>
  <c r="D392" i="2"/>
  <c r="C392" i="2"/>
  <c r="D391" i="2"/>
  <c r="C391" i="2"/>
  <c r="D390" i="2"/>
  <c r="C390" i="2"/>
  <c r="D389" i="2"/>
  <c r="C389" i="2"/>
  <c r="D388" i="2"/>
  <c r="C388" i="2"/>
  <c r="D387" i="2"/>
  <c r="C387" i="2"/>
  <c r="D386" i="2"/>
  <c r="C386" i="2"/>
  <c r="D385" i="2"/>
  <c r="C385" i="2"/>
  <c r="D384" i="2"/>
  <c r="C384" i="2"/>
  <c r="D383" i="2"/>
  <c r="C383" i="2"/>
  <c r="D382" i="2"/>
  <c r="C382" i="2"/>
  <c r="D381" i="2"/>
  <c r="C381" i="2"/>
  <c r="D380" i="2"/>
  <c r="C380" i="2"/>
  <c r="D379" i="2"/>
  <c r="C379" i="2"/>
  <c r="D378" i="2"/>
  <c r="C378" i="2"/>
  <c r="D377" i="2"/>
  <c r="C377" i="2"/>
  <c r="D376" i="2"/>
  <c r="C376" i="2"/>
  <c r="D375" i="2"/>
  <c r="C375" i="2"/>
  <c r="D374" i="2"/>
  <c r="C374" i="2"/>
  <c r="D373" i="2"/>
  <c r="C373" i="2"/>
  <c r="D372" i="2"/>
  <c r="C372" i="2"/>
  <c r="D371" i="2"/>
  <c r="C371" i="2"/>
  <c r="D370" i="2"/>
  <c r="C370" i="2"/>
  <c r="D369" i="2"/>
  <c r="C369" i="2"/>
  <c r="D368" i="2"/>
  <c r="C368" i="2"/>
  <c r="D367" i="2"/>
  <c r="C367" i="2"/>
  <c r="D366" i="2"/>
  <c r="C366" i="2"/>
  <c r="D365" i="2"/>
  <c r="C365" i="2"/>
  <c r="D364" i="2"/>
  <c r="C364" i="2"/>
  <c r="D363" i="2"/>
  <c r="C363" i="2"/>
  <c r="D362" i="2"/>
  <c r="C362" i="2"/>
  <c r="D361" i="2"/>
  <c r="C361" i="2"/>
  <c r="D360" i="2"/>
  <c r="C360" i="2"/>
  <c r="D359" i="2"/>
  <c r="C359" i="2"/>
  <c r="D358" i="2"/>
  <c r="C358" i="2"/>
  <c r="D357" i="2"/>
  <c r="C357" i="2"/>
  <c r="D356" i="2"/>
  <c r="C356" i="2"/>
  <c r="D355" i="2"/>
  <c r="C355" i="2"/>
  <c r="D354" i="2"/>
  <c r="C354" i="2"/>
  <c r="D353" i="2"/>
  <c r="C353" i="2"/>
  <c r="D352" i="2"/>
  <c r="C352" i="2"/>
  <c r="D351" i="2"/>
  <c r="C351" i="2"/>
  <c r="D350" i="2"/>
  <c r="C350" i="2"/>
  <c r="D349" i="2"/>
  <c r="C349" i="2"/>
  <c r="D348" i="2"/>
  <c r="C348" i="2"/>
  <c r="D347" i="2"/>
  <c r="C347" i="2"/>
  <c r="D346" i="2"/>
  <c r="C346" i="2"/>
  <c r="D345" i="2"/>
  <c r="C345" i="2"/>
  <c r="D344" i="2"/>
  <c r="C344" i="2"/>
  <c r="D343" i="2"/>
  <c r="C343" i="2"/>
  <c r="D342" i="2"/>
  <c r="C342" i="2"/>
  <c r="D341" i="2"/>
  <c r="C341" i="2"/>
  <c r="D340" i="2"/>
  <c r="C340" i="2"/>
  <c r="D339" i="2"/>
  <c r="C339" i="2"/>
  <c r="D338" i="2"/>
  <c r="C338" i="2"/>
  <c r="D337" i="2"/>
  <c r="C337" i="2"/>
  <c r="D336" i="2"/>
  <c r="C336" i="2"/>
  <c r="D335" i="2"/>
  <c r="C335" i="2"/>
  <c r="D334" i="2"/>
  <c r="C334" i="2"/>
  <c r="D333" i="2"/>
  <c r="C333" i="2"/>
  <c r="D332" i="2"/>
  <c r="C332" i="2"/>
  <c r="D331" i="2"/>
  <c r="C331" i="2"/>
  <c r="D330" i="2"/>
  <c r="C330" i="2"/>
  <c r="D329" i="2"/>
  <c r="C329" i="2"/>
  <c r="D328" i="2"/>
  <c r="C328" i="2"/>
  <c r="D327" i="2"/>
  <c r="C327" i="2"/>
  <c r="D326" i="2"/>
  <c r="C326" i="2"/>
  <c r="D325" i="2"/>
  <c r="C325" i="2"/>
  <c r="D324" i="2"/>
  <c r="C324" i="2"/>
  <c r="D323" i="2"/>
  <c r="C323" i="2"/>
  <c r="D322" i="2"/>
  <c r="C322" i="2"/>
  <c r="D321" i="2"/>
  <c r="C321" i="2"/>
  <c r="D320" i="2"/>
  <c r="C320" i="2"/>
  <c r="D319" i="2"/>
  <c r="C319" i="2"/>
  <c r="D318" i="2"/>
  <c r="C318" i="2"/>
  <c r="D317" i="2"/>
  <c r="C317" i="2"/>
  <c r="D316" i="2"/>
  <c r="C316" i="2"/>
  <c r="D315" i="2"/>
  <c r="C315" i="2"/>
  <c r="D314" i="2"/>
  <c r="C314" i="2"/>
  <c r="D313" i="2"/>
  <c r="C313" i="2"/>
  <c r="D312" i="2"/>
  <c r="C312" i="2"/>
  <c r="D311" i="2"/>
  <c r="C311" i="2"/>
  <c r="D310" i="2"/>
  <c r="C310" i="2"/>
  <c r="D309" i="2"/>
  <c r="C309" i="2"/>
  <c r="D308" i="2"/>
  <c r="C308" i="2"/>
  <c r="D307" i="2"/>
  <c r="C307" i="2"/>
  <c r="D306" i="2"/>
  <c r="C306" i="2"/>
  <c r="D305" i="2"/>
  <c r="C305" i="2"/>
  <c r="D304" i="2"/>
  <c r="C304" i="2"/>
  <c r="D303" i="2"/>
  <c r="C303" i="2"/>
  <c r="D302" i="2"/>
  <c r="C302" i="2"/>
  <c r="D301" i="2"/>
  <c r="C301" i="2"/>
  <c r="D300" i="2"/>
  <c r="C300" i="2"/>
  <c r="D299" i="2"/>
  <c r="C299" i="2"/>
  <c r="D298" i="2"/>
  <c r="C298" i="2"/>
  <c r="D297" i="2"/>
  <c r="C297" i="2"/>
  <c r="D296" i="2"/>
  <c r="C296" i="2"/>
  <c r="D295" i="2"/>
  <c r="C295" i="2"/>
  <c r="D294" i="2"/>
  <c r="C294" i="2"/>
  <c r="D293" i="2"/>
  <c r="C293" i="2"/>
  <c r="D292" i="2"/>
  <c r="C292" i="2"/>
  <c r="D291" i="2"/>
  <c r="C291" i="2"/>
  <c r="D290" i="2"/>
  <c r="C290" i="2"/>
  <c r="D289" i="2"/>
  <c r="C289" i="2"/>
  <c r="D288" i="2"/>
  <c r="C288" i="2"/>
  <c r="D287" i="2"/>
  <c r="C287" i="2"/>
  <c r="D286" i="2"/>
  <c r="C286" i="2"/>
  <c r="D285" i="2"/>
  <c r="C285" i="2"/>
  <c r="D284" i="2"/>
  <c r="C284" i="2"/>
  <c r="D283" i="2"/>
  <c r="C283" i="2"/>
  <c r="D282" i="2"/>
  <c r="C282" i="2"/>
  <c r="D281" i="2"/>
  <c r="C281" i="2"/>
  <c r="D280" i="2"/>
  <c r="C280" i="2"/>
  <c r="D279" i="2"/>
  <c r="C279" i="2"/>
  <c r="D278" i="2"/>
  <c r="C278" i="2"/>
  <c r="D277" i="2"/>
  <c r="C277" i="2"/>
  <c r="D276" i="2"/>
  <c r="C276" i="2"/>
  <c r="D275" i="2"/>
  <c r="C275" i="2"/>
  <c r="D274" i="2"/>
  <c r="C274" i="2"/>
  <c r="D273" i="2"/>
  <c r="C273" i="2"/>
  <c r="D272" i="2"/>
  <c r="C272" i="2"/>
  <c r="D271" i="2"/>
  <c r="C271" i="2"/>
  <c r="D270" i="2"/>
  <c r="C270" i="2"/>
  <c r="D269" i="2"/>
  <c r="C269" i="2"/>
  <c r="D268" i="2"/>
  <c r="C268" i="2"/>
  <c r="D267" i="2"/>
  <c r="C267" i="2"/>
  <c r="D266" i="2"/>
  <c r="C266" i="2"/>
  <c r="D265" i="2"/>
  <c r="C265" i="2"/>
  <c r="D264" i="2"/>
  <c r="C264" i="2"/>
  <c r="D263" i="2"/>
  <c r="C263" i="2"/>
  <c r="D262" i="2"/>
  <c r="C262" i="2"/>
  <c r="D261" i="2"/>
  <c r="C261" i="2"/>
  <c r="D260" i="2"/>
  <c r="C260" i="2"/>
  <c r="D259" i="2"/>
  <c r="C259" i="2"/>
  <c r="D258" i="2"/>
  <c r="C258" i="2"/>
  <c r="D257" i="2"/>
  <c r="C257" i="2"/>
  <c r="D256" i="2"/>
  <c r="C256" i="2"/>
  <c r="D255" i="2"/>
  <c r="C255" i="2"/>
  <c r="D254" i="2"/>
  <c r="C254" i="2"/>
  <c r="D253" i="2"/>
  <c r="C253" i="2"/>
  <c r="D252" i="2"/>
  <c r="C252" i="2"/>
  <c r="D251" i="2"/>
  <c r="C251" i="2"/>
  <c r="D250" i="2"/>
  <c r="C250" i="2"/>
  <c r="D249" i="2"/>
  <c r="C249" i="2"/>
  <c r="D248" i="2"/>
  <c r="C248" i="2"/>
  <c r="D247" i="2"/>
  <c r="C247" i="2"/>
  <c r="D246" i="2"/>
  <c r="C246" i="2"/>
  <c r="D245" i="2"/>
  <c r="C245" i="2"/>
  <c r="D244" i="2"/>
  <c r="C244" i="2"/>
  <c r="D243" i="2"/>
  <c r="C243" i="2"/>
  <c r="D242" i="2"/>
  <c r="C242" i="2"/>
  <c r="D241" i="2"/>
  <c r="C241" i="2"/>
  <c r="D240" i="2"/>
  <c r="C240" i="2"/>
  <c r="D239" i="2"/>
  <c r="C239" i="2"/>
  <c r="D238" i="2"/>
  <c r="C238" i="2"/>
  <c r="D237" i="2"/>
  <c r="C237" i="2"/>
  <c r="D236" i="2"/>
  <c r="C236" i="2"/>
  <c r="D235" i="2"/>
  <c r="C235" i="2"/>
  <c r="D234" i="2"/>
  <c r="C234" i="2"/>
  <c r="D233" i="2"/>
  <c r="C233" i="2"/>
  <c r="D232" i="2"/>
  <c r="C232" i="2"/>
  <c r="D231" i="2"/>
  <c r="C231" i="2"/>
  <c r="D230" i="2"/>
  <c r="C230" i="2"/>
  <c r="D229" i="2"/>
  <c r="C229" i="2"/>
  <c r="D228" i="2"/>
  <c r="C228" i="2"/>
  <c r="D227" i="2"/>
  <c r="C227" i="2"/>
  <c r="D226" i="2"/>
  <c r="C226" i="2"/>
  <c r="D225" i="2"/>
  <c r="C225" i="2"/>
  <c r="D224" i="2"/>
  <c r="C224" i="2"/>
  <c r="D223" i="2"/>
  <c r="C223" i="2"/>
  <c r="D222" i="2"/>
  <c r="C222" i="2"/>
  <c r="D221" i="2"/>
  <c r="C221" i="2"/>
  <c r="D220" i="2"/>
  <c r="C220" i="2"/>
  <c r="D219" i="2"/>
  <c r="C219" i="2"/>
  <c r="D218" i="2"/>
  <c r="C218" i="2"/>
  <c r="D217" i="2"/>
  <c r="C217" i="2"/>
  <c r="D216" i="2"/>
  <c r="C216" i="2"/>
  <c r="D215" i="2"/>
  <c r="C215" i="2"/>
  <c r="D214" i="2"/>
  <c r="C214" i="2"/>
  <c r="D213" i="2"/>
  <c r="C213" i="2"/>
  <c r="D212" i="2"/>
  <c r="C212" i="2"/>
  <c r="D211" i="2"/>
  <c r="C211" i="2"/>
  <c r="D210" i="2"/>
  <c r="C210" i="2"/>
  <c r="D209" i="2"/>
  <c r="C209" i="2"/>
  <c r="D208" i="2"/>
  <c r="C208" i="2"/>
  <c r="D207" i="2"/>
  <c r="C207" i="2"/>
  <c r="D206" i="2"/>
  <c r="C206" i="2"/>
  <c r="D205" i="2"/>
  <c r="C205" i="2"/>
  <c r="D204" i="2"/>
  <c r="C204" i="2"/>
  <c r="D203" i="2"/>
  <c r="C203" i="2"/>
  <c r="D202" i="2"/>
  <c r="C202" i="2"/>
  <c r="D201" i="2"/>
  <c r="C201" i="2"/>
  <c r="D200" i="2"/>
  <c r="C200" i="2"/>
  <c r="D199" i="2"/>
  <c r="C199" i="2"/>
  <c r="D198" i="2"/>
  <c r="C198" i="2"/>
  <c r="D197" i="2"/>
  <c r="C197" i="2"/>
  <c r="D196" i="2"/>
  <c r="C196" i="2"/>
  <c r="D195" i="2"/>
  <c r="C195" i="2"/>
  <c r="D194" i="2"/>
  <c r="C194" i="2"/>
  <c r="D193" i="2"/>
  <c r="C193" i="2"/>
  <c r="D192" i="2"/>
  <c r="C192" i="2"/>
  <c r="D191" i="2"/>
  <c r="C191" i="2"/>
  <c r="D190" i="2"/>
  <c r="C190" i="2"/>
  <c r="D189" i="2"/>
  <c r="C189" i="2"/>
  <c r="D188" i="2"/>
  <c r="C188" i="2"/>
  <c r="D187" i="2"/>
  <c r="C187" i="2"/>
  <c r="D186" i="2"/>
  <c r="C186" i="2"/>
  <c r="D185" i="2"/>
  <c r="C185" i="2"/>
  <c r="D184" i="2"/>
  <c r="C184" i="2"/>
  <c r="D183" i="2"/>
  <c r="C183" i="2"/>
  <c r="D182" i="2"/>
  <c r="C182" i="2"/>
  <c r="D181" i="2"/>
  <c r="C181" i="2"/>
  <c r="D180" i="2"/>
  <c r="C180" i="2"/>
  <c r="D179" i="2"/>
  <c r="C179" i="2"/>
  <c r="D178" i="2"/>
  <c r="C178" i="2"/>
  <c r="D177" i="2"/>
  <c r="C177" i="2"/>
  <c r="D176" i="2"/>
  <c r="C176" i="2"/>
  <c r="D175" i="2"/>
  <c r="C175" i="2"/>
  <c r="D174" i="2"/>
  <c r="C174" i="2"/>
  <c r="D173" i="2"/>
  <c r="C173" i="2"/>
  <c r="D172" i="2"/>
  <c r="C172" i="2"/>
  <c r="D171" i="2"/>
  <c r="C171" i="2"/>
  <c r="D170" i="2"/>
  <c r="C170" i="2"/>
  <c r="D169" i="2"/>
  <c r="C169" i="2"/>
  <c r="D168" i="2"/>
  <c r="C168" i="2"/>
  <c r="D167" i="2"/>
  <c r="C167" i="2"/>
  <c r="D166" i="2"/>
  <c r="C166" i="2"/>
  <c r="D165" i="2"/>
  <c r="C165" i="2"/>
  <c r="D164" i="2"/>
  <c r="C164" i="2"/>
  <c r="D163" i="2"/>
  <c r="C163" i="2"/>
  <c r="D162" i="2"/>
  <c r="C162" i="2"/>
  <c r="D161" i="2"/>
  <c r="C161" i="2"/>
  <c r="D160" i="2"/>
  <c r="C160" i="2"/>
  <c r="D159" i="2"/>
  <c r="C159" i="2"/>
  <c r="D158" i="2"/>
  <c r="C158" i="2"/>
  <c r="D157" i="2"/>
  <c r="C157" i="2"/>
  <c r="D156" i="2"/>
  <c r="C156" i="2"/>
  <c r="D155" i="2"/>
  <c r="C155" i="2"/>
  <c r="D154" i="2"/>
  <c r="C154" i="2"/>
  <c r="D153" i="2"/>
  <c r="C153" i="2"/>
  <c r="D152" i="2"/>
  <c r="C152" i="2"/>
  <c r="D151" i="2"/>
  <c r="C151" i="2"/>
  <c r="D150" i="2"/>
  <c r="C150" i="2"/>
  <c r="D149" i="2"/>
  <c r="C149" i="2"/>
  <c r="D148" i="2"/>
  <c r="C148" i="2"/>
  <c r="D147" i="2"/>
  <c r="C147" i="2"/>
  <c r="D146" i="2"/>
  <c r="C146" i="2"/>
  <c r="D145" i="2"/>
  <c r="C145" i="2"/>
  <c r="D144" i="2"/>
  <c r="C144" i="2"/>
  <c r="D143" i="2"/>
  <c r="C143" i="2"/>
  <c r="D142" i="2"/>
  <c r="C142" i="2"/>
  <c r="D141" i="2"/>
  <c r="C141" i="2"/>
  <c r="D140" i="2"/>
  <c r="C140" i="2"/>
  <c r="D139" i="2"/>
  <c r="C139" i="2"/>
  <c r="D138" i="2"/>
  <c r="C138" i="2"/>
  <c r="D137" i="2"/>
  <c r="C137" i="2"/>
  <c r="D136" i="2"/>
  <c r="C136" i="2"/>
  <c r="D135" i="2"/>
  <c r="C135" i="2"/>
  <c r="D134" i="2"/>
  <c r="C134" i="2"/>
  <c r="D133" i="2"/>
  <c r="C133" i="2"/>
  <c r="D132" i="2"/>
  <c r="C132" i="2"/>
  <c r="D131" i="2"/>
  <c r="C131" i="2"/>
  <c r="D130" i="2"/>
  <c r="C130" i="2"/>
  <c r="D129" i="2"/>
  <c r="C129" i="2"/>
  <c r="D128" i="2"/>
  <c r="C128" i="2"/>
  <c r="D127" i="2"/>
  <c r="C127" i="2"/>
  <c r="D126" i="2"/>
  <c r="C126" i="2"/>
  <c r="D125" i="2"/>
  <c r="C125" i="2"/>
  <c r="D124" i="2"/>
  <c r="C124" i="2"/>
  <c r="D123" i="2"/>
  <c r="C123" i="2"/>
  <c r="D122" i="2"/>
  <c r="C122" i="2"/>
  <c r="D121" i="2"/>
  <c r="C121" i="2"/>
  <c r="D120" i="2"/>
  <c r="C120" i="2"/>
  <c r="D119" i="2"/>
  <c r="C119" i="2"/>
  <c r="D118" i="2"/>
  <c r="C118" i="2"/>
  <c r="D117" i="2"/>
  <c r="C117" i="2"/>
  <c r="D116" i="2"/>
  <c r="C116" i="2"/>
  <c r="D115" i="2"/>
  <c r="C115" i="2"/>
  <c r="D114" i="2"/>
  <c r="C114" i="2"/>
  <c r="D113" i="2"/>
  <c r="C113" i="2"/>
  <c r="D112" i="2"/>
  <c r="C112" i="2"/>
  <c r="D111" i="2"/>
  <c r="C111" i="2"/>
  <c r="D110" i="2"/>
  <c r="C110" i="2"/>
  <c r="D109" i="2"/>
  <c r="C109" i="2"/>
  <c r="D108" i="2"/>
  <c r="C108" i="2"/>
  <c r="D107" i="2"/>
  <c r="C107" i="2"/>
  <c r="D106" i="2"/>
  <c r="C106" i="2"/>
  <c r="D105" i="2"/>
  <c r="C105" i="2"/>
  <c r="D104" i="2"/>
  <c r="C104" i="2"/>
  <c r="D103" i="2"/>
  <c r="C103" i="2"/>
  <c r="D102" i="2"/>
  <c r="C102" i="2"/>
  <c r="D101" i="2"/>
  <c r="C101" i="2"/>
  <c r="D100" i="2"/>
  <c r="C100" i="2"/>
  <c r="D99" i="2"/>
  <c r="C99" i="2"/>
  <c r="D98" i="2"/>
  <c r="C98" i="2"/>
  <c r="D97" i="2"/>
  <c r="C97" i="2"/>
  <c r="D96" i="2"/>
  <c r="C96" i="2"/>
  <c r="D95" i="2"/>
  <c r="C95" i="2"/>
  <c r="D94" i="2"/>
  <c r="C94" i="2"/>
  <c r="D93" i="2"/>
  <c r="C93" i="2"/>
  <c r="D92" i="2"/>
  <c r="C92" i="2"/>
  <c r="D91" i="2"/>
  <c r="C91" i="2"/>
  <c r="D90" i="2"/>
  <c r="C90" i="2"/>
  <c r="D89" i="2"/>
  <c r="C89" i="2"/>
  <c r="D88" i="2"/>
  <c r="C88" i="2"/>
  <c r="D87" i="2"/>
  <c r="C87" i="2"/>
  <c r="D86" i="2"/>
  <c r="C86" i="2"/>
  <c r="D85" i="2"/>
  <c r="C85" i="2"/>
  <c r="D84" i="2"/>
  <c r="C84" i="2"/>
  <c r="D83" i="2"/>
  <c r="C83" i="2"/>
  <c r="D82" i="2"/>
  <c r="C82" i="2"/>
  <c r="D81" i="2"/>
  <c r="C81" i="2"/>
  <c r="D80" i="2"/>
  <c r="C80" i="2"/>
  <c r="D79" i="2"/>
  <c r="C79" i="2"/>
  <c r="D78" i="2"/>
  <c r="C78" i="2"/>
  <c r="D77" i="2"/>
  <c r="C77" i="2"/>
  <c r="D76" i="2"/>
  <c r="C76" i="2"/>
  <c r="D75" i="2"/>
  <c r="C75" i="2"/>
  <c r="D74" i="2"/>
  <c r="C74" i="2"/>
  <c r="D73" i="2"/>
  <c r="C73" i="2"/>
  <c r="D72" i="2"/>
  <c r="C72" i="2"/>
  <c r="D71" i="2"/>
  <c r="C71" i="2"/>
  <c r="D70" i="2"/>
  <c r="C70" i="2"/>
  <c r="D69" i="2"/>
  <c r="C69" i="2"/>
  <c r="D68" i="2"/>
  <c r="C68" i="2"/>
  <c r="D67" i="2"/>
  <c r="C67" i="2"/>
  <c r="D66" i="2"/>
  <c r="C66" i="2"/>
  <c r="D65" i="2"/>
  <c r="C65" i="2"/>
  <c r="D64" i="2"/>
  <c r="C64" i="2"/>
  <c r="D63" i="2"/>
  <c r="C63" i="2"/>
  <c r="D62" i="2"/>
  <c r="C62" i="2"/>
  <c r="D61" i="2"/>
  <c r="C61" i="2"/>
  <c r="D60" i="2"/>
  <c r="C60" i="2"/>
  <c r="D59" i="2"/>
  <c r="C59" i="2"/>
  <c r="D58" i="2"/>
  <c r="C58" i="2"/>
  <c r="D57" i="2"/>
  <c r="C57" i="2"/>
  <c r="D56" i="2"/>
  <c r="C56" i="2"/>
  <c r="D55" i="2"/>
  <c r="C55" i="2"/>
  <c r="D54" i="2"/>
  <c r="C54" i="2"/>
  <c r="D53" i="2"/>
  <c r="C53" i="2"/>
  <c r="D52" i="2"/>
  <c r="C52" i="2"/>
  <c r="D51" i="2"/>
  <c r="C51" i="2"/>
  <c r="D50" i="2"/>
  <c r="C50" i="2"/>
  <c r="D49" i="2"/>
  <c r="C49" i="2"/>
  <c r="D48" i="2"/>
  <c r="C48" i="2"/>
  <c r="D47" i="2"/>
  <c r="C47" i="2"/>
  <c r="D46" i="2"/>
  <c r="C46" i="2"/>
  <c r="D45" i="2"/>
  <c r="C45" i="2"/>
  <c r="D44" i="2"/>
  <c r="C4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D3" i="2"/>
  <c r="C3" i="2"/>
  <c r="D2" i="2"/>
  <c r="C2" i="2"/>
</calcChain>
</file>

<file path=xl/sharedStrings.xml><?xml version="1.0" encoding="utf-8"?>
<sst xmlns="http://schemas.openxmlformats.org/spreadsheetml/2006/main" count="11552" uniqueCount="6106">
  <si>
    <t>The Code of Justinian  (676 Short Stories)</t>
  </si>
  <si>
    <t>(The Six Hundred and Seventy-Six American Days)</t>
  </si>
  <si>
    <t>200 Million Very Short Stories</t>
  </si>
  <si>
    <t>676 Very Short Stories   [This is good. It emphasizes the careful, methodical work that has gone into making each of the 676 items intimate and extraordinary]</t>
  </si>
  <si>
    <t>676 memory sentences</t>
  </si>
  <si>
    <t>Your 676 new best friends</t>
  </si>
  <si>
    <t>Five Reasons why memorizing these sentences isn't as hard as you think:</t>
  </si>
  <si>
    <t xml:space="preserve">  1. Every sentence tells a specific, genuine, and meaningful story about the person. The meaning may not be obvious upon first read, but the brief explanatory note for each sentence will explain (and a longer background material further explains).  Ex:  Omar omits an omen [give some detail].  </t>
  </si>
  <si>
    <r>
      <rPr>
        <sz val="10"/>
        <color theme="1"/>
        <rFont val="Arial"/>
      </rPr>
      <t xml:space="preserve">  2. The two target letters of each word follow STRICT rules for placement: The 1st letter is ALWAYS the actual first letter of the word [KT = Kite</t>
    </r>
    <r>
      <rPr>
        <strike/>
        <sz val="10"/>
        <color theme="1"/>
        <rFont val="Arial"/>
      </rPr>
      <t>, never Co</t>
    </r>
    <r>
      <rPr>
        <sz val="10"/>
        <color theme="1"/>
        <rFont val="Arial"/>
      </rPr>
      <t>t ].  For the 2nd letter: If it is a vowel, it is ALWAYS the second letter of the word [Baboon = BA, not BO; ]. If it is a consonant, it is either (1) the last letter of the word, for one-syllable words, or (2) the first letter of the second syllable, for a multi-syllable word. (give examples and counterexamples)</t>
    </r>
  </si>
  <si>
    <t xml:space="preserve">  3. Each verb is carefully chosen to be an action verb that can be applied to many objects (loses, raises, YES, sees, imagines-  NO.  Additionally, as much as possible most have a specific, transformative effect on their object, such as "gobbles" instead of just "sees" (this explanation needs work)</t>
  </si>
  <si>
    <t xml:space="preserve">  4. Each object is chosen as a physical object that can be manipulated by many verbs.  Many categories of nouns are avoided:  nouns such as "democracy" and "justice" are not unused (come up with some more concrete examples, that are still too abstract for the system) . Most are inanimate objects or animals, not people, to help keep the person of the sentence clearly at the forefront of the mind. Geogeraphical places and location names, such as certain famous landmarks, are strictly avoided.  </t>
  </si>
  <si>
    <t xml:space="preserve">  5. Each sentence has a suggested tableau, a place where the person is located, and where all the action of a sentence can take place. This location can be used with the original sentence, but becomes especially powerful when maintained in a hybrid sentence. So, every hybrid sentence, when using the system in practice, is still grounded in the original physical spot where the person is located, despite the change in the action and object (give example). Also, it may be useful to you to memorize the stae or country of the tableau spot as an add-on to helping remember the 4-5 sentences in order. (Arizona, Georgia, England, Australiz, New York-- boom, 5 sentences)</t>
  </si>
  <si>
    <r>
      <rPr>
        <sz val="10"/>
        <color theme="1"/>
        <rFont val="Arial"/>
      </rPr>
      <t>Pattern ideal: [</t>
    </r>
    <r>
      <rPr>
        <b/>
        <sz val="10"/>
        <color theme="1"/>
        <rFont val="Arial"/>
      </rPr>
      <t>person</t>
    </r>
    <r>
      <rPr>
        <sz val="10"/>
        <color theme="1"/>
        <rFont val="Arial"/>
      </rPr>
      <t>: well-known, easily visualized person with strong geographical connotation]  [</t>
    </r>
    <r>
      <rPr>
        <b/>
        <sz val="10"/>
        <color theme="1"/>
        <rFont val="Arial"/>
      </rPr>
      <t>verb</t>
    </r>
    <r>
      <rPr>
        <sz val="10"/>
        <color theme="1"/>
        <rFont val="Arial"/>
      </rPr>
      <t>: acts strongly on]  [</t>
    </r>
    <r>
      <rPr>
        <b/>
        <sz val="10"/>
        <color theme="1"/>
        <rFont val="Arial"/>
      </rPr>
      <t>object</t>
    </r>
    <r>
      <rPr>
        <sz val="10"/>
        <color theme="1"/>
        <rFont val="Arial"/>
      </rPr>
      <t>: a tangible, holdable object, especially a personifiable object as in the case of an animal]  Example: Ivanka buys a camel</t>
    </r>
  </si>
  <si>
    <t>The Code of Justinian.    http://code-of-justinian</t>
  </si>
  <si>
    <t>576 tableaus</t>
  </si>
  <si>
    <t>576 nexuses</t>
  </si>
  <si>
    <t>576 heroes</t>
  </si>
  <si>
    <t>My 576 best friends</t>
  </si>
  <si>
    <t>letter pair tableaus</t>
  </si>
  <si>
    <t>dyad tableaus</t>
  </si>
  <si>
    <t>tandems</t>
  </si>
  <si>
    <t xml:space="preserve">576 tableaus, or, a study in verbs that mean "says 'no' to" </t>
  </si>
  <si>
    <t>Can use  CH (or SH or TH) as  a stand-in for X</t>
  </si>
  <si>
    <t>Why ch? The only possibilities I can see are ch, sh, and th. Ch just seems right. And, X is the symbol for the sound in "Bach", so there is an association there.</t>
  </si>
  <si>
    <t>new proposed rule: don't use CH anywhere, in any part of any word, for any reason, unless it's at the beginning of the word, for X</t>
  </si>
  <si>
    <r>
      <t xml:space="preserve">proposed: Ch can never mean K sound </t>
    </r>
    <r>
      <rPr>
        <strike/>
        <sz val="10"/>
        <color theme="1"/>
        <rFont val="Arial"/>
      </rPr>
      <t>(achilles)</t>
    </r>
  </si>
  <si>
    <t>Would love to be able to say "Beta H is ALWAYS  SH"</t>
  </si>
  <si>
    <t>The rules need to be presented IN ORDER:  Ex.:   x,q are ALWAYS the beta. This superceded ALL following rules (such as "sh" always means "h" in the beta position.</t>
  </si>
  <si>
    <t>VOWEL BETA METHODS:</t>
  </si>
  <si>
    <r>
      <t xml:space="preserve">Bo, </t>
    </r>
    <r>
      <rPr>
        <b/>
        <strike/>
        <sz val="10"/>
        <color theme="1"/>
        <rFont val="Arial"/>
      </rPr>
      <t>boa</t>
    </r>
    <r>
      <rPr>
        <b/>
        <sz val="10"/>
        <color theme="1"/>
        <rFont val="Arial"/>
      </rPr>
      <t>, doe, chai</t>
    </r>
    <r>
      <rPr>
        <sz val="10"/>
        <color theme="1"/>
        <rFont val="Arial"/>
      </rPr>
      <t xml:space="preserve"> -- no second consonant in word</t>
    </r>
  </si>
  <si>
    <r>
      <rPr>
        <b/>
        <strike/>
        <sz val="10"/>
        <color theme="1"/>
        <rFont val="Arial"/>
      </rPr>
      <t>fiat</t>
    </r>
    <r>
      <rPr>
        <strike/>
        <sz val="10"/>
        <color theme="1"/>
        <rFont val="Arial"/>
      </rPr>
      <t xml:space="preserve">, </t>
    </r>
    <r>
      <rPr>
        <b/>
        <strike/>
        <sz val="10"/>
        <color theme="1"/>
        <rFont val="Arial"/>
      </rPr>
      <t>diorama's</t>
    </r>
    <r>
      <rPr>
        <strike/>
        <sz val="10"/>
        <color theme="1"/>
        <rFont val="Arial"/>
      </rPr>
      <t>. Use only in desperation. 2nd syllable begins with vowel.</t>
    </r>
  </si>
  <si>
    <r>
      <t xml:space="preserve">deets </t>
    </r>
    <r>
      <rPr>
        <sz val="10"/>
        <color theme="1"/>
        <rFont val="Arial"/>
      </rPr>
      <t>Double-vowel</t>
    </r>
  </si>
  <si>
    <t xml:space="preserve">ABOVE-3 are all searchable by raa*, then go through arou for 3rd letter, in Word Detector </t>
  </si>
  <si>
    <r>
      <t xml:space="preserve">purple, dundee, rear  </t>
    </r>
    <r>
      <rPr>
        <sz val="10"/>
        <color theme="1"/>
        <rFont val="Arial"/>
      </rPr>
      <t>Double the alpha</t>
    </r>
  </si>
  <si>
    <r>
      <t xml:space="preserve">ph, ng, gh   </t>
    </r>
    <r>
      <rPr>
        <sz val="10"/>
        <color theme="1"/>
        <rFont val="Arial"/>
      </rPr>
      <t>Start using the digraphs PH and NG, which are meaninglessness in my system, to clarify VOWELS. So, "ping" is Pi, and "gopher" is Go. (gh: there are only about 6 words that could possibly be useful with gh. tough, rough, laugh, dough, and a couple more. It doesn't give enough to qualify as a useful technique)</t>
    </r>
  </si>
  <si>
    <r>
      <t>NAH, too confusing. Leave a buffer:   "</t>
    </r>
    <r>
      <rPr>
        <b/>
        <sz val="10"/>
        <color theme="1"/>
        <rFont val="Arial"/>
      </rPr>
      <t xml:space="preserve">I could free up "th" </t>
    </r>
    <r>
      <rPr>
        <sz val="10"/>
        <color theme="1"/>
        <rFont val="Arial"/>
      </rPr>
      <t xml:space="preserve">as a safe pattern, if I changed </t>
    </r>
    <r>
      <rPr>
        <b/>
        <sz val="10"/>
        <color theme="1"/>
        <rFont val="Arial"/>
      </rPr>
      <t>Luthien, Othello, and Zarathustra."</t>
    </r>
  </si>
  <si>
    <t>Wow! Congratulations to WU for being the ONLY letter-pair to generate zero hits with this process in Word Detector!</t>
  </si>
  <si>
    <t>Note: I ended up using this technique (next 2 lines) in ZERO places!</t>
  </si>
  <si>
    <r>
      <rPr>
        <b/>
        <sz val="10"/>
        <color theme="1"/>
        <rFont val="Arial"/>
      </rPr>
      <t>potion, lesion, social</t>
    </r>
    <r>
      <rPr>
        <sz val="10"/>
        <color theme="1"/>
        <rFont val="Arial"/>
      </rPr>
      <t xml:space="preserve"> "-tion" and "-sion", "-cial", "-cion" , "-cian", "-cious", "-tial", "-tious"  are good</t>
    </r>
  </si>
  <si>
    <t xml:space="preserve">  Note: I have thoroughly explored ALL of the above, "-tion", "-sion", "-cial", "-cion", "-cian", "-cious", "-tial", "-tious", for ALL alphas, using Word Detector, and put notes in the system</t>
  </si>
  <si>
    <r>
      <rPr>
        <b/>
        <sz val="10"/>
        <color theme="1"/>
        <rFont val="Arial"/>
      </rPr>
      <t xml:space="preserve"> -dge</t>
    </r>
    <r>
      <rPr>
        <sz val="10"/>
        <color theme="1"/>
        <rFont val="Arial"/>
      </rPr>
      <t>.  Questionable.  NO, did not use</t>
    </r>
  </si>
  <si>
    <t>Next 5 lines: Seemed like a good idea, but I only used it in ONE place, "centuries", and I'm going to remove it from there.</t>
  </si>
  <si>
    <r>
      <rPr>
        <b/>
        <sz val="10"/>
        <color theme="1"/>
        <rFont val="Arial"/>
      </rPr>
      <t>sutures</t>
    </r>
    <r>
      <rPr>
        <sz val="10"/>
        <color theme="1"/>
        <rFont val="Arial"/>
      </rPr>
      <t>.  Questionable.  "t" as in "sutures" and "saturates" is a safe bet</t>
    </r>
  </si>
  <si>
    <r>
      <rPr>
        <b/>
        <sz val="10"/>
        <color theme="1"/>
        <rFont val="Arial"/>
      </rPr>
      <t>sure</t>
    </r>
    <r>
      <rPr>
        <sz val="10"/>
        <color theme="1"/>
        <rFont val="Arial"/>
      </rPr>
      <t>. "U" following S or T is a common way to make SH or TH</t>
    </r>
  </si>
  <si>
    <t xml:space="preserve">  Note: I have exhaustively explored -su* and -tu* with all alphas using word detector</t>
  </si>
  <si>
    <t>ocean, issue, sugar, passion, mission, conscience, sufficient -- oy veh!</t>
  </si>
  <si>
    <t xml:space="preserve">  Note: I have exhaustively explored all of the above (ocean, etc.)</t>
  </si>
  <si>
    <t>Make a list of my vowel beta strategies to include in explanations of the system</t>
  </si>
  <si>
    <t>in all my explanations (including the need for dynamic, re-usable verbs), I can provide examples and counter examples</t>
  </si>
  <si>
    <t xml:space="preserve">would be good to explicitly explain: I have strived to keep it clean (or at least not misogynistic or prejudiced) and wholesome </t>
  </si>
  <si>
    <r>
      <t xml:space="preserve">Turns out, a critical thing for being able to come up with a sentence, from a letter dyad, is that one of the three words be a good, recognizable, easy word. So "Homer hammers a hummer" was bad, but "Homer hammers a </t>
    </r>
    <r>
      <rPr>
        <b/>
        <sz val="10"/>
        <color theme="1"/>
        <rFont val="Arial"/>
      </rPr>
      <t>ham</t>
    </r>
    <r>
      <rPr>
        <sz val="10"/>
        <color theme="1"/>
        <rFont val="Arial"/>
      </rPr>
      <t>" is good, because HM naturally and easily suggests "ham"</t>
    </r>
  </si>
  <si>
    <t xml:space="preserve">3 factors in whether you have a good sentence: Does the sentence spring to mind from the letter-pair? Do the words, when mixed and matched, create compelling and memorable sentences?  Is it clear which letter-pair the word should be decoded to?  </t>
  </si>
  <si>
    <t>A few of the sentences (like UA) are just awful...  but in a fun, playful way!</t>
  </si>
  <si>
    <t>The "Confusion Rule" for memory systems: If a name or device or rule seems like it MIGHT be confusing, it IS confusing (so it must be eliminated and replaced)</t>
  </si>
  <si>
    <t>"Incidental" letters or incidental placement: Placement NOT in beta hot spot positions/ locations. So, "ch" might be okay in incidental spots.</t>
  </si>
  <si>
    <t>Good verb example: Unfreezes. Brings with it a world of context where something happened beforehand. Same with debriefs (see cross_definition)</t>
  </si>
  <si>
    <t>Pattern:   (1) person   (2) verb   (3) object</t>
  </si>
  <si>
    <t>My decision to only use the beginning of the SECOND syllable as the beta consonant was the best thing since sliced bread. it might appear to be limiting, but allows me to use words words like "ibuprofen" with confidence.  it is paradoxically freeing. Restrictions create freedom.</t>
  </si>
  <si>
    <t xml:space="preserve">For the above restriction: Words like April and pueblo are AP and PB. That is, I don't count R and L as the beginning of a new syllable, I count the consonant before it, which conforms to how people actually speak these words. </t>
  </si>
  <si>
    <t>The above restriction (re beta consonants) leads to a neat trick for finding beta vowel words. Example: For "PA", I can look at all words that begin "P-A-P-&lt;vowel&gt;..." (eg "paper").  These words should be safe and appropriate for PA.</t>
  </si>
  <si>
    <t xml:space="preserve">ALL vowel betas are the SECOND letter of the word, whether the alpha is a vowel or consonant ("y" is not counted as a vowel for this rule). Exceptions (bold and underlined):  llama, scimitar, whoopsies, Zsa Zsa, Q-alpha words may have a single "u" before the vowel, as in "queen" </t>
  </si>
  <si>
    <t>For names with vowel alphas (can't speak for verbs and objects):  I have been consistent that the beta is right up near the front of the word, except for Ingwe, Escher, and the like where there are some interfering consonant combinations</t>
  </si>
  <si>
    <t>X, Q, and Y are ALWAYS the beta WHENEVER they appear, with the following strict exception: a Y at the END of a multi-syllabic word ("bunny", "popjoy") is NEVER the beta.</t>
  </si>
  <si>
    <t>I need to absolutely verify the above rule, using Excel.</t>
  </si>
  <si>
    <t>S's at the end of verbs are not counted as existing, for any of the other rules. Neither are the silent E's at the end of a word. So, "gores" is okay for GR (which is common sense)</t>
  </si>
  <si>
    <t xml:space="preserve">Each sentence needs to be a snapshot, and specifically it needs to have definite surroundings, so each person should have not only a geographical identity, but a particular set of surroundings, like a particular house with certain colors, or a particular forest or scene. </t>
  </si>
  <si>
    <t>a possible trick to anchor people in their tableau despite travelling verbs like "voyages" and "mules": Have the person still in their setting but PREPARING to leave.</t>
  </si>
  <si>
    <t>Rules for decoding. (this is a good verbiage. Hmmm, but the rules help with encoding too. Maybe "Rules to aid in encoding and decoding")</t>
  </si>
  <si>
    <t>proposed rule (need to consider): a.double vowel at the beginning of any word (Heekin, hood) always signifies a vowel beta.</t>
  </si>
  <si>
    <t>Question: Does every name have a concrete meaning for me, and a geographical location?</t>
  </si>
  <si>
    <t>question: does every object have a concrete, specific meaning for me?</t>
  </si>
  <si>
    <t xml:space="preserve">words packed with meaning: "taxies" and "ballot" are two examples of words that come pre-filled with rich context. Taxi-ing someone implies that you'rein an airplane and going somewhere interesting. A ballot has rich historical context, and you can think of past nail-biter elections. </t>
  </si>
  <si>
    <t xml:space="preserve">checklist for sentence doneness:  Letter clarity: The two letters are clear, for instance r's dont appear at the end of a syllable or as the second letter of the word.  Person, verb, and object are all strong. Verb is universal enough, object is concrete. </t>
  </si>
  <si>
    <t>Each character (each sentence) is a pair of stickers, or is a name for that pair of stickers.</t>
  </si>
  <si>
    <r>
      <rPr>
        <b/>
        <sz val="10"/>
        <color theme="1"/>
        <rFont val="Arial"/>
      </rPr>
      <t>Encode, Remember, Decode.</t>
    </r>
    <r>
      <rPr>
        <b/>
        <sz val="10"/>
        <color theme="1"/>
        <rFont val="Arial"/>
      </rPr>
      <t xml:space="preserve">  These are the 3 competing interests when choosing words for sentences</t>
    </r>
  </si>
  <si>
    <t>nexus, cross, row column. Good terminology. Like, the LMNOP nexus, the LMNOP cross,...</t>
  </si>
  <si>
    <t>Examples</t>
  </si>
  <si>
    <t>best-ever verb: "loses".   New favorite object: "milk". A gallon of milk is simple and ubiquitous, everyone has strong associations with it.</t>
  </si>
  <si>
    <t>The goal: striking visuals</t>
  </si>
  <si>
    <t xml:space="preserve">best verbs: transform the object. shining light on, seeing: bad. </t>
  </si>
  <si>
    <r>
      <t xml:space="preserve">Vague verbs come with a suggested </t>
    </r>
    <r>
      <rPr>
        <b/>
        <sz val="10"/>
        <color theme="1"/>
        <rFont val="Arial"/>
      </rPr>
      <t>interpretation</t>
    </r>
    <r>
      <rPr>
        <sz val="10"/>
        <color theme="1"/>
        <rFont val="Arial"/>
      </rPr>
      <t xml:space="preserve"> that is specific and visual : "Hill heals a hull", [heals=puts a bandaid on]</t>
    </r>
  </si>
  <si>
    <t xml:space="preserve">best objects: intriguing, NOT nondescript. Fishbowl beats fob.  capable of variance while retaining a unique identity and function. </t>
  </si>
  <si>
    <t>I can create a specific, artificial meaning for a verb, as in Zanni-One zones a zinnia</t>
  </si>
  <si>
    <t xml:space="preserve">the best verbs are probably those that create a tableau that is a static image, like a picture instead of a video. </t>
  </si>
  <si>
    <t>more about verbs: It's better if they don't require a second person, as with "buys", for instance,  where someone has to take the money.</t>
  </si>
  <si>
    <t>my new favorite object: "bucket". Very simple, but unique in form and function. Instantly recognizable.</t>
  </si>
  <si>
    <t>always, if possible, imagine the object in the same room as the person, even if the sentence doesn't directly demand it</t>
  </si>
  <si>
    <t>What you need: Three words that are individually strong, that together accurately describe one aspect of the subject character. The tableau derives predominately from the character, but the choice of tableau (of the various places you can see this person in) is also guided by the other two words.</t>
  </si>
  <si>
    <t>A tableau needs a person, place, AND A THING ideally, like a guitar, or a pile of gunpowder, in case the person gets called to another location by a verb or object</t>
  </si>
  <si>
    <t>Perhaps the best name is a person who can be placed into a good tableau. Tableau fodder.</t>
  </si>
  <si>
    <t>object specificity: "nit" is better than "nut". Even though I barely know what a nit is (louse egg, attached to a human hair), it is so much more memorable than a generic nut. One problem with the word nut is that the variety of nuts you could picture is itself bewildering and confusing</t>
  </si>
  <si>
    <t>"napkin" -- This word is clearly NK in the system, but the P is confounding because it is a rare letter. So I would avoid using "napkin" unless there were no better alternatives.</t>
  </si>
  <si>
    <t>In the ideal, it should be obvious, from reading a word, which are its 2 key letters, without needing the context of the other two surrounding words.</t>
  </si>
  <si>
    <r>
      <t>need a rule for r, l usage. No usage before another consonant that ends a syllable, like ki</t>
    </r>
    <r>
      <rPr>
        <b/>
        <u/>
        <sz val="10"/>
        <color theme="1"/>
        <rFont val="Arial"/>
      </rPr>
      <t>l</t>
    </r>
    <r>
      <rPr>
        <sz val="10"/>
        <color theme="1"/>
        <rFont val="Arial"/>
      </rPr>
      <t>t or A</t>
    </r>
    <r>
      <rPr>
        <b/>
        <u/>
        <sz val="10"/>
        <color theme="1"/>
        <rFont val="Arial"/>
      </rPr>
      <t>r</t>
    </r>
    <r>
      <rPr>
        <sz val="10"/>
        <color theme="1"/>
        <rFont val="Arial"/>
      </rPr>
      <t xml:space="preserve">mstrong </t>
    </r>
  </si>
  <si>
    <t>need a rule for y usage</t>
  </si>
  <si>
    <t>g = always hard</t>
  </si>
  <si>
    <t>first letter and last letter except: e ar end like five, is fv. begins with x: all bets are off</t>
  </si>
  <si>
    <t>new rule for words beginning with vowels: A word beginning in a vowel cannot have two vowels (so, Eiffel and oath are not allowed) UNLESS the two vowels are the letters of the dyad (Euclid for Eu), and ALL words for 2-vowel dyads MUST begin with the dyad. (So, Uma is not allowed for Ua. Must use Uatu)</t>
  </si>
  <si>
    <t>ending with -ck is bad, is incompatible with -c, -q strategies</t>
  </si>
  <si>
    <t>-nique</t>
  </si>
  <si>
    <t>-esque</t>
  </si>
  <si>
    <t>JUSTIN: Once this is in an excel doc in columns, it will be easy to search by letters (search the letter Y, for instance), and see if I'm following my own rules</t>
  </si>
  <si>
    <r>
      <t xml:space="preserve">I need published version names, like </t>
    </r>
    <r>
      <rPr>
        <b/>
        <u/>
        <sz val="10"/>
        <color theme="1"/>
        <rFont val="Arial"/>
      </rPr>
      <t>A</t>
    </r>
    <r>
      <rPr>
        <b/>
        <sz val="10"/>
        <color theme="1"/>
        <rFont val="Arial"/>
      </rPr>
      <t xml:space="preserve">lligator, </t>
    </r>
    <r>
      <rPr>
        <b/>
        <u/>
        <sz val="10"/>
        <color theme="1"/>
        <rFont val="Arial"/>
      </rPr>
      <t>B</t>
    </r>
    <r>
      <rPr>
        <b/>
        <sz val="10"/>
        <color theme="1"/>
        <rFont val="Arial"/>
      </rPr>
      <t xml:space="preserve">ear, </t>
    </r>
    <r>
      <rPr>
        <b/>
        <u/>
        <sz val="10"/>
        <color theme="1"/>
        <rFont val="Arial"/>
      </rPr>
      <t>C</t>
    </r>
    <r>
      <rPr>
        <b/>
        <sz val="10"/>
        <color theme="1"/>
        <rFont val="Arial"/>
      </rPr>
      <t>at</t>
    </r>
  </si>
  <si>
    <t>in the cube system I use, Z is never an alpha or a beta, it is not in the system. Y is used ONLY as a beta. So, no words begin with Y. (I use Y to indicate the parity scenario, and the need to do the parity algorithm, so it can never appear except as after an odd string of letters, thus it is never an alpha)</t>
  </si>
  <si>
    <t xml:space="preserve">These rules might seem long. But they will seem natural and straightforward, their reasons will be obvious, once you've gotten past the first hundred or so sentences. </t>
  </si>
  <si>
    <t>Each word features two letters prominently, Most are obvious, once you see a few examples.  For those counting however, there ARE an exact set of rules for HOW the letters must be used, in order to achieve this natural clarity</t>
  </si>
  <si>
    <t>The words in these 576 sentences follow a predictable set of rules, to make decoding easier</t>
  </si>
  <si>
    <t>For simplicity, the first letter in the pair is called alpha, the second is beta</t>
  </si>
  <si>
    <t>The rule for alphas is simple. All words begin with the alpha. So, for instance, the soft G sound of George never means an alpha of J in my system (and in fact, to be doubly safe, I only use hard G's in words with a G as alpha or beta)</t>
  </si>
  <si>
    <t>For alpha X, ALL words start with Z (since it's difficult to find words that start with X, and since Z is unused,  that is, it is not part of the system as an alpha or beta)</t>
  </si>
  <si>
    <t>Words are monosyllabic or multi-syllabic (2 or more syllables)</t>
  </si>
  <si>
    <t>For a consonant beta: It should appear as the beginning of the second syllable, or at the end of a.monosyllanic word. So for beta D:  Lard, model</t>
  </si>
  <si>
    <t>for words like fabric, the b is the beginning if the second syllable, so FB. (There are several r-words like this) There are a few L problems like this too: Oklahoma is OK, pueblo is PB</t>
  </si>
  <si>
    <t xml:space="preserve">q and x are betas have no rules. They are too rare and difficult. Their rule is: If there is a q or x in any word, that q or x IS the beta. </t>
  </si>
  <si>
    <t>y is similar to q and x: Its presence indicates that is IS the beta-  unless it's at the end of a word, like Sally or , in which case it is NOT the beta. Ex. ebony</t>
  </si>
  <si>
    <t>y follows unique rules as a beta. Words like Sally are NOT a beta Y word (Sally would be SL. Without this rule, too many good names ending in Y would be confusing and therefore unusable). But Bly and Fey, being monosyllabic, ARE Y words.</t>
  </si>
  <si>
    <t>March update on y: y beta should never appear at the end of a multi-syllabic word (current exceptions: inlays and qwertys). It is okay in Fey and buys because those are one-syllable. I should not use y for other words, except as NOT prescribed here, but I need to go through and do an audit on that.</t>
  </si>
  <si>
    <t xml:space="preserve">except for with q and x, all consonants should follow strict rules. A consonant that ends a non-final syllable should not be used. Bad: Aslan for AS,  bend for BN. (Well, brenda breaks a different rule, which I ALSO need to articulate. </t>
  </si>
  <si>
    <t>a consonant that ends a multi-syllable word (more than one syllable) is deeply frowned upon</t>
  </si>
  <si>
    <t>ch pronounced k can be "c" (not "h") (Achilles,  echo, ichors) (for now) Same with T in Goethe</t>
  </si>
  <si>
    <r>
      <t xml:space="preserve">beta h ALWAYS appears in combination of sh, th, </t>
    </r>
    <r>
      <rPr>
        <b/>
        <strike/>
        <sz val="10"/>
        <color theme="1"/>
        <rFont val="Arial"/>
      </rPr>
      <t>or sch.</t>
    </r>
  </si>
  <si>
    <r>
      <t xml:space="preserve"> -- therefore,  sh, th </t>
    </r>
    <r>
      <rPr>
        <b/>
        <strike/>
        <sz val="10"/>
        <color theme="1"/>
        <rFont val="Arial"/>
      </rPr>
      <t xml:space="preserve">and sch </t>
    </r>
    <r>
      <rPr>
        <b/>
        <sz val="10"/>
        <color theme="1"/>
        <rFont val="Arial"/>
      </rPr>
      <t xml:space="preserve">are avoided in all other words, for clarity </t>
    </r>
  </si>
  <si>
    <t>New rule: CH is never used for beta H. CH is reserved for X</t>
  </si>
  <si>
    <t>ck always indicates an alpha of k</t>
  </si>
  <si>
    <r>
      <t xml:space="preserve">words that break these rules(there are currently 7, excluding q's and x's) appear in bold, like IC  </t>
    </r>
    <r>
      <rPr>
        <b/>
        <u/>
        <sz val="10"/>
        <color theme="1"/>
        <rFont val="Arial"/>
      </rPr>
      <t>ichthyoid</t>
    </r>
    <r>
      <rPr>
        <b/>
        <sz val="10"/>
        <color theme="1"/>
        <rFont val="Arial"/>
      </rPr>
      <t xml:space="preserve">.  Some words are just too good to give up! But I list them in bold as a special note so I can remember them. </t>
    </r>
  </si>
  <si>
    <t>possible rule: nd always means n [current exceptions: Quando, Zander zendos ]</t>
  </si>
  <si>
    <t>The s at the end of a verb is not considered when applying the rules and neither is a silent E.  So "moves" "ends" with V, and Robe ends with B, hits ends with T</t>
  </si>
  <si>
    <t>Rule: a "y" at the end of a word doesn't mean "y" except in one-syllable words. So, Sally=SL, Fey=FY  . But inlay is Y. it's just those throw-away y's after a consonant that don't count as Y</t>
  </si>
  <si>
    <t>Consonants that end syllables are NOT the 2nd letter, unless the word has only one syllable, and thus the letter is at the end of the word. So, walrus=WR, fret=FT. One result is that r and l just about always have to be followed by a vowel, eg. buries</t>
  </si>
  <si>
    <t>x and q don't follow the rules, but they have their own rule: WHENEVER they appear in a word, they ARE the second letter</t>
  </si>
  <si>
    <t xml:space="preserve">Vowel betas are a nuisance. There are usually two of them in the word, and they usually figure prominently. But there are no hard and fast rules, nor is there a way to look at a word and definitely say whether the beta is a vowel or a consonant.  However, I have made every effort to give clarity. So fungus, with it's two U's, is FU.  A double vowel, like door, almost always indicates a vowel beta. </t>
  </si>
  <si>
    <t xml:space="preserve">like the advice Lin Manuel-Miranda got: yes, you start with source material. But then your own system grows and becomes the thing with it's own logic which must be completed  </t>
  </si>
  <si>
    <t>the I's have a lot if n's. Need to expect it</t>
  </si>
  <si>
    <t>common patterns: Zimmerman zimmers a zimmer (person DRIVES with the object, or person DRIVES through a location);  Winona wines a wiener (person pours liquid on something)</t>
  </si>
  <si>
    <t>killjoy and kiwi are two words in which we see the direct conflict between the uncommon and the too-common letters)</t>
  </si>
  <si>
    <t>each initial name should have a strong geographical context</t>
  </si>
  <si>
    <r>
      <t xml:space="preserve">ideally, the object (3rd word) is not any type of person, but rather a </t>
    </r>
    <r>
      <rPr>
        <i/>
        <sz val="10"/>
        <color theme="1"/>
        <rFont val="Arial"/>
      </rPr>
      <t xml:space="preserve">thing. </t>
    </r>
    <r>
      <rPr>
        <sz val="10"/>
        <color theme="1"/>
        <rFont val="Arial"/>
      </rPr>
      <t>Having it be a person is confounding.</t>
    </r>
  </si>
  <si>
    <t xml:space="preserve">The sentence meaning just needs to be plausible. The words should be strong (memorable, meaningful, striking, succinct, flexible), and usable across the system. </t>
  </si>
  <si>
    <t>Tip for beta vowels: Surround them with soft consonants such as r,l,m,n. Avoid b, d, etc.</t>
  </si>
  <si>
    <t xml:space="preserve">Tunisia/Star Wars: 5 of the first 6 Star Wars movies made half scenes filmed in Tunisa, which is next to Libya on the north coast of Africa. In particular, the Dune Sea sequence when R2-D2 and C-3PO's escape pod lands on Tatooine, and the canyon where Luke Skywalker meets Ben Kenobi. So I may choose Tunisa as the generic location for all Star Wars characters. </t>
  </si>
  <si>
    <t>hits vs. hunts.  Is it better to have a quick obvious multi-purpose word or a more specific word?</t>
  </si>
  <si>
    <t>I should go back through and come up with very specific meanings for any and all general purpose verbs. like cloche for cover</t>
  </si>
  <si>
    <t>Example of strong, specific verb: licks, instead of likes</t>
  </si>
  <si>
    <t xml:space="preserve">Hot letters, an informal, ordered list: x,q,y,u,v,w,  j,k,b,p,g,h </t>
  </si>
  <si>
    <t>Too common not to double, an informal, unordered list. Typically requires doubling: e,s,r,t,a,i, o, u,</t>
  </si>
  <si>
    <t>neutral letters: f,l,m,n, c,d</t>
  </si>
  <si>
    <t>Guidline: don't use persistent 3-letter combinations (uncle uncloaks an uncle). You can't tell if it's UC or UL</t>
  </si>
  <si>
    <r>
      <t xml:space="preserve">Having the three words </t>
    </r>
    <r>
      <rPr>
        <i/>
        <sz val="10"/>
        <color theme="1"/>
        <rFont val="Arial"/>
      </rPr>
      <t>sound</t>
    </r>
    <r>
      <rPr>
        <sz val="10"/>
        <color theme="1"/>
        <rFont val="Arial"/>
      </rPr>
      <t xml:space="preserve"> the same is good, eg. "Ulani ulus an ulua"</t>
    </r>
  </si>
  <si>
    <t>The ideal verb: short. Packed with meaning and history. Specific. ex. "bullies", "hides"</t>
  </si>
  <si>
    <t>it's good to have a strong geographical association with the person. in fact, it would be good to have a column dedicated to that, stating the location, as a reminder</t>
  </si>
  <si>
    <t>My favorite Word Detector word:  "euphoniousnesses"</t>
  </si>
  <si>
    <t>Are "transportation" verbs, such as "tows", problematic because they remove a person from his/her tableau?</t>
  </si>
  <si>
    <t>are animals, such as Flipper, problematic as persons?</t>
  </si>
  <si>
    <t>Are bands and groups, such as Kiss, problematic as persons? (Keep a frontman in mind)</t>
  </si>
  <si>
    <t>are people, such as jazzman, problematic as objects?</t>
  </si>
  <si>
    <r>
      <rPr>
        <b/>
        <sz val="10"/>
        <color theme="1"/>
        <rFont val="Arial"/>
      </rPr>
      <t>THE HISTORY:</t>
    </r>
    <r>
      <rPr>
        <b/>
        <sz val="10"/>
        <color theme="1"/>
        <rFont val="Arial"/>
      </rPr>
      <t xml:space="preserve"> I started researching memory systems during the year I taught at Taylor Elementary. That was three years ago, and toward the end game of creating my own own blindfolded system.  I came across the concept of 52 person-verb-object sentences, used just as I now use them, to memorize the order of cards in a deck. That system does not specify letters, and has a natural advantage of having two cross-categories to place people into. For instance, all jacks could be athletes (Martina Navratilova hits a tennis ball)  Michael Jordan shoots a basketball), and all diamonds could be fictional women.  Later when I learned Old Pochmann,(sp), I thought about what many people have thought about- grouping letters into pairs and having a word for each. It seems daunting but do-able.  I eventually read Chris's list of about 600 words, and starting creating my own list based off of his, but tailored to my own interests. My first rule was to use the letters strictly, not just their sounds, so "dodge" for Dj was not acceptable. Then I got a hiar-brained idea to combine the deck-of-cards idea with this word idea. I considered 4- and 5- and 6- word sentences (You can add a couple adjectives, a second person for an object...) but was surprised to figure out that this just muddied the waters and even one word past 3 made the sentences significantly less powerful and memorable. So I began. My first sentences were horrible! I used vague conceptual objects like "peace", and I accepted letters in any spot in a word, as long as they "seemed prominent". I would guess that out of my first 100 sentences, 5 at most remain intact. With such a big job, I didn't know where to start, and so I created a long column of letter pairs and started dotting the empty space with sentences randomly, as they came to me. I didn't have any idea which would be hardest to find: names, verb, or object (verb is hardest, names are everywhere but it depends how obscure you're willing to go). I sat down and made a list of all the musicians and composers I knew, and of all the fictional heroes I knew. This turned out to be a misguided effort, leaving me.saddled with odd names that I had to edit out later. (I came to realize that prommnce of letters trumped famousness. Where that exact balance lay I had to discover over a period of months.  Also, as soon as I got 50-100 sentences, I was able to start my habit of checking each perspective word with existing other words and start making the creative sentences. In this way, also, I slowly learned with verbs were.strongest: the transformative, specific verbs(? ) ). It may have been around the 50 th sentence that I stopped dotting randomly and would instead .pick a letter and go through all 25 sentences there. My pattern of first letters remained random. If I felt food that week, I would takes on words beginning with X. if I needed a break, I would tackle R.   Between the 100th and 400th sentence, I refined my process greatly.  Around sentence 400 , I stopped and really codified my letter placement. That's when I decided that a 2-letter syllable could not end with the beta letter, that beta consonants had to either end a one syllable word or begin the second syllable of a.multi-syllable word. The fact that I could successfully find words that matched this pattern was a slow-dawning revelation. This is a great example of how increased structure can make us more free .  So, at sentence 400, I paused to go back.  I revised many, many sentences at that point,  at least 100 I would say, to make them conform to the new rules. Then i pushed forward again. (This was the first of about 6 "Great Revisions". (Yes, i am the hero of my own story!). Around the 8th month, i saw that my 50th birthday was approaching, and i became.determined to get a complete draft of all 576 sentences done by that time. (i think I'm remembering this correctly! i can go back through some notes). I succeeded in doing this,  and boasted proudly to my family and anyone else who would listen. (Did i post on facebook?)   Then began the revisions. i sent the list to Max and spent an evening with his housemates talking about the list. i realized to my own sock that 10-20 sentences had words that did not conform to my own rules. Fixing.this was the second great revision. Also at this time I discovered that I could put the sentences into a 2-dimensional grid, which somehow had never occurred to me. I made the grid, gave it colors and started learning/associating the people BY ROW , that is by beta, rather than just by alpha column. Just after completing the 576. I had starting singing the names using the alphabet song. The first time I sang. ROW this way, I had great trepidation. Was this naughty? Could this be done? Would it mess me up? It took a great mental leap to go from one-dimensinal thinking to 2-dimensional. Also around this time I had a revelation which profoundly affected nyabilities as a software developer. I was reading Reno Rubik's wonderful book about being creative, etc. and he talked about systems thinkers. I look at my grid and saw that, right in front of me was this wealth of information. .I could see the first two words of each of 576 sentences all on one screen, and since I had been the one to gruellingly . create all the hidden content, I could plainly see how a few words could be a stand-in for a whole world of information. I compared it to a single light switch (specifically, the one at the top of my basement stairs!), which has a physical existence in a small area, thatyou touch, and all this light comes on and suddenly you can do things in a previously dark world, this one spot opens up a world. it's like a.pressure point,. it dawned on me that computer programming(and many facets of life) work on this principle, that a single name or key stands in for an wealth of information or data (another example: a 5-foot tall person, with a name like Peter, represents a wealth of personal history, talent, microbiological.activity, etc.).    This led me on to understanding the left-rightname-variable.steucture of coding languages and was an epiphany , a breakthrough, that in a very real way made me understand coding and caused me to be more productive and "get" the code I had been trying to comprehend. ANYWAY:  The third great revision was just going through and replacing a lot of crappy sentences with better ones. The fourth involved vowels. I was frustrated with words like IRA and Uma, ,because I couldn't tell if the second letter was the consonant or the vowel. after much deliberation, I made the executive decision that ALL words that had two vowels would BEFIN with both vowels. This led to about 5 pretty bad sentences ("iusticia iubes a iurek") but freed up my mind immensely, and led to fewer mistakes. I should mention that once I got rolling with the sentences, I pretty much put down the cube for 8 months. I did not cross reference my word system with actual cubing.  That seemed dubious, bu but now I think that was okay, limited cross-over was enough. In the 4th (?) great revision, I got rid of all locations asobjects. No more Hawaii, no more Riviera, and also no more restaurants or other building-locations. This was a hard pill tswallow, as I had to archive (I save everything). many favorites. But I had a growing understanding of the "Clue" concept, the idea of a person intimately hooked to a certain location, a tableau, and that didn't work if my characters were being drawn out to other locations for the object. anyway, removing locations meant replacing about 35 sentences, and mostly they were pretty bad sentences because they were the earlier ones where I was more dependent on locations. (it turns outhe object is the easiest to find of the three words). There a lot of big questions when developing a system like this. what are the balance points? At first, I tried to make every sentence epic, a summation of that person's life. later unrealized that it was just as memorable to me to sum up just ne teue aspect if their life, and that I could let the letters speak, could let the sounds of the letters guide my memory. This balance had to be discovered with months of trial and error, by ponderously weighing sentences in my mind one by one, sometimes overnight or for longer periods. .The last great recision is the one I am currently in. I hope it is truly the ladt . I have a growing feeling that my time is up, that I cannot continue the obsession with the vube that has been at a fever pitch for these last 4 years. I am also hopeful that I learn from some mistakes I have learned in making late changes to my piano arrangements, that is, there comes a point when you need to stop making changes. The giddy part where you practice obsessively cannot last forever. if you make alterations after the time in which you practfrequently, the new material will always be muddled in you mind. So, my goal is to finish this current revorevision, and BE DONE.  Any future changes I make can be for the benefit of others who may use my system, but I need to lock THIS version into my memory. So, what is this final rvecision? I went through and made an audit of all 575 sentences. I marked the crapoy ones, with not too much thought to whether they were fixable. I marked 85 sentences. And now I am going through and fixing or replacing each one (or in some cases leaving it be). I am currently on the i's [2/26/2021]</t>
    </r>
  </si>
  <si>
    <r>
      <rPr>
        <sz val="10"/>
        <color theme="1"/>
        <rFont val="Arial"/>
      </rPr>
      <t xml:space="preserve">The story of </t>
    </r>
    <r>
      <rPr>
        <b/>
        <sz val="10"/>
        <color theme="1"/>
        <rFont val="Arial"/>
      </rPr>
      <t>urfabutter</t>
    </r>
    <r>
      <rPr>
        <sz val="10"/>
        <color theme="1"/>
        <rFont val="Arial"/>
      </rPr>
      <t xml:space="preserve"> will be sung far and wide for generations, but until then, I will sing it myself:  UF is, unsurprisingly, a hard letter-pairing to find words for. Turns out it's REALLY hard. Word Detector gives almost nothing for words that begin with uf___ (uf*). The next alternative is to try u?f*, which yields many words like "unfurl", "unflag" and "upfront". So now you have 100 really bad verbs, and still no objects. And of course, no one's name begins with Uf.  So, you're in a pickle, and it's in some ways the reverse of the normal 576 sentences pickle. Normally, verbs are the most scarce resource, followed by objects, followed by plentiful (if sometimes obscure) names. In this case, there were plenty of verbs, mostly bad, no objects at all, and a few weird names.  so I started doing random google searches like "umf" and "ulf", and on "urf" I got a hit!  The city of Urfa, in Turkey.  I began reading about Urfa, and three days later I was able to break the spell and put my phone down. Wow!  Such a rich history! Over the last 2000 years the city has been controlled by every middle eastern civilizations you have ever heard of.  So i figured i'd try out Urfa ITSELF as the person.  And amongst all the bad verb choices I selected "unfurls", because anything can be unveiled, right? But what will Urfa unveil? I went back to Urfa in the next few days, and eventually found a reference to a local product called "urfabutter", which had made the bigtime.  Googling urfabutter yields a lot fewer hits than you might think, but if you really search you can find that it IS a thing!  It's a type of butter used in various dishes here and there in the world. So now I had "Urfa unfurls urfabutter".  And that's where the sentence rested for several months. Meanwhile, I finished all 576 sentences, went through the first revision, the second revision, the third. Now there was more consistency, better use of vowels, etc. Then came the 5th (?) revision, which i'm currently in the middle of. I did an audit of every sentence and marked the 86 lousiest ones, including "Urfa unfurls urfabutter". I made a point of flagging all the bad ones, regardless of what I thought the prospects were for improvement.  I began my revisions, and after a couple weeks came to UF!  My most pressing need to was to find an actual person. I considered finding a famous person as sort of a frontman for the city of Urfa, but instead, when googling Uf... i stumbled upon "Uffie" the singer! At first I thought, "Okay, here's ANOTHER local musician with a local following just big enough to merit a wikipedia page with almost no information. But I was wrong!  She's very personable, very busy, and gives a lot of interesting interiews. She's also a really nice person, despite what you might think from her song lyrics and stage persona. (Okay, we can face this, right? I have a little bit of a crush on Uffie now). She has that upside-down French smile you see on French actresses. Anyway, there was plenty of background information available on Uffie, in terms of reading material AND live interviews, so I was able to get a good sense of this person. She discovered performing accidentally, through her boyfriend being a DJ and drawing her into it, and then she took off thanks to a great voice, a dynamic stage presence, and a strong desire to be in this underground music movement. So, now I had a person!  A couple days later I returned to UF, having finished off UJ and a few others. I still didn't know why Uffie would unfurl Urfabutter. As far as I could tell, she had never toured anywhere in the middle east, only in Europe. And then I found some more interviews, and learned more of her stories. So far, I had only researched Uffie from 2005 to 2010.  It turns out her second album was less of a smash hit than the first, and after two more years of touring with it, and having a child, she completely burned out. She spent some time voluntarily in a mental health environment of some sort, tried to get back into touring, and saw that the heavy pace just returned. She ended up moving to Joshua Tree in California with her two small children, and for two years talked to almost no one but her family!  Now she has moved to Seattle, and is considering getting back into music as a 30-something person.  She is considering embracing pop, which is a huge departure for her. (This information is a couple years old still. Don't know how that is going for her, but I wish her well). So, how does Uffie relate to urfabutter (which, by the way, is clarified butter from goats)? I was looking for alternatives to "unfurl" and I saw "unfreeze" on the list. It's troublesome because it has two E's, but I decided it was worth the risk. I tried out "unfreeze" with existing sentences, and it was a very visual, strong word!!  So I decided that Uffie got back to being a domestic-minded person while in Joshua Tree,  took the urfabutter out of the freezer, and started cooking and finding herself. BOOM!</t>
    </r>
  </si>
  <si>
    <r>
      <rPr>
        <sz val="10"/>
        <color theme="1"/>
        <rFont val="Arial"/>
      </rPr>
      <t xml:space="preserve">If the story of urfabutter is a song, </t>
    </r>
    <r>
      <rPr>
        <b/>
        <sz val="10"/>
        <color theme="1"/>
        <rFont val="Arial"/>
      </rPr>
      <t>the story of Q</t>
    </r>
    <r>
      <rPr>
        <sz val="10"/>
        <color theme="1"/>
        <rFont val="Arial"/>
      </rPr>
      <t xml:space="preserve"> is an epic poem.  How to navigate this difficult letter, with so few word choices?  A couple of the early sentences that went the distance were "Quiche quashes quiche" and "Quaver quivers a quaver" for QH and QV. "Quiche" was one I held onto reluctantly during a time period when almost all instances of Q as the "K-" sound bit the dust and were replaced.  I also came up with "Quill quells a quoll" without too much difficult. Very LL-y !  One of the hangers-on, that I finally got rid of thankfully, was "Q-Bert quarterbakcs Q-burg". This was a good visual, but I had always been uncomfortable with using letters as initials or pseudo-initials, because though they seem great when you study them, they are very difficult to come up with cold, when you're considering a sea of other sentences that don't behave this way, and thankfully I finally had the courage to archive this non-standard sentence.  The biggest story was the epic fight between QI, QN, QM QT and others for the few choice words like "quit", "quinine", and "quilt". The usual way to settle these fights is to abandon the word entirely and find entirely new words that won't be confounding, but I didn't have that luxury. Well, I did do this very thing with "quarry" actually. For months, QR's Quarrymen fought to keep their quarry from Quigley who wanted the Y. It was a beautiful day when I found "Dan Quayle", whose usage of Y is more standard, and an even more beautiful day when I thought to check out whether there was any fictional character named "Quarrel". (There is, though he is a stereotyped Jamaican from a James Bond movie, and Ousmane Sembene was NOT pleased). I had to settle for "Qi quilts a quilt". It's not great, and QT wanted "quilt" too, but "quilt", barring finding any words with a Q and two I's, is good characteristic Qi word because the L softens the T and makes the word less T-ey. So "Qi" went off into his corner and, though he was bothered a few times, he did not have his words taken away. (I don't even want to talk about all the scenarios I put the band "Queen" in, but suffice to say there were some pretty amazing synchronicities with Quebec that I didn't end up using).  QP was a bear. I came up some good Native American tribes and their words, and was going to make a respectful sentence. There is a group in Alabama (?) that calls themselves the "quidfd??", the split apart ones, because when their ancester group farther north was displaced, it split into several groups, and the Alabama group is just one. And then for a long time I had "Quispe ???? a quipo", based on a native queen in the time of the Spanish conquistadors, and the counting technology of the people of South America, and the dress of Chinese/japanese immigrants who are common in Peru. But after a few month, I went with Chandler from "Friends" instead. I had thought there should be a ficion character named "The Quipper", but I never found one. But Chandler Bing is nothing if not "The Quipper".  Largely the QP problem was an effort to use the characteristic "cue" sound of Q rather than "K-" like in Spanish and French.  Quarpel is a pretty debatable choice, but hopefully it will work out.  It's basically a bucket of goo, in my system. "Qwerty's" has always been a thorn in my side, but what are you going to do for QY? It's almost impossible to find a verb.  Finding the soccer player "Quixall" was a very good day, and learning that he was a carpenter on the side, AND had a sheet metal business, was pretty amazing since it fit with my pre-existing quoxwood, and with the quixx I found on the same day as Quixall, by just googling quax... quex, quix...   Quadsworth was a guy I'd found early on, then rejected and failed to archive.  I had a fictioal doctor named "Quickwell" for the longest time. Then I revisited this sentence, and found Quadsworth again. What a relief! I believe I rejected him the first time because of confusion with QD, but after I changed my rules about consonants, there was no longer any confusion. Dennis Quaid-- yeah, that was a good day. The last change I made involved "Quinn quinines a quinnat". "Quinnat" is one of those words you find in lists that seems like some ridiculour technical word no one ever really uses, so I failed to google it for month. Finally one day I looked it up in desparation. It's the New Zealand word for King Salmon!  Millions of people use the word regularly. So that makes it easy to remember. And somehow, in all my previous research on quinine, I had failed to find that it is CURRENTLY used in tonic water, people drink the stuff. So now instead of an obscure anti-malarial drug in a test tube, it could be contained in a household object like a bottle of water. I mean, "Quinn quinines a quiinnat" is still basically a lousy sentence, but come on people!! Progress, am I right?</t>
    </r>
  </si>
  <si>
    <t xml:space="preserve">New personal heroes I have found: Violet Woodhouse(?), Doss, Amir Nachumi, Gus, Bix, Basquette, </t>
  </si>
  <si>
    <t>Need to explain rules for q alpha. ignore the u, except queue. any other exceptions?</t>
  </si>
  <si>
    <t>I have to learn how to talk about this system. Develop 8 sound bites</t>
  </si>
  <si>
    <t>Need to emphasize, and explain, that each of the 2000 words is UNIQUELY recordable to a letter-pair.</t>
  </si>
  <si>
    <t>676 * 3 = 2028</t>
  </si>
  <si>
    <t>1 ÷ 26  ~=  4%  (percentage of doubles, such as BB, in the system)</t>
  </si>
  <si>
    <t>Can say "2-letter code" in place of letter-pair. Helpful in some instances.</t>
  </si>
  <si>
    <t>"In system, a consonant must state its sound firmly and convincingly. Thus, no soft g's, and  suffixes like -tion don't count for "t" "</t>
  </si>
  <si>
    <t>Say near top: The remarkable thing about this system is that each of its 2028 words can only be decoded to a single, unique letter-pair. Going from EB to "embraces" seems reasonable enough, but this system, with a few intuitive rules, allows you to go the OTHER direction: "Embraces" can ONLY be decoded to EB, not to EM, EC or any other letter pair. (Can go on further to say that some words, like "kleenex", cannot be used in this system because the decoding rules would be contradictory (it decodes to both KE and KX), but the vast majority of words in the English language can be uniquely decoded to a 2-letter pair. Which doesn't help you to learn the system, but DOES speak to the robustness of the system).</t>
  </si>
  <si>
    <t>So I guess with vowel bette (that have consonant alphas), I don't need to promise that the beta is the second letter. I could just give it as a freebie "in almost all cases. And (if it's  true) I could say that it's always the second phoneme, since I'm only doing it in words like ghee, whoopsies, Ghosh</t>
  </si>
  <si>
    <t>Should explain: You may start to agree that, once you've invested the sufficient time to learn these sentences, it is more important that the individual words be good words than that the sentence have a perfect meaning. That is why some of the sentences are less cohesive than they could be. it's a balance, and I have learned toward individual word meaning. There is a learning curve anyway, so it turns out not to be too hard to learn these strange sentence-meanings since you have to spend a lot of time on the system anyway.</t>
  </si>
  <si>
    <r>
      <t xml:space="preserve">The 2 reasons I have a safe vowel system: (1) There are no doubles (AA, BB), (2) I use doubles and safe-blends (ph, ng) so that we can have a </t>
    </r>
    <r>
      <rPr>
        <b/>
        <sz val="10"/>
        <color theme="1"/>
        <rFont val="Arial"/>
      </rPr>
      <t>consonant bias</t>
    </r>
  </si>
  <si>
    <t>Now that I have a solid and safe vowel system,  I can think like this: I can have a bias toward consonants.  That is, I can look for consonant beta's FIRST, THWN fall back to a vowel. This is much more secure and restful than before. So, for instance, the word "Goat" is obviously GT.  I don't have to think or worry about it.  It is automatic.</t>
  </si>
  <si>
    <t xml:space="preserve"> Allowing an "r" or "l" before a vowel beta doesn't get you as much as you'd think. It gives you "glue" and just a few other words. And the words are slightly harder to remember since you can't rely on ANY vowel alphas being in second position anymore</t>
  </si>
  <si>
    <t xml:space="preserve">Basically, my vowel sentences took the hit for the more numerous consonant sentences. So now I can use "pajamas" with freedom and peace of mind. </t>
  </si>
  <si>
    <t>in my system, vowels shrink and hide. They are an afterthought, the last thing considered. it is their punishment for causing so much trouble. What is "kiosk"? It's KI. Why? Because we couldn't get ANY letter other than I to fit for beta!</t>
  </si>
  <si>
    <t xml:space="preserve">People love to disagree about syllables and where to break words with a hyphen. See this article to get started:   https://sesquiotic.com/tag/word-breaks/  Note that the word "breaking" is pronounced "brea - king" but hyphenated "break - ing" because editors want words to look visually like what we expect the word components to look like. (This is the subject of morphology). I hope you will agree with my method of dividing words based on the way they are spoken:   HG is Ha-grid, OK is o-kra,  EC is eclipse. This issue arises around the letters "l" and "r", which in these cases take a back seat to the consonants that appear before them. </t>
  </si>
  <si>
    <t xml:space="preserve"> </t>
  </si>
  <si>
    <t xml:space="preserve">What gets ignored (systematically): "s" and "-es" at end of verb. helper "e" at end of word (subject, verb, or object) that makes the vowel "long". </t>
  </si>
  <si>
    <t xml:space="preserve">My rules are common-sense (or at least readily understandable) and straightforward. </t>
  </si>
  <si>
    <t>rules: q always has a u after it before getting to the vowel. And "queue" is just its own animal, doesn't follow rules but is pretty obvious.</t>
  </si>
  <si>
    <t xml:space="preserve">Can explain how I try to avoid words like "halitosis" where the emphasis lands on the third syllable, and the second syllable is swallowed. But give examples of where I did not succeed in avoiding these </t>
  </si>
  <si>
    <t>So... "centuries" appears to be my ONLY usage of that technique...</t>
  </si>
  <si>
    <t xml:space="preserve"> There are 18 sentences that use y at the end of a multi-syllable word (Sukey...)</t>
  </si>
  <si>
    <t>vowel betas: Here are some consonant combos that I allow, and are useful to include, before a vowel beta:  Gh (ghee), Kh (Khan), Ll (llama), Rh (rhombus), Sc (scissors), Wh (whoopsies), Zs (Zsa-zsa), Zh? (Zhang)</t>
  </si>
  <si>
    <t>I should put an asterisk behind words that break rules (like Zsa-zsa, where Z doesn't say its name).</t>
  </si>
  <si>
    <t>3 times now, I have seen a cube where both edges and corners had just a single follow-the leader cycle. Combinations like this, if they have no pieces already in their final place, have 18 letters plus 2 Y's.  I'm going to start keeping track of how often this happens. Today, April 15, 2022, I saw the 3rd one.  QEUFNS OIRXPY TPHLQD CY</t>
  </si>
  <si>
    <t>Is it fair to say :"Except for with Z, which sometimes is pronounced zh, all consonants say their own name" ?</t>
  </si>
  <si>
    <t>The "Hand of God" award: Shared by ZY and HP</t>
  </si>
  <si>
    <t>Atlas-  Good example of a word that is AL, not AT</t>
  </si>
  <si>
    <t xml:space="preserve">They say that once one comedian has captured and caricatured the voice of a person, as Dana Carvey did Lorne Michael's, other comedians can also do the voice easily. These sentences work on the same principle.  One small characteristic of a person is captured,  and comes to meaningfully stand for that person's personality. </t>
  </si>
  <si>
    <t>Coming up with a system that uniquely decodes letters into 2-letter pairs is easy. You could decide to pick the first and last letter of each word (Greta decides to GA), or the first 2 letters (Greta decides to GR). But how MEMORABLE are these words? My systems is uniquely recordable AND the letters are prominent in the words (except for x, q, y)</t>
  </si>
  <si>
    <t>synopsis should be in this format: AUTHOR Kurt Vonnegut...</t>
  </si>
  <si>
    <t xml:space="preserve">ensure there are no periods (dot .) in mash-up-definition section </t>
  </si>
  <si>
    <t>The only two (recognizable) words with q,x, and y in them:  exquisitely, quixotically</t>
  </si>
  <si>
    <t xml:space="preserve">homogeneous (sentence):  alike, uniform, look-alike, matching, homogeneous, kindred, clone, family, sibling, start, </t>
  </si>
  <si>
    <t xml:space="preserve">heterogeneous (sentence):  hybrid, re-combined, remix, composite, grafted, mixed, mash-up, cross, amalgam, aggregate,  fused, conglomerate </t>
  </si>
  <si>
    <t>swap out the remaining two "TH" sentences: Luthien, Othello</t>
  </si>
  <si>
    <t>RU and VJ: Two good demo examples of grabbing a nugget of information and making a memorable tableau out of it. These are good sentences, though they look weird. All you have to do is have some.reason for the character to be doing this thing. Then you can remember it.</t>
  </si>
  <si>
    <t>"This system contains 676 starter sentences (each having three words). You would need to memorize all 676 of them to use the system.  When you mix and match the words in the 676 starter sentences, you can make 676 x 676 x 676 = 308,915,776 hybrid sentences (roughly one hybrid sentence for every person in the U.S.A.). Don't worry, you don't need to memorize them in advance, and you will only use a tiny fraction of the hybrid sentences in your lifetime, but these hybrid sentences are the bread and butter of the system."</t>
  </si>
  <si>
    <t>So, x, q, and y are ALWAYS THE beta-- except when the word BEGINS with x, q, or y, like quaqua, quinquina, and yo-yo. Since there's an even more important rule that there are no doubles, this shouldn't be a big deal.</t>
  </si>
  <si>
    <t>I have tried to avoid archaic words, words from foreign languages, and made-up words. A few slipped in, for letter-pairs like qi, yr, and ux. There are a handful of questionable made-up words, but in my humble opinion they all deserve to be real words, like "yores"</t>
  </si>
  <si>
    <t>Groups: knifes, shoots, explodes, kills, attacks, vaporizes</t>
  </si>
  <si>
    <t>The story just needs to be "Plausible" to be memorable.  Good example: OZ</t>
  </si>
  <si>
    <t>Explain: in this system, there is a memory ADVANTAGE to the three words being different. Puff puffs a puffin is bad because it relies on one word. Hagrid hugs a hog is good because the three words have three meanings and spellings, so if my mind lights on just ONE of them, I'll be cued for all three</t>
  </si>
  <si>
    <t>"The letter placement is fairly intuitive, but it's easier to understand if you're willing to learn a little lingo:  A letter pair consists of an "alpha" and a "beta" "</t>
  </si>
  <si>
    <t>Competitor for most visually memorable verb: warwolfs</t>
  </si>
  <si>
    <t>Can explain:  Some verbs are very specific, like "burlaps" (should use an example that ISN'T verbing a noun). Others are general,  but can be made specific by decision, like "endangers". Other are just hopelessly general, like "likes"</t>
  </si>
  <si>
    <t>can I say that, for vowel alphas, every person (not verb, object maybe) has the beta as the second or third letter, across the board?</t>
  </si>
  <si>
    <t>Fictional Locations modus operandi:  Star Wars: Tunisia, Star Trek: Greenland, Beleriand: Alaska, Middle Earth third age: The Yukon/Northwest Territories, fictional space characters: North Pole, all other fictional characters: the Bermuda Triangle (east of Florida, Florida is the triangle's western point)</t>
  </si>
  <si>
    <t>"Context Creation" -the term for manufacturing a specific, rich background for a word, especially a verb, in the system</t>
  </si>
  <si>
    <r>
      <t xml:space="preserve">Need a hybrid-concreteness_score field, or concept. concreteness, meaning, substance, licenses, impact, existential numbness, corporealness, IRL, context-richness, contexty, contextiness, richness, rich-context, embeddability, mole-value, </t>
    </r>
    <r>
      <rPr>
        <b/>
        <sz val="10"/>
        <color theme="1"/>
        <rFont val="Arial"/>
      </rPr>
      <t>portability</t>
    </r>
    <r>
      <rPr>
        <sz val="10"/>
        <color theme="1"/>
        <rFont val="Arial"/>
      </rPr>
      <t xml:space="preserve">, insertability, boldness, presence, gravitas, </t>
    </r>
    <r>
      <rPr>
        <b/>
        <sz val="10"/>
        <color theme="1"/>
        <rFont val="Arial"/>
      </rPr>
      <t>personality</t>
    </r>
    <r>
      <rPr>
        <sz val="10"/>
        <color theme="1"/>
        <rFont val="Arial"/>
      </rPr>
      <t xml:space="preserve">, </t>
    </r>
  </si>
  <si>
    <t>Babar barbecues a Barbell (ex.):  it doesn't matter that this is so R-heavy. (in fact, it makes it more consistent and memorable). The words, when hybridized, will be conceived of individually and the R-ness won't matter then</t>
  </si>
  <si>
    <t>"Words that are archaic (yarpha), foreign (iugo), compound (quidditch_stick), cutesie (jazzes), or made up (quacker [[giga?]]) have been avoided whenever possible."</t>
  </si>
  <si>
    <t>groups could be called "coordination_groups", or "focus_groups" since they help the many words come into focus. Or "like_words"</t>
  </si>
  <si>
    <t>MQ: Some objects are just too small. I replaced mosquito in MQ with mesquite, just because a mosquito is too hard to see, and thus conceive of</t>
  </si>
  <si>
    <t>"Coppola cops a cap" --&gt; to --&gt; "Coppola composts a cappuccino " is a perfect example of sacrificing a short, concise, memorable sentence for a sentence with words that have hybrid personality.</t>
  </si>
  <si>
    <t>Award for letter-pair with the most possible words MIGHT go to:  MT</t>
  </si>
  <si>
    <t xml:space="preserve">Some names for the competing properties of this system: (1) "Springboard" (or perhaps "inevitability") is a quality of a word. Does "rottweiler" SPRING from the letters RW? That is, do the letters RE immediately suggest "rottweiler"?  (2) starter_sentence_personality: Does the starter sentence have a compelling meaning?  (3) hybrid_word_personality: This is a quality of an individual word, not a sentence. Is the word portable and does it have meaning? ACTUALLY, portability could honestly be its own criteria. Some words are portable, but still dull and not descriptive/memorable. But let's not go there.  </t>
  </si>
  <si>
    <t>informal rule: No people, no body parts</t>
  </si>
  <si>
    <t>need to state here somewhere: Beta c is always a hard sound. Beta h is always sh</t>
  </si>
  <si>
    <t>Rules for objects(what you get for free, part 78): No body parts (feet, uvula), no people (umpires, sailors), nothing too big or too small (atoms, mosquitos, cargo ships, volcanoes), no places (restaurants, cities, countries)</t>
  </si>
  <si>
    <t xml:space="preserve"> The size of the ideal object: Big enough to be noticeable (shoebox or bigger), small enough to lift. Sizing is important for portability with different verbs.</t>
  </si>
  <si>
    <t>My system, and my choices of people especially, reflect my own background and history</t>
  </si>
  <si>
    <t>if you choose different people, (1) it is quite possible to take ANY 3 words and, through googling, come up with a plausible backstory. (2l I urge you you to be very strict with yourself about using the rules of the system. As soon as a couple of words enter into the system that don't follow the rules, the whole thing begins to unravel and you may find yourself start questioning yourself, especially on decoding, and becoming confused about which letter-pair, or word, is right</t>
  </si>
  <si>
    <t>Format for synopsis, B.B., C.V., etc.:  Vince Vaughn throws a volleyball at ("Vince Vaughn's") a valve</t>
  </si>
  <si>
    <t>Each verb should have a recognizable motion associated with it</t>
  </si>
  <si>
    <t>Tool: it is okay (I think) for different persons to share the same tool</t>
  </si>
  <si>
    <t>The tool serves as a link, or mental bridge, between the person and the verb</t>
  </si>
  <si>
    <t>"No creativity during sentence building " is one of my cardinal rules. The tool property breaks this rule.  But for some reason it's okay.</t>
  </si>
  <si>
    <t>"Hot dips in molten zinc...Hmmm, what group does THAT belong to?"</t>
  </si>
  <si>
    <t xml:space="preserve">Fey fykes a fryer. Example of a legit sentence where you really need to read the backstory to understand </t>
  </si>
  <si>
    <t>For Person groupings, decisions are subjective,  especially decisions on whether to group actors based in the actors themselves or the characters they play</t>
  </si>
  <si>
    <t>STATUS/PLANS:</t>
  </si>
  <si>
    <t>Fill in synopsis, backstory,  etc. for ~15 new vowel sentences</t>
  </si>
  <si>
    <t>Finish Y alphas</t>
  </si>
  <si>
    <t>Combine Y, X alphas into one google sheets list</t>
  </si>
  <si>
    <t>Make Public sentences for about 25 sentences</t>
  </si>
  <si>
    <t>Programmatically handle how to make the public list FROM the private list. Need column in private sheet that has a boolean, presumably</t>
  </si>
  <si>
    <t>Groupings: Fill them all out with a Python program, make decisions, consider a groupings-programmatic column AND a groupings-manual column, so can have a sentence in multiple groups</t>
  </si>
  <si>
    <t>Goupings for (1) names are mostly to help associate people and give the 676 people some.shape in my mind</t>
  </si>
  <si>
    <t>Whereas, groupings for (2) verbs and objects are a more urgent attempt at disentangling words that are too close in meaning and staying aware of them</t>
  </si>
  <si>
    <t xml:space="preserve">Ultimately, the group-name column (3 columns, actually) will be the single source of truth for groupings </t>
  </si>
  <si>
    <t>Tool ideas, keep all for records: Musicians: clothespin,  Animals_non_verbal: stop_sign,  long zip ties for handcuffing, law_enforcement.  bejeweled_needlenose_pliers(middle earth)    spiderman_wrist_web_shooter, Infinity_gauntlet, emery_board(baseball players), shoelaces(athletes)</t>
  </si>
  <si>
    <t>organize data by word? verb contains pic and grouping and ...</t>
  </si>
  <si>
    <t>organize people by state or country, that is, put a list of appropriate people under each state. May need to create a separate field just for state/country</t>
  </si>
  <si>
    <t>finish finding photos</t>
  </si>
  <si>
    <t>make sentences for doubles (AA, BB, ...)</t>
  </si>
  <si>
    <t>Location and group are two ways of categorizing,  that call for a join or a $lookup. Let's do it!</t>
  </si>
  <si>
    <t>My choice of groupings, for people, is personal and arbitrary. Aziz, for example is a comic, and not a businessman.</t>
  </si>
  <si>
    <t>location_state_or_country  can be called REGION,  and it doesn't have to be a state. Could be New England, or Northern California</t>
  </si>
  <si>
    <t>"Partition", as in "Where is the partition?", is a good name for the spot in the letter string between edges and corners</t>
  </si>
  <si>
    <t>Need to give NAMES to the groups.  Then everything gets easy</t>
  </si>
  <si>
    <t>Eexist 3 groupings: location, group, _______?</t>
  </si>
  <si>
    <t>Will need to take pains to explain the system and rationale around double letters, such as AA and BB. The letters are meant to be spoken AS LETTERS, not as words. The verb is not a stand-alone thing like other verbs but is an action characteristic of the person. And the reason for all this hoo-hah is to make vowel betad work better. There are 5 vowel beta for every double beta, so it makes sense for the doubles to take the hit. Vowels working well is important because (1) I want vowels to work well, and (2) it gives the (non-double portion of the) system complete 2-way-ness</t>
  </si>
  <si>
    <t>letter_pair</t>
  </si>
  <si>
    <t>starter_sentence</t>
  </si>
  <si>
    <t>verbX</t>
  </si>
  <si>
    <t>objectX</t>
  </si>
  <si>
    <t>hybrid_def</t>
  </si>
  <si>
    <t>vrb_hybrid_def</t>
  </si>
  <si>
    <t>obj_hybrid_def</t>
  </si>
  <si>
    <t>error</t>
  </si>
  <si>
    <t>AA</t>
  </si>
  <si>
    <t>AA AA's an AA</t>
  </si>
  <si>
    <t>AB</t>
  </si>
  <si>
    <t>Abednego armbands an abalone</t>
  </si>
  <si>
    <t>armbands=ties a band or ribbon around object as a means of identification and tracking</t>
  </si>
  <si>
    <t>AC</t>
  </si>
  <si>
    <t>Acorn accessorizes an accordian</t>
  </si>
  <si>
    <t>accessorizes=puts object into pointy red ruby slippers, even a small thing that falls in, or with a large object like a boat, the slippers, or an outsized large sculpture of them, go on top</t>
  </si>
  <si>
    <t>AD</t>
  </si>
  <si>
    <t>Adam addresses adidas</t>
  </si>
  <si>
    <t>AE</t>
  </si>
  <si>
    <t>Aesop aerosols aerogel</t>
  </si>
  <si>
    <t>aerosols=spray paints with an aerosol</t>
  </si>
  <si>
    <t>AF</t>
  </si>
  <si>
    <t>Alf afflicts an affidavit</t>
  </si>
  <si>
    <t>afflicts=touches and turns black, by some sort of killing magic; affidavit=piece of paper, legal document</t>
  </si>
  <si>
    <t>AG</t>
  </si>
  <si>
    <t>Agueda aga's agave</t>
  </si>
  <si>
    <t>aga's=fries OR bakes</t>
  </si>
  <si>
    <t>AH</t>
  </si>
  <si>
    <t>Asher ashes ash</t>
  </si>
  <si>
    <t>ashes=throws campfire ashes onto; ash=a bucket of woodstove or campfire ash</t>
  </si>
  <si>
    <t>AI</t>
  </si>
  <si>
    <t>Aida airtights an air</t>
  </si>
  <si>
    <t>air=aria, a piece of sheet music</t>
  </si>
  <si>
    <t>AJ</t>
  </si>
  <si>
    <t>Aja adjusts an adjustor</t>
  </si>
  <si>
    <t>adjusts=turns object 30 degrees so it's just right; adjustor=that bent, black lever with the circular dial at its end, used to turn on and adjust windshield wipers</t>
  </si>
  <si>
    <t>AK</t>
  </si>
  <si>
    <t>Ackermann akimbos an ark</t>
  </si>
  <si>
    <t>akimbo's=puts one hand on hip, and with the other gestures for the offending item to be taken away;  ark=the ark of the covenant, as pictured in "Raiders of the Lost Ark"</t>
  </si>
  <si>
    <t>AL</t>
  </si>
  <si>
    <t>Allison aluminums an alligator</t>
  </si>
  <si>
    <t>aluminums=wraps object in aluminum foil</t>
  </si>
  <si>
    <t>AM</t>
  </si>
  <si>
    <t>Amir amasses ammo</t>
  </si>
  <si>
    <t>AN</t>
  </si>
  <si>
    <t>Anastasia anneals an annual</t>
  </si>
  <si>
    <t>AO</t>
  </si>
  <si>
    <t>Aoki aortagrams an aorta</t>
  </si>
  <si>
    <t>AP</t>
  </si>
  <si>
    <t>April applauds an apple</t>
  </si>
  <si>
    <t>apple=old apple desktop computer; applauds=claps</t>
  </si>
  <si>
    <t>AQ</t>
  </si>
  <si>
    <t>Aquaman aqueducts an aquarium</t>
  </si>
  <si>
    <t>aqueducts=slides object down a water slide</t>
  </si>
  <si>
    <t>AR</t>
  </si>
  <si>
    <t>Ari arrests an arrow</t>
  </si>
  <si>
    <t>arrests=arrests or impounds, wraps with chains</t>
  </si>
  <si>
    <t>AS</t>
  </si>
  <si>
    <t>Asa assails assam</t>
  </si>
  <si>
    <t>assam=a tea bag</t>
  </si>
  <si>
    <t>AT</t>
  </si>
  <si>
    <t>Atilla attacks an altar</t>
  </si>
  <si>
    <t>attacks=throws spear at, pinning object to the wall behind</t>
  </si>
  <si>
    <t>AU</t>
  </si>
  <si>
    <t>Austin augers an Audi</t>
  </si>
  <si>
    <t>AV</t>
  </si>
  <si>
    <t>Avon aviates an anvil</t>
  </si>
  <si>
    <t>aviates=throws, far, through the air; anvil=a blacksmith's anvil</t>
  </si>
  <si>
    <t>AW</t>
  </si>
  <si>
    <t>Anwar awaits an award</t>
  </si>
  <si>
    <t>awaits=crouches, as with a dog sitting up on two legs awaiting a treat, while object sits nearby on table;  award=blue ribbon</t>
  </si>
  <si>
    <t>AX</t>
  </si>
  <si>
    <t>Axel axes an axle</t>
  </si>
  <si>
    <t>axle=car axle with a wheel at each end</t>
  </si>
  <si>
    <t>AY</t>
  </si>
  <si>
    <t>Aya aye-aye's argyle</t>
  </si>
  <si>
    <t>AZ</t>
  </si>
  <si>
    <t>Aziz adzes an azalea</t>
  </si>
  <si>
    <t>BA</t>
  </si>
  <si>
    <t>Babar barbecues a barbell</t>
  </si>
  <si>
    <t>BB</t>
  </si>
  <si>
    <t>BB BB's a BB</t>
  </si>
  <si>
    <t>BB's=drives object on a tour bus; BB=BB gun</t>
  </si>
  <si>
    <t>BC</t>
  </si>
  <si>
    <t>Bacon bacardi's bacon</t>
  </si>
  <si>
    <t>bacardis=pours clear bacardi onto</t>
  </si>
  <si>
    <t>BD</t>
  </si>
  <si>
    <t>Biden birdies a bed</t>
  </si>
  <si>
    <t>birdies=sends aloft by whacking with a golf club</t>
  </si>
  <si>
    <t>BE</t>
  </si>
  <si>
    <t>Bee beers beef</t>
  </si>
  <si>
    <t>beef= hamburger; beers=pours beer on</t>
  </si>
  <si>
    <t>BF</t>
  </si>
  <si>
    <t>Biff buffs a buffalo</t>
  </si>
  <si>
    <t>buffs=interacts with object in the buff</t>
  </si>
  <si>
    <t>BG</t>
  </si>
  <si>
    <t>Baggins bags a bug</t>
  </si>
  <si>
    <t xml:space="preserve">bags=buys, then puts into a plastic bag; bug=large tarantula </t>
  </si>
  <si>
    <t>BH</t>
  </si>
  <si>
    <t>Bush brushes a bombshell</t>
  </si>
  <si>
    <t>brushes=brushes with a floor-intended hand brush; Bombshell=a WWII bombshell, the kind with the four fins that look like bulbous torpedoes</t>
  </si>
  <si>
    <t>BI</t>
  </si>
  <si>
    <t>Bilbo bibs a bible</t>
  </si>
  <si>
    <t>bibs=puts a bib on object</t>
  </si>
  <si>
    <t>BJ</t>
  </si>
  <si>
    <t>Bojangles buckjumps a banjo</t>
  </si>
  <si>
    <t>buckjumps=tries to stay on object as it bucks like a bull at a rodeo</t>
  </si>
  <si>
    <t>BK</t>
  </si>
  <si>
    <t>Beck bakes a bike</t>
  </si>
  <si>
    <t>bakes=cooks or set on fire</t>
  </si>
  <si>
    <t>BL</t>
  </si>
  <si>
    <t>Bill burlaps a bullet</t>
  </si>
  <si>
    <t>BM</t>
  </si>
  <si>
    <t>Bam bams a bum</t>
  </si>
  <si>
    <t>bams=body checks and knocks over</t>
  </si>
  <si>
    <t>BN</t>
  </si>
  <si>
    <t>Ben burns a banner</t>
  </si>
  <si>
    <t>banner=a large banner, possibly folded or rolled up, with your favorite candidate's name</t>
  </si>
  <si>
    <t>BO</t>
  </si>
  <si>
    <t>Bo boots a bong</t>
  </si>
  <si>
    <t>boots=kicks</t>
  </si>
  <si>
    <t>BP</t>
  </si>
  <si>
    <t>Bopeep bops a biped</t>
  </si>
  <si>
    <t>biped=owl</t>
  </si>
  <si>
    <t>BQ</t>
  </si>
  <si>
    <t>Basquette bouquets a Basque</t>
  </si>
  <si>
    <t>bouquets=gives a bouquet to, or lays a bouquet in front of</t>
  </si>
  <si>
    <t>BR</t>
  </si>
  <si>
    <t>Burr buries a bear</t>
  </si>
  <si>
    <t>BS</t>
  </si>
  <si>
    <t>Bessie blesses a bass</t>
  </si>
  <si>
    <t>blesses=dips fingers in holy water, makes the sign of the cross, touches object;  bass=an upright bass (double bass)</t>
  </si>
  <si>
    <t>BT</t>
  </si>
  <si>
    <t>Bette bats a boat</t>
  </si>
  <si>
    <t>BU</t>
  </si>
  <si>
    <t>Bubba bubblebaths a bumbershoot</t>
  </si>
  <si>
    <t>bubblebaths=puts object in a bubblebath; bumbershoot=umbrella</t>
  </si>
  <si>
    <t>BV</t>
  </si>
  <si>
    <t>Bev bravos a beaver</t>
  </si>
  <si>
    <t>bravos=gives a standing ovation to</t>
  </si>
  <si>
    <t>BW</t>
  </si>
  <si>
    <t>Bowie bewitches a bow</t>
  </si>
  <si>
    <t>bewitches=causes to come to life and move on its own, can imagine stars floating around object</t>
  </si>
  <si>
    <t>BX</t>
  </si>
  <si>
    <t>Bix boxes borax</t>
  </si>
  <si>
    <t>boxes=puts into a large cardboard box;  borax=a big bottle of laundry detergent; boxes=fights or hits object with boxing gloves</t>
  </si>
  <si>
    <t>BY</t>
  </si>
  <si>
    <t>Bly buys a bay</t>
  </si>
  <si>
    <t>BZ</t>
  </si>
  <si>
    <t>Buzz bazookas a buzzard</t>
  </si>
  <si>
    <t>bazookas=blows a big hole in, with a bazooka</t>
  </si>
  <si>
    <t>CA</t>
  </si>
  <si>
    <t>Cancun cascades a carcass</t>
  </si>
  <si>
    <t>cascades=juggles object, or at least hoists once if heavy; carcass=turkey carcass</t>
  </si>
  <si>
    <t>CB</t>
  </si>
  <si>
    <t>Cobb cables a carbine</t>
  </si>
  <si>
    <t>cables=wraps a steel-weave cable around object, then tows it</t>
  </si>
  <si>
    <t>CC</t>
  </si>
  <si>
    <t>CC CC's a CC</t>
  </si>
  <si>
    <t>CC's=sells from behind the counter of a mom &amp; pop store; CC=a sheet of carbon paper</t>
  </si>
  <si>
    <t>CD</t>
  </si>
  <si>
    <t>Codie caddies a cod</t>
  </si>
  <si>
    <t>caddies=carries in a golf bag</t>
  </si>
  <si>
    <t>CE</t>
  </si>
  <si>
    <t>Cecil cecums a cephalopod</t>
  </si>
  <si>
    <t>cecums=eats and digests object;  cephalopod=octopus</t>
  </si>
  <si>
    <t>CF</t>
  </si>
  <si>
    <t>Coffin cuffs coffee</t>
  </si>
  <si>
    <t>coffee=coffeepot; cuffs=handcuffs himself/herself to, in an effort to save</t>
  </si>
  <si>
    <t>CG</t>
  </si>
  <si>
    <t>Cougar cargo's a corgi</t>
  </si>
  <si>
    <t>cargo's=packs into a crate, then onto a truck</t>
  </si>
  <si>
    <t>CH</t>
  </si>
  <si>
    <t>Cash cushions a cashew</t>
  </si>
  <si>
    <t>CI</t>
  </si>
  <si>
    <t>Cicero circles a cicada</t>
  </si>
  <si>
    <t>circles=draws a chalk line around, as if it's some sort of crime scene</t>
  </si>
  <si>
    <t>CJ</t>
  </si>
  <si>
    <t>Cujo conjures a crossjack</t>
  </si>
  <si>
    <t>conjures=makes appear from thin air</t>
  </si>
  <si>
    <t>CK</t>
  </si>
  <si>
    <t>Cokie caulks a cake</t>
  </si>
  <si>
    <t>CL</t>
  </si>
  <si>
    <t>Collin collages a collie</t>
  </si>
  <si>
    <t>collages= makes a collage out of many images the object</t>
  </si>
  <si>
    <t>CM</t>
  </si>
  <si>
    <t>Cam camo's a camel</t>
  </si>
  <si>
    <t>camo's=throws a camouflage sheet over to protect from the prying eyes of enemy aircraft</t>
  </si>
  <si>
    <t>CN</t>
  </si>
  <si>
    <t>Connor canes a canon</t>
  </si>
  <si>
    <t>CO</t>
  </si>
  <si>
    <t>Coco cocoons a coconut</t>
  </si>
  <si>
    <t>cocoons=wraps in an afghan</t>
  </si>
  <si>
    <t>CP</t>
  </si>
  <si>
    <t>Coppola composts a cappuccino</t>
  </si>
  <si>
    <t>composts=throws into an outside compost bin</t>
  </si>
  <si>
    <t>CQ</t>
  </si>
  <si>
    <t>Conqueror_The conquers croquet</t>
  </si>
  <si>
    <t>conquers=stands with one foot on vanquished object and beats chest; croquet=a croquet set</t>
  </si>
  <si>
    <t>CR</t>
  </si>
  <si>
    <t>Carrie corrodes a car</t>
  </si>
  <si>
    <t>corrodes=pours acid over object, or leaves it out in the rain for years until it's rusty; car=pink Pontiac Grand Prix</t>
  </si>
  <si>
    <t>CS</t>
  </si>
  <si>
    <t>Cassie cases a casserole</t>
  </si>
  <si>
    <t>cases=puts into a large briefcase;  casserole=a cheesy grain dish in a rectangular white casserole dish</t>
  </si>
  <si>
    <t>CT</t>
  </si>
  <si>
    <t>Cat cuts a cot</t>
  </si>
  <si>
    <t>CU</t>
  </si>
  <si>
    <t>Cupcake cues a cucumber</t>
  </si>
  <si>
    <t>cues=knocks over by poking with a cue stick</t>
  </si>
  <si>
    <t>CV</t>
  </si>
  <si>
    <t>Calvin covers caviar</t>
  </si>
  <si>
    <t>covers=covers with cloche --klohsh-- food dome</t>
  </si>
  <si>
    <t>CW</t>
  </si>
  <si>
    <t>Cowan claws a cow</t>
  </si>
  <si>
    <t>claws=leaves claw marks while clawing object with fingernails in self-defense</t>
  </si>
  <si>
    <t>CX</t>
  </si>
  <si>
    <t>Cox coxes a coxcomb</t>
  </si>
  <si>
    <t>coxes=rides in a boat with, as a coxswain; coxcomb= a 3-pronged jester's hat with one red prong</t>
  </si>
  <si>
    <t>CY</t>
  </si>
  <si>
    <t>Cy cyphers a cyclops</t>
  </si>
  <si>
    <t>cyphers=sits with pad and pencil and works out the details of</t>
  </si>
  <si>
    <t>CZ</t>
  </si>
  <si>
    <t>Calzone_Boy cozies a calzone</t>
  </si>
  <si>
    <t>cozies=wraps in insulated fabric for warmth, or puts a hat on object</t>
  </si>
  <si>
    <t>DA</t>
  </si>
  <si>
    <t>Dad dadoes daal</t>
  </si>
  <si>
    <t>dadoes=cuts a thick groove out of object with a skilsaw; daal=a bowl of daal</t>
  </si>
  <si>
    <t>DB</t>
  </si>
  <si>
    <t>Debbie debriefs a doberman</t>
  </si>
  <si>
    <t>debriefs=takes off the underwear that someone put on object at last night's wild party</t>
  </si>
  <si>
    <t>DC</t>
  </si>
  <si>
    <t>Doc decorates decaf</t>
  </si>
  <si>
    <t>decorates=puts a garland around; decaf=a restaurant coffee carafe with an orange top</t>
  </si>
  <si>
    <t>DD</t>
  </si>
  <si>
    <t>DD DD's a DD</t>
  </si>
  <si>
    <t>DD's=buys object using stacks of 100-dollar bills; DD=disk drive</t>
  </si>
  <si>
    <t>DE</t>
  </si>
  <si>
    <t>Dee deets a Deere</t>
  </si>
  <si>
    <t>deere=deere tractor</t>
  </si>
  <si>
    <t>DF</t>
  </si>
  <si>
    <t>Duff diffs a duffle</t>
  </si>
  <si>
    <t>DG</t>
  </si>
  <si>
    <t>Doug digs a dugout</t>
  </si>
  <si>
    <t>digs=digs out, with a shovel, something that he/she previously half-buried, perhaps in that other sentence; dugout=dugout canoe</t>
  </si>
  <si>
    <t>DH</t>
  </si>
  <si>
    <t>Dash dashes a dish</t>
  </si>
  <si>
    <t>dashes=delivers object as a door-dasher; dish=white ceramic plate</t>
  </si>
  <si>
    <t>DI</t>
  </si>
  <si>
    <t>Di dings a ding-dong</t>
  </si>
  <si>
    <t>dings=puts a white spot and dent in object while moving it through a doorway; ding-dong=small chocolate cake from the Hostess company</t>
  </si>
  <si>
    <t>DJ</t>
  </si>
  <si>
    <t>Dej D.J.'s dijon</t>
  </si>
  <si>
    <t>D.J.'s=deejays a club, hyping the, object, with a real-live object nearby; dijon=grey poupon dijon mustard</t>
  </si>
  <si>
    <t>DK</t>
  </si>
  <si>
    <t>Dick dunks a duck</t>
  </si>
  <si>
    <t>dunks=submerges under water</t>
  </si>
  <si>
    <t>DL</t>
  </si>
  <si>
    <t>Dole dulls a dell</t>
  </si>
  <si>
    <t>Dell=laptop; dulls=rubs with sandpaper</t>
  </si>
  <si>
    <t>DM</t>
  </si>
  <si>
    <t>Demi demos a dime</t>
  </si>
  <si>
    <t>demos=demolishes with a wrecking ball</t>
  </si>
  <si>
    <t>DN</t>
  </si>
  <si>
    <t>Dan dons denim</t>
  </si>
  <si>
    <t>dons=puts on head; denim=blue jeans</t>
  </si>
  <si>
    <t>DO</t>
  </si>
  <si>
    <t>Doodle doodles a doe</t>
  </si>
  <si>
    <t>doe=a deer, a female deer</t>
  </si>
  <si>
    <t>DP</t>
  </si>
  <si>
    <t>Depp dips dope</t>
  </si>
  <si>
    <t>dips=dips in chocolate fondue</t>
  </si>
  <si>
    <t>DQ</t>
  </si>
  <si>
    <t>Duquesne disqualifies a daiquiri</t>
  </si>
  <si>
    <t>DR</t>
  </si>
  <si>
    <t>Derek derries a derailleur</t>
  </si>
  <si>
    <t xml:space="preserve">derries=walks out on object just because of a little damage; derailleur=bicycle gear derailleur </t>
  </si>
  <si>
    <t>DS</t>
  </si>
  <si>
    <t>Doss dissolves a dressing</t>
  </si>
  <si>
    <t>dissolves=pours acid over</t>
  </si>
  <si>
    <t>DT</t>
  </si>
  <si>
    <t>Dottie details a date</t>
  </si>
  <si>
    <t>DU</t>
  </si>
  <si>
    <t>Dundee dumdum's a dud</t>
  </si>
  <si>
    <t>dumdum=bullet that has a cross-hair carved into its leading edge to cause it to expand on impact; dud=unexploded bomb from a bomber</t>
  </si>
  <si>
    <t>DV</t>
  </si>
  <si>
    <t>Dave devours a dove</t>
  </si>
  <si>
    <t>DW</t>
  </si>
  <si>
    <t>Dow draws dew</t>
  </si>
  <si>
    <t xml:space="preserve">draws=draws, with the real model nearby; dew=a dew-covered raspberry </t>
  </si>
  <si>
    <t>DX</t>
  </si>
  <si>
    <t>Dax detoxifies a doxie</t>
  </si>
  <si>
    <t xml:space="preserve">detoxifies=cleans with a backpack spray canister and hose </t>
  </si>
  <si>
    <t>DY</t>
  </si>
  <si>
    <t>Dyson dyes a dyson</t>
  </si>
  <si>
    <t>dyes=think Easter eggs; dyson=dyson vacuum cleaner</t>
  </si>
  <si>
    <t>DZ</t>
  </si>
  <si>
    <t>Danzig drizzles a dozen</t>
  </si>
  <si>
    <t>drizzles=accidentally drizzles powdered sugar glaze on, while drizzling cinnamon rolls; dozen=a dozen eggs</t>
  </si>
  <si>
    <t>EA</t>
  </si>
  <si>
    <t>Eastman eats an ear</t>
  </si>
  <si>
    <t>ear=ear of corn</t>
  </si>
  <si>
    <t>EB</t>
  </si>
  <si>
    <t>Ebenezer embraces an elbow</t>
  </si>
  <si>
    <t>embraces=hugs, or cradles a small object like you would a baby;  elbow=a bowl of elbow macaroni</t>
  </si>
  <si>
    <t>EC</t>
  </si>
  <si>
    <t>Eclipse eclipses an eclair</t>
  </si>
  <si>
    <t>eclipses=puts whole object under shirt, or as much of it as will fit</t>
  </si>
  <si>
    <t>ED</t>
  </si>
  <si>
    <t>Ed endangers an edible</t>
  </si>
  <si>
    <t>edible=brownie;  endangers=places object on the roof rack of a van and drives like a crazy person</t>
  </si>
  <si>
    <t>EE</t>
  </si>
  <si>
    <t>EE EE's an EE</t>
  </si>
  <si>
    <t>EE's=hides; EE=Easter egg</t>
  </si>
  <si>
    <t>EF</t>
  </si>
  <si>
    <t>Effertz effigies an elf</t>
  </si>
  <si>
    <t>effigies= makes a model of, using clay</t>
  </si>
  <si>
    <t>EG</t>
  </si>
  <si>
    <t>Egger eggs an eggo</t>
  </si>
  <si>
    <t>eggs=throws eggs at</t>
  </si>
  <si>
    <t>EH</t>
  </si>
  <si>
    <t>Esha enshrines an elshin</t>
  </si>
  <si>
    <t>enshrines=makes a small shrine for, with candles and a pedestal</t>
  </si>
  <si>
    <t>EI</t>
  </si>
  <si>
    <t>Einstein eiderdowns an eightball</t>
  </si>
  <si>
    <t>eiderdowns=covers with a down winter coat or blanket</t>
  </si>
  <si>
    <t>EJ</t>
  </si>
  <si>
    <t>Eljer ejects an eljer</t>
  </si>
  <si>
    <t>eljer=a toilet; ejects=ejects from a cockpit, or at least ejects using a springy spring seat</t>
  </si>
  <si>
    <t>EK</t>
  </si>
  <si>
    <t>Ek ekes an elk</t>
  </si>
  <si>
    <t>ekes=buys with his/her last dollar, picture the person grinning next to object and holding an empty wallet</t>
  </si>
  <si>
    <t>EL</t>
  </si>
  <si>
    <t>Ella elevates an electric</t>
  </si>
  <si>
    <t>elevates=raises up in celebration, for all to see and cheer; electric=electric guitar</t>
  </si>
  <si>
    <t>EM</t>
  </si>
  <si>
    <t>Emma emeries an emu</t>
  </si>
  <si>
    <t>emeries=scuffs with a nail file prior to applying a patch to repair object</t>
  </si>
  <si>
    <t>EN</t>
  </si>
  <si>
    <t>Enola enamels an enigma</t>
  </si>
  <si>
    <t>enamels=shellacs</t>
  </si>
  <si>
    <t>EO</t>
  </si>
  <si>
    <t>Eomer eosins an eohippus</t>
  </si>
  <si>
    <t>eosins= to dye or paint something red</t>
  </si>
  <si>
    <t>EP</t>
  </si>
  <si>
    <t>Epominandas epipens an epaulet</t>
  </si>
  <si>
    <t>Epominandas=nickname 'Eppie'; EpiPens=sticks a hypodermic needle into</t>
  </si>
  <si>
    <t>EQ</t>
  </si>
  <si>
    <t>Equalizer_The equalizes an equine</t>
  </si>
  <si>
    <t>equine=horse; equalizes=puts onto a balance scale, can imagine a large one with a fancy set of cylindrical, gold, knobbed weights</t>
  </si>
  <si>
    <t>ER</t>
  </si>
  <si>
    <t>Erin erodes an eraser</t>
  </si>
  <si>
    <t>erodes=sprays with a hose until object corrodes; eraser=large, pink, rubber, self-contained rectangular eraser</t>
  </si>
  <si>
    <t>ES</t>
  </si>
  <si>
    <t>Esau ensembles an essence</t>
  </si>
  <si>
    <t xml:space="preserve">ensembles=puts a colorful scarf around object; essence=bottle of perfume </t>
  </si>
  <si>
    <t>ET</t>
  </si>
  <si>
    <t>Etta enters an etude</t>
  </si>
  <si>
    <t>enters=enters object in a contest: picture the object with a blue ribbon on it, and the person beaming; etude=a piece of sheet music</t>
  </si>
  <si>
    <t>EU</t>
  </si>
  <si>
    <t>Euclid eulogizes a euphonium</t>
  </si>
  <si>
    <t>eulogizes=expounds on object while object lies nearby on its side, broken; euphonium=a large, valved brass instrument very similar to the baritone horn</t>
  </si>
  <si>
    <t>EV</t>
  </si>
  <si>
    <t>Evan evicts an evergreen</t>
  </si>
  <si>
    <t>evicts=sends away, with a flourish of the arm, in the bed of a pickup truck;  evergreen=a large-needle Christmas tree</t>
  </si>
  <si>
    <t>EW</t>
  </si>
  <si>
    <t>Ewing ewers a ewe</t>
  </si>
  <si>
    <t>ewers=pours water onto, or serves water to</t>
  </si>
  <si>
    <t>EX</t>
  </si>
  <si>
    <t>Exeter exhumes an exotic</t>
  </si>
  <si>
    <t>exhumes=digs underground object out of the dirt; exotic=small bulb cactus with spikes</t>
  </si>
  <si>
    <t>EY</t>
  </si>
  <si>
    <t>Eeyore eyes an eyrie</t>
  </si>
  <si>
    <t>eyes=looks distrustfully at</t>
  </si>
  <si>
    <t>EZ</t>
  </si>
  <si>
    <t>Ezzard end_zones an enzo</t>
  </si>
  <si>
    <t>end_zones=throws object into an endzone; enzo=a model of Ferrari named after the company's founder, Enzo Ferrari</t>
  </si>
  <si>
    <t>FA</t>
  </si>
  <si>
    <t>Fairfield fanfares farfalle</t>
  </si>
  <si>
    <t>fanfares=plays a trumpet in greeting upon seeing object</t>
  </si>
  <si>
    <t>FB</t>
  </si>
  <si>
    <t>Fabio flambe's a fishbowl</t>
  </si>
  <si>
    <t>flambe's=pours liquor over, then sets afire</t>
  </si>
  <si>
    <t>FC</t>
  </si>
  <si>
    <t>Falcon focuses focaccia</t>
  </si>
  <si>
    <t>focuses=burns object with a magnifying glass, by focusing the sun's rays</t>
  </si>
  <si>
    <t>FD</t>
  </si>
  <si>
    <t>Fudd fondles a fiddle</t>
  </si>
  <si>
    <t>FE</t>
  </si>
  <si>
    <t>Feenie feels a feeder</t>
  </si>
  <si>
    <t>feels=feels the weight of object, i.e. measures the object's weight by holding it</t>
  </si>
  <si>
    <t>FF</t>
  </si>
  <si>
    <t>FF FF's an FF</t>
  </si>
  <si>
    <t>FF's=deep-fries in a fat fryer; FF=a container of french fries</t>
  </si>
  <si>
    <t>FG</t>
  </si>
  <si>
    <t>Figaro fogs a fig</t>
  </si>
  <si>
    <t>fogs=breathes condensation onto, then wipes with a rag, to clean object</t>
  </si>
  <si>
    <t>FH</t>
  </si>
  <si>
    <t>Fisher freshens a fish</t>
  </si>
  <si>
    <t>freshens=sprays with furniture polish, then wipes</t>
  </si>
  <si>
    <t>FI</t>
  </si>
  <si>
    <t>Fifi fistfights a fife</t>
  </si>
  <si>
    <t>FJ</t>
  </si>
  <si>
    <t>Fujita fuji's a flapjack</t>
  </si>
  <si>
    <t>fuji's=takes a picture of, for posterity, using a Polaroid camera (because the film is so obvious and evident with that model)</t>
  </si>
  <si>
    <t>FK</t>
  </si>
  <si>
    <t>Focker flicks a fork</t>
  </si>
  <si>
    <t>flicks=flicks with fingers OR swipes away with the back of the hand, in the manner of a person wearing a robotic exoskeleton 'AMP' suit</t>
  </si>
  <si>
    <t>FL</t>
  </si>
  <si>
    <t>Fuller fells a feline</t>
  </si>
  <si>
    <t>fells=chops at with an axe until object falls over; feline=female cat</t>
  </si>
  <si>
    <t>FM</t>
  </si>
  <si>
    <t>Fimmel frames a femur</t>
  </si>
  <si>
    <t>frames=hangs a framed photograph of, on wall</t>
  </si>
  <si>
    <t>FN</t>
  </si>
  <si>
    <t>Finn fans a fan</t>
  </si>
  <si>
    <t>fans=waves a big, frilly, old-fashioned tropical conch shell fan to cool object; fan=a portable electric fan</t>
  </si>
  <si>
    <t>FO</t>
  </si>
  <si>
    <t>Foote foots food</t>
  </si>
  <si>
    <t>foots=kicks; food=an elaborate 4-course meal with lots of dishes</t>
  </si>
  <si>
    <t>FP</t>
  </si>
  <si>
    <t>Flipper flips a frap</t>
  </si>
  <si>
    <t>FQ</t>
  </si>
  <si>
    <t>Farquaad fiques a forequarter</t>
  </si>
  <si>
    <t>fiques=ties up</t>
  </si>
  <si>
    <t>FR</t>
  </si>
  <si>
    <t>Farrah fires a fir</t>
  </si>
  <si>
    <t>fires=sets fire to by touching with a burning piece of paper; fir=a douglas fir Christmas tree</t>
  </si>
  <si>
    <t>FS</t>
  </si>
  <si>
    <t>Foss fresses a fossil</t>
  </si>
  <si>
    <t>fossil=T-Rex dinosaur skeleton</t>
  </si>
  <si>
    <t>FT</t>
  </si>
  <si>
    <t>Fatima fights feta</t>
  </si>
  <si>
    <t xml:space="preserve">fights=grapples and wrestles with;  feta=a plate mounded high with loose feta cheese </t>
  </si>
  <si>
    <t>FU</t>
  </si>
  <si>
    <t>Fu funfetti's a furfur</t>
  </si>
  <si>
    <t>funfetti's=throws confetti in the air in celebration of object</t>
  </si>
  <si>
    <t>FV</t>
  </si>
  <si>
    <t>Fever fivers a favor</t>
  </si>
  <si>
    <t>fivers=buys object with a five dollar bill; favor=noise maker</t>
  </si>
  <si>
    <t>FW</t>
  </si>
  <si>
    <t>Finwe firewalls firewood</t>
  </si>
  <si>
    <t>firewalls=builds a brick wall around object</t>
  </si>
  <si>
    <t>FX</t>
  </si>
  <si>
    <t>Fox faxes a fox</t>
  </si>
  <si>
    <t>faxes=takes a picture of object and faxes it</t>
  </si>
  <si>
    <t>FY</t>
  </si>
  <si>
    <t>Fey fykes a fryer</t>
  </si>
  <si>
    <t>fykes=carries over the shoulder in a fyke net; fryer=small chicken</t>
  </si>
  <si>
    <t>FZ</t>
  </si>
  <si>
    <t>Fonzie fuzzes a fez</t>
  </si>
  <si>
    <t xml:space="preserve">fuzzes=puts a fuzz covering over, as with a steering wheel </t>
  </si>
  <si>
    <t>GA</t>
  </si>
  <si>
    <t>Gaga gauges a gaggle</t>
  </si>
  <si>
    <t>gauges=measures with calipers; gaggle=a group of geese</t>
  </si>
  <si>
    <t>GB</t>
  </si>
  <si>
    <t>Gabriel gobbles garbage</t>
  </si>
  <si>
    <t>garbage=a metal garbage can full of garbage</t>
  </si>
  <si>
    <t>GC</t>
  </si>
  <si>
    <t>Guncle_The guncottons a gorcrow</t>
  </si>
  <si>
    <t>guncottons=blows up using guncotton; gorcrow=carrion crow</t>
  </si>
  <si>
    <t>GD</t>
  </si>
  <si>
    <t>God gilds Godiva</t>
  </si>
  <si>
    <t>gilds=decorates with gold leaf; godiva=a box of chocolates</t>
  </si>
  <si>
    <t>GE</t>
  </si>
  <si>
    <t>Genghis geeks ghee</t>
  </si>
  <si>
    <t>geeks=is an expert in the care of object, and carefully removes some dirt from object with a cloth</t>
  </si>
  <si>
    <t>GF</t>
  </si>
  <si>
    <t>Groff gaffs a griffin</t>
  </si>
  <si>
    <t>GG</t>
  </si>
  <si>
    <t>GG GG's a GG</t>
  </si>
  <si>
    <t>GG's=shoots with an arrow; GG=Golden Globe trophy</t>
  </si>
  <si>
    <t>GH</t>
  </si>
  <si>
    <r>
      <rPr>
        <sz val="10"/>
        <color theme="1"/>
        <rFont val="Arial"/>
      </rPr>
      <t>Ghosh</t>
    </r>
    <r>
      <rPr>
        <sz val="10"/>
        <color theme="1"/>
        <rFont val="Arial"/>
      </rPr>
      <t xml:space="preserve"> gashes a gumshoe</t>
    </r>
  </si>
  <si>
    <t>gashes=cuts, leaving a deep cleavage or gash; gumshoe=a shoe, galoshes, rubber boots</t>
  </si>
  <si>
    <t>GI</t>
  </si>
  <si>
    <t>Gilgamesh gingham's a giga</t>
  </si>
  <si>
    <t>giga=the Cray-2 supercomputer; ginghams=covers with a gingham cloth</t>
  </si>
  <si>
    <t>GJ</t>
  </si>
  <si>
    <t>Gojira goujons ganja</t>
  </si>
  <si>
    <t>goujons=scores with a utility knife, with the intent to cut into pieces</t>
  </si>
  <si>
    <t>GK</t>
  </si>
  <si>
    <t>Gekko gunks a gecko</t>
  </si>
  <si>
    <t>gunks=dirties</t>
  </si>
  <si>
    <t>GL</t>
  </si>
  <si>
    <t>Gollum gallops a gallon</t>
  </si>
  <si>
    <t>gallops=gallops on horseback with object; gallon=gallon of apple cider</t>
  </si>
  <si>
    <t>GM</t>
  </si>
  <si>
    <t>Gomer gums a gummi</t>
  </si>
  <si>
    <t>gums=eats</t>
  </si>
  <si>
    <t>GN</t>
  </si>
  <si>
    <t>Gunnar garnishes a gun</t>
  </si>
  <si>
    <t>garnishes=drizzles with parsley and olive oil in preparation of eating, or in mock preparation as a joke</t>
  </si>
  <si>
    <t>GO</t>
  </si>
  <si>
    <t>Goober googles a goose</t>
  </si>
  <si>
    <t>GP</t>
  </si>
  <si>
    <t>Gipper_The grips a grape</t>
  </si>
  <si>
    <t>grips=grips tightly with one hand</t>
  </si>
  <si>
    <t>GQ</t>
  </si>
  <si>
    <t>Gasquet greques a grecque</t>
  </si>
  <si>
    <t>grecques=decorates with meander/grecque linear labyrinth designs; grecque=a Greek vase with meander/grecque designs</t>
  </si>
  <si>
    <t>GR</t>
  </si>
  <si>
    <t>Gore gores a gar</t>
  </si>
  <si>
    <t>gores=attacks a thing</t>
  </si>
  <si>
    <t>GS</t>
  </si>
  <si>
    <t>Gauss guesses gas</t>
  </si>
  <si>
    <t>guesses=person is blindfolded, and guesses identity by touch only; gas=the helium in a helium balloon</t>
  </si>
  <si>
    <t>GT</t>
  </si>
  <si>
    <t>Gotti gats a goat</t>
  </si>
  <si>
    <t>gats=shoots with a handgun</t>
  </si>
  <si>
    <t>GU</t>
  </si>
  <si>
    <t>Guggenheim gurgitates a gudgeon</t>
  </si>
  <si>
    <t xml:space="preserve">gurgitates=swallows greedily </t>
  </si>
  <si>
    <t>GV</t>
  </si>
  <si>
    <t>Grover gavels a glove</t>
  </si>
  <si>
    <t>gavels=passes judgment on, AND then hits object with the gavel;  glove=Michael Jackson's crystal-studded single white glove</t>
  </si>
  <si>
    <t>GW</t>
  </si>
  <si>
    <t>Gawain glows a gearwheel</t>
  </si>
  <si>
    <t>glows=sprays with Greek Fire from a hose; gearwheel=bicycle rear gearwheel</t>
  </si>
  <si>
    <t>GX</t>
  </si>
  <si>
    <t>Glox goxes gloxinias</t>
  </si>
  <si>
    <t>goxes=uses a flame thrower</t>
  </si>
  <si>
    <t>GY</t>
  </si>
  <si>
    <t>Guy glycerines a gargoyle</t>
  </si>
  <si>
    <t>glycerines=blows up with nitroglycerine; gargoyle=a gargoyle planter</t>
  </si>
  <si>
    <t>GZ</t>
  </si>
  <si>
    <t>Gonzo glazes a gazebo</t>
  </si>
  <si>
    <t>glazes=puts a coat of varnish on; gazebo=very small gazebo, if need be</t>
  </si>
  <si>
    <t>HA</t>
  </si>
  <si>
    <t>Haas hangs a hardhat</t>
  </si>
  <si>
    <t>hangs=suspends in a net to store, capture, or repair, OR hangs a picture of object on bedroom wall</t>
  </si>
  <si>
    <t>HB</t>
  </si>
  <si>
    <r>
      <rPr>
        <b/>
        <sz val="10"/>
        <color theme="1"/>
        <rFont val="Arial"/>
      </rPr>
      <t xml:space="preserve">Hobbes* </t>
    </r>
    <r>
      <rPr>
        <sz val="10"/>
        <color theme="1"/>
        <rFont val="Arial"/>
      </rPr>
      <t>hibachis a hamburger</t>
    </r>
  </si>
  <si>
    <t>hibachis=burns</t>
  </si>
  <si>
    <t>HC</t>
  </si>
  <si>
    <t>Hecate hocusses a hotcake</t>
  </si>
  <si>
    <t>HD</t>
  </si>
  <si>
    <t>Hedda hides a hod</t>
  </si>
  <si>
    <t>hides=hides in a pocket, or throws a coat over object</t>
  </si>
  <si>
    <t>HE</t>
  </si>
  <si>
    <t>Heekin hee-hee's heels</t>
  </si>
  <si>
    <t>hee-hee's=laughs at; heels=high heeled shoes</t>
  </si>
  <si>
    <t>HF</t>
  </si>
  <si>
    <t>Heifetz huffs a heifer</t>
  </si>
  <si>
    <t>huffs=struggles to lift</t>
  </si>
  <si>
    <t>HG</t>
  </si>
  <si>
    <t>Hagrid hugs a hog</t>
  </si>
  <si>
    <t>HH</t>
  </si>
  <si>
    <t>HH HH's HH</t>
  </si>
  <si>
    <t>HH's=on stage, makes object disappear by quickly moving it from on top of a card table with a skirt, to underneath the card table where the skirt hides it; HH=Helly Hansen waders</t>
  </si>
  <si>
    <t>HI</t>
  </si>
  <si>
    <t>Hi hipshots a high-hat</t>
  </si>
  <si>
    <t>hipshots=shoots a pistol from the hip</t>
  </si>
  <si>
    <t>HJ</t>
  </si>
  <si>
    <t>Haji hijacks a hijab</t>
  </si>
  <si>
    <t>hijacks=takes, or takes control of</t>
  </si>
  <si>
    <t>HK</t>
  </si>
  <si>
    <t>Hank hucks a hankie</t>
  </si>
  <si>
    <t>hankie=a white handkerchief</t>
  </si>
  <si>
    <t>HL</t>
  </si>
  <si>
    <t>Hill heals a helicopter</t>
  </si>
  <si>
    <t>heals=puts a bandaid on object to repair it</t>
  </si>
  <si>
    <t>HM</t>
  </si>
  <si>
    <t>Homer hammers a ham</t>
  </si>
  <si>
    <t>HN</t>
  </si>
  <si>
    <t>Hannah hennas a hen</t>
  </si>
  <si>
    <t>HO</t>
  </si>
  <si>
    <t>Hood hoofs a hoodie</t>
  </si>
  <si>
    <t>hoofs=runs away with object, after stealing it</t>
  </si>
  <si>
    <t>HP</t>
  </si>
  <si>
    <t>Hope hops a hippo</t>
  </si>
  <si>
    <t>hops=hops over</t>
  </si>
  <si>
    <t>HQ</t>
  </si>
  <si>
    <t>Harlequin hindquarters a harlequin</t>
  </si>
  <si>
    <t>hindquarters=kicks</t>
  </si>
  <si>
    <t>HR</t>
  </si>
  <si>
    <t>Harold hurricanes a hare</t>
  </si>
  <si>
    <t>hurricanes=pours water over, using a watering can</t>
  </si>
  <si>
    <t>HS</t>
  </si>
  <si>
    <t>Hansel hoses a horse</t>
  </si>
  <si>
    <t>HT</t>
  </si>
  <si>
    <t>Hattie hits a hat</t>
  </si>
  <si>
    <t>hits=punches</t>
  </si>
  <si>
    <t>HU</t>
  </si>
  <si>
    <t>Hugh hues a hue</t>
  </si>
  <si>
    <t>hues=throws a bucket of red paint onto object; hue=an open bucket of red paint</t>
  </si>
  <si>
    <t>HV</t>
  </si>
  <si>
    <t>Havoc heaves a hive</t>
  </si>
  <si>
    <t>heaves=pulls item along using a great big heavy chain; hive=bee hive</t>
  </si>
  <si>
    <t>HW</t>
  </si>
  <si>
    <t>Howard hews a howitzer</t>
  </si>
  <si>
    <t xml:space="preserve">hews=cuts in half with a (straight, long) broad sword </t>
  </si>
  <si>
    <t>HX</t>
  </si>
  <si>
    <t>Hoxworth hatboxes a helix</t>
  </si>
  <si>
    <t>helix=slinky</t>
  </si>
  <si>
    <t>HY</t>
  </si>
  <si>
    <t>Hyland hydroplanes a hymnal</t>
  </si>
  <si>
    <t>hydroplanes=drives a truck with object in cab OR bed, and spins out on a puddle</t>
  </si>
  <si>
    <t>HZ</t>
  </si>
  <si>
    <t>Hazel hazes a hazard</t>
  </si>
  <si>
    <t>hazes=duct tapes to an office chair, or the ground, or whatever surface the object usually sits on; hazard=a step ladder with a bucket of red paint on it</t>
  </si>
  <si>
    <t>IA</t>
  </si>
  <si>
    <t>Iacocca iambs an iacocca</t>
  </si>
  <si>
    <t>iambs=goes to a poetry slam and reads a poem composed about object, with object nearby</t>
  </si>
  <si>
    <t>IB</t>
  </si>
  <si>
    <t>ibis iceballs an ibis</t>
  </si>
  <si>
    <t>iceballs=hits object with an iceball or snowball; ibis=a scarlet ibis</t>
  </si>
  <si>
    <t>IC</t>
  </si>
  <si>
    <t>Icarus iconifies an icon</t>
  </si>
  <si>
    <t>iconifies=paints an image of the object into a pre-existing religious painting, with a paintbrush; icon=religious painting (icon)</t>
  </si>
  <si>
    <t>ID</t>
  </si>
  <si>
    <t>Ida idles an idol</t>
  </si>
  <si>
    <t>idles=idles an everyman car (sedan), at a stoplight, with object in passenger seat or tied to the roof; idol=small religious statue</t>
  </si>
  <si>
    <t>IE</t>
  </si>
  <si>
    <t>ieva iena's a iena</t>
  </si>
  <si>
    <t>iena's=blows up object, in the manner of a battleship</t>
  </si>
  <si>
    <t>IF</t>
  </si>
  <si>
    <t>infamous infrareds an inflatable</t>
  </si>
  <si>
    <t>infrareds=burns an X into object using an infrared laser attached, with a ring, to a belt loop; inflatable=rubber raft</t>
  </si>
  <si>
    <t>IG</t>
  </si>
  <si>
    <t>Igor iggs an iguana</t>
  </si>
  <si>
    <t>iggs=stands with his/her back to</t>
  </si>
  <si>
    <t>IH</t>
  </si>
  <si>
    <t>Ishi ish's an inshore</t>
  </si>
  <si>
    <t>ish's=negotiates to buy object, which is sitting on the sales counter, with a price tag on it, and feigns disinterest;  inshore=fishing pole</t>
  </si>
  <si>
    <t>II</t>
  </si>
  <si>
    <t>II II's II</t>
  </si>
  <si>
    <t>II's=drives object in a convertible; II=Irish ice</t>
  </si>
  <si>
    <t>IJ</t>
  </si>
  <si>
    <t>Ijeoma injects an injunction</t>
  </si>
  <si>
    <t>injects=sticks with a needle; injunction=piece of paper, legal document, restraining order</t>
  </si>
  <si>
    <t>IK</t>
  </si>
  <si>
    <t>Ike inks ink</t>
  </si>
  <si>
    <t>inks=covers with graffiti; ink=an inkwell</t>
  </si>
  <si>
    <t>IL</t>
  </si>
  <si>
    <t>Illinois illuminates an island</t>
  </si>
  <si>
    <t>illuminates=lights object from several angles as part of a photography session; island=portable kitchen island, on wheels</t>
  </si>
  <si>
    <t>IM</t>
  </si>
  <si>
    <t>Imelda immerses an image</t>
  </si>
  <si>
    <t>image='American Gothic' painting</t>
  </si>
  <si>
    <t>IN</t>
  </si>
  <si>
    <t>Innes inns an innie</t>
  </si>
  <si>
    <t>inns=takes object to a hotel room and watches "Chopped" on TV with it; innie=a strap-on, skin-toned pregnant belly prop for the stage</t>
  </si>
  <si>
    <t>IO</t>
  </si>
  <si>
    <t>Iolanthe ionizes iodine</t>
  </si>
  <si>
    <t>ionizes=blasts into little particles; iodine=purple bottle of liquid iodine drops, or a small chunk of sublimating iodine in a petri dish</t>
  </si>
  <si>
    <t>IP</t>
  </si>
  <si>
    <t>Ippolito ippons an iPad</t>
  </si>
  <si>
    <t>ippons= throws to the ground in a judo move</t>
  </si>
  <si>
    <t>IQ</t>
  </si>
  <si>
    <t>Inquisitor_The inquests an inquisitor</t>
  </si>
  <si>
    <t>inquests=treats object as a piece of evidence in an investigation, like Exhibit A; inquisitor=picture the Monty Python sketch with three inquisitors dressed in deep-red outfits and red hats, and large crosses hanging around their necks</t>
  </si>
  <si>
    <t>IR</t>
  </si>
  <si>
    <t>Ira irrigates an iris</t>
  </si>
  <si>
    <t>IS</t>
  </si>
  <si>
    <t>Isildur insulates an insect</t>
  </si>
  <si>
    <t>insulates=wraps with fiberglass insulation; insect=dragonfly</t>
  </si>
  <si>
    <t>IT</t>
  </si>
  <si>
    <t>Ito inters intestines</t>
  </si>
  <si>
    <t>inters=buries object in dirt permanently; intestines=fish guts</t>
  </si>
  <si>
    <t>IU</t>
  </si>
  <si>
    <t>iustitia iugo's a iulock</t>
  </si>
  <si>
    <t>iugo's=ties object to a second object with a big rubber band or rope, with the intention of buying two for the price of one;  iulock=doorknob with circular keypad right on knob, can picture it separate from door, uninstalled</t>
  </si>
  <si>
    <t>IV</t>
  </si>
  <si>
    <t>Ivan inverts an invertebrate</t>
  </si>
  <si>
    <t>inverts=turns upside down; invertebrate=Alaskan king crab</t>
  </si>
  <si>
    <t>IW</t>
  </si>
  <si>
    <t>Ingwe inwalls the iwi</t>
  </si>
  <si>
    <t>inwalls=builds a small 4-sided cinder block structure around object to contain it;  iwi=a bucket of Lord of the Rings action figures</t>
  </si>
  <si>
    <t>IX</t>
  </si>
  <si>
    <t>INXS indexes an IMAX</t>
  </si>
  <si>
    <t>indexes=puts on a shelf, labelled, in a large storage facility with many shelves;  IMAX=IMAX projector</t>
  </si>
  <si>
    <t>IY</t>
  </si>
  <si>
    <t>Ilya isopropyls an ichthyoid</t>
  </si>
  <si>
    <t>ichthyoid=shark; isopropyls=cleans and sanitizes</t>
  </si>
  <si>
    <t>IZ</t>
  </si>
  <si>
    <t>Izzard izods an izar</t>
  </si>
  <si>
    <t>izods=glues an alligator logo onto object</t>
  </si>
  <si>
    <t>JA</t>
  </si>
  <si>
    <t>JarJar jamjars a jaase</t>
  </si>
  <si>
    <t>jamjars=puts into a jamjar</t>
  </si>
  <si>
    <t>JB</t>
  </si>
  <si>
    <t>Job jabs a Jumbo</t>
  </si>
  <si>
    <t>jabs=puts on boxing gloves and knocks object across the street;  jumbo=elephant</t>
  </si>
  <si>
    <t>JC</t>
  </si>
  <si>
    <t>Jacob jacuzzis a junco</t>
  </si>
  <si>
    <t>jacuzzis=has a jacuzzi with</t>
  </si>
  <si>
    <t>JE</t>
  </si>
  <si>
    <t>Jeenie_Weenie jeers a jejune</t>
  </si>
  <si>
    <t>jeers=insults; jejune=trashy romance novel</t>
  </si>
  <si>
    <t>JD</t>
  </si>
  <si>
    <t>Jade judases jade</t>
  </si>
  <si>
    <t>jade=jade necklace pendant, either a gold-bordered oval or a carved dragon, or a raw rectangular block shape</t>
  </si>
  <si>
    <t>JF</t>
  </si>
  <si>
    <t>Jeff jerf's jif</t>
  </si>
  <si>
    <t>jerfs=eats. Can picture person with knife and fork, and napkin</t>
  </si>
  <si>
    <t>JG</t>
  </si>
  <si>
    <t>Jagger juggles jugs</t>
  </si>
  <si>
    <t>JH</t>
  </si>
  <si>
    <t>Josh joshes a jackshaft</t>
  </si>
  <si>
    <t>joshes=says 'You call yourself a object ?! while looking at a smallish example of, or toy version of, object; jackshaft=a steel rod with a gear at each end, think barbells</t>
  </si>
  <si>
    <t>JI</t>
  </si>
  <si>
    <t>Jimjim jii's a jiljil</t>
  </si>
  <si>
    <t>jii's=sets on fire with a lighter</t>
  </si>
  <si>
    <t>JJ</t>
  </si>
  <si>
    <t>JJ JJ's a JJ</t>
  </si>
  <si>
    <t>JJ's=sells enthusiastically; JJ=a bottle of Johnson &amp; Johnson shampoo</t>
  </si>
  <si>
    <t>JK</t>
  </si>
  <si>
    <t>Jack jacks a jackal</t>
  </si>
  <si>
    <t>jacks=puts on boxing gloves and punches out</t>
  </si>
  <si>
    <t>JL</t>
  </si>
  <si>
    <t>Julien jails jello</t>
  </si>
  <si>
    <t>jails=puts behind bars</t>
  </si>
  <si>
    <t>JM</t>
  </si>
  <si>
    <t>Jamie jomo's jimmies</t>
  </si>
  <si>
    <t>jomo's=says 'no thank you' to, can picture person sitting on couch watching a great TV show while the object sits nearby; jimmies=a glass bowl of sprinkles (the colorful rods)</t>
  </si>
  <si>
    <t>JN</t>
  </si>
  <si>
    <t>Jen journals jeans</t>
  </si>
  <si>
    <t xml:space="preserve">journals=takes notes for a newspaper article on the history and/or manufacture of object </t>
  </si>
  <si>
    <t>JO</t>
  </si>
  <si>
    <t>Joe jojo's joe</t>
  </si>
  <si>
    <t>jojo's=accidentally smears chocolate all over object while eating chocolate messily;  joe=a cup of coffee in your favorite mug</t>
  </si>
  <si>
    <t>JP</t>
  </si>
  <si>
    <t>Joplin jumps a jumper</t>
  </si>
  <si>
    <t>jumps=jumps over; jumper=sweater (usage in England)</t>
  </si>
  <si>
    <t>JQ</t>
  </si>
  <si>
    <t>Jacque jerques a jonquil</t>
  </si>
  <si>
    <t>jerques=examines object with a magnifying glass, to see if it passes inspection;  jonquil=a deep sea yellow flower, or the daffodil-like jonquil</t>
  </si>
  <si>
    <t>JR</t>
  </si>
  <si>
    <t>Jared juries a jorum</t>
  </si>
  <si>
    <t>juries=judges, perhaps with a panel of judges; jorum=glass punch bowl</t>
  </si>
  <si>
    <t>JS</t>
  </si>
  <si>
    <t>Jesse jigsaws a jockstrap</t>
  </si>
  <si>
    <t>jigsaws=does a jigsaw puzzle that features an image of the object, with the real object sitting nearby</t>
  </si>
  <si>
    <t>JT</t>
  </si>
  <si>
    <t>Jet jettisons a jet</t>
  </si>
  <si>
    <t>jettisons=gets rid of, OR throws out of a plane or car</t>
  </si>
  <si>
    <t>JU</t>
  </si>
  <si>
    <t>Juju jujitsu's jujubes</t>
  </si>
  <si>
    <t xml:space="preserve">jujitsu's=explosively attacks   </t>
  </si>
  <si>
    <t>JV</t>
  </si>
  <si>
    <t>Jove javelins a juvenile</t>
  </si>
  <si>
    <t>Jove=Jupiter=Zeus; juvenile=tadpole, or juvenile delinquent, can picture troubled, tattooed, cigarette-smoking teen</t>
  </si>
  <si>
    <t>JW</t>
  </si>
  <si>
    <t>Jawan jows a jawa</t>
  </si>
  <si>
    <t>jows=head-butts</t>
  </si>
  <si>
    <t>JX</t>
  </si>
  <si>
    <t>Jexi jinxes a jukebox</t>
  </si>
  <si>
    <t>Jexi=think Ultron, the A.I. who took out J.A.R.V.I.S. in the Avengers; jinxes=makes fall apart or fall over</t>
  </si>
  <si>
    <t>JY</t>
  </si>
  <si>
    <t>Jay joysticks a jellyfish</t>
  </si>
  <si>
    <t>joysticks=pees on</t>
  </si>
  <si>
    <t>JZ</t>
  </si>
  <si>
    <t>Jazz jazzes a jazz</t>
  </si>
  <si>
    <t>jazzes=decorates by putting a red heart on object, made of real or inedible (plaster of Paris) icing which is shaped by squeezing from a piping bag; jazz=a jazz apple, which is an apple variety like a red delicious or fuji</t>
  </si>
  <si>
    <t>KA</t>
  </si>
  <si>
    <t>Kai kaka's khakis</t>
  </si>
  <si>
    <t>kaka's=accidentally gets poop on object;  khakis=khaki pants</t>
  </si>
  <si>
    <t>KB</t>
  </si>
  <si>
    <t>Kobe kebabs a kickball</t>
  </si>
  <si>
    <t>KC</t>
  </si>
  <si>
    <t>Kroc kingcrafts a kincob</t>
  </si>
  <si>
    <t>kingcrafts=takes for a speedboat ride</t>
  </si>
  <si>
    <t>KD</t>
  </si>
  <si>
    <t>Kid_The keds a kid</t>
  </si>
  <si>
    <t>keds=kicks; kid=baby goat</t>
  </si>
  <si>
    <t>KE</t>
  </si>
  <si>
    <t>Keefer keels a keeper</t>
  </si>
  <si>
    <t>keeper=a big bluegill fish; keels=turns over or knocks off a table, as in 'keeled over'</t>
  </si>
  <si>
    <t>KF</t>
  </si>
  <si>
    <t>Kaffe kerfs a kingfisher</t>
  </si>
  <si>
    <t>KG</t>
  </si>
  <si>
    <t>Kanga kegs a kanga</t>
  </si>
  <si>
    <t>kegs=puts into a keg, that's a real usage; kanga=kangaroo</t>
  </si>
  <si>
    <t>KH</t>
  </si>
  <si>
    <t>Kesha kashas a kosher</t>
  </si>
  <si>
    <t>kashas=overturns a bowl of kasha on something</t>
  </si>
  <si>
    <t>KI</t>
  </si>
  <si>
    <t>Kirk kikkomans a kingklip</t>
  </si>
  <si>
    <t>kikkomans=pours kikkoman soy sauce onto, in order to eat object</t>
  </si>
  <si>
    <t>KJ</t>
  </si>
  <si>
    <t>Kojak khanjars koji</t>
  </si>
  <si>
    <t>khanjars=slits open with a curved dagger</t>
  </si>
  <si>
    <t>KK</t>
  </si>
  <si>
    <t>KK KK's a KK</t>
  </si>
  <si>
    <t>KK's=swats away; KK=kit kat candy bar</t>
  </si>
  <si>
    <t>KL</t>
  </si>
  <si>
    <t>Khalil kills a kilo</t>
  </si>
  <si>
    <t>KM</t>
  </si>
  <si>
    <t>Kim kamiks a kimono</t>
  </si>
  <si>
    <t>kamiks=steps on</t>
  </si>
  <si>
    <t>KN</t>
  </si>
  <si>
    <t>Kenneth kennels a kine</t>
  </si>
  <si>
    <t>kennels=puts in a dog carrier</t>
  </si>
  <si>
    <t>KO</t>
  </si>
  <si>
    <t>Koopa kool-aids a kookaburra</t>
  </si>
  <si>
    <t xml:space="preserve">kool-aids=pours red kool-aid over, in celebration, like pouring gatorade over a coach </t>
  </si>
  <si>
    <t>KP</t>
  </si>
  <si>
    <t>Kip kopeks kelp</t>
  </si>
  <si>
    <t>KQ</t>
  </si>
  <si>
    <t>Kumquat kumquats a kumquat</t>
  </si>
  <si>
    <t>KR</t>
  </si>
  <si>
    <t>Kerr kerosenes a kerr</t>
  </si>
  <si>
    <t>KS</t>
  </si>
  <si>
    <t>Kiss kisses a kaiser</t>
  </si>
  <si>
    <t>KT</t>
  </si>
  <si>
    <t>Kate kites a kitten</t>
  </si>
  <si>
    <t>kites=throws straight up, high into the air</t>
  </si>
  <si>
    <t>KU</t>
  </si>
  <si>
    <t>Kunkel kukri's kunkur</t>
  </si>
  <si>
    <t>KV</t>
  </si>
  <si>
    <t>Kevin kelvins kava</t>
  </si>
  <si>
    <t>kelvins=puts into a fridge or walk-in freezer</t>
  </si>
  <si>
    <t>KW</t>
  </si>
  <si>
    <t>Kowalska kalewifes kingwood</t>
  </si>
  <si>
    <t>kalewifes=sells at a fruit stand</t>
  </si>
  <si>
    <t>KX</t>
  </si>
  <si>
    <t>Kix kickboxes kix</t>
  </si>
  <si>
    <t xml:space="preserve">kix= the cereal with little balls; kickboxes=kicks during a kickboxing match </t>
  </si>
  <si>
    <t>KY</t>
  </si>
  <si>
    <t>Kyle keys a kayak</t>
  </si>
  <si>
    <t>keys=scrapes with a metal key</t>
  </si>
  <si>
    <t>KZ</t>
  </si>
  <si>
    <t>Katz klutzes a kazoo</t>
  </si>
  <si>
    <t>klutzes=drops or knocks over object, breaking it</t>
  </si>
  <si>
    <t>LA</t>
  </si>
  <si>
    <t>Lael lalala's a landline</t>
  </si>
  <si>
    <t>lalala's=puts fingers in ears, turns around, and says "La-la-la, I can't hear or see you!"; landline=a cordless landline phone in its cradle</t>
  </si>
  <si>
    <t>LB</t>
  </si>
  <si>
    <t>Libbie lobs a lab</t>
  </si>
  <si>
    <t>LC</t>
  </si>
  <si>
    <t>Lucas locates a locust</t>
  </si>
  <si>
    <t>locates=finds by opening a drawer or a garage door; locust=grasshopper</t>
  </si>
  <si>
    <t>LD</t>
  </si>
  <si>
    <t>Ladd lards a ladder</t>
  </si>
  <si>
    <t>lards=spreads lard on object with intent to destroy</t>
  </si>
  <si>
    <t>LE</t>
  </si>
  <si>
    <t>Lee leaflets a leek</t>
  </si>
  <si>
    <t>leaflets=invites to a party by throwing up a handful of written invitations that fall over object like ticker tape; leek=the vegetable</t>
  </si>
  <si>
    <t>LF</t>
  </si>
  <si>
    <r>
      <t xml:space="preserve">Leif luffs </t>
    </r>
    <r>
      <rPr>
        <sz val="10"/>
        <color theme="1"/>
        <rFont val="Arial"/>
      </rPr>
      <t>loafers</t>
    </r>
  </si>
  <si>
    <t>luffs=sails object in a sailboat</t>
  </si>
  <si>
    <t>LG</t>
  </si>
  <si>
    <t>Legolas lugs a log</t>
  </si>
  <si>
    <t>LH</t>
  </si>
  <si>
    <t>Lush longships a lampshade</t>
  </si>
  <si>
    <t>longships=takes object out in a viking ship</t>
  </si>
  <si>
    <t>LI</t>
  </si>
  <si>
    <t>Lili lifelines a lilac</t>
  </si>
  <si>
    <t>lifelines=ties a rope around object and pulls it to safety</t>
  </si>
  <si>
    <t>LJ</t>
  </si>
  <si>
    <t>LaJoie longjumps a learjet</t>
  </si>
  <si>
    <t>LK</t>
  </si>
  <si>
    <t>Luke licks a lock</t>
  </si>
  <si>
    <t>lock=padlock; licks= licks with tongue</t>
  </si>
  <si>
    <t>LL</t>
  </si>
  <si>
    <t>LL LL's an LL</t>
  </si>
  <si>
    <t>LL's=slaps and knocks over; LL=coiled long-line fishing line</t>
  </si>
  <si>
    <t>LM</t>
  </si>
  <si>
    <t>Lem laments a lemon</t>
  </si>
  <si>
    <t>laments=cries over object, which has fallen off a table onto a dirty floor and become broken or dirty</t>
  </si>
  <si>
    <t>LN</t>
  </si>
  <si>
    <t>Lennon lines a loaner</t>
  </si>
  <si>
    <t>lines=packages up object in a box or shipping container, with a bubble wrap lining, to send to a friend;  loaner=compact car from a car rental agency, with a spiffy dashboard and that new car smell</t>
  </si>
  <si>
    <t>LO</t>
  </si>
  <si>
    <t>Loomis loots a loo</t>
  </si>
  <si>
    <t>loo=porta-potty; loots=steals object</t>
  </si>
  <si>
    <t>LP</t>
  </si>
  <si>
    <t>Lupino lops a leopard</t>
  </si>
  <si>
    <t>LQ</t>
  </si>
  <si>
    <t>LaQuan liquifies liquor</t>
  </si>
  <si>
    <t>liquifies=puts in a blender; liquor=a frozen margarita</t>
  </si>
  <si>
    <t>LR</t>
  </si>
  <si>
    <t>Laura lorries a laurel</t>
  </si>
  <si>
    <t>laurel=bay tree OR laurel wreath; lorrie=truck</t>
  </si>
  <si>
    <t>LS</t>
  </si>
  <si>
    <t>Les lasso's a lasagne</t>
  </si>
  <si>
    <t>LT</t>
  </si>
  <si>
    <t>Lott litters lettuce</t>
  </si>
  <si>
    <t>litters=throws to the side of the road</t>
  </si>
  <si>
    <t>LU</t>
  </si>
  <si>
    <t>Lulu lullabies a lulu</t>
  </si>
  <si>
    <t>lullabies=sings to object; lulu= a dog wearing a pope costume, or some other spectacle</t>
  </si>
  <si>
    <t>LV</t>
  </si>
  <si>
    <t>Lev levers the lave</t>
  </si>
  <si>
    <t>levers=pulls a lever which makes object fall into a big tub of water, like in a dunking booth;  lave=a bucket of coal ash</t>
  </si>
  <si>
    <t>LW</t>
  </si>
  <si>
    <t>Lowe lowers lungwort</t>
  </si>
  <si>
    <t>lowers = ties with rope and lowers down, perhaps into a hole</t>
  </si>
  <si>
    <t>LX</t>
  </si>
  <si>
    <t>Lex luxates Lox</t>
  </si>
  <si>
    <t>luxates=bends out of shape, dislocates, breaks</t>
  </si>
  <si>
    <t>LY</t>
  </si>
  <si>
    <t>Lyle lysols lye</t>
  </si>
  <si>
    <t>lysols=sprays with lysol; lye=a bar of soap</t>
  </si>
  <si>
    <t>LZ</t>
  </si>
  <si>
    <t>Liz lozenges a lizard</t>
  </si>
  <si>
    <t>lozenges=decorates with a red-white lozenge (diamond) pattern, as used in heraldry, to claim ownership of object</t>
  </si>
  <si>
    <t>MA</t>
  </si>
  <si>
    <t>Ma mammograms a mammoth</t>
  </si>
  <si>
    <t>mammograms=squeezes in a mammogram machine</t>
  </si>
  <si>
    <t>MB</t>
  </si>
  <si>
    <t>Mabel mothballs a mambo</t>
  </si>
  <si>
    <t>mothballs=stows in a trunk or closet; mambo=mambo sock (hat)</t>
  </si>
  <si>
    <t>MC</t>
  </si>
  <si>
    <t>Mac mercs the mic</t>
  </si>
  <si>
    <t>mic=corded microphone</t>
  </si>
  <si>
    <t>MD</t>
  </si>
  <si>
    <t>Maddie muddies a medal</t>
  </si>
  <si>
    <t>muddies=throws out a window into a mud puddle on a rainy day; medal=gold medal on a ribbon</t>
  </si>
  <si>
    <t>ME</t>
  </si>
  <si>
    <t>Meena meets a meercat</t>
  </si>
  <si>
    <t>MF</t>
  </si>
  <si>
    <t>Mufasa muffles the mafia</t>
  </si>
  <si>
    <t>muffles=puts a UPS padded shipping blanket over; mafia=a gang of thugs</t>
  </si>
  <si>
    <t>MG</t>
  </si>
  <si>
    <t>Meg migs a mug</t>
  </si>
  <si>
    <t>migs=shoots with a missile</t>
  </si>
  <si>
    <t>MH</t>
  </si>
  <si>
    <t>Mosh meshes a mash</t>
  </si>
  <si>
    <t>meshes=discards in a mesh wastebasket, perhaps a very large one;  mash=pot of boiling grains</t>
  </si>
  <si>
    <t>MI</t>
  </si>
  <si>
    <t>Mimi mimosas a ming</t>
  </si>
  <si>
    <t>mimosas=spills a mimosa on; ming=ming vase</t>
  </si>
  <si>
    <t>MJ</t>
  </si>
  <si>
    <t>Major misjudges marjoram</t>
  </si>
  <si>
    <t>misjudges=knocks off table while trying to pick up; marjoram=a bulk container of dried marjoram leaves</t>
  </si>
  <si>
    <t>MK</t>
  </si>
  <si>
    <t>Mike marks milk</t>
  </si>
  <si>
    <t>marks=writes a checkmark, or initials, on object with a sharpie to lay claim to it; milk=a half-gallon of milk</t>
  </si>
  <si>
    <t>ML</t>
  </si>
  <si>
    <t>Mel mails a melon</t>
  </si>
  <si>
    <t>mails=ties with a red bow and sends in the mail;  mellon=cantaloupe, or honeydew or watermelon</t>
  </si>
  <si>
    <t>MM</t>
  </si>
  <si>
    <t>MM MM's an MM</t>
  </si>
  <si>
    <t>MM's=tosses object up in the air and catches it in mouth to eat; MM=a pack of m&amp;m's</t>
  </si>
  <si>
    <t>MN</t>
  </si>
  <si>
    <t>Manning manacles a menu</t>
  </si>
  <si>
    <t>manacles=arrests and binds to a nearby post; menu=laminated, 2-page restaurant menu</t>
  </si>
  <si>
    <t>MO</t>
  </si>
  <si>
    <t>Moore moons a moose</t>
  </si>
  <si>
    <t>MP</t>
  </si>
  <si>
    <t>Mopp mops a map</t>
  </si>
  <si>
    <t>mops=mops or wipes down a very dirty instance of object; map=thick foldable map of city, the type you would get at a gas station</t>
  </si>
  <si>
    <t>MQ</t>
  </si>
  <si>
    <t>Monique marquees mesquite</t>
  </si>
  <si>
    <t>marquees=puts digital image of object on marquee to announce its arrival in store; mesquite=mesquite firewood</t>
  </si>
  <si>
    <t>MR</t>
  </si>
  <si>
    <t>Morris mars a mirror</t>
  </si>
  <si>
    <t>MS</t>
  </si>
  <si>
    <t>Mose misses moss</t>
  </si>
  <si>
    <t>misses=picture object being driven away by a pickup truck</t>
  </si>
  <si>
    <t>MT</t>
  </si>
  <si>
    <t>Matt mitts a mutt</t>
  </si>
  <si>
    <t>mitts=wraps tightly with arms and hands;  mutt=golden doodle</t>
  </si>
  <si>
    <t>MU</t>
  </si>
  <si>
    <t>Murph mummifies a muumuu</t>
  </si>
  <si>
    <t>mummifies=wraps completely in gauze; muumuu=Hawaiian dress</t>
  </si>
  <si>
    <t>MV</t>
  </si>
  <si>
    <t>Marvel moves a movie</t>
  </si>
  <si>
    <t>movie=physical DVD; moves=moves on a dolly and/or puts into a moving truck</t>
  </si>
  <si>
    <t>MW</t>
  </si>
  <si>
    <t>Morwen mows milkweed</t>
  </si>
  <si>
    <t>mows=mows with a push mower</t>
  </si>
  <si>
    <t>MX</t>
  </si>
  <si>
    <t>Max maximizes a mixture</t>
  </si>
  <si>
    <t>maximizes=makes 3x bigger with the wave of a magic wand;  mixture=beaker of chemicals or a 'suicide', a drink made from combining different drinks from a soda fountain</t>
  </si>
  <si>
    <t>MY</t>
  </si>
  <si>
    <t>Maya myrrhs a mynah</t>
  </si>
  <si>
    <t>myrrhs=rubs with aromatic myrrh; mynah=a talking bird, like a parrot</t>
  </si>
  <si>
    <t>MZ</t>
  </si>
  <si>
    <t>Mozart muzzles mozzarella</t>
  </si>
  <si>
    <t xml:space="preserve">muzzles=covers and cages with netting, as with a dog's muzzle;  mozzarella=a block of mozzarella </t>
  </si>
  <si>
    <t>NA</t>
  </si>
  <si>
    <t>Nan nannies naan</t>
  </si>
  <si>
    <t>Nannies=cradles and rocks object in arms</t>
  </si>
  <si>
    <t>NB</t>
  </si>
  <si>
    <t>Nebula nibbles a nib</t>
  </si>
  <si>
    <t>nib=pencil</t>
  </si>
  <si>
    <t>NC</t>
  </si>
  <si>
    <t>Nico nicotines narcotics</t>
  </si>
  <si>
    <t>nicotines=flicks cigarette ash onto; narcotics=a baggie of heroin</t>
  </si>
  <si>
    <t>ND</t>
  </si>
  <si>
    <t>Ned neddies a nudist</t>
  </si>
  <si>
    <t>neddies=rides on a horse with object</t>
  </si>
  <si>
    <t>NE</t>
  </si>
  <si>
    <t>Neen needles a nene</t>
  </si>
  <si>
    <t>needles=sticks with a sewing needle, or supplies hypodermic needles to</t>
  </si>
  <si>
    <t>NF</t>
  </si>
  <si>
    <t>Nefertiti nerfs a numbfish</t>
  </si>
  <si>
    <t>nerfs=shoots with a nerf gun, causing object to fall over</t>
  </si>
  <si>
    <t>NG</t>
  </si>
  <si>
    <t>Niggle nougats a nugget</t>
  </si>
  <si>
    <t>nougats=dips in white nougat sauce; nugget=large gold nugget</t>
  </si>
  <si>
    <t>NH</t>
  </si>
  <si>
    <t>Nash noshes a nutshell</t>
  </si>
  <si>
    <t>noshes=eats</t>
  </si>
  <si>
    <t>NI</t>
  </si>
  <si>
    <t>Nina nines a niner</t>
  </si>
  <si>
    <t>nines=dresses up object in a tuxedo or fancy clothing; niner=a ninepin, or bowling pin</t>
  </si>
  <si>
    <t>NJ</t>
  </si>
  <si>
    <t>Narjis ninjas a naja</t>
  </si>
  <si>
    <t>ninjas=pulls out a ninja star from a hidden pocket and throws it at object</t>
  </si>
  <si>
    <t>NK</t>
  </si>
  <si>
    <t>Nick nukes a nickel</t>
  </si>
  <si>
    <t>NL</t>
  </si>
  <si>
    <t>Nellie nails a nilla</t>
  </si>
  <si>
    <t>nails=hits with a snowball (which was perhaps saved in a freezer), causing object to fall over or become disheveled</t>
  </si>
  <si>
    <t>NM</t>
  </si>
  <si>
    <t>Norm names a nomad</t>
  </si>
  <si>
    <t>nomad=wolf; names=puts a label (nametag) on object</t>
  </si>
  <si>
    <t>NN</t>
  </si>
  <si>
    <t>NN NN's an NN</t>
  </si>
  <si>
    <t>NN's=swipes at and leaves claw marks on object; NN=a no-no, specifically a forbidden big chocolate chip cookie</t>
  </si>
  <si>
    <t>NO</t>
  </si>
  <si>
    <t>Noodles nooses a noodle</t>
  </si>
  <si>
    <t>no's=shakes head and makes arm crossing motion like a football referee saying "no good"; noodle=swim noodle</t>
  </si>
  <si>
    <t>NP</t>
  </si>
  <si>
    <t>Napolean nips a newspaper</t>
  </si>
  <si>
    <t>nips=steals (makes a quick grab for)</t>
  </si>
  <si>
    <t>NQ</t>
  </si>
  <si>
    <t>Nique naqqali's a nonliquid</t>
  </si>
  <si>
    <t xml:space="preserve">naqqali's=tells a dramatic story about object to an audience, with object present;  nonliquid=a nonliquid asset such as a TV </t>
  </si>
  <si>
    <t>NR</t>
  </si>
  <si>
    <t>Nora nears a neuron</t>
  </si>
  <si>
    <t>nears=draws near, so that face is within inches of object</t>
  </si>
  <si>
    <t>NS</t>
  </si>
  <si>
    <t>Nessie nelsons a Nissan</t>
  </si>
  <si>
    <t>NT</t>
  </si>
  <si>
    <t>Nat nets a nest</t>
  </si>
  <si>
    <t>nets=captures with a net; nest=bird nest</t>
  </si>
  <si>
    <t>NU</t>
  </si>
  <si>
    <t>Nunn num-num's a nun</t>
  </si>
  <si>
    <t>num-num's=eats;</t>
  </si>
  <si>
    <t>NV</t>
  </si>
  <si>
    <t>Neville novas a navel</t>
  </si>
  <si>
    <t>NW</t>
  </si>
  <si>
    <t>Nawin newels a Narwhal</t>
  </si>
  <si>
    <t>newels=uses a newel post as a bat and whacks object</t>
  </si>
  <si>
    <t>NX</t>
  </si>
  <si>
    <t>Nixon nixes a nexus</t>
  </si>
  <si>
    <t>nixes=rejects, sends away with pointing finger, like "get out"; nexus=a nexus smartphone</t>
  </si>
  <si>
    <t>NY</t>
  </si>
  <si>
    <t>Nye nylons a nymph</t>
  </si>
  <si>
    <t>nylons=stretches thin, translucent fabric over</t>
  </si>
  <si>
    <t>NZ</t>
  </si>
  <si>
    <t>Nunzio nuzzles a nozzle</t>
  </si>
  <si>
    <t>nuzzles=rubs nose into; nozzle=detachable hose nozzle</t>
  </si>
  <si>
    <t>OA</t>
  </si>
  <si>
    <t>Oak oars oatmeal</t>
  </si>
  <si>
    <t>oars= rows, or hits with an oar</t>
  </si>
  <si>
    <t>OB</t>
  </si>
  <si>
    <t>Obama obliterates an oboe</t>
  </si>
  <si>
    <t>obliterates=blows up with a hand grenade</t>
  </si>
  <si>
    <t>OC</t>
  </si>
  <si>
    <t>Occam ocarinas an occiput</t>
  </si>
  <si>
    <t>occiput= the back of the skull; ocarinas=plays an ocarina (that small, fist-shaped flute) with intent to mystically heal or fix</t>
  </si>
  <si>
    <t>OD</t>
  </si>
  <si>
    <t>Odo orders an odor</t>
  </si>
  <si>
    <t>orders=picture person at the head of a table with a white tablecloth (can be a long table for large object) with napkin and silverware settings and menu nearby, and waiter has just brought object and placed it in front of person;  odor=basket of pot pouri with a carrying handle</t>
  </si>
  <si>
    <t>OE</t>
  </si>
  <si>
    <t>Oedipus oenomels Oedipus</t>
  </si>
  <si>
    <t>oenomels=pours oenomel onto; oedipus=paperback version of Odeipus Rex</t>
  </si>
  <si>
    <t>OF</t>
  </si>
  <si>
    <t>Offenbach offs an orff</t>
  </si>
  <si>
    <t>offs=shoots with a handgun; orff=alto xylophone orff instrument</t>
  </si>
  <si>
    <t>OG</t>
  </si>
  <si>
    <t>Og ogles an ogre</t>
  </si>
  <si>
    <t>ogles=holds and considers stealing; ogre=Shrek</t>
  </si>
  <si>
    <t>OH</t>
  </si>
  <si>
    <t>O'Shea oshacs oshac</t>
  </si>
  <si>
    <t>oshacs=places object in a clear container with a well-fitting lid and appropriate label, in accordance with OSHAC rules; oshac=medicinal gum-resin product of the oshac gum plant, resembles clumps of granola</t>
  </si>
  <si>
    <t>OI</t>
  </si>
  <si>
    <t>Oin oils an oilskin</t>
  </si>
  <si>
    <t>oils=sprays with WD40</t>
  </si>
  <si>
    <t>OJ</t>
  </si>
  <si>
    <t>Ojo objurgates an ojime</t>
  </si>
  <si>
    <t>objurgates=rebukes severely, scolds</t>
  </si>
  <si>
    <t>OK</t>
  </si>
  <si>
    <t>O'Keeffe okapi's okra</t>
  </si>
  <si>
    <t>okapi's=cuts with an okapi blade</t>
  </si>
  <si>
    <t>OL</t>
  </si>
  <si>
    <t>Olaf oleums an olive</t>
  </si>
  <si>
    <t>oleums=disintegrates with acid</t>
  </si>
  <si>
    <t>OM</t>
  </si>
  <si>
    <t>Omar omits an omen</t>
  </si>
  <si>
    <t>omits=tosses aside when planning a garage sale, leaving other items on a long folding table that WILL be included; omen=black cat</t>
  </si>
  <si>
    <t>ON</t>
  </si>
  <si>
    <t>Ono onions* an onion*</t>
  </si>
  <si>
    <t>OO</t>
  </si>
  <si>
    <t>OO OO's OO</t>
  </si>
  <si>
    <t>OO's=bites a chunk off object like a crazed person; OO=bottle of olive oil</t>
  </si>
  <si>
    <t>OP</t>
  </si>
  <si>
    <t>Opus opens an opossum</t>
  </si>
  <si>
    <t>opens=opens a container containing object</t>
  </si>
  <si>
    <t>OQ</t>
  </si>
  <si>
    <t>Oquendo overequips an oquawka</t>
  </si>
  <si>
    <t>overequips=wraps with several chains or necklaces of bells, as with the proverbial 'bells and whistles';  oquawka= wide motorboat with curved railing in front</t>
  </si>
  <si>
    <t>OR</t>
  </si>
  <si>
    <t>Orin origami's an orange</t>
  </si>
  <si>
    <t>origami's=makes an origami sculpture, with yellow paper, of object, with real object nearby</t>
  </si>
  <si>
    <t>OS</t>
  </si>
  <si>
    <t>Ossie ossifies an ossetra</t>
  </si>
  <si>
    <t>ossifies=turns into stone</t>
  </si>
  <si>
    <t>OT</t>
  </si>
  <si>
    <t>Otto otoscopes an otter</t>
  </si>
  <si>
    <t>OU</t>
  </si>
  <si>
    <t>Ousmane ouzos an oud</t>
  </si>
  <si>
    <t>ouds=pours ouzo over</t>
  </si>
  <si>
    <t>OV</t>
  </si>
  <si>
    <t>Ovid ovens an ovum</t>
  </si>
  <si>
    <t>ovens=cooks; ovum=ostrich egg, which is 6 inches long and takes up the whole hand that holds it</t>
  </si>
  <si>
    <t>OW</t>
  </si>
  <si>
    <t>Owen owes an owie</t>
  </si>
  <si>
    <t>owes=picture the person clutching the object and refusing to let go;  owie=a Halloween prop severed arm</t>
  </si>
  <si>
    <t>OX</t>
  </si>
  <si>
    <t>Oxford oxidizes an ox</t>
  </si>
  <si>
    <t>oxidizes=pours lighter fluid onto object then lights a match</t>
  </si>
  <si>
    <t>OY</t>
  </si>
  <si>
    <t>Oyster oysters an oysterman</t>
  </si>
  <si>
    <t>oysters=puts object on top of a post and uses it for target practice, throwing oysters;  oysterman=an oysterman hat</t>
  </si>
  <si>
    <t>OZ</t>
  </si>
  <si>
    <t>Oz ozones orzo</t>
  </si>
  <si>
    <t>ozones=abandons object on the side of the road, driving away and leaving the object in a swirl of car exhaust; orzo=a bowl of orzo</t>
  </si>
  <si>
    <t>PA</t>
  </si>
  <si>
    <t>Papa paperbags pampers</t>
  </si>
  <si>
    <t>paperbags=puts into a big brown paper bag with handles to take somewhere, or for large objects, cuts eye holes in the bag and puts it over head of object; pampers=a pack of diapers</t>
  </si>
  <si>
    <t>PB</t>
  </si>
  <si>
    <t>Plumbean parboils a pebble</t>
  </si>
  <si>
    <t>pebble=a colorful, striped pebble</t>
  </si>
  <si>
    <t>PC</t>
  </si>
  <si>
    <t>Picard procures a Picasso</t>
  </si>
  <si>
    <t>procures=buys using gold coins from a small cloth sack</t>
  </si>
  <si>
    <t>PD</t>
  </si>
  <si>
    <t>Perd peddles a paddle</t>
  </si>
  <si>
    <t>peddles=sells aggressively, with a smile</t>
  </si>
  <si>
    <t>PE</t>
  </si>
  <si>
    <t>Peele peppers a peel</t>
  </si>
  <si>
    <t>peppers=grates pepper onto object with a peppermill, in preparation of eating it; peel=banana peel</t>
  </si>
  <si>
    <t>PF</t>
  </si>
  <si>
    <t>Puff perfumes a puffin</t>
  </si>
  <si>
    <t>perfumes=spritzes perfume on object</t>
  </si>
  <si>
    <t>PG</t>
  </si>
  <si>
    <t>Peg pugs a pig</t>
  </si>
  <si>
    <t>pugs=destroys in a trash compactor</t>
  </si>
  <si>
    <t>PH</t>
  </si>
  <si>
    <t>Posh pushes a pushup</t>
  </si>
  <si>
    <t>PI</t>
  </si>
  <si>
    <t>Pi pinpricks a pie</t>
  </si>
  <si>
    <t>pinpricks=pricks deeply with a hat pin; pie=apple pie with lattice crust</t>
  </si>
  <si>
    <t>PJ</t>
  </si>
  <si>
    <t>Puja projects pajamas</t>
  </si>
  <si>
    <t>projects=throws, like a projectile; pajamas=blue silk pajamas</t>
  </si>
  <si>
    <t>PK</t>
  </si>
  <si>
    <t>Pike packs a puck</t>
  </si>
  <si>
    <t>packs=carries in a hiking backpack; puck=red, ridged air hockey puck</t>
  </si>
  <si>
    <t>PL</t>
  </si>
  <si>
    <t>Paul pallets a pillow</t>
  </si>
  <si>
    <t>pallets=puts on a pallet for shipping, perhaps in a box, and drives in a forklift</t>
  </si>
  <si>
    <t>PM</t>
  </si>
  <si>
    <t>Pam palms a palm</t>
  </si>
  <si>
    <t>palms=leaves a red handprint on a person's skin from a hard slap, or leaves a painted hand-print on object</t>
  </si>
  <si>
    <t>PN</t>
  </si>
  <si>
    <t>Penn pans penne</t>
  </si>
  <si>
    <t>pans='cooks'</t>
  </si>
  <si>
    <t>PO</t>
  </si>
  <si>
    <t>Po poofs a poodle</t>
  </si>
  <si>
    <t>poofs=makes disappear magically, perhaps by surreptitiously throwing it up and over a person</t>
  </si>
  <si>
    <t>PP</t>
  </si>
  <si>
    <t>PP PP's a PP</t>
  </si>
  <si>
    <t>PP's=steals; PP=ping pong table</t>
  </si>
  <si>
    <t>PQ</t>
  </si>
  <si>
    <t>Plastique plastiques a plaque</t>
  </si>
  <si>
    <t>plaque=nice, dark block of oak, in which is centered one of those glassy black rectangles with gold lettering</t>
  </si>
  <si>
    <t>PR</t>
  </si>
  <si>
    <t>Parr pares a pear</t>
  </si>
  <si>
    <t>Bob, Helen, Violet, Dash, Jack-Jack Parr, so-named because 'par' means 'average'</t>
  </si>
  <si>
    <t>PS</t>
  </si>
  <si>
    <t>Puss presoaks a pesse</t>
  </si>
  <si>
    <t>presoaks=scrubs with a soapy sponge then leaves sitting half-submerged in a tub, or hoses down, for a large object; pesse=canoe</t>
  </si>
  <si>
    <t>PT</t>
  </si>
  <si>
    <t>Pat pets a pot</t>
  </si>
  <si>
    <t xml:space="preserve">pets=holds close and pets affectionately </t>
  </si>
  <si>
    <t>PU</t>
  </si>
  <si>
    <t>Puppeteer_The pulps a puppet</t>
  </si>
  <si>
    <t>pulps=squishes in a vise; puppet=Grover the blue muppet</t>
  </si>
  <si>
    <t>PV</t>
  </si>
  <si>
    <t>Pavarotti pulverizes a paver</t>
  </si>
  <si>
    <t>pulverizes=crushes to powder with a giant mortar and pestle</t>
  </si>
  <si>
    <t>PW</t>
  </si>
  <si>
    <t>Pow paws a pew</t>
  </si>
  <si>
    <t>paws=grabs at object, which is just out of reach on a high shelf</t>
  </si>
  <si>
    <t>PX</t>
  </si>
  <si>
    <t>Paxton peroxides a pixie</t>
  </si>
  <si>
    <t>peroxides=bleaches by pouring a bottle of hydrogen peroxide over object</t>
  </si>
  <si>
    <t>PY</t>
  </si>
  <si>
    <t>Pyle pyros a pylon</t>
  </si>
  <si>
    <t>PZ</t>
  </si>
  <si>
    <t>Paz prizes pizza</t>
  </si>
  <si>
    <t>prizes=places in a glass display cabinet or museum exhibit; pizza=pepperoni pizza</t>
  </si>
  <si>
    <t>QA</t>
  </si>
  <si>
    <t>Qua quaaludes a quaqua</t>
  </si>
  <si>
    <t>quaaludes=causes object to rise up in the air and go in mellow circles around person</t>
  </si>
  <si>
    <t>QB</t>
  </si>
  <si>
    <t>Quickbeam quillbacks a quibbler</t>
  </si>
  <si>
    <t>quillbacks=stabs with the venomous quill of a quillback rockfish; quibbler=a rolled up newspaper</t>
  </si>
  <si>
    <t>QC</t>
  </si>
  <si>
    <t>Quarcoo quitclaims a quincuncial</t>
  </si>
  <si>
    <t>quitclaims=signs a legal document to give up claim on object, or, simply walks away from object that has just been brought to person, that is designated for that person; quincuncial=a five-petalled guava flower</t>
  </si>
  <si>
    <t>QD</t>
  </si>
  <si>
    <t>Quaid quids a quidditch_stick</t>
  </si>
  <si>
    <t>quids=buys, in a store; quidditch_stick=magical broomstick for playing quidditch</t>
  </si>
  <si>
    <t>QE</t>
  </si>
  <si>
    <t>Queen queens a queen</t>
  </si>
  <si>
    <t>queen=a chess piece queen; queens=puts a queen's crown onto; Queen=think Freddie Mercury</t>
  </si>
  <si>
    <t>QF</t>
  </si>
  <si>
    <t>Qwilfish quaffs a quaffer</t>
  </si>
  <si>
    <t>quaffs=eats whole; quaffer=small fish or double-decker shot glass</t>
  </si>
  <si>
    <t>QG</t>
  </si>
  <si>
    <t>Qui_Gon quags a quagga</t>
  </si>
  <si>
    <t>quags=throws into a bog</t>
  </si>
  <si>
    <t>QH</t>
  </si>
  <si>
    <t>Quashie quashes a quasher</t>
  </si>
  <si>
    <t>quashes=smushes by closing a lid on; quasher=a bottle of "Q.O.R.I.S. the Quasher" beer, made by Hoppin' Frog Brewery in Akron, Ohio</t>
  </si>
  <si>
    <t>QI</t>
  </si>
  <si>
    <t>Qi quinquina's a quinqua</t>
  </si>
  <si>
    <t>quinquina's=accidentally spills quinquina onto;  quinqua=a 50-year-old tortoise, just because tortoises are famously long-lived</t>
  </si>
  <si>
    <t>QJ</t>
  </si>
  <si>
    <t>Quajo quikjoints a quinjet</t>
  </si>
  <si>
    <t>quikjoints=fixes by wrapping with tape</t>
  </si>
  <si>
    <t>QK</t>
  </si>
  <si>
    <t>Quark quakes a quacker</t>
  </si>
  <si>
    <t>quakes=shakes, as with a can of coke, or spray paint; quacker=duck</t>
  </si>
  <si>
    <t>QL</t>
  </si>
  <si>
    <t>Quill quells a quoll</t>
  </si>
  <si>
    <t>quells=wraps firmly in a thick blanket to keep safe</t>
  </si>
  <si>
    <t>QM</t>
  </si>
  <si>
    <t>Quimmons quemes a qualmond</t>
  </si>
  <si>
    <t>quemes= to clean and tidy object, to take it from a ruffled, upset, messy state to a tidy, neat one</t>
  </si>
  <si>
    <t>QN</t>
  </si>
  <si>
    <t>Quinn quinines a quinnat</t>
  </si>
  <si>
    <t>quinines=pours bitter tonic water over</t>
  </si>
  <si>
    <t>QO</t>
  </si>
  <si>
    <t>Quo quo's a quooker</t>
  </si>
  <si>
    <t xml:space="preserve">quo's=searches for, can picture person scanning the landscape, with open hand above eyes, while object sits in front of them in plain sight; </t>
  </si>
  <si>
    <t>QP</t>
  </si>
  <si>
    <t>Quipper_The quarpels a quip</t>
  </si>
  <si>
    <t>quip=electric toothbrush; quarpels=spreads quarpel onto, with a brush</t>
  </si>
  <si>
    <t>QQ</t>
  </si>
  <si>
    <t>QQ QQ's a QQ</t>
  </si>
  <si>
    <t>QQ's=balances object on head while walking; QQ=queen quilt, or queen-sized blanket</t>
  </si>
  <si>
    <t>QR</t>
  </si>
  <si>
    <t>Quarrel quarantines a quire</t>
  </si>
  <si>
    <t>quarantines=hides in a pocket or behind one's back; quire=medieval manuscript</t>
  </si>
  <si>
    <t>QS</t>
  </si>
  <si>
    <t>Quassi quisses a quassia</t>
  </si>
  <si>
    <t>quisses=quick-kisses</t>
  </si>
  <si>
    <t>QT</t>
  </si>
  <si>
    <t>Quentin quilts a quart</t>
  </si>
  <si>
    <t>quilts=covers with a patchwork quilt; quart=a quart of heavy cream</t>
  </si>
  <si>
    <t>QU</t>
  </si>
  <si>
    <t>Qu queues a queue</t>
  </si>
  <si>
    <t>queues=lines object up in a row of similar objects, OR gets in line at the store to buy object while holding object;  queue=a collection of rubber ducks in a pail, not necessarily lined up at the moment (think of the phrase, "get your ducks in a row")</t>
  </si>
  <si>
    <t>QV</t>
  </si>
  <si>
    <t>Quaver quivers a quaver</t>
  </si>
  <si>
    <t>quaver=a 5" tall plastic eighth note that you can stick to a music room wall; quivers=puts into a quiver or backpack, readies or stockpiles to use as a weapon</t>
  </si>
  <si>
    <t>QW</t>
  </si>
  <si>
    <t>Quadsworth quillworks quikwall</t>
  </si>
  <si>
    <t>quillworks=adorns object with quillwork; quikwall=a bag of quikwall</t>
  </si>
  <si>
    <t>QX</t>
  </si>
  <si>
    <t>Quixall quixxes quoxwood</t>
  </si>
  <si>
    <t>quixxes=fixes a scratch in, with Quixx;  quoxwood=a giant cartoon tree, or it could be a glowing, magical board cut from a tree</t>
  </si>
  <si>
    <t>QY</t>
  </si>
  <si>
    <t>Quayle quaycrafts a quoy</t>
  </si>
  <si>
    <t>quaycrafts=makes a 2-D model with toothpicks</t>
  </si>
  <si>
    <t>QZ</t>
  </si>
  <si>
    <t>Quartz quizzes quartz</t>
  </si>
  <si>
    <t xml:space="preserve">quizzes=drops object alongside a feather to see which falls faster;  quartz=a quartz brooch </t>
  </si>
  <si>
    <t>RA</t>
  </si>
  <si>
    <t>Ra ralphs a ramrod</t>
  </si>
  <si>
    <t>ralphs=throws up on object</t>
  </si>
  <si>
    <t>RB</t>
  </si>
  <si>
    <t>Robin robs a rubber</t>
  </si>
  <si>
    <t>RC</t>
  </si>
  <si>
    <t>Ricardo recovers a recorder</t>
  </si>
  <si>
    <t xml:space="preserve">recovers=scoops out of a pond, recovers from being lost underwater; recorder=a soprano (or alto) recorder, the infamous 3rd grade wind instrument </t>
  </si>
  <si>
    <t>RD</t>
  </si>
  <si>
    <t>Red reddens a rudder</t>
  </si>
  <si>
    <t>reddens=carefully paints red paisley (paramecium) or flame shapes onto object, to make it more festive, perhaps as Christmas decor</t>
  </si>
  <si>
    <t>RE</t>
  </si>
  <si>
    <t>Reese reels a reed</t>
  </si>
  <si>
    <t>reels=pulls object up out of the water with a line-and-hook fishing pole; reed=clarinet</t>
  </si>
  <si>
    <t>RF</t>
  </si>
  <si>
    <t>Riff raffles ruffles</t>
  </si>
  <si>
    <t>raffles=stands on a stage beside a popcorn-type machine that delivers little ping pong balls with raffle numbers, and picture the object being raffled sitting right there on stage as well</t>
  </si>
  <si>
    <t>RG</t>
  </si>
  <si>
    <t>Reagan ragu's a rug</t>
  </si>
  <si>
    <t>ragus=spills pasta sauce on</t>
  </si>
  <si>
    <t>RH</t>
  </si>
  <si>
    <t>Roshi rickshaws a rush</t>
  </si>
  <si>
    <t>rickshaws=pulls in a rickshaw; rush=cat tail plant</t>
  </si>
  <si>
    <t>RI</t>
  </si>
  <si>
    <t>Riri rings a ring</t>
  </si>
  <si>
    <t>rings=rings up object as a cashier at a cash register; ring= red and white floating life ring (life buoy)</t>
  </si>
  <si>
    <t>RJ</t>
  </si>
  <si>
    <t>Raj rejects a ramjet</t>
  </si>
  <si>
    <t>ramjet=small aircraft with ramjet engine</t>
  </si>
  <si>
    <t>RK</t>
  </si>
  <si>
    <t>Rick rocks a rake</t>
  </si>
  <si>
    <t>rocks=rocks in a rocking chair</t>
  </si>
  <si>
    <t>RL</t>
  </si>
  <si>
    <t>Raleigh rolls a rollie</t>
  </si>
  <si>
    <t>rolls=rolls along the ground, or overturns as with a car; rollie=hand-rolled cigar (it's a real slang word for a self-rolled cigarette, at least)</t>
  </si>
  <si>
    <t>RM</t>
  </si>
  <si>
    <t>Rahm rims a roma</t>
  </si>
  <si>
    <t>rims=throws into a circular trash can or dumpster, as if making a basketball shot</t>
  </si>
  <si>
    <t>RN</t>
  </si>
  <si>
    <t>Ronnie reins a roan</t>
  </si>
  <si>
    <t>reins=uses ribbon to attach a helium balloon to, in order to keep track of</t>
  </si>
  <si>
    <t>RO</t>
  </si>
  <si>
    <t>Roo roots a roo</t>
  </si>
  <si>
    <t>roots=plants or half-buries object in sand to keep it upright;  roo=baby kangaroo, or "joey"</t>
  </si>
  <si>
    <t>RP</t>
  </si>
  <si>
    <t>Rip rips a rope</t>
  </si>
  <si>
    <t>rips=rips in half, or rips a piece off, or rips a tag off, or rips the clothing of; rope=a coil of rope like you would see hanging from a cowboy's saddle</t>
  </si>
  <si>
    <t>RQ</t>
  </si>
  <si>
    <t>Raquel racquets a racquetball</t>
  </si>
  <si>
    <t>RR</t>
  </si>
  <si>
    <t>RR RR's an RR</t>
  </si>
  <si>
    <t>RR's=shoots several times in quick succession with a six-shooter; RR=Rolls Royce</t>
  </si>
  <si>
    <t>RS</t>
  </si>
  <si>
    <t>Ross raises a rosé</t>
  </si>
  <si>
    <t>RT</t>
  </si>
  <si>
    <t>Rhett returns a rat</t>
  </si>
  <si>
    <t>returns=returns item, due to its being cracked, at a return counter</t>
  </si>
  <si>
    <t>RU</t>
  </si>
  <si>
    <t>Rurudo rungs a ruru</t>
  </si>
  <si>
    <t>rungs=puts object on the rung of a ladder while painting a mural of the object</t>
  </si>
  <si>
    <t>RV</t>
  </si>
  <si>
    <t>Ravi reveals a raven</t>
  </si>
  <si>
    <t>reveals=brings out from behind a desk or facade</t>
  </si>
  <si>
    <t>RW</t>
  </si>
  <si>
    <t>Rowan rows a rottweiler</t>
  </si>
  <si>
    <t>rows=rows object in a rowboat</t>
  </si>
  <si>
    <t>RX</t>
  </si>
  <si>
    <t>Roxanne refluxes a rax</t>
  </si>
  <si>
    <t xml:space="preserve">refluxes= eats a piece of object, like a hair or a screw, then gets acid reflux and vomits on object </t>
  </si>
  <si>
    <t>RY</t>
  </si>
  <si>
    <t>Rey rayguns rye</t>
  </si>
  <si>
    <t>rye=a quarter-full glass of rye whiskey</t>
  </si>
  <si>
    <t>RZ</t>
  </si>
  <si>
    <t>Rizzo razorblades ritz</t>
  </si>
  <si>
    <t>razorblades=slices with a razorblade; ritz=a box of ritz crackers</t>
  </si>
  <si>
    <t>SA</t>
  </si>
  <si>
    <t>Samson Saabs salsa</t>
  </si>
  <si>
    <t>Saabs=drives object in a Saab</t>
  </si>
  <si>
    <t>SB</t>
  </si>
  <si>
    <t>Seb sabres a sub</t>
  </si>
  <si>
    <t>sabres=cuts with sword; sub=sub sandwich</t>
  </si>
  <si>
    <t>SC</t>
  </si>
  <si>
    <t>Sacco secures a soccerball</t>
  </si>
  <si>
    <t>secures=straps in</t>
  </si>
  <si>
    <t>SD</t>
  </si>
  <si>
    <t>Sid suds a saddle</t>
  </si>
  <si>
    <t>SE</t>
  </si>
  <si>
    <t>Seeger seesaws a seed</t>
  </si>
  <si>
    <t>seed=the double coconut seed, the largest seed in the world at over a foot long</t>
  </si>
  <si>
    <t>SF</t>
  </si>
  <si>
    <t>Saffron souffles a surface</t>
  </si>
  <si>
    <t>surface=Microsoft SurfacePro; souffles=causes to puff up and be destroyed by baking, cooking over a spit, or causing to sit in a sauna</t>
  </si>
  <si>
    <t>SG</t>
  </si>
  <si>
    <t>Sig smuggles a siggi</t>
  </si>
  <si>
    <t>smuggles=hides under an overcoat, or under a camo tarp</t>
  </si>
  <si>
    <t>SH</t>
  </si>
  <si>
    <t>Sasha smashes sushi</t>
  </si>
  <si>
    <t>SI</t>
  </si>
  <si>
    <t>Scissorhands sidesteps scissors</t>
  </si>
  <si>
    <t>sidesteps=steps to the side in disgust as object goes by on a cart</t>
  </si>
  <si>
    <t>SJ</t>
  </si>
  <si>
    <t>Sojourner straitjackets a scramjet</t>
  </si>
  <si>
    <t>straitjackets=puts a straitjacket, or other tightly fitting black leather covering with zippers, on object; scramjet=scramjet missile</t>
  </si>
  <si>
    <t>SK</t>
  </si>
  <si>
    <t>Suke sinks a sack</t>
  </si>
  <si>
    <t>sinks=throws into water; sack=big burlap potato sack</t>
  </si>
  <si>
    <t>SL</t>
  </si>
  <si>
    <t>Sal sells a sail</t>
  </si>
  <si>
    <t xml:space="preserve">sells=puts a price tag on object and haggles for money </t>
  </si>
  <si>
    <t>SM</t>
  </si>
  <si>
    <t>Sam semis salmon</t>
  </si>
  <si>
    <t>semis=drives object in a semi</t>
  </si>
  <si>
    <t>SN</t>
  </si>
  <si>
    <t>Sun sani's a sign</t>
  </si>
  <si>
    <t>sani's=scrubs and sanitizes; sign=a big red stop sign that's been stolen and removed from its post</t>
  </si>
  <si>
    <t>SO</t>
  </si>
  <si>
    <t>Sosa soots a sooner</t>
  </si>
  <si>
    <t>soots=puts on make-up dirt to make look dirty as a movie prop; sooner=football player, in full gear, from the Oklahoma Sooners</t>
  </si>
  <si>
    <t>SP</t>
  </si>
  <si>
    <t>Superman supplies supper</t>
  </si>
  <si>
    <t xml:space="preserve">supplies=opens up trenchcoat or van door to reveal object </t>
  </si>
  <si>
    <t>SQ</t>
  </si>
  <si>
    <t>Sasquatch sequesters a sequin</t>
  </si>
  <si>
    <t>SR</t>
  </si>
  <si>
    <t>Sarah saran-wraps sorels</t>
  </si>
  <si>
    <t>SS</t>
  </si>
  <si>
    <t>SS SS's SS</t>
  </si>
  <si>
    <t>SS=punches, while wearing a boxing glove; SS=container of Morton sea salt</t>
  </si>
  <si>
    <t>ST</t>
  </si>
  <si>
    <t>Saturn sautees a setter</t>
  </si>
  <si>
    <t>SU</t>
  </si>
  <si>
    <t>Susan sunsets a suss</t>
  </si>
  <si>
    <t>sunsets=puts into a trunk or locks in a storage unit; suss=a suspicious package, wrapped sloppily in plain brown paper, big and bulgy</t>
  </si>
  <si>
    <t>SV</t>
  </si>
  <si>
    <t>Seven saves silver</t>
  </si>
  <si>
    <t>saves=puts into a hope chest (or 'cedar chest' or 'glory box') then carries it around; silver=a cloth bag of silver coins</t>
  </si>
  <si>
    <t>SW</t>
  </si>
  <si>
    <t>Sowash saws a sow</t>
  </si>
  <si>
    <t>sow=pig</t>
  </si>
  <si>
    <t>SX</t>
  </si>
  <si>
    <t>Sax sixes a sax</t>
  </si>
  <si>
    <t>sixes=puts away by placing in a box on a high shelf of a store-room or closet.</t>
  </si>
  <si>
    <t>SY</t>
  </si>
  <si>
    <t>Sly skyhooks a scythe</t>
  </si>
  <si>
    <t>skyhooks=skyhooks object into a basketball basket</t>
  </si>
  <si>
    <t>SZ</t>
  </si>
  <si>
    <t>Suzanne sawzalls seltzer</t>
  </si>
  <si>
    <t xml:space="preserve">sawzalls=cuts into with a sawzall </t>
  </si>
  <si>
    <t>TA</t>
  </si>
  <si>
    <t>Tatum tattoos tang</t>
  </si>
  <si>
    <t>tattoos=draws an identifying mark on object</t>
  </si>
  <si>
    <t>TB</t>
  </si>
  <si>
    <t>Tobias tubs a tuber</t>
  </si>
  <si>
    <t>tuber=potato; tubs=throws into a bathtub</t>
  </si>
  <si>
    <t>TC</t>
  </si>
  <si>
    <t>Taco talcums a tomcat</t>
  </si>
  <si>
    <t>TD</t>
  </si>
  <si>
    <t>Ted tidies a toddler</t>
  </si>
  <si>
    <t>tidies=puts back in its drawer or shelf, or its natural environment or place of residence</t>
  </si>
  <si>
    <t>TE</t>
  </si>
  <si>
    <t>Teenie teeter-totters a tent</t>
  </si>
  <si>
    <t>teeter-totters=plays on a teeter-totter with; tent=camping tent</t>
  </si>
  <si>
    <t>TF</t>
  </si>
  <si>
    <t>Tiffani teffs a truffle</t>
  </si>
  <si>
    <t>teffs=wraps in an injera to eat</t>
  </si>
  <si>
    <t>TG</t>
  </si>
  <si>
    <t>Tigger tags a tiger</t>
  </si>
  <si>
    <t>tags=puts on a price tag, to sell</t>
  </si>
  <si>
    <t>TH</t>
  </si>
  <si>
    <t>Tash trashes a tush</t>
  </si>
  <si>
    <t xml:space="preserve">trashes=throws in the trash; tush=a streaker or mooner, from behind </t>
  </si>
  <si>
    <t>TI</t>
  </si>
  <si>
    <t>Titi tightens a tie</t>
  </si>
  <si>
    <t>tightens=tightens the rope (or string) around an object</t>
  </si>
  <si>
    <t>TJ</t>
  </si>
  <si>
    <t>Taj twinjets a tearjerker</t>
  </si>
  <si>
    <t>twinjets=flies on a plane with; tearjerker=book</t>
  </si>
  <si>
    <t>TK</t>
  </si>
  <si>
    <t>Takei tackles a tack</t>
  </si>
  <si>
    <t>tack=thumbtack</t>
  </si>
  <si>
    <t>TL</t>
  </si>
  <si>
    <t>Tell tallies a tiller</t>
  </si>
  <si>
    <t>tallies=counts many of an object, and writes down hash marks, in groups of 5, on paper; tiller=handheld tiller, 4-foot stick with tines</t>
  </si>
  <si>
    <t>TM</t>
  </si>
  <si>
    <t>Tom terminates a team</t>
  </si>
  <si>
    <t>terminates=shoots with an uzi, which is the compact semi-automatic weapon that Arnold Schwarzenegger uses as the 'Terminator'; team=team of horses</t>
  </si>
  <si>
    <t>TN</t>
  </si>
  <si>
    <t>Tan tines a tuna</t>
  </si>
  <si>
    <t>tines=spears with a fork</t>
  </si>
  <si>
    <t>TO</t>
  </si>
  <si>
    <t>Tootsie totes a tool</t>
  </si>
  <si>
    <t>totes=puts into a big, square, plastic shipping tote; tool=plumbing wrench</t>
  </si>
  <si>
    <t>TP</t>
  </si>
  <si>
    <t>Tipper tips tupperware</t>
  </si>
  <si>
    <t>TQ</t>
  </si>
  <si>
    <t>Tocqueville tequilas turquoise</t>
  </si>
  <si>
    <t>TR</t>
  </si>
  <si>
    <t>Tor tars a terrier</t>
  </si>
  <si>
    <t>tars=spreads tar on as an insult</t>
  </si>
  <si>
    <t>TS</t>
  </si>
  <si>
    <t>Tess tosses a tassel</t>
  </si>
  <si>
    <t>tassel=graduation cap with tassel</t>
  </si>
  <si>
    <t>TT</t>
  </si>
  <si>
    <t>TU</t>
  </si>
  <si>
    <t>Tut turtles a tutu</t>
  </si>
  <si>
    <t>turtles=flips object over on its back</t>
  </si>
  <si>
    <t>TV</t>
  </si>
  <si>
    <t>Tove teva's a tava</t>
  </si>
  <si>
    <t>teva's=walks on top of</t>
  </si>
  <si>
    <t>TW</t>
  </si>
  <si>
    <t>Tower tows a towel</t>
  </si>
  <si>
    <t>tows=gets in a pickup truck and tows behind on a small trailer</t>
  </si>
  <si>
    <t>TX</t>
  </si>
  <si>
    <t>Tex taxies a tux</t>
  </si>
  <si>
    <t>taxies=taxies a plane containing object</t>
  </si>
  <si>
    <t>TY</t>
  </si>
  <si>
    <t>Tyler types a typewriter</t>
  </si>
  <si>
    <t>types=types a letter of complaint about the purchased object</t>
  </si>
  <si>
    <t>TZ</t>
  </si>
  <si>
    <t>Tarzan twizzles tanzanite</t>
  </si>
  <si>
    <t>twizzles=ice skates while holding or pushing object</t>
  </si>
  <si>
    <t>UA</t>
  </si>
  <si>
    <t>Uatu uada's a uakari</t>
  </si>
  <si>
    <t>uada's=scream-shouts at, like a frontman for a death metal band</t>
  </si>
  <si>
    <t>UB</t>
  </si>
  <si>
    <t>Usborne ubers an umbrella</t>
  </si>
  <si>
    <t>UC</t>
  </si>
  <si>
    <t>Unc uncrates upcourts</t>
  </si>
  <si>
    <t>UD</t>
  </si>
  <si>
    <t>Uddo underlinens an udder</t>
  </si>
  <si>
    <t>underlinens=puts a white sheet under</t>
  </si>
  <si>
    <t>UE</t>
  </si>
  <si>
    <t>Ueli uego's uelibloom</t>
  </si>
  <si>
    <t>uego's=sticks a pronged oxygen sensor into, to measure oxygen content</t>
  </si>
  <si>
    <t>UF</t>
  </si>
  <si>
    <t>Uffie unfreezes urfabutter</t>
  </si>
  <si>
    <t>unfreezes=brings out of a freezer or walk-in freezer</t>
  </si>
  <si>
    <t>UG</t>
  </si>
  <si>
    <t>Unger upgrades uggs</t>
  </si>
  <si>
    <t>upgrades=throws out old object, gets a new one</t>
  </si>
  <si>
    <t>UH</t>
  </si>
  <si>
    <t>Usher ushers an usher</t>
  </si>
  <si>
    <t>ushers=precedes, walks in front of, with object on a wheeled cart coming right behind;  usher=a penguin wearing a tuxedo, picture Mary Poppins waiter penguins</t>
  </si>
  <si>
    <t>UI</t>
  </si>
  <si>
    <t>Uinen uintates a uintathere</t>
  </si>
  <si>
    <t>uintates=shovels gravel onto</t>
  </si>
  <si>
    <t>UJ</t>
  </si>
  <si>
    <t>Upjohn unjams an unjointed</t>
  </si>
  <si>
    <t xml:space="preserve">unjams=gets unstuck from a tight cubbyhole or too-small shelf; unjointed=a folded up camping tent with its jointed poles taken apart </t>
  </si>
  <si>
    <t>UK</t>
  </si>
  <si>
    <t>Ukiah ukes a ukulele</t>
  </si>
  <si>
    <t>ukes=plays a ukulele for</t>
  </si>
  <si>
    <t>UL</t>
  </si>
  <si>
    <t>Ulani ulu's an ulua</t>
  </si>
  <si>
    <t>UM</t>
  </si>
  <si>
    <t>Umm umami's an ume</t>
  </si>
  <si>
    <t>umami's=dips in guacamole, to eat; ume=apricot</t>
  </si>
  <si>
    <t>UN</t>
  </si>
  <si>
    <t>Uno unnets Uno</t>
  </si>
  <si>
    <t>unnets=removes from a mesh bag or mesh cage</t>
  </si>
  <si>
    <t>UO</t>
  </si>
  <si>
    <t>Uotani uoma's a uomo</t>
  </si>
  <si>
    <t>uomo=a bottle of the Italian cologne 'uomo'; uoma's=draws onto with lipstick; Uotani=Elizabeth Maxwell</t>
  </si>
  <si>
    <t>UP</t>
  </si>
  <si>
    <t>Uppermost unpacks an unpainted</t>
  </si>
  <si>
    <t>unpacks=pulls object out of a suitcase or large box; unpainted=small unpainted wooden dresser</t>
  </si>
  <si>
    <t>UQ</t>
  </si>
  <si>
    <t>Unquiet umiaqs an umiaq</t>
  </si>
  <si>
    <t>UR</t>
  </si>
  <si>
    <t>Uriah urinates a urinal</t>
  </si>
  <si>
    <t>US</t>
  </si>
  <si>
    <t>Usain unseals an unsalted</t>
  </si>
  <si>
    <t>unseals=unseals a large ziploc bag containing object; unsalted=an unsalted peanut, or pack of peanuts</t>
  </si>
  <si>
    <t>UT</t>
  </si>
  <si>
    <t>Utah utensils a ute</t>
  </si>
  <si>
    <t>utensils=hacks at with a butter knife</t>
  </si>
  <si>
    <t>UU</t>
  </si>
  <si>
    <t>UU UU's a UU</t>
  </si>
  <si>
    <t>UU's=stomps on and destroys; UU=uniform worn by a United Airlines stewardess</t>
  </si>
  <si>
    <t>UV</t>
  </si>
  <si>
    <t>Uvee unveils an urva</t>
  </si>
  <si>
    <t>unveils=removes veil at a ceremony, can picture opening a shower curtain; urva=crab-eating mongoose</t>
  </si>
  <si>
    <t>UW</t>
  </si>
  <si>
    <t>Unwound unwinds an unwinder</t>
  </si>
  <si>
    <t>unwinder=a bottle of champagne; unwinds=think of object having long black cord wrapped around it a hundred times, and we're unwinding it and removing it</t>
  </si>
  <si>
    <t>UX</t>
  </si>
  <si>
    <t>Uxie uxorates an uxor</t>
  </si>
  <si>
    <t>uxorates=marries in a traditional ceremony; uxor=Fiona from 'Shrek', in her wedding gown and tiara</t>
  </si>
  <si>
    <t>UY</t>
  </si>
  <si>
    <t>Ulysses unyokes a Ulysses</t>
  </si>
  <si>
    <t>unyokes=unties the ropes around object</t>
  </si>
  <si>
    <t>UZ</t>
  </si>
  <si>
    <t>Uzi unzips an uzi</t>
  </si>
  <si>
    <t>unzips=unzips bag holding object, to take it out</t>
  </si>
  <si>
    <t>VA</t>
  </si>
  <si>
    <t>VaVa valvolines a valve</t>
  </si>
  <si>
    <t>valves=sprays with a valvoline aerosol spray;  valve=a white PVC valve with turning handle</t>
  </si>
  <si>
    <t>VB</t>
  </si>
  <si>
    <t>Vibert vibrates a vibraphone</t>
  </si>
  <si>
    <t>vibrates=strikes object with big mallet, causing it to vibrate in a cartoony way</t>
  </si>
  <si>
    <t>VC</t>
  </si>
  <si>
    <t>Vic vacuums velcro</t>
  </si>
  <si>
    <t>vacuums=cleans with handheld dust vac;  velcro=watch with velcro watchband</t>
  </si>
  <si>
    <t>VD</t>
  </si>
  <si>
    <t>Vader videos a vada</t>
  </si>
  <si>
    <t>VE</t>
  </si>
  <si>
    <t>Velveteen velvets velveeta</t>
  </si>
  <si>
    <t>velvets=covers with a sheet of blue velvet, or makes a velvet painting of object; velveeta=a big tub of melted velveeta, ready to pour</t>
  </si>
  <si>
    <t>VF</t>
  </si>
  <si>
    <t>Vanford viewfinds a vatful</t>
  </si>
  <si>
    <t>viewfinds=takes a promotional picture, to sell item;  vatful=vat of live bait</t>
  </si>
  <si>
    <t>VG</t>
  </si>
  <si>
    <t>Vega vogues a Vega</t>
  </si>
  <si>
    <t>vogues=does a photo shoot with object</t>
  </si>
  <si>
    <t>VH</t>
  </si>
  <si>
    <t>Vish vashe's voshells</t>
  </si>
  <si>
    <t>vashe's=washes with a dark blue bottle of Vashe wound solution</t>
  </si>
  <si>
    <t>VI</t>
  </si>
  <si>
    <t>Vi vivisects a viva</t>
  </si>
  <si>
    <t>vivisects=makes a long cut with a scalpel to examine the insides of object; viva=a roll of paper towels</t>
  </si>
  <si>
    <t>VJ</t>
  </si>
  <si>
    <t>VelJohnson V.J.'s verjus</t>
  </si>
  <si>
    <t>V.J.'s=veejays, i.e. does a video demo of object at a promo event, with the actual object nearby</t>
  </si>
  <si>
    <t>VK</t>
  </si>
  <si>
    <t>Vack vodkas a volk</t>
  </si>
  <si>
    <t>vodkas=throws clear vodka at, from a shot glass; volk=Volkswagen Bug</t>
  </si>
  <si>
    <t>VL</t>
  </si>
  <si>
    <t>Val veils a vole</t>
  </si>
  <si>
    <t>veils=covers with a thin transparent mesh cloth; vole=field mouse</t>
  </si>
  <si>
    <t>VM</t>
  </si>
  <si>
    <t>Velma vomits a varmint</t>
  </si>
  <si>
    <t>varmint=ground hog; vomits=eats a piece of object, then throws up ON the object</t>
  </si>
  <si>
    <t>VN</t>
  </si>
  <si>
    <t>Venus varnishes a van</t>
  </si>
  <si>
    <t>varnishes=sprays with a coat of protective varnish;  van=a blue van</t>
  </si>
  <si>
    <t>VO</t>
  </si>
  <si>
    <t>Voortman voodoos a voodoo</t>
  </si>
  <si>
    <t>voodoos=makes a voodoo doll out of;  voodoo=donut</t>
  </si>
  <si>
    <t>VP</t>
  </si>
  <si>
    <t>Viper vaporizes a viper</t>
  </si>
  <si>
    <t>VQ</t>
  </si>
  <si>
    <t>Vazquez vanquishes visqueen</t>
  </si>
  <si>
    <t>VR</t>
  </si>
  <si>
    <t>Veronica vara's a variant</t>
  </si>
  <si>
    <t>vara's=pricks with a bullfighting lance;  variant=pink river dolphin</t>
  </si>
  <si>
    <t>VS</t>
  </si>
  <si>
    <t>Vassar vessels a vase</t>
  </si>
  <si>
    <t>vessels=takes object on a ride in a sculling (racing) boat</t>
  </si>
  <si>
    <t>VT</t>
  </si>
  <si>
    <t>Vito vetoes a vitamin</t>
  </si>
  <si>
    <t>vetoes=as leader of group, waves away suggested object superciliously, or signs a paper rejecting</t>
  </si>
  <si>
    <t>VU</t>
  </si>
  <si>
    <t>Vu vuvaults a vuvuzela</t>
  </si>
  <si>
    <t>vuvaults=locks in a big glass box</t>
  </si>
  <si>
    <t>VV</t>
  </si>
  <si>
    <t>VV VV's a VV</t>
  </si>
  <si>
    <t>VV's=knocks over with a red dodgeball; VV=varicose vein, can picture a 3-foot long vein in isolation</t>
  </si>
  <si>
    <t>VW</t>
  </si>
  <si>
    <t>Vawer vows a vowel</t>
  </si>
  <si>
    <t>vows=holds object in outstretched hands, promising to give it; vowel=coffee can full of refrigerator magnet letters</t>
  </si>
  <si>
    <t>VX</t>
  </si>
  <si>
    <t>Vixen voxes a VAX</t>
  </si>
  <si>
    <t>voxes=talks fast about object, as an auctioneer at an auction, selling object; VAX=old desktop computer</t>
  </si>
  <si>
    <t>VY</t>
  </si>
  <si>
    <t>Veyron voyages vinyl</t>
  </si>
  <si>
    <t>voyages=grabs object as it hangs from a winch, as it comes aboard a ship for a voyage; vinyl=a vinyl LP record</t>
  </si>
  <si>
    <t>VZ</t>
  </si>
  <si>
    <t>Vanzetti vizio's a vizard</t>
  </si>
  <si>
    <t>vizio's=sees object on TV</t>
  </si>
  <si>
    <t>WA</t>
  </si>
  <si>
    <t>Wang war_wolfs wallwort</t>
  </si>
  <si>
    <t xml:space="preserve">war_wolfs=hurls object USING the war wolf </t>
  </si>
  <si>
    <t>WB</t>
  </si>
  <si>
    <t>Webbie whiteboards a web</t>
  </si>
  <si>
    <t>whiteboards=draws diagrams of object on a whiteboard</t>
  </si>
  <si>
    <t>WC</t>
  </si>
  <si>
    <t>Wilco welcomes a wiccan</t>
  </si>
  <si>
    <t>wiccan=a magical wizard's hat with the spirit of a wizard inside it</t>
  </si>
  <si>
    <t>WD</t>
  </si>
  <si>
    <t>Wade welds waders</t>
  </si>
  <si>
    <t>welds=joins with a welding arc, or at least blasts with a welding arc regardless of the effect</t>
  </si>
  <si>
    <t>WE</t>
  </si>
  <si>
    <t>Weederman weewees a weed</t>
  </si>
  <si>
    <t>WF</t>
  </si>
  <si>
    <t>Worf wiffles a waffle</t>
  </si>
  <si>
    <t>WG</t>
  </si>
  <si>
    <t>Wolfgang wiggles a wig</t>
  </si>
  <si>
    <t>WH</t>
  </si>
  <si>
    <t>Walsh washes a washer</t>
  </si>
  <si>
    <t>WI</t>
  </si>
  <si>
    <t>Winwood wings a wii</t>
  </si>
  <si>
    <t>wings=throws object;  wii=wii-mote (wii remote control)</t>
  </si>
  <si>
    <t>WJ</t>
  </si>
  <si>
    <t>Wojak wejars a woju</t>
  </si>
  <si>
    <t>wejars=puts into an airtight jar</t>
  </si>
  <si>
    <t>WK</t>
  </si>
  <si>
    <t>Wonka whacks a walker</t>
  </si>
  <si>
    <t>WL</t>
  </si>
  <si>
    <t>Will walls a whale</t>
  </si>
  <si>
    <t>walls=puts into a cubicle with high walls; whale=beluga or orca</t>
  </si>
  <si>
    <t>WM</t>
  </si>
  <si>
    <t>Wham whams a whamo</t>
  </si>
  <si>
    <t>whamo=frisbee; whams=konks from above with a closed fist</t>
  </si>
  <si>
    <t>WN</t>
  </si>
  <si>
    <t>Winnie wins wine</t>
  </si>
  <si>
    <t>wins=object has a thick yellow ribbon and bow around it, as if won in a showy contest; wine=a bottle of red wine</t>
  </si>
  <si>
    <t>WO</t>
  </si>
  <si>
    <r>
      <t xml:space="preserve">Woo </t>
    </r>
    <r>
      <rPr>
        <sz val="10"/>
        <color theme="1"/>
        <rFont val="Arial"/>
      </rPr>
      <t>whoopsies</t>
    </r>
    <r>
      <rPr>
        <sz val="10"/>
        <color theme="1"/>
        <rFont val="Arial"/>
      </rPr>
      <t xml:space="preserve"> a woo-woo</t>
    </r>
  </si>
  <si>
    <t>whoopsies=knocks over while drunk, either with arm or by bumping into with body</t>
  </si>
  <si>
    <t>WP</t>
  </si>
  <si>
    <t>Whop wipes a whippet</t>
  </si>
  <si>
    <t>wipes=wipes a spill (or rainwater) off of object with a towel</t>
  </si>
  <si>
    <t>WQ</t>
  </si>
  <si>
    <t>Waqar wasques a waqf</t>
  </si>
  <si>
    <t>wasques=takes object for a trip on a yacht;  waqf=pile of money</t>
  </si>
  <si>
    <t>WR</t>
  </si>
  <si>
    <t>Warren wears a walrus</t>
  </si>
  <si>
    <t>wears=carries object in baby sling. For large object like car, sling can be large and object is behind, with person leaning forward trying to move</t>
  </si>
  <si>
    <t>WS</t>
  </si>
  <si>
    <t>Wes wassails a weasel</t>
  </si>
  <si>
    <t>wassails=makes a toast to object</t>
  </si>
  <si>
    <t>WT</t>
  </si>
  <si>
    <t>Watterson whittles a waterbed</t>
  </si>
  <si>
    <t>whittles=whittles a wooden miniature of object, with a swiss army knife</t>
  </si>
  <si>
    <t>WU</t>
  </si>
  <si>
    <t>Wu wub-wub's a wuukah</t>
  </si>
  <si>
    <t>wub-wub's=gets lost in the wub-wub sound of dubstep while dancing with object</t>
  </si>
  <si>
    <t>WV</t>
  </si>
  <si>
    <t>Wolverine weaves a wivern</t>
  </si>
  <si>
    <t>weaves=makes, using any textile and technique, a small replica of the object while a real one sits nearby as a model</t>
  </si>
  <si>
    <t>WW</t>
  </si>
  <si>
    <t>WW WW's a WW</t>
  </si>
  <si>
    <t>WW's=perches on or stands on or balances on object; WW=weed whacker</t>
  </si>
  <si>
    <t>WX</t>
  </si>
  <si>
    <t>Waxman waxes a waxwing</t>
  </si>
  <si>
    <t>waxes=rubs wax on with a chamois, to make more shiny, as with a car</t>
  </si>
  <si>
    <t>WY</t>
  </si>
  <si>
    <t>Wyatt waylays whey</t>
  </si>
  <si>
    <t>waylays=jumps out from hiding and knocks over object</t>
  </si>
  <si>
    <t>WZ</t>
  </si>
  <si>
    <t>Wiz_The whizzes a wuzzle</t>
  </si>
  <si>
    <t>whizzes=throws object through the air</t>
  </si>
  <si>
    <t>XA</t>
  </si>
  <si>
    <t>Chachi cha-cha's chai</t>
  </si>
  <si>
    <t>cha-cha's=does the Cha Cha Slide dance with object, holding object out at arm's length as if it were another participant, then holding it to one side, then the other, for the turns</t>
  </si>
  <si>
    <t>XB</t>
  </si>
  <si>
    <t>Chamberlain charbroils chipboard</t>
  </si>
  <si>
    <t>XC</t>
  </si>
  <si>
    <t>Chico chaconnes charcoal</t>
  </si>
  <si>
    <t>chaconnes=does a slow, stately dance holding object as partner; charcoal=a bag of charcoal</t>
  </si>
  <si>
    <t>XD</t>
  </si>
  <si>
    <t>Chad cheddars chowder</t>
  </si>
  <si>
    <t>cheddars=buys with 100-dollar bills;  chowder=clam chowder</t>
  </si>
  <si>
    <t>XE</t>
  </si>
  <si>
    <t>Cheech cheeses a cheeseburger</t>
  </si>
  <si>
    <t>cheeses=drills holes into, using a holesaw bit, to make less heavy. Think swiss cheese.</t>
  </si>
  <si>
    <t>XF</t>
  </si>
  <si>
    <t>Chaffee chauffeurs a chiffon</t>
  </si>
  <si>
    <t>chiffon=a chiffon dress;  chauffers=drives object in a car</t>
  </si>
  <si>
    <t>XG</t>
  </si>
  <si>
    <t>Chagall chugs a chigger</t>
  </si>
  <si>
    <t>chugs=tilts back head and eats object, or a hunk of the main body of object;  chigger=hand-sized rubber replica chigger prank toy</t>
  </si>
  <si>
    <t>XH</t>
  </si>
  <si>
    <t>Cheshire chainshots cheshire</t>
  </si>
  <si>
    <t>chainshots=destroys using chainshot; cheshire=red cheshire cheese (orange really)</t>
  </si>
  <si>
    <t>XI</t>
  </si>
  <si>
    <t>Ching chings a chinchilla</t>
  </si>
  <si>
    <t>chings=stabs with a knife</t>
  </si>
  <si>
    <t>XJ</t>
  </si>
  <si>
    <t>Chojun cheapjacks chajang</t>
  </si>
  <si>
    <t>cheapjacks=sells a chinsy version of, on the street</t>
  </si>
  <si>
    <t>XK</t>
  </si>
  <si>
    <t>Chuck checks a chicken</t>
  </si>
  <si>
    <t>checks=puts into a suitcase, puts on a baggage tag, and wraps suitcase with a strap, as with checking luggage onto an airplane</t>
  </si>
  <si>
    <t>XL</t>
  </si>
  <si>
    <t>Charlie chills a chalice</t>
  </si>
  <si>
    <t>chills=puts into a big bucket of ice; chalice=a silver or gold goblet for drinking wine</t>
  </si>
  <si>
    <t>XM</t>
  </si>
  <si>
    <t>Charming chamoises chimes</t>
  </si>
  <si>
    <t>chamoises=cleans with a chamois cloth; chimes=wind chimes</t>
  </si>
  <si>
    <t>XN</t>
  </si>
  <si>
    <t>Channing chines a chinook</t>
  </si>
  <si>
    <t xml:space="preserve">chines=cuts a V-shaped slice out of, with a meat cleaver, using two strokes </t>
  </si>
  <si>
    <t>XO</t>
  </si>
  <si>
    <t>Chong choochoo's a chooser</t>
  </si>
  <si>
    <t xml:space="preserve">choochoo's=eats on a spoon (as if feeding to a child), or says "I'm going to eat you up" before taking a bite out of an object too big for a spoon; chooser=TV remote control </t>
  </si>
  <si>
    <t>XP</t>
  </si>
  <si>
    <t>Chip chops a chopper</t>
  </si>
  <si>
    <t>chopper=motorcycle;  chops=chops in two, with an axe</t>
  </si>
  <si>
    <t>XQ</t>
  </si>
  <si>
    <t>Choquette charqui's a chiquita</t>
  </si>
  <si>
    <t>charqui's=dries in an oven or big kiln; chiquita=banana</t>
  </si>
  <si>
    <t>XR</t>
  </si>
  <si>
    <t>Cher cheroots a chariot</t>
  </si>
  <si>
    <t>cheroots=sets on fire with a cigar; chariot=small, one-person gilded chariot</t>
  </si>
  <si>
    <t>XS</t>
  </si>
  <si>
    <t>Chelsea chisels a chassis</t>
  </si>
  <si>
    <t>chisels=shaves off pieces with a chisel</t>
  </si>
  <si>
    <t>XT</t>
  </si>
  <si>
    <t>Chet charts a chest</t>
  </si>
  <si>
    <t>charts=weighs on floor scale, and records weight on a clipboard; chest=treasure chest</t>
  </si>
  <si>
    <t>XU</t>
  </si>
  <si>
    <t>Chung churches a chunchullo</t>
  </si>
  <si>
    <t>churches=sprinkles holy water over object</t>
  </si>
  <si>
    <t>XV</t>
  </si>
  <si>
    <t>Chavez chevies chives</t>
  </si>
  <si>
    <t>chevies=drives in a Chevrolet El Camino, which has a station wagon frontend and a pickup truck backend; chives=a rubber-banded clump of chives</t>
  </si>
  <si>
    <t>XW</t>
  </si>
  <si>
    <t>Chewie chews chaw</t>
  </si>
  <si>
    <t>chaw=a round tin, open, of chewing tobacco, with cancer warnings on it</t>
  </si>
  <si>
    <t>XX</t>
  </si>
  <si>
    <t>XY</t>
  </si>
  <si>
    <t>Cheyenne choys a cheyanne</t>
  </si>
  <si>
    <t>choys=paints red with choy root dye; cheyanne=a hiking boot</t>
  </si>
  <si>
    <t>XZ</t>
  </si>
  <si>
    <t>Chaz chizzes chintz</t>
  </si>
  <si>
    <t xml:space="preserve">chizzes=spills ranch dressing on;  chintz=a floral pattern chintz dress on a dress form or mannequin </t>
  </si>
  <si>
    <t>YA</t>
  </si>
  <si>
    <t>Yang yays yarpha</t>
  </si>
  <si>
    <t>yays=throws hands in the air and does a happy dance while holding, and celebrating, object; yarpha=a clump of dark, spongy peat</t>
  </si>
  <si>
    <t>YB</t>
  </si>
  <si>
    <t>Yebba yabba-dabba-doo's a yearbook</t>
  </si>
  <si>
    <t>yabba-dabba-doo's=celebrates object and dances around, with object nearby</t>
  </si>
  <si>
    <t>YC</t>
  </si>
  <si>
    <t>Yucco yocoins yucca</t>
  </si>
  <si>
    <t>yocoins=sends cryptocurrency online to purchase a second object, with already-purchased first object sitting nearby</t>
  </si>
  <si>
    <t>YD</t>
  </si>
  <si>
    <t>Yoda yields a yard</t>
  </si>
  <si>
    <t>yard=block of concrete, one cubic yard; yields=gives up object under pressure</t>
  </si>
  <si>
    <t>YE</t>
  </si>
  <si>
    <t>Yeek yeelights a yeedi</t>
  </si>
  <si>
    <t>yeelights=shines a red light on</t>
  </si>
  <si>
    <t>YF</t>
  </si>
  <si>
    <t>Yeffe yaffa's a yaffle</t>
  </si>
  <si>
    <t>yaffa's=puts away for storage in a yaffa shelf-milkcrate</t>
  </si>
  <si>
    <t>YG</t>
  </si>
  <si>
    <t>Yogi yeggs a yogurt</t>
  </si>
  <si>
    <t>yeggs=cracks a safe or vault to get object within</t>
  </si>
  <si>
    <t>YH</t>
  </si>
  <si>
    <t>Yoshi yoshi's a yashica</t>
  </si>
  <si>
    <t>yoshi's=jumps up and lands on object, crushing it with the butt;  yashica=Yashica T4 point-and-shoot film camera</t>
  </si>
  <si>
    <t>YI</t>
  </si>
  <si>
    <t>Ying yinyoo's a yin_yang</t>
  </si>
  <si>
    <t>yinyoo's=wraps up in long white earbud wires, either to entrap or to make carrying easier;  yin_yang=a painting of the yin yang symbol</t>
  </si>
  <si>
    <t>YJ</t>
  </si>
  <si>
    <t>Yojimbo yojumbo's Yo-J</t>
  </si>
  <si>
    <t>yojumbo's=stabs with a switchblade</t>
  </si>
  <si>
    <t>YK</t>
  </si>
  <si>
    <t>Yoko yanks a yak</t>
  </si>
  <si>
    <t>YL</t>
  </si>
  <si>
    <t>Yolanda yellows a yule</t>
  </si>
  <si>
    <t>yellows=pees on; yule=yule log, which is a thick, partially-burned fireplace log</t>
  </si>
  <si>
    <t>YM</t>
  </si>
  <si>
    <t>Yamaha yamaha's a yam</t>
  </si>
  <si>
    <t>yamaha's=drives object on the back of a touring motorcycle</t>
  </si>
  <si>
    <t>YN</t>
  </si>
  <si>
    <t>Yanni yens yarn</t>
  </si>
  <si>
    <t>yens=buys with a yen, the standard unit of Japanese currency; yarn=a ball of red yarn</t>
  </si>
  <si>
    <t>YO</t>
  </si>
  <si>
    <t>Yo-Yo yo-yo's a yo-yo</t>
  </si>
  <si>
    <t>yo-yo's=breaks in half with a yo-yo weapon</t>
  </si>
  <si>
    <t>YP</t>
  </si>
  <si>
    <t>Yippie_The yomps a yapper</t>
  </si>
  <si>
    <t xml:space="preserve">yapper=chihuahua </t>
  </si>
  <si>
    <t>YQ</t>
  </si>
  <si>
    <t>Youngquist yawl-quests a youngquist</t>
  </si>
  <si>
    <t>yawl-quests=takes object on sailboat ride; youngquist=large earth-drilling screw for digging wells</t>
  </si>
  <si>
    <t>YR</t>
  </si>
  <si>
    <t>Yar yores yarrow</t>
  </si>
  <si>
    <t>yores=discards object by throwing it over the shoulder while walking away forward</t>
  </si>
  <si>
    <t>YS</t>
  </si>
  <si>
    <t>Yes yardsticks yasso</t>
  </si>
  <si>
    <t>yardsticks=measures with a ruler or yardstick</t>
  </si>
  <si>
    <t>YT</t>
  </si>
  <si>
    <t>Yente yachts a yurt</t>
  </si>
  <si>
    <t>yachts=sails with object on a yacht</t>
  </si>
  <si>
    <t>YU</t>
  </si>
  <si>
    <t>Yu yuk-yuk's a yu</t>
  </si>
  <si>
    <t xml:space="preserve">yuk-yuk's=laughs at the object, which has been placed in jello as a prank (think staplers in jello); yu=an ancient Chinese wind instrument </t>
  </si>
  <si>
    <t>YV</t>
  </si>
  <si>
    <t>Yovani yeves a yovital</t>
  </si>
  <si>
    <t>yeves=gives object in exchange for cheesecake</t>
  </si>
  <si>
    <t>YW</t>
  </si>
  <si>
    <t>Yuwu yaws a yew</t>
  </si>
  <si>
    <t>yaws=spins object, either by slapping it so that it spins away from person, or setting it on a lazy susan and spinning it; yew=a yew shrub</t>
  </si>
  <si>
    <t>YX</t>
  </si>
  <si>
    <t>Yax yoxes a yunx</t>
  </si>
  <si>
    <t>yoxes=puts an identifying luggage tag onto object to keep track of it</t>
  </si>
  <si>
    <t>YY</t>
  </si>
  <si>
    <t>YZ</t>
  </si>
  <si>
    <t>Yazz yowza's yahtzee</t>
  </si>
  <si>
    <t>yowza's=cheers for object; yahtzee=a yahtzee box, with dice and score cards inside</t>
  </si>
  <si>
    <t>ZA</t>
  </si>
  <si>
    <r>
      <rPr>
        <sz val="10"/>
        <color theme="1"/>
        <rFont val="Arial"/>
      </rPr>
      <t>Zsa_Zsa</t>
    </r>
    <r>
      <rPr>
        <sz val="10"/>
        <color theme="1"/>
        <rFont val="Arial"/>
      </rPr>
      <t xml:space="preserve"> zaza's za</t>
    </r>
  </si>
  <si>
    <t>zaza's=hides marijuana inside object before going through an airport security metal detector; za=basil pizza</t>
  </si>
  <si>
    <t>ZB</t>
  </si>
  <si>
    <t>Zamboni zambonies a zamboni</t>
  </si>
  <si>
    <t>zamboni's=takes for a zamboni ride</t>
  </si>
  <si>
    <t>ZC</t>
  </si>
  <si>
    <t>Zico zincifies a zoccolo</t>
  </si>
  <si>
    <t>zincifies=hot dips in molten zinc (galvanizes) for rust-proofing</t>
  </si>
  <si>
    <t>ZD</t>
  </si>
  <si>
    <t>Zed zendos a zedonk</t>
  </si>
  <si>
    <t>zendos=sends to a zendo for spiritual healing</t>
  </si>
  <si>
    <t>ZE</t>
  </si>
  <si>
    <t>Zeena zeeps a zeze</t>
  </si>
  <si>
    <t>zeeps=washes with a bar of soap</t>
  </si>
  <si>
    <t>ZF</t>
  </si>
  <si>
    <t>Zefram zarfs a zuffolo</t>
  </si>
  <si>
    <t>zarfs=wraps in a paper sleeve in order to hold better</t>
  </si>
  <si>
    <t>ZG</t>
  </si>
  <si>
    <t>Zig zags a zagone</t>
  </si>
  <si>
    <t>zags=paints a zigzag-Charlie Brown pattern on object; zagone=mask</t>
  </si>
  <si>
    <t>ZH</t>
  </si>
  <si>
    <t>Zosha zisha's a zisha</t>
  </si>
  <si>
    <t>zisha's=makes a replica of object out of purple zisha clay, while object sits nearby; zisha=hand-made red-purple Zisha teapot</t>
  </si>
  <si>
    <t>ZI</t>
  </si>
  <si>
    <t>Zizek zings a ziz</t>
  </si>
  <si>
    <t>zings=hits dead center with a fastball</t>
  </si>
  <si>
    <t>ZJ</t>
  </si>
  <si>
    <t>Zajac zojans a zoje</t>
  </si>
  <si>
    <t>zojans=mends a tear in with a welder; Zoje=picture the Zoje sewing machine with the brand name 'ZOJE' across its main body</t>
  </si>
  <si>
    <t>ZK</t>
  </si>
  <si>
    <t>Zak zonks a zerk</t>
  </si>
  <si>
    <t>zonks=strikes</t>
  </si>
  <si>
    <t>ZL</t>
  </si>
  <si>
    <t>Zale ziplocks a zill</t>
  </si>
  <si>
    <t>ZM</t>
  </si>
  <si>
    <t>Zimmerman zimmers a zima</t>
  </si>
  <si>
    <t>zimmers=takes on a tractor ride</t>
  </si>
  <si>
    <t>ZN</t>
  </si>
  <si>
    <t>Zanni_one zones a zenith</t>
  </si>
  <si>
    <t>zones=divides object into 4 regions with a sharpie, in preparation for taking one of the regions; zenith=vintage Zenith television</t>
  </si>
  <si>
    <t>ZO</t>
  </si>
  <si>
    <t>Zoolander zooms a zoozoo</t>
  </si>
  <si>
    <t>zooms=takes along for a drive in a red convertible</t>
  </si>
  <si>
    <t>ZP</t>
  </si>
  <si>
    <t>Zappa zaps a zippo</t>
  </si>
  <si>
    <t>zaps=shocks with static electricity by touching</t>
  </si>
  <si>
    <t>ZQ</t>
  </si>
  <si>
    <t>Ziq zzzquils a zaqqum</t>
  </si>
  <si>
    <t>zzzquils=pours liquid zzzquil over object, from the characteristic purple bottle</t>
  </si>
  <si>
    <t>ZR</t>
  </si>
  <si>
    <t>Zorro zeroes zoris</t>
  </si>
  <si>
    <t>zeroes=destroys/removes</t>
  </si>
  <si>
    <t>ZS</t>
  </si>
  <si>
    <t>Zissou zasasa's zoisite</t>
  </si>
  <si>
    <t>zasasa's=downloads an image or video of, similar to usage of 'googles'</t>
  </si>
  <si>
    <t>ZT</t>
  </si>
  <si>
    <t>Zoltar zots a zit</t>
  </si>
  <si>
    <t>zots=causes lightning to strike object; zit=the game "Pimple Pete", which consists of a life-sized plastic head of a person that you pull pimples out of</t>
  </si>
  <si>
    <t>ZU</t>
  </si>
  <si>
    <t>Zuzana zuzes a zunzun</t>
  </si>
  <si>
    <t>ZV</t>
  </si>
  <si>
    <t>Zavier zouaves a zouave</t>
  </si>
  <si>
    <t>zouaves=attacks with a bayonet, perhaps in a flamboyant way</t>
  </si>
  <si>
    <t>ZW</t>
  </si>
  <si>
    <t>Zawe zowies a zanwich</t>
  </si>
  <si>
    <t>zowies=adds glitter, streamers, fancy decoration</t>
  </si>
  <si>
    <t>ZX</t>
  </si>
  <si>
    <t>Zexor zexes a zox</t>
  </si>
  <si>
    <t>zexes=punches holes in object with a zex slate-cutting tool</t>
  </si>
  <si>
    <t>ZY</t>
  </si>
  <si>
    <t>Zay zymes a zymoscope</t>
  </si>
  <si>
    <t>zymes=infects with bacteria via a test tube spill</t>
  </si>
  <si>
    <t>ZZ</t>
  </si>
  <si>
    <t>synopsis</t>
  </si>
  <si>
    <t>Abednego recruits an army of abalone and other sealife to the resistance movement</t>
  </si>
  <si>
    <t>John Acorn decorates an accordian with cockroaches and other bugs</t>
  </si>
  <si>
    <t>Adam Driver mails back a pair of shoes he stole</t>
  </si>
  <si>
    <t>Aesop sprays a honeycomb bee's nest</t>
  </si>
  <si>
    <t>Alf touches an affidavit that states he didn't steal a road sign, and turns it black</t>
  </si>
  <si>
    <t>Agueda cooks agave, perhaps making tequila</t>
  </si>
  <si>
    <t>Jane Asher let's ash fall from her cigarette</t>
  </si>
  <si>
    <t>Aida is trapped with her lover and a piece of sheet music in her airtight prison</t>
  </si>
  <si>
    <t>Aja signals for a left turn in a magical car</t>
  </si>
  <si>
    <t>Ackermann questions the literal existence of the Ark of the Covenant</t>
  </si>
  <si>
    <t>Allison wraps an injured alligator's wounds with aluminum foil</t>
  </si>
  <si>
    <t>Amir Nachumi gets fighter jets loaded with ammo into the air quickly</t>
  </si>
  <si>
    <t>Anastasia Higginbotham makes a glass sunflower during a glass blowing class</t>
  </si>
  <si>
    <t>Steve Aoki X-rays his own heart</t>
  </si>
  <si>
    <t>Aubrey Plaza, who plays April Ludgate, does advertisements for iPhones</t>
  </si>
  <si>
    <t>Aquaman returns the fish inhabitants of an aquarium to the sea via an aqueduct</t>
  </si>
  <si>
    <t>Ari Folman makes a movie about the horrors of war</t>
  </si>
  <si>
    <t>Asa Griggs Candler challenges the tea market</t>
  </si>
  <si>
    <t>Atilla attacks a Christian church and its altar</t>
  </si>
  <si>
    <t>Austin Powers damages a car</t>
  </si>
  <si>
    <t>Drug dealer Avon Barksdale flies cocaine to Maryland</t>
  </si>
  <si>
    <t>Anwar Sadat awaits the Nobel Peace Prize</t>
  </si>
  <si>
    <t>motorcyclist Axel Pons gets rid of an axle</t>
  </si>
  <si>
    <t>Aya Cash says okay to wearing an argyle sweater</t>
  </si>
  <si>
    <t>Tom Haverford, from "Parks and Recreation", makes a chair from an azalea tree using an adze</t>
  </si>
  <si>
    <t>Babar burns up the strong man's barbell after escaping from the circus</t>
  </si>
  <si>
    <t>Kevin Bacon pours bacardi rum on bacon as he cooks it</t>
  </si>
  <si>
    <t>Gautama Buddha demands sexual abstinence from his disciples and sends a bed flying by whacking it with a golf club</t>
  </si>
  <si>
    <t>Aunt Bee cooks beef in a beer batter</t>
  </si>
  <si>
    <t>Biff Tannen runs away from a buffalo in his underwear</t>
  </si>
  <si>
    <t>Frodo Baggins kills Shelob the spider</t>
  </si>
  <si>
    <t>George H.W. Bush details a bombshell on his bomber</t>
  </si>
  <si>
    <t>Bilbo Baggins puts a protective covering on The Red Book Of Westmarch</t>
  </si>
  <si>
    <t>Bill 'Bojangles' Robinson metaphorically rides a banjo as if it's a bucking bull, that is, he tap dances with great skill to the accompaniment of a banjo</t>
  </si>
  <si>
    <t>Jeff Beck crashes a bicycle</t>
  </si>
  <si>
    <t>Bill Clinton goes duck hunting and carries bullets</t>
  </si>
  <si>
    <t>basketballer Bam Adebayo bumps into another lesser player</t>
  </si>
  <si>
    <t>Benjamin Franklin burns a political banner that he objects to</t>
  </si>
  <si>
    <t>Bo Derek kicks a man, and his bong, out of her life</t>
  </si>
  <si>
    <t>Little Bopeep gently bops an owl on the head with a sheep's tail</t>
  </si>
  <si>
    <t>Lina Basquette gives an award to a Shepherd Dog</t>
  </si>
  <si>
    <t>Aaron Burr shoots Alexander Hamilton</t>
  </si>
  <si>
    <t>Bessie Smith compliments the bass player in her band</t>
  </si>
  <si>
    <t>Bette Midler verbally bashes a speedboat</t>
  </si>
  <si>
    <t>Bill Clinton gives an umbrella a bubblebath</t>
  </si>
  <si>
    <t>Beverly Crusher gives a clean bill of health to a beaver</t>
  </si>
  <si>
    <t>David Bowie shoots an imaginary bow and arrow</t>
  </si>
  <si>
    <t>Bix Beiderbecke fights with alcohol</t>
  </si>
  <si>
    <t>Robert Bly buys a horse</t>
  </si>
  <si>
    <t>Buzz Lightyear fires a bazooka at a buzzard</t>
  </si>
  <si>
    <t>The Marvel character Cancun juggles turkey carcasses in his abundant spare time</t>
  </si>
  <si>
    <t>Ty Cobb ties up a gun to prevent his mother from fatally shooting his father</t>
  </si>
  <si>
    <t>Codie Prevost boxes a cod</t>
  </si>
  <si>
    <t>Saxophonist Cecil Payne eats, then enjoys digesting, a gourmet meal of octopus at a jazz venue</t>
  </si>
  <si>
    <t>Tris Coffin handcuffs himself to a coffeepot in an Old West saloon</t>
  </si>
  <si>
    <t>John Cougar Mellencamp drives a car with a weiner dog in it</t>
  </si>
  <si>
    <t>Johnny Cash provides a seat for a fan</t>
  </si>
  <si>
    <t>Cicero draws a chalk line around a dead cicada</t>
  </si>
  <si>
    <t>Willie Wolfe conjures a sailing vessel</t>
  </si>
  <si>
    <t>Cokie Roberts puts frosting on a cake</t>
  </si>
  <si>
    <t>Collin Bogle makes a dog collage</t>
  </si>
  <si>
    <t>Cameron Diaz throws a camouflage covering over a camel</t>
  </si>
  <si>
    <t>John Connor uses low-tech weapons to fight Terminator AI machines</t>
  </si>
  <si>
    <t>Coco Chanel designs a new bra</t>
  </si>
  <si>
    <t>Francis Ford Coppola uses composted coffee grounds in his vineyard</t>
  </si>
  <si>
    <t>John Wayne plays croquet with his wife</t>
  </si>
  <si>
    <t>Carrie Fisher lets her "Blues Brothers" car get rusted out</t>
  </si>
  <si>
    <t>Queen Cassiopeia puts a casserole into a briefcase for later</t>
  </si>
  <si>
    <t>Cat Doucet hides money in a mattress</t>
  </si>
  <si>
    <t>Cupcake Brown turns her life around, and eats a better diet, including vegetables, as a side effect</t>
  </si>
  <si>
    <t>Calvin of 'Calvin and Hobbes' puts a napkin --or cloche?-- over caviar</t>
  </si>
  <si>
    <t>John Cowan claws a cow</t>
  </si>
  <si>
    <t>Courteney Cox leads a buffoon</t>
  </si>
  <si>
    <t>Cy Young figures out how to pitch to a large baseball hitter</t>
  </si>
  <si>
    <t>Ben Wyatt from "Parks and Recreation" places a tea cozy over a calzone to keep it warm</t>
  </si>
  <si>
    <t>my dad scoops his spoon through a bowl of daal</t>
  </si>
  <si>
    <t>Debbie debriefs a doberman pinscher</t>
  </si>
  <si>
    <t>Gunman Doc Holliday puts special markings on the decaf pot so that he doesn't drink caffeinated coffee by mistake and make his hands jittery</t>
  </si>
  <si>
    <t>Dualla attacks a cyborg</t>
  </si>
  <si>
    <t>The Duff --Mae Whitman's character Bianca-- compares different purses in an effort to reinvent herself</t>
  </si>
  <si>
    <t>Douglass Smith spends a lot of time on the bench</t>
  </si>
  <si>
    <t>Dash from 'The Incredibles' eats his meal quickly</t>
  </si>
  <si>
    <t>Princess Diana levels complaints against her ex-husband, Prince Charles</t>
  </si>
  <si>
    <t>Dej Loaf sings a song about living the high life with grey poupon</t>
  </si>
  <si>
    <t>Dick Van Dyke playfully pushes a duck underwater in the Mary Poppins fantasy scene</t>
  </si>
  <si>
    <t>Bob Dole dims the screen of his Dell PC</t>
  </si>
  <si>
    <t>Demi Moore demolishes a man's money</t>
  </si>
  <si>
    <t>Daniel Radcliffe puts on blue Jean's after his nude scene in the play 'Equine'</t>
  </si>
  <si>
    <t>William 'Doodle' Armstrong draws a deer</t>
  </si>
  <si>
    <t>Johnny Depp dips a pot brownie in cough syrup</t>
  </si>
  <si>
    <t>Marquis Duquesne disqualifies the Cuban daiquiri out of spite</t>
  </si>
  <si>
    <t>Derek from 'The Good Place' abandons a bicycle or train and walks</t>
  </si>
  <si>
    <t>Desmond Doss removes an old cloth dressing on the battlefield</t>
  </si>
  <si>
    <t>Dottie West harvests and cleans up a date</t>
  </si>
  <si>
    <t>Crocodile Dundee shoots dumdum bullets at a non-lethal target</t>
  </si>
  <si>
    <t>illustrator David Dudley becomes obsessed with the shape of birds</t>
  </si>
  <si>
    <t>Charles Dow illustrates crystal clear financial information</t>
  </si>
  <si>
    <t>Jadzia Dax cleans out a computer viruses known as 'the Pup'</t>
  </si>
  <si>
    <t>physicist Freeman Dyson chooses a color for a model of a dyson sphere he will present</t>
  </si>
  <si>
    <t>Glenn Danzig drizzles icing on some donuts</t>
  </si>
  <si>
    <t>George Eastman of Kodak eats an ear of corn</t>
  </si>
  <si>
    <t>Ebenezer Scrooge embraces a Christmas dinner of elbow macaroni</t>
  </si>
  <si>
    <t>Eclipse eats eclairs and other pastries after retiring from an exhausting career of superhero work</t>
  </si>
  <si>
    <t>Ed Rosenthal places pot brownies dangerously close to the edge of a table</t>
  </si>
  <si>
    <t>Our friend Joan Effertz, who used to be an art teacher, makes a miniature model of one of her students</t>
  </si>
  <si>
    <t>Nora Egger puts a fried egg on top of an Eggo</t>
  </si>
  <si>
    <t>Esha Gupta makes a shrine for a tool used to expand buttonholes</t>
  </si>
  <si>
    <t>Albert Einstein accidentally puts an eiderdown cover over a pool table with its billiard balls still on it</t>
  </si>
  <si>
    <t>The Eljer cousins, lead by Elmer, throw out an unsuccessful model of toilet</t>
  </si>
  <si>
    <t>NFL running back Austin Ekeler just barely gets past a fast-running defensive player</t>
  </si>
  <si>
    <t>Ella Fitzgerald sings transcendent music, elevating all her backing instruments including an electric guitar</t>
  </si>
  <si>
    <t>Emma Dudley files the nails of a movie actor emu</t>
  </si>
  <si>
    <t>Enola Gay Tibbets puts a protective clear shellac coating over a souvenir enigma machine</t>
  </si>
  <si>
    <t>Eomer bloodstains a horse</t>
  </si>
  <si>
    <t>Epominandas epipens a shoulder decoration instead of skin</t>
  </si>
  <si>
    <t>Kevin Keller, the Equalizer, weighs the idea of dating a boy he meets at a school dance</t>
  </si>
  <si>
    <t>Erin Brockovich uses up a pencil eraser with her dogged writing</t>
  </si>
  <si>
    <t>Esau wears a top which matches the scent she's wearing</t>
  </si>
  <si>
    <t>Etta James enters a song in a song-writing contest</t>
  </si>
  <si>
    <t>Euclid writes an exposition on an ancient horn</t>
  </si>
  <si>
    <t>Evan throws a Christmas tree out of his house</t>
  </si>
  <si>
    <t>Gary Ewing pours water into a sheep trough</t>
  </si>
  <si>
    <t>Mrs. Exeter re-pots a cactus</t>
  </si>
  <si>
    <t>Eeyore spies a new home for owl</t>
  </si>
  <si>
    <t>Boxer Ezzard Charles throws a touchdown in a neighborhood pickup game</t>
  </si>
  <si>
    <t>Letitia Fairfield celebrates the butterfly metaphor, the idea of social action bringing about sweeping change in the world</t>
  </si>
  <si>
    <t>Fabio sets the mood for a romantic evening with beautiful decor</t>
  </si>
  <si>
    <t>Falcon, the Marvel character, burns up a focaccia sandwich out of anger at not being included in the Shawarma scene</t>
  </si>
  <si>
    <t>Elmer Fudd touches his violin</t>
  </si>
  <si>
    <t>Feenie Ziner feels the weight of a non-see-through bird feeder to determine whether to add bird seed</t>
  </si>
  <si>
    <t>Figaro breathes on a fig while singing</t>
  </si>
  <si>
    <t>Carrie Fisher works as a script doctor for movies involving fish</t>
  </si>
  <si>
    <t>Fifi the poodle tussles with Snoopy's best friend Woodstock</t>
  </si>
  <si>
    <t>Tokuaki Fujita takes a picture of his pancakes to show the folks back home in Japan</t>
  </si>
  <si>
    <t>Gaylord Focker flicks a fork at the dinner table out of nervousness</t>
  </si>
  <si>
    <t>Alfred Fuller takes the place of a cat in a housewife's heart</t>
  </si>
  <si>
    <t>Travis Fimmel puts a picture of his broken leg into a picture frame</t>
  </si>
  <si>
    <t>John Boyega makes a crude joke and fans get upset</t>
  </si>
  <si>
    <t>Chaplain John Weir Foote gives up good food, safety and comfort to serve the captured soldiers in his unit</t>
  </si>
  <si>
    <t>Flipper the dolphin flips a frappuccino on his nose</t>
  </si>
  <si>
    <t>King Farquaad ties up a package of meat</t>
  </si>
  <si>
    <t>Farrah Fawcett burns down a Christmas tree, along with a whole house</t>
  </si>
  <si>
    <t>Thea Foss gobbles fossil-fuel to power her fleet</t>
  </si>
  <si>
    <t>Fatima Whitbread fights for schoolchildren to have more than a small portion of cheese in their school lunch</t>
  </si>
  <si>
    <t>Marco Fu sells his soul to the devil in order to be a championship snooker player, then celebrates the sale</t>
  </si>
  <si>
    <t>Dr. Fever buys five dollars worth of party hats and noise makers</t>
  </si>
  <si>
    <t>Finwe protects his son's silmarils with his life</t>
  </si>
  <si>
    <t>Michael J. Fox's character Marty faxes a photo of his girlfriend</t>
  </si>
  <si>
    <t>Tina Fey takes a roasted chicken from Chicago's Athenian Room and brings it to New York with her in a net</t>
  </si>
  <si>
    <t>Fonzie, from "Happy Days", makes a fez cooler by putting a fuzz covering over it</t>
  </si>
  <si>
    <t>Lady Gaga takes a measure of her audience as she performs</t>
  </si>
  <si>
    <t>Gabriel eats junk food</t>
  </si>
  <si>
    <t>The Guncle explodes the grief of his nephew and niece, and his own grief as well, helping all three people move on with their lives</t>
  </si>
  <si>
    <t>God protects Godiva's virtue by giving her a thin metaphorical layer of gold covering</t>
  </si>
  <si>
    <t>Genghis Khan geeks out on making ghee, and is an expert ghee maker</t>
  </si>
  <si>
    <t>Jonathan Groff captures a griffin</t>
  </si>
  <si>
    <t>Aishe Ghosh gets her shoe damaged in an attack on students</t>
  </si>
  <si>
    <t>King Gilgamesh covers the body of his dead friend Enkidu with a gingham shroud</t>
  </si>
  <si>
    <t>Godzilla divides pot into segments</t>
  </si>
  <si>
    <t>villain Gordon Gekko sullies the good name of a species of gekko</t>
  </si>
  <si>
    <t>Gollum runs with a gallon of "gollum juice" to soothe his throat</t>
  </si>
  <si>
    <t>Jim Nabors eats a gummi bear between songs</t>
  </si>
  <si>
    <t>Gunnar Bob Madsen turns a prop gun into a toy by sprinkling it with parsley</t>
  </si>
  <si>
    <t>Goober Pyle googles a goose after his cousin writes that he is learning to goose-step</t>
  </si>
  <si>
    <t>George Gipp holds on to a football</t>
  </si>
  <si>
    <t>Richard Gasquet rackets --plays tennis with-- Greek player Stefanos Tsitsipas</t>
  </si>
  <si>
    <t>Gore eats a valuable fish</t>
  </si>
  <si>
    <t>Gauss argues that there is no vacuum in space</t>
  </si>
  <si>
    <t>John Gotti orders the shooting of crime boss Paul Castellano</t>
  </si>
  <si>
    <t>Solomon Guggenheim eats the cost of (pays through the nose for, takes a bath on) a building shaped like a fish</t>
  </si>
  <si>
    <t>Grover Cleveland makes a decisive decision to put a glove on the government</t>
  </si>
  <si>
    <t>Sir Gawain sets a ship's mechanical gear wheels on fire with Greek Fire</t>
  </si>
  <si>
    <t>Rapper Glox takes a flame-thrower to flowering gloxinias</t>
  </si>
  <si>
    <t>Guy Fawkes attempts to blow up the Parliament building along with its gargoyles</t>
  </si>
  <si>
    <t>Gonzo the muppet puts a coat of varnish on the gazebo-like henhouse of his love interest, Camilla the Chicken</t>
  </si>
  <si>
    <t>Eduard Haas of Pez fame hangs up his hardhat and moves into an administrative role in his company</t>
  </si>
  <si>
    <t>Hobbes, from Calvin &amp; Hobbes, cooks hamburgers with the coal from Calvin's stocking</t>
  </si>
  <si>
    <t>Greek goddess Hecate puts a spell on a pancake</t>
  </si>
  <si>
    <t>Hedda Gabler puts a manuscript in a basket and hides it</t>
  </si>
  <si>
    <t>Mrs. Heekin quietly laughs when she sees one of her first graders wearing high heels on Halloween</t>
  </si>
  <si>
    <t>Jascha Heifetz breathes hard while picking up a violin strung with gut strings</t>
  </si>
  <si>
    <t>Hi of 'Hi and Lois' plays a drum kit</t>
  </si>
  <si>
    <t>Actress Haji takes a hijab and wears it inappropriately</t>
  </si>
  <si>
    <t>Henry Winkler throws a handkerchief to an upset child</t>
  </si>
  <si>
    <t>Robert Preston, who played Harold Hill in "The Music Man", keeps aircraft safe during World War II</t>
  </si>
  <si>
    <t>Homer Simpson invents an electric hammer and uses it to tenderize raw hamburger meat</t>
  </si>
  <si>
    <t>Hannah Barron marks a hen as her own</t>
  </si>
  <si>
    <t>Little Red Riding Hood takes her hoodie and runs away from the house with the wolf</t>
  </si>
  <si>
    <t>Bob Hope hops onto a hippo</t>
  </si>
  <si>
    <t>Harlequin, the DC character Molly Mayne, kicks a harlequin duck</t>
  </si>
  <si>
    <t>Harry Potter rents a rabbit when he can't do the magic rabbit-in-hat trick legitimately</t>
  </si>
  <si>
    <t>Owen Wilson grooms a horse</t>
  </si>
  <si>
    <t>Hattie Carnegie hits a competitor's hat in anger</t>
  </si>
  <si>
    <t>Hugh, the former Borg from Star Trek, throws red paint on Borg-haters as part of a political demonstration</t>
  </si>
  <si>
    <t>June Havoc shakes her booty in a grueling dance marathon where the last couple left standing wins a prize</t>
  </si>
  <si>
    <t>Howard Hughes blasts apart a howitzer with a bomber plane in WWII</t>
  </si>
  <si>
    <t>Paul Hoxworth puts a model of DNA into a hatbox for storage</t>
  </si>
  <si>
    <t>Kathy Hyland spins out on her way to work, with a hymnal in a milk crate on the passenger seat</t>
  </si>
  <si>
    <t>Kristen Schaal, who plays Hazel in 30 Rock, fills a room with cigarette smoke, obscuring everything including the cigarettes themselves</t>
  </si>
  <si>
    <t>Lee Iacocca writes a poem about a car, the Ford Mustang Iacocca</t>
  </si>
  <si>
    <t>Ibis the Invincible hits a sacred ibis with a snowball, thus capturing it for himself</t>
  </si>
  <si>
    <t>Icarus flies away from his father, the icon Daedalus, making his father appear small like a computer screen icon</t>
  </si>
  <si>
    <t>Ida Hall idles her motorboat, which has the head of a beagle as its bow figurehead</t>
  </si>
  <si>
    <t>ieva destroys her grandma's fancy purse for spite, and goes dancing</t>
  </si>
  <si>
    <t>DJ infamous sinks a fellow flood victim's raft with a laser</t>
  </si>
  <si>
    <t>Igor Stravinsky kills off the dinosaurs while leaving the iguanas alone</t>
  </si>
  <si>
    <t>Ishi is ambivalent about using a fishing pole</t>
  </si>
  <si>
    <t>Ijeoma Oluo responds vehemently and publicly when facebook places an unfair hold on her account</t>
  </si>
  <si>
    <t>Dwight 'ike' Eisenhower signs a document</t>
  </si>
  <si>
    <t>Illinois Jacquet shines a spotlight on the history of Nova Scotia and Acadians</t>
  </si>
  <si>
    <t>Imelda Marcos hides a stolen painting by dunking it underwater</t>
  </si>
  <si>
    <t>Neil Innes takes his fake belly prop to a hotel</t>
  </si>
  <si>
    <t>Iolanthe, being a fairy with healing powers, particle-izes an iodine treatment</t>
  </si>
  <si>
    <t>Ian Ippolito conquers an iPad</t>
  </si>
  <si>
    <t>The Grand Inquisitor, from Star Wars, investigates a member of his own team</t>
  </si>
  <si>
    <t>Ira Gershwin writes a song that brings tears to people's eyes</t>
  </si>
  <si>
    <t>Isildur protects and holds close the ring of power, which is all the while gnawing him from the inside like an insect</t>
  </si>
  <si>
    <t>ito Mancio buries a crew member at sea</t>
  </si>
  <si>
    <t>The Roman goddess iustitia keeps the door of truth open by tying its doorknob to an adjacent doorknob</t>
  </si>
  <si>
    <t>Ivan Lendl turns his diet upside down, starting with less butter on his crab</t>
  </si>
  <si>
    <t>High elven king ingwe raises a wall of mountains around the elves, everywhere except the river</t>
  </si>
  <si>
    <t>INXS (the band) frontman Michael Hutchence puts the band's IMAX project on hold</t>
  </si>
  <si>
    <t>ilya Espino de Marotta cleans and sanitizes a fish</t>
  </si>
  <si>
    <t>Eddie Izzard puts an alligator logo on traditional Yemeni clothing</t>
  </si>
  <si>
    <t>JarJar Binks packs an Australian dress into a jamjar for a trip to space</t>
  </si>
  <si>
    <t>Job tries (and fails) to land a verbal hit in his argument with God</t>
  </si>
  <si>
    <t>Mandolin Jacob takes a jacuzzi with a junco bird</t>
  </si>
  <si>
    <t>Jade Edmistone peeps at a jade stone</t>
  </si>
  <si>
    <t>Jeenie Weenie sneers at a trashy romance novel</t>
  </si>
  <si>
    <t>Jeff Rice eats peanut butter</t>
  </si>
  <si>
    <t>Mick Jagger decides between multiple jugs of beer, wine, and other spirits</t>
  </si>
  <si>
    <t>Joshua Norton inspects and derides the jackshaft of a cable car</t>
  </si>
  <si>
    <t xml:space="preserve">Jimjim the mouse sets fire to a taxicab </t>
  </si>
  <si>
    <t>Jack Nicholson hits a canine with his car</t>
  </si>
  <si>
    <t>Julien Poirier makes jello off-limits to his children</t>
  </si>
  <si>
    <t>Jamie Lee Curtis goes on a diet and doesn't eat candy sprinkles</t>
  </si>
  <si>
    <t>Jen Friedman keeps a journal of her mother-in-law's pants</t>
  </si>
  <si>
    <t>Joe Montana smears a snickers bar on his cup of coffee right before a game</t>
  </si>
  <si>
    <t>Scott Joplin plays ragtime and causes girls wearing jumpers to dance</t>
  </si>
  <si>
    <t>Jacques Cousteau inspects a pleasure boat to see if it contains endangered underwater plant species</t>
  </si>
  <si>
    <t>Jared Fogle judges a punch in a punch bowl</t>
  </si>
  <si>
    <t>Jesse Sprigg creates an ironic sports-themed image and makes a jigsaw puzzle out of it</t>
  </si>
  <si>
    <t>Jet Stevens opts to tour on a bus</t>
  </si>
  <si>
    <t>Juju Smith-Schuster clowns around and passes out candy while trick-or-treating in Pittsburgh</t>
  </si>
  <si>
    <t>Jove kills a young person</t>
  </si>
  <si>
    <t>Jawan Jackson head-butts a jawa</t>
  </si>
  <si>
    <t>AI character Jexi takes command of a jukebox</t>
  </si>
  <si>
    <t>Jay Leno pees on a jellyfish</t>
  </si>
  <si>
    <t>Jazz Thornton soups up and hypes the image of an apple tree, symbol of future happiness</t>
  </si>
  <si>
    <t>Finnish linguist Kai Donner poops his pants when he sees this system of 676 memory sentences</t>
  </si>
  <si>
    <t>Kobe Bryant skewers a kickball</t>
  </si>
  <si>
    <t>Janae Kroc drives a speedboat with a tapestry from India aboard</t>
  </si>
  <si>
    <t>Billy the kid kicks a child</t>
  </si>
  <si>
    <t>California farmer Aaron Keefer knocks over and harvests a carefully selected pot plant</t>
  </si>
  <si>
    <t>Kaffe Fassett cuts a quilt that has an image of a kingfisher</t>
  </si>
  <si>
    <t>Kanga, from Winnie the Pooh, sticks piglet in a basin and pretends he's Roo</t>
  </si>
  <si>
    <t>Kesha overturns a bowl of kasha on a hot dog in disgust</t>
  </si>
  <si>
    <t>Captain Kirk puts soy sauce on a fish before eating it</t>
  </si>
  <si>
    <t>Kojak slits open a bag of illegal koji mushroom powder which was destined for illicit alcohol production</t>
  </si>
  <si>
    <t>Khalil Rafati takes cocaine</t>
  </si>
  <si>
    <t>Korean-born hiker Seuk Doo 'Sam' Kim walks with a Japanese hiker</t>
  </si>
  <si>
    <t>Kenneth Parcell kennels a cow</t>
  </si>
  <si>
    <t>Koopa Troopa pours kool-aid on a noisy bird</t>
  </si>
  <si>
    <t>Tom Hanks buys kelp</t>
  </si>
  <si>
    <t>Kumquat --the official kumquat mascot-- throws kumquats at rival kumquats</t>
  </si>
  <si>
    <t>Steve Kerr puts liquor into a mason jar</t>
  </si>
  <si>
    <t>Gene Simmons from the band Kiss licks and kisses a kaiser roll on stage in Vienna</t>
  </si>
  <si>
    <t>Kate Upton throws her toddler child up in the air</t>
  </si>
  <si>
    <t>Maya Kunkel the biochemist cuts into rock to study its mineral content</t>
  </si>
  <si>
    <t>Kevin the minion puts his glass of kava in the fridge</t>
  </si>
  <si>
    <t>Faustina Kowalska promotes/sells Christ and Christianity</t>
  </si>
  <si>
    <t>Kix Brooks kicks out kix cereal in favor of a better meal</t>
  </si>
  <si>
    <t>Kyle intentionally scrapes up a kayak with a key</t>
  </si>
  <si>
    <t>Recorder player Erich Katz "accidentally" drops and breaks a kazoo</t>
  </si>
  <si>
    <t>Lael Brainard screens a phone call</t>
  </si>
  <si>
    <t>runner Libbie Hickman throws a competitor's black lab in frustration</t>
  </si>
  <si>
    <t>George Lucas finds an actor to play a padawan learner</t>
  </si>
  <si>
    <t>Cheryll Ladd's character in 'Charlie's Angels' does sneaky detective stuff to foil a bad guy</t>
  </si>
  <si>
    <t>Robert E. Lee sends leaflets around advertising the importance of soldiers' eating vegetables</t>
  </si>
  <si>
    <t>Leif Erikson sails to the New World in sporty deck shoes</t>
  </si>
  <si>
    <t>Legolas carries a bow</t>
  </si>
  <si>
    <t>Billy Strayhorn brings jazz to Europe</t>
  </si>
  <si>
    <t>Care-giver Lili offers hope to the "Tallest tree in the forest"</t>
  </si>
  <si>
    <t>Randy LaJoie jumps over a learjet</t>
  </si>
  <si>
    <t>Luke Skywalker gets free of his handcuffs</t>
  </si>
  <si>
    <t>Lem Hewitt cries over a failed prototype</t>
  </si>
  <si>
    <t>John Lennon puts a new ceiling lining in a car foolishly loaned to him by the British Establishment</t>
  </si>
  <si>
    <t>brainy Alfred Loomis wins a pool of money</t>
  </si>
  <si>
    <t>Ida Lupino removes a leopard bikini from the wardrobe options in her upcoming serious film</t>
  </si>
  <si>
    <t>LaQuan Smith makes a frozen margarita by putting tequila in a blender</t>
  </si>
  <si>
    <t>Laura Bush drives a truck with a laurel tree in it</t>
  </si>
  <si>
    <t>Leslie Nielson misplaces a lasso</t>
  </si>
  <si>
    <t>Ronnie Lott spreads lettuce all over the football field as he tears into offensive running backs</t>
  </si>
  <si>
    <t>Lulu sings an exceptionally beautiful lullaby</t>
  </si>
  <si>
    <t>Lev Fruchter makes use of every member of his team, even the weakest</t>
  </si>
  <si>
    <t>Rob Lowe offers lungwort to a patient in a hospital as a remedy</t>
  </si>
  <si>
    <t>Lex Luther agitates salmon and other sea creatures</t>
  </si>
  <si>
    <t>Lyle Lovett is a sophisticated, cleaned-up country boy</t>
  </si>
  <si>
    <t>Liz Lemon gives medicine to Tracy Jordan's pet lizard Jeremy</t>
  </si>
  <si>
    <t>Ma Ingalls takes a break from homesteading to examine the remains of a mammoth</t>
  </si>
  <si>
    <t>Mable Normand packs away a fashionable hat after wearing it in a movie</t>
  </si>
  <si>
    <t>Mildred McAfee kicks butt at the mic, and in the board room</t>
  </si>
  <si>
    <t>Madeline Kahn goes up against eventual winner Tatum O'Neal for Best Supporting Actress</t>
  </si>
  <si>
    <t>Mufasa shuts up a gang of hyenas</t>
  </si>
  <si>
    <t>Margaret gets rid of an unwanted mug in her coffee shop</t>
  </si>
  <si>
    <t>Mosh strains beer grains through a mesh colander</t>
  </si>
  <si>
    <t>Mimi Rogers fills a ming vase or teacup with a mimosa</t>
  </si>
  <si>
    <t>Major Taylor sees a container of marjoram in France and mistakes it for oregano</t>
  </si>
  <si>
    <t>Michael Scott puts a checkmark on a gallon of milk in the office fridge to claim it as his own</t>
  </si>
  <si>
    <t>Mel Brooks mails a cantaloupe as a practical joke</t>
  </si>
  <si>
    <t>Quarterback Peyton Manning locks in the same exact meal before each game</t>
  </si>
  <si>
    <t>Dudley Moore moons a moose</t>
  </si>
  <si>
    <t>Mr. Mopp erases the map that tells you how to get through the door</t>
  </si>
  <si>
    <t>Monique Koeyers-Felida hypes the mesquite tree while lobbying for Curacao's Independence from the Netherlands</t>
  </si>
  <si>
    <t>Morris the cat scratches a mirror</t>
  </si>
  <si>
    <t>Mose Schrute misses the moss on his beet farm</t>
  </si>
  <si>
    <t>Matt Damon gets his hands on (acquires) a rescue chihuahua</t>
  </si>
  <si>
    <t xml:space="preserve">Murphy Brown puts a muumuu in storage when her trip to Hawaii is canceled </t>
  </si>
  <si>
    <t>Captain Marvel boosts movie sales</t>
  </si>
  <si>
    <t>Morwen looks after the small grassy knoll later known as Tol Morwen</t>
  </si>
  <si>
    <t>Max gets a bigger beaker</t>
  </si>
  <si>
    <t>Maya Angelou gives a gift to a bird</t>
  </si>
  <si>
    <t>Wolfgang Mozart hunts for a job in Italy</t>
  </si>
  <si>
    <t>Nancy Reagan nurtures a bread and its legacy</t>
  </si>
  <si>
    <t>Nebula chews on the nib of a pen</t>
  </si>
  <si>
    <t>Nico lets ashes from her cigarette fall on a baggie of heroin</t>
  </si>
  <si>
    <t>Ned Flanders rides naked on horseback with a fellow nudist</t>
  </si>
  <si>
    <t>Neen Williams pokes fun at another skater's ghetto bird</t>
  </si>
  <si>
    <t>Queen Nefertiti hunts numbfish with a nerf gun</t>
  </si>
  <si>
    <t>Tolkien character Niggle takes a perfect chocolate nugget and makes it more perfect by dipping it in nougat cream</t>
  </si>
  <si>
    <t>Graham Nash eats a nutshell</t>
  </si>
  <si>
    <t>Nina Simone dresses to the nines</t>
  </si>
  <si>
    <t>Narjis defeats a cobra</t>
  </si>
  <si>
    <t>Nikola Tesla accidentally blows up the West Point Mint</t>
  </si>
  <si>
    <t>Nellie Forbush from 'South Pacific' bakes a perfect nilla wafer</t>
  </si>
  <si>
    <t>Norm, from 'Cheers', puts a name tag on a wolf that says 'wolf', because he's selling the wolf</t>
  </si>
  <si>
    <t>Kevin "Noodles" Wasserman doesn't let anyone in his band noodle around on the guitar except himself</t>
  </si>
  <si>
    <t>Napolean steals the organizational structure of the Code of Justinian</t>
  </si>
  <si>
    <t>Nique tells a long drawn-out story of a TV she used to own</t>
  </si>
  <si>
    <t>Dr. Nora studies inroads into the brain</t>
  </si>
  <si>
    <t>the great loch ness monster traps a car</t>
  </si>
  <si>
    <t>Nat Pendleton wins nothing but a nest of lice in his hair</t>
  </si>
  <si>
    <t>Trevor Nunn dates one of his actors who is playing a nun in his production</t>
  </si>
  <si>
    <t>Neville Longbottom accidentally blows up a navel orange</t>
  </si>
  <si>
    <t>Nawin the guinea pig hides behind a post when a curious narwhal passes by</t>
  </si>
  <si>
    <t>Richard Nixon refuses to turn over tapes of phone conversations and in-person conversations</t>
  </si>
  <si>
    <t>Bill Nye dresses a nymph in sheer nylons</t>
  </si>
  <si>
    <t>Charles Nunzio moves air through his accordion by subtly moving the bellows</t>
  </si>
  <si>
    <t>Hercules Mulligan rows oatmeal in a rowboat</t>
  </si>
  <si>
    <t>Barack Obama sings Al Green songs during speeches and blows away stuffy oboe music</t>
  </si>
  <si>
    <t>William of Ockham sings to a pope who's not listening and has his back turned</t>
  </si>
  <si>
    <t>Odo orders an exotic, steaming drink at Quark's bar</t>
  </si>
  <si>
    <t>Oedipus destroys a paperback copy of Oedipus Rex by pouring wine on it</t>
  </si>
  <si>
    <t xml:space="preserve">Jacques Offenbach removes a xylophone from an orchestration </t>
  </si>
  <si>
    <t>King Og makes eyes at a fellow giant</t>
  </si>
  <si>
    <t>Rapper Ice Cube puts medicinal ammoniacum resin in a properly labeled, safe container</t>
  </si>
  <si>
    <t>Oin does maintenance on the zipper of an oilskin coat</t>
  </si>
  <si>
    <t>Samuel 'Samspedy' Asubiojo berates a Japanese clasp when he can't take off his sweatshirt</t>
  </si>
  <si>
    <t>Georgia O'Keeffe cuts okra with an okapi blade</t>
  </si>
  <si>
    <t>Olaf the snowman pours acid on an olive and disintegrates it</t>
  </si>
  <si>
    <t>Omar Sharif keeps a poker face while playing bridge</t>
  </si>
  <si>
    <t>Yoko Ono throws onions at a copy of the White Album</t>
  </si>
  <si>
    <t>Opus peaks inside an opossum's pouch to see her baby, with permission</t>
  </si>
  <si>
    <t>Jose Oquendo hits a home run out of the park and toward the Mississippi River, where it lands in a passing boat built by Oquawka</t>
  </si>
  <si>
    <t>Orin from 'Parks and Recreation' makes an origami orange</t>
  </si>
  <si>
    <t>Ossie Davis eats a sturgeon fish down to the bone while listening to his daddy's stories at the dinner table</t>
  </si>
  <si>
    <t>Veterinary doctor Andrew Otto examines an otter</t>
  </si>
  <si>
    <t>Ousmane Sembene drinks a toast to the xalam --lute--</t>
  </si>
  <si>
    <t>Ovid cooks a hard-boiled egg</t>
  </si>
  <si>
    <t>Owen Wilson owes someone a punch for breaking his nose</t>
  </si>
  <si>
    <t>Edward Oxford sets fire to an ox</t>
  </si>
  <si>
    <t>Ne'er-do-well Oyster Callahan chucks oysters at a boater wearing an oysterman hat</t>
  </si>
  <si>
    <t>Frank Oz leaves his puppeteer days behind him, motoring away and leaving his role as the Swedish Chef in a swirl of exhaust fumes</t>
  </si>
  <si>
    <t>Papa Johns' owner John Schnatter goes to work as a grocery store bagger after being forced out of his own company</t>
  </si>
  <si>
    <t>Plumbean boils rocks as an eccentric way to prepare them for a rock display in his garden</t>
  </si>
  <si>
    <t>Captain Picard obtains a painting by Pablo Picasso</t>
  </si>
  <si>
    <t>Perd Hapley sells the idea of going to the beach this weekend</t>
  </si>
  <si>
    <t>Jordan Peele grinds pepper onto a banana</t>
  </si>
  <si>
    <t>Puff the Magic Dragon gives perfume to a puffin he has a crush on</t>
  </si>
  <si>
    <t>Peg Malloy of Colorado throws a first attempt at a clay pig back into the pugmill</t>
  </si>
  <si>
    <t>Fashion mogul Posh Spice sells a pushup bra or dress</t>
  </si>
  <si>
    <t>Pi puts a hole in the exact center of a pie so he can cut it evenly between himself and the tiger</t>
  </si>
  <si>
    <t>Puja Gupta throws a man his swimsuit</t>
  </si>
  <si>
    <t>Captain Pike brings a puck in his starship as part of a missile defense system</t>
  </si>
  <si>
    <t>Paul McCartney and the Beatles peddle pillows through their song "I'm Only Sleeping"</t>
  </si>
  <si>
    <t>Pam Reed slaps a palm tree which has been set as the turnaround point in a foot race</t>
  </si>
  <si>
    <t>Sean Penn cooks pasta</t>
  </si>
  <si>
    <t>mathematician Po Shen Loh proves the 'Shaggy Dog Theorem', making it go away as a mathematical problem</t>
  </si>
  <si>
    <t>DC comics supervillain Plastique returns to evil and blows up a plaque she had received for doing good deeds</t>
  </si>
  <si>
    <t>Helen Parr pares a pear</t>
  </si>
  <si>
    <t>Puss in Boots puts a wooden canoe in the water, so that the wood will swell, the joints will become tighter, and the boat won't leak</t>
  </si>
  <si>
    <t>Patrick Stewart, 'Cowboy Pat', shows affection for his only campfire friend</t>
  </si>
  <si>
    <t>Jim Henson destroys an old puppet whose design didn't work out, and starts over</t>
  </si>
  <si>
    <t>Luciano Pavarotti sings a note so high that it shatters, not just a crystal glass, but a paving stone</t>
  </si>
  <si>
    <t>Pow! grabs at a newly installed pew on his flying disc in an attempt to stay on it</t>
  </si>
  <si>
    <t>Bill Paxton causes a woman with a pixie cut to be on-screen-blurred due to its being a nude scene</t>
  </si>
  <si>
    <t>Gomer Pyle burns a traffic pylon</t>
  </si>
  <si>
    <t>Paz Vega's character treasures the physical aspect of her new relationship in the movie "Sex and Lucia"</t>
  </si>
  <si>
    <t>Mr. Qua --Russell Collins-- hides quaalude pills from the retirement home director by throwing them into a potted plant</t>
  </si>
  <si>
    <t>Quickbeam the Ent stabs a newspaper (made with trees) with a venomous quill</t>
  </si>
  <si>
    <t>Samuel Quarcoo formally gives up his claim to his father's produce stand business in Ghana</t>
  </si>
  <si>
    <t>Dennis Quaid buys a broomstick, in order to clean his over-large Montana house</t>
  </si>
  <si>
    <t>Freddie Mercury takes Princess Diana to a gay bar in drag</t>
  </si>
  <si>
    <t>Qwilfish consumes a smaller fish</t>
  </si>
  <si>
    <t>Qui-gon Jinn rides a quagga into a quagmire and gets it stuck</t>
  </si>
  <si>
    <t>Professor Kevin Quashie gives a bad grade to a beer-drinking college student</t>
  </si>
  <si>
    <t>Actor Qi Yuwu gives quinquina wine to his 50-year-old parents-in-law in Singapore</t>
  </si>
  <si>
    <t>Quajo Mezayah makes repairs to the Avengers quinjet plane, with tape, to help his career take off</t>
  </si>
  <si>
    <t>Quark from Deep Space Nine makes Odo scared with some nefarious black market activity</t>
  </si>
  <si>
    <t>Peter quill wraps a frightened marsupial firmly in a blanket</t>
  </si>
  <si>
    <t>Quinn Simmons pacifies and pleases a fellow racer</t>
  </si>
  <si>
    <t>Quinn pours tonic water over a chinook salmon to clean it off, being slightly unprepared and lacking a better solution</t>
  </si>
  <si>
    <t>Australian rap duo Quo searches for an upscale hot water tap after they make the big time</t>
  </si>
  <si>
    <t>Chandler Bing waterproofs a toothbrush</t>
  </si>
  <si>
    <t>Quarrel, from the James Bond movies, hides a document</t>
  </si>
  <si>
    <t>Graman Quassi quick-kisses the quassia plant that was named after him</t>
  </si>
  <si>
    <t>Quentin Tarantino places a tea cozy over a quart of warm milk</t>
  </si>
  <si>
    <t>Qu Yuan causes a line of dragon boats to line up at the beginning of the annual dragon boat festivities</t>
  </si>
  <si>
    <t>Quaver stockpiles quavers to shoot at his audience</t>
  </si>
  <si>
    <t>Gordon Wadsworth makes a large, intricate quillwork pouch to hold the bags of quikwall he attaches to his bike for weight training</t>
  </si>
  <si>
    <t>Albert Quixall repairs a scratch in a quoxwood cabinet</t>
  </si>
  <si>
    <t>Vice President Dan Quayle is kept busy making a model of a greenblotch parrotfish using toothpicks during a trip to Samoa</t>
  </si>
  <si>
    <t>Rose Quartz, a warrior from the Gem Homeworld, tests quartz found in the earth to see if it has life like she does</t>
  </si>
  <si>
    <t>Ra throws up on his scepter when Isis causes him to be sick as part of her successful ploy to get him to reveal to her his true name</t>
  </si>
  <si>
    <t>Robin steals a condom</t>
  </si>
  <si>
    <t>Ricky Ricardo goes back and finds his old 1953 Webcor tape recorder</t>
  </si>
  <si>
    <t>Erik the Red bloodies a rudder</t>
  </si>
  <si>
    <t>Reese Witherspoon watches old movie reels of June Carter Cash playing the harmonica, in preparation for portraying her in a movie</t>
  </si>
  <si>
    <t>Riff goes straight and donates potato chips to charity</t>
  </si>
  <si>
    <t>Ronald Reagan's policies result in ketchup --ragu-- on school rugs</t>
  </si>
  <si>
    <t xml:space="preserve">Suzuki Roshi puts a cat tail in his master's rickshaw </t>
  </si>
  <si>
    <t>Rihanna rings up a shoe with shoelace rings while playing cashier at a publicity event</t>
  </si>
  <si>
    <t xml:space="preserve">Activist Raj Patel rejects aircraft with high carbon emissions </t>
  </si>
  <si>
    <t>Rick Moranis's character in "Honey, I Shrunk the Kids" does some raking in the backyard before realizing his tiny kids are in the grass</t>
  </si>
  <si>
    <t>Sir Walter Raleigh rolls a cigarette</t>
  </si>
  <si>
    <t>Rahm Emmanuel's farmer's market program is a slam dunk</t>
  </si>
  <si>
    <t>Ronald Reagan rides a horse</t>
  </si>
  <si>
    <t>Baby Roo eats his own strengthening medicine, made of a plant root</t>
  </si>
  <si>
    <t>Rip Van Winkle crosses the finish line tape of life first due to a long sleep</t>
  </si>
  <si>
    <t>Raquel Welch plays racquetball, probably while wearing a skimpy bikini</t>
  </si>
  <si>
    <t>Ross Geller from 'Friends' raises a glass of wine in a toast</t>
  </si>
  <si>
    <t>Rhett McLaughlin returns a rat that didn't work out for some animal cameo part of his youtube show</t>
  </si>
  <si>
    <t>The ilustrator Rurudo puts an owl on the rung of a ladder, and uses it as a model for a mural she is painting of a demon girl with wings</t>
  </si>
  <si>
    <t>Ravi Shankar's tutelage of George Harrison results on a song about a bird</t>
  </si>
  <si>
    <t>Rowan Blanchard rows a dog in a rowboat</t>
  </si>
  <si>
    <t>Darryl Hannah from the movie 'Roxanne' gets acid reflux just from the thought of eating a rax burger</t>
  </si>
  <si>
    <t>Rey shoots up a bar where there is rye whiskey</t>
  </si>
  <si>
    <t>Stockard Channing, who plays Rizzo in "Grease", cuts a ritz cracker with a razorblade</t>
  </si>
  <si>
    <t>Samson drives a Saab to deliver honey flavored salsa to his parents</t>
  </si>
  <si>
    <t>Sebastian cuts a submarine sandwich</t>
  </si>
  <si>
    <t>Nikola Sacco gets himself a soccerball in Mexico</t>
  </si>
  <si>
    <t>Sid Freedman washes the saddle of Colonel Potter's horse with a sponge</t>
  </si>
  <si>
    <t>Pete Seeger plays on a seesaw with a child</t>
  </si>
  <si>
    <t>Saffron Burrows destroys an enigma machine</t>
  </si>
  <si>
    <t>Sigmund Freud sneaks a yogurt because his id told him to</t>
  </si>
  <si>
    <t>Sasha Obama smashes sushi in frustration</t>
  </si>
  <si>
    <t>Edward Scissorhands sidesteps his own scissors while standing on a ladder and waving his arms about as he makes his ice sculpture</t>
  </si>
  <si>
    <t>Sojourner Truth frustrates the Southern arsenal by recruiting black soldiers to fight for the North</t>
  </si>
  <si>
    <t>Sukey removes her sack after a sack race, or suggests another person remove theirs</t>
  </si>
  <si>
    <t>Sally Ride sells a sailboat in favor of a spaceship</t>
  </si>
  <si>
    <t>Sam Schwantes gets a job shipping salmon in a truck</t>
  </si>
  <si>
    <t>Sun Yat-sen sanitizes and cleans a protest sign to be carried in the street during a protest</t>
  </si>
  <si>
    <t>Sammy Sosa rockets the ball to home plate from the outfield, forcing a runner to --unsuccessfully-- slide</t>
  </si>
  <si>
    <t>Superman makes beef bourguinon for supper</t>
  </si>
  <si>
    <t>Bigfoot hides away a shiny bauble he finds</t>
  </si>
  <si>
    <t>Sarah Jessica Parker buys sorel boots then wraps them in saran wrap to keep them in pristine condition</t>
  </si>
  <si>
    <t>The god Saturn, father of Jove-Jupiter, fries an Irish setter</t>
  </si>
  <si>
    <t>Susan gets rid of a suspicious, bulgy, dangerous-looking package</t>
  </si>
  <si>
    <t>Star Trek character Seven of Nine saves money due to her notorious efficiency</t>
  </si>
  <si>
    <t>Rick Sowash cuts a sandwich during a dinner at which he'll be making a presentation</t>
  </si>
  <si>
    <t>Adolphe Sax removes and hides a saxophone</t>
  </si>
  <si>
    <t>Sly Stone throws humanity's weapons in the trash can</t>
  </si>
  <si>
    <t>Suzanne Somers rips opens a bottle of soda water with a power saw</t>
  </si>
  <si>
    <t>Channing Tatum puts his initials on a bag of tater tots</t>
  </si>
  <si>
    <t>Toby Flenderson washes a potato</t>
  </si>
  <si>
    <t>Bicyclist Taco Van der Hoorn puts baby powder on his groin</t>
  </si>
  <si>
    <t>Ted Chodock cleans up a toddler and puts him in his highchair</t>
  </si>
  <si>
    <t>Guitarist Teenie Hodges struggles to pick which genre to be a part of, the Blues tent or the R&amp;B tent</t>
  </si>
  <si>
    <t>Tiffani Thiessen wraps toffee in a teff injera (think tortilla)</t>
  </si>
  <si>
    <t>Tigger chases his own tail</t>
  </si>
  <si>
    <t>the god Tash eats the soul of a person from Calormen</t>
  </si>
  <si>
    <t>Titi Marisol tightens her husband's necktie</t>
  </si>
  <si>
    <t>musician Taj Mahal reads 'The Yearling' while flying in a plane on tour</t>
  </si>
  <si>
    <t>George Takei takes on the subject of school bullying</t>
  </si>
  <si>
    <t>William Tell counts how many crossbows are available for his military uprising</t>
  </si>
  <si>
    <t>Tom Bombadil stops the Nazgul</t>
  </si>
  <si>
    <t>Amy Tan spears a tuna with a fork</t>
  </si>
  <si>
    <t>Tootsie actor Dustin Hoffman kisses a tortoise</t>
  </si>
  <si>
    <t>Tipper Gore makes leftovers by first pouring food out of tupperware</t>
  </si>
  <si>
    <t>Alexis de Tocqueville spills tequila on a turquoise ring</t>
  </si>
  <si>
    <t>Tor Kingdon insults a Scottish Terrier</t>
  </si>
  <si>
    <t>Tess Turbo tosses a tassel from her outfit into the crowd, from the stage</t>
  </si>
  <si>
    <t>King Tut flips a tutu over and wears it on his head</t>
  </si>
  <si>
    <t>Grammy-nominated Swedish singer Tove Lo walks on a frying pan</t>
  </si>
  <si>
    <t>David Tower tows a load with a red towel tacked to it to indicate it is oversize</t>
  </si>
  <si>
    <t>pilot Alvin 'Tex' Johnston taxies a tux-wearing passenger to the runway</t>
  </si>
  <si>
    <t>Tyler types on a typewriter</t>
  </si>
  <si>
    <t>Tarzan ice skates while wearing a tanzanite-studded loin cloth</t>
  </si>
  <si>
    <t>Uatu the Watcher shouts at a stupid, Simian-acting human</t>
  </si>
  <si>
    <t>Peter Usborne rides in an uber with an umbrella</t>
  </si>
  <si>
    <t>Uncle Bob unboxes a pair of new volleyball shoes</t>
  </si>
  <si>
    <t>Adele Uddo puts a sheet under an udder as part of making her own moisturizer brand</t>
  </si>
  <si>
    <t>Ueli Steck mines uelibloom with an ice axe, then measures its oxygen content, with the intent of using its oxygen as he climbs higher</t>
  </si>
  <si>
    <t>the singer Uffie burns out and retreats into domestic life, remembering how to cook meals</t>
  </si>
  <si>
    <t>Jim Unger upgrades his boots</t>
  </si>
  <si>
    <t>Usher brings to the world a son named Usher</t>
  </si>
  <si>
    <t>Uinen the Maia spreads asphalite throughout the Uinta mountain region for the benefit of the Uinta beast</t>
  </si>
  <si>
    <t>Dr. William Upjohn fixes a disjointed hand</t>
  </si>
  <si>
    <t>Ukiah Pearson plays a ukulele</t>
  </si>
  <si>
    <t>Ulani from 'Parks and Recreation' cuts an ulua fish with an ulu knife</t>
  </si>
  <si>
    <t>Umm Kulthum dips an apricot in guacamole</t>
  </si>
  <si>
    <t>Shoma Uno brings the card game Uno out of a mesh bag in preparation for a second career</t>
  </si>
  <si>
    <t>Elizabeth Maxwell draws a lipstick bow on a bottle of uomo cologne as its only gift wrapping</t>
  </si>
  <si>
    <t xml:space="preserve">Electronic music artist Uppermost gets a baguette out of the drawer of an unpainted kitchen island </t>
  </si>
  <si>
    <t>the Band 'The Unquiet Dead' rows a boat</t>
  </si>
  <si>
    <t>Uriah Duffy pees after a show</t>
  </si>
  <si>
    <t>Usain Bolt steers clear of doping, only eating straight peanuts</t>
  </si>
  <si>
    <t>Utah Blaine shoots his gun at a utility vehicle</t>
  </si>
  <si>
    <t>Uvee Hayes channels her inner mongoose and kicks butt at her ninth grade talent show</t>
  </si>
  <si>
    <t>The band 'Unwound' unwinds the wire on a bottle of champagne</t>
  </si>
  <si>
    <t xml:space="preserve">The pokemon character Uxie marries Pikachu </t>
  </si>
  <si>
    <t>Ulysses symbolically sets free a Ulysses Butterfly upon his return to Ithaca</t>
  </si>
  <si>
    <t>Uziel Gal unpacks one of his uzi submachine guns to demonstrate its use</t>
  </si>
  <si>
    <t>Chinese rapper VaVa sprays oil to grease the wheels of the Chinese Communist Party</t>
  </si>
  <si>
    <t>Luke Vibert plays a vibraphone</t>
  </si>
  <si>
    <t>Uncle Vic accidentally vacuums up a velcro watch</t>
  </si>
  <si>
    <t>Darth Vader makes a video of the banquet spread he's going to present to Han Solo and Leia when Lando betrays Han in the Cloud City</t>
  </si>
  <si>
    <t xml:space="preserve">The Velveteen Rabbit makes cheese by straining cheese curd through a special velvet cheesecloth </t>
  </si>
  <si>
    <t>Elliot 'Vanford' Sudal photographs a vat of live bait to put on instagram</t>
  </si>
  <si>
    <t>Alex Vega soups up, and makes popular, a Chevrolet Vega</t>
  </si>
  <si>
    <t>author Vish Dhamija deep-cleans his wife's combat boots</t>
  </si>
  <si>
    <t>Vi Parr rips a paper towel into smaller pieces to get more use out of it</t>
  </si>
  <si>
    <t>Reginald VelJohnson does a video promo event for verjus</t>
  </si>
  <si>
    <t>Peter Vack spreads vodka gummi worms inside a Volkswagen</t>
  </si>
  <si>
    <t>Ms. Frizzle causes nighttime and sleepiness to come when children are read her story</t>
  </si>
  <si>
    <t>Velma from 'Scooby Doo' eats bush meat during a mystery investigation, then throws it up</t>
  </si>
  <si>
    <t>Venus tints the windows of her van so people stop looking at her</t>
  </si>
  <si>
    <t>William Voortman puts an evil spell on a competing voodoo donut</t>
  </si>
  <si>
    <t>Scottish wrestler Viper destroys an adder</t>
  </si>
  <si>
    <t>Francisco Vazquez tells visqueen who's boss</t>
  </si>
  <si>
    <t>Veronica Palmer lances an aggressive edible green moss</t>
  </si>
  <si>
    <t>Matthew Vassar uses his fleet of boats to transport and sell vaseline along with beer, on the Hudson River in Poughkeepsie</t>
  </si>
  <si>
    <t>guitarist Vito Bratta rejects a treatment plan for his injured wrist</t>
  </si>
  <si>
    <t>Tommy Vu hides a loud, proud vuvuzela in plain sight</t>
  </si>
  <si>
    <t>Michelle Vawer promises a refrigerator magnet letter to her beau</t>
  </si>
  <si>
    <t>the 80's band Vixen, including lead singer Janet Gardner, sings about a computer</t>
  </si>
  <si>
    <t>Pierre Veyron drives a fiberglass-body car</t>
  </si>
  <si>
    <t>Bartolomeo Vanzetti sees a 16th century women's face mask on TV</t>
  </si>
  <si>
    <t>The movie character Willow uses a catapult to attack a castle wall</t>
  </si>
  <si>
    <t>Webbie wobbles a web in his inexperience</t>
  </si>
  <si>
    <t>the band Wilco welcomes a wiccan to hang out with them</t>
  </si>
  <si>
    <t>Wade Boggs fabricates metal buttons for his fishing waders</t>
  </si>
  <si>
    <t>the Mr. Boffo dog, Weederman, pees on a weed</t>
  </si>
  <si>
    <t>Star Trek TNG's Worf, who is chief of security, hits a suspicious waffle with a wiffle bat, in the cafeteria</t>
  </si>
  <si>
    <t>Wolfgang Amadeus Mozart adjusts his wig</t>
  </si>
  <si>
    <t>Bill Walsh cleans off a washing machine</t>
  </si>
  <si>
    <t>Steve Winwood throws a computer across the room and starts playing music again instead</t>
  </si>
  <si>
    <t>Wojak the 'Feels guy' smuggles Chinese lettuce</t>
  </si>
  <si>
    <t>Willy Wonka whacks a walker with his cane, as part of refusing to use a walker</t>
  </si>
  <si>
    <t>Will Ferrell puts a whale in an aquarium</t>
  </si>
  <si>
    <t>Andrew Ridgeley of Wham! whams his car into an already-wrecked car in a Formula-3 race</t>
  </si>
  <si>
    <t>Winnie the Pooh sticks his head inside a honey jar and gets the very last drop</t>
  </si>
  <si>
    <t>Woo Jang-choon knocks over his woo woo cocktail</t>
  </si>
  <si>
    <t>Indiana U. wide receiver 'Whop' Philyor definitively beats a whippet in a race</t>
  </si>
  <si>
    <t>Waqar Younis transports a large sum of money on a yacht</t>
  </si>
  <si>
    <t>Earl Warren wears a leather jacket made from a sea lion pelt</t>
  </si>
  <si>
    <t>Wesley Crusher drinks to the shapeshifter Salia</t>
  </si>
  <si>
    <t>Bill Watterson whittles a waterbed with a pocket knife</t>
  </si>
  <si>
    <t>Musician Wu Bai plays dubstep at a vaping party</t>
  </si>
  <si>
    <t>Woverine, who is almost 200 years old, weaves an old-timey story about a dragon</t>
  </si>
  <si>
    <t>House democrat Henry Waxman waxes poetical about nature, and cedar waxwings</t>
  </si>
  <si>
    <t>Wyatt Earp separates milk into cheese and whey using a Y-shaped pipe fixture, in the Old West</t>
  </si>
  <si>
    <t>The Wiz, in the movie "The Wiz", sends the Scarecrow back home</t>
  </si>
  <si>
    <t>Chachi Arcola does the Cha Cha Slide in his stepfather's restaurant while holding a cup of chai</t>
  </si>
  <si>
    <t>The ghost of Wilt Chamberlain inhabits campfires where tales of his 100-point game are told</t>
  </si>
  <si>
    <t>Chico Marx does a slow dance with a bag of charcoal</t>
  </si>
  <si>
    <t>Drummer Chad Smith smashes a cheese display at a fancy party by dropping a chandelier on it</t>
  </si>
  <si>
    <t>Cheech Marin puts cheese on a cheeseburger while working at a fast food restaurant</t>
  </si>
  <si>
    <t>Suzy Chaffee drives dresses and outfits around to her many modeling and acting gigs</t>
  </si>
  <si>
    <t>Chagall guzzles red bug juice, which powers his prodigious talent for painting in vibrant colors</t>
  </si>
  <si>
    <t>The Cheshire Cat gets rid of cheese bait so he can hunt mice himself</t>
  </si>
  <si>
    <t>Chef Ching He Huang cuts a chinchilla with a knife while cooking it</t>
  </si>
  <si>
    <t>Chojun Miyagi sells chajang (a black bean sauce) during a rough patch to make money for his dojo</t>
  </si>
  <si>
    <t>Chuck Berry checks out a chicken as it walks, to help him improve his famous duckwalk</t>
  </si>
  <si>
    <t>Charlie Parker makes the saxophone even cooler than it already was</t>
  </si>
  <si>
    <t>Patrick Dempsey makes windchimes from his medals then shines them with a chamois</t>
  </si>
  <si>
    <t>Channing Tatum guts and cleans a king salmon</t>
  </si>
  <si>
    <t>Tommy Chong gets the munchies and eats a TV remote control</t>
  </si>
  <si>
    <t>Chip Kidd chops up a helicopter and puts the pilot seat in his apartment</t>
  </si>
  <si>
    <t xml:space="preserve">Natalie Choquette dries out bananas to wear as part of her costume in the Magic Fruit </t>
  </si>
  <si>
    <t>Cher sets fire to a chariot while wearing her Cleopatra costume</t>
  </si>
  <si>
    <t>Chelsea Clinton works on an Oldsmobile with a chisel</t>
  </si>
  <si>
    <t>Chet Raymo seeks a treasure chest of knowledge as he walks through England along the Prime Meridian</t>
  </si>
  <si>
    <t>Connie Chung sprinkles holy water over cow intestines in hopes of making them more palatable</t>
  </si>
  <si>
    <t>Cesar Chavez drives chives to market in a Chevrolet</t>
  </si>
  <si>
    <t>Chewbacca chews chewing tobacco</t>
  </si>
  <si>
    <t>Cheyenne, from the TV show Superstore, dyes a boot red by painting it with choy root</t>
  </si>
  <si>
    <t>Chaz Bono spills ranch dressing on a chintz patterned couch</t>
  </si>
  <si>
    <t>Andrew Yang is thrilled to take a vacation from New York City and feel real soil beneath his toes in his native upstate New York</t>
  </si>
  <si>
    <t>Yebba (Abbey Smith) shouts for joy at seeing her old high school yearbook</t>
  </si>
  <si>
    <t>Saxophonist Yucco Miller buys a yucca leaf to use as a saxophone strap</t>
  </si>
  <si>
    <t>Yoda steps back defensively during a light sabre fight, in order to maintain the advantage</t>
  </si>
  <si>
    <t>The musician Yeek installs a headlight on a robotic vacuum so it can see better</t>
  </si>
  <si>
    <t>Yeffe Kimball stores an oil painting of a woodpecker</t>
  </si>
  <si>
    <t>Baseball legend Yogi Berra cracks open the fridge and gets a yogiberry frozen yogurt</t>
  </si>
  <si>
    <t>Yoshi ground pounds an old film camera</t>
  </si>
  <si>
    <t>Soprano Ying Huang creates a yin yang necklace to wear onstage using earbud wire for the chain</t>
  </si>
  <si>
    <t>Sanjuro (Yojimbo) the samurai uses his sword to open a juice box after Japan's Samurai period comes to an end</t>
  </si>
  <si>
    <t>Yoko Ono moves heaven and earth trying to get stubborn people to change their ways</t>
  </si>
  <si>
    <t>Yolanda Adams makes Christmas yellower with the yellow gold earrings in her signature jewelry collection</t>
  </si>
  <si>
    <t>Torakusu Yamaha delivers Japanese yams to Ireland on a speedboat during the Irish Potato Famine</t>
  </si>
  <si>
    <t>Yanni buys yarn to mend his costume during his Japan tour</t>
  </si>
  <si>
    <t>Yo-Yo Ma plays with a yo-yo</t>
  </si>
  <si>
    <t>Abbie Hoffman carries a chihuahua through a battlefield</t>
  </si>
  <si>
    <t>Harvey Youngquist searches the world, in his yacht, for the perfect drilling auger</t>
  </si>
  <si>
    <t>Tasha Yar leaves behind a shipment of medicine</t>
  </si>
  <si>
    <t>Yes (the band) frontman Jon Anderson ponders whether to eat frozen yogurt</t>
  </si>
  <si>
    <t>Yente, the matchmaker from "Fiddler on the Roof", packs up her home and moves to America on a ship</t>
  </si>
  <si>
    <t>Yu the Great laughs at Nanguo, who plays the yu badly</t>
  </si>
  <si>
    <t>Yovani Gallardo gives up a motorized bicycle and moves home</t>
  </si>
  <si>
    <t>Qi Yuwu turns a Christmas tree to the perfect angle for the room</t>
  </si>
  <si>
    <t>Yax the yak puts a decorative collar on an otherwise nude wryneck bird</t>
  </si>
  <si>
    <t>Yazz's character Hakeem gets excited about his family's new casino</t>
  </si>
  <si>
    <t>Zsa Zsa Gabor puts zaza buds on pizza</t>
  </si>
  <si>
    <t>Frank Zamboni drives a zamboni</t>
  </si>
  <si>
    <t>Soccer superstar Zico hot-dips his cleats in molten zinc for explosive power</t>
  </si>
  <si>
    <t>Security guard Zed from Pulp Fiction sends a zedonk he had abused to a zendo for spiritual healing</t>
  </si>
  <si>
    <t>Zeena Schrek does a ritual cleansing of a musical instrument with aromatic soap</t>
  </si>
  <si>
    <t>Zefram Cochrane puts away his missile</t>
  </si>
  <si>
    <t>cartoon character Ziggy paints a lightning bolt on a mask he wears, a la Ziggy Stardust</t>
  </si>
  <si>
    <t>Composer Zosha di Castri makes a teapot-shaped percussion instrument out of zisha clay</t>
  </si>
  <si>
    <t>Slavoj Zizek rebuts the existence of mythical beasts</t>
  </si>
  <si>
    <t>Travis Zajac welds the sewing machine he will use to mend his own uniform</t>
  </si>
  <si>
    <t>Zak Morgan, onstage, hits the grease fitting of a malfunctioning guitar or amp in an attempt to fix it</t>
  </si>
  <si>
    <t>Zale from TV's MASH holds on to a belly dancer's finger cymbal</t>
  </si>
  <si>
    <t>Bob Dylan drives a tractor with a clear, lightly carbonated alcoholic beverage</t>
  </si>
  <si>
    <t>Robin Williams is shown on a TV screen that's divided into four quadrants, since a single panel isn't enough to show all his diverse roles</t>
  </si>
  <si>
    <t>Derek Zoolander drives a 5 inch tall zoozoo, in his red convertible, to a planning meeting for his new Center</t>
  </si>
  <si>
    <t>Frank Zappa magically transmutes his soul into a zippo lighter when he dies young, at age 52, of prostate cancer</t>
  </si>
  <si>
    <t>Mike Paradinas, a.k.a. mu-Ziq, calms down the tree of hell with his electronic music</t>
  </si>
  <si>
    <t>Zorro slices up the bad guy's sandals with his classic 'Z'</t>
  </si>
  <si>
    <t>Zissou downloads an image of zoisite</t>
  </si>
  <si>
    <t>Zoltar destroys a zit by turning a teen into an adult</t>
  </si>
  <si>
    <t>Zuzana Caputova buys a hummingbird</t>
  </si>
  <si>
    <t>Zavier Simpson fights (competes) against his own kin</t>
  </si>
  <si>
    <t>British actor Zawe Ashton gets excited about a sandwich from Zanwich Catering</t>
  </si>
  <si>
    <t xml:space="preserve">Isiah Thomas contaminates one of his instruments while making champagne </t>
  </si>
  <si>
    <t>group_1_name</t>
  </si>
  <si>
    <t>Spiritual_figures</t>
  </si>
  <si>
    <t>Scientists</t>
  </si>
  <si>
    <t>Star_wars</t>
  </si>
  <si>
    <t>Authors</t>
  </si>
  <si>
    <t>Animal_characters</t>
  </si>
  <si>
    <t>Family_&amp;_friends</t>
  </si>
  <si>
    <t>Beatles</t>
  </si>
  <si>
    <t>Singers_female</t>
  </si>
  <si>
    <t>Busy_bodies</t>
  </si>
  <si>
    <t>Teachers</t>
  </si>
  <si>
    <t>Military</t>
  </si>
  <si>
    <t>Electronic_musicians</t>
  </si>
  <si>
    <t>Comics_female</t>
  </si>
  <si>
    <t>Superheroes</t>
  </si>
  <si>
    <t>Movie_directors</t>
  </si>
  <si>
    <t>Captains_of_industry</t>
  </si>
  <si>
    <t>Political_leaders</t>
  </si>
  <si>
    <t>Law_enforcement</t>
  </si>
  <si>
    <t>Run_ins_with_the_law</t>
  </si>
  <si>
    <t>Racers</t>
  </si>
  <si>
    <t>Actors_female</t>
  </si>
  <si>
    <t>Comics_male</t>
  </si>
  <si>
    <t>Actors_male</t>
  </si>
  <si>
    <t>White_house</t>
  </si>
  <si>
    <t>Andy_Griffith</t>
  </si>
  <si>
    <t>Tolkien</t>
  </si>
  <si>
    <t>Dancers</t>
  </si>
  <si>
    <t>Guitarists</t>
  </si>
  <si>
    <t>Basketball</t>
  </si>
  <si>
    <t>Models</t>
  </si>
  <si>
    <t>Children</t>
  </si>
  <si>
    <t>Star_trek</t>
  </si>
  <si>
    <t>Singers_male</t>
  </si>
  <si>
    <t>Musicians</t>
  </si>
  <si>
    <t>Cartoon</t>
  </si>
  <si>
    <t>Baseball</t>
  </si>
  <si>
    <t>Run_ins_with_the_lawenforcement</t>
  </si>
  <si>
    <t>Activists_journalists</t>
  </si>
  <si>
    <t>Visual_artists</t>
  </si>
  <si>
    <t>Mythology</t>
  </si>
  <si>
    <t>Chefs</t>
  </si>
  <si>
    <t>Wizards</t>
  </si>
  <si>
    <t>Mariners</t>
  </si>
  <si>
    <t>Guitarist</t>
  </si>
  <si>
    <t>Films</t>
  </si>
  <si>
    <t>Pot</t>
  </si>
  <si>
    <t>Eggers</t>
  </si>
  <si>
    <t>Football</t>
  </si>
  <si>
    <t>Athletes</t>
  </si>
  <si>
    <t>Zoolander</t>
  </si>
  <si>
    <t>Charlies_Angels</t>
  </si>
  <si>
    <t>Thirty_rock</t>
  </si>
  <si>
    <t>Uncles</t>
  </si>
  <si>
    <r>
      <rPr>
        <sz val="10"/>
        <color theme="1"/>
        <rFont val="Arial"/>
      </rPr>
      <t>Ghosh</t>
    </r>
    <r>
      <rPr>
        <sz val="10"/>
        <color theme="1"/>
        <rFont val="Arial"/>
      </rPr>
      <t xml:space="preserve"> gashes a gumshoe</t>
    </r>
  </si>
  <si>
    <t>Animals_non_verbal</t>
  </si>
  <si>
    <t>Tennis</t>
  </si>
  <si>
    <t>White_House</t>
  </si>
  <si>
    <t>Muppets</t>
  </si>
  <si>
    <r>
      <rPr>
        <b/>
        <sz val="10"/>
        <color theme="1"/>
        <rFont val="Arial"/>
      </rPr>
      <t xml:space="preserve">Hobbes* </t>
    </r>
    <r>
      <rPr>
        <sz val="10"/>
        <color theme="1"/>
        <rFont val="Arial"/>
      </rPr>
      <t>hibachis a hamburger</t>
    </r>
  </si>
  <si>
    <t>Composers</t>
  </si>
  <si>
    <t>Band_frontmen</t>
  </si>
  <si>
    <t>Youtubers</t>
  </si>
  <si>
    <t>Muscle_people</t>
  </si>
  <si>
    <t>Visual_Artists</t>
  </si>
  <si>
    <r>
      <t xml:space="preserve">Leif luffs </t>
    </r>
    <r>
      <rPr>
        <sz val="10"/>
        <color theme="1"/>
        <rFont val="Arial"/>
      </rPr>
      <t>loafers</t>
    </r>
  </si>
  <si>
    <t>Vikings</t>
  </si>
  <si>
    <t>Blazing_Saddles</t>
  </si>
  <si>
    <t>Farmers</t>
  </si>
  <si>
    <t>Mozart</t>
  </si>
  <si>
    <t>Ancient_animals</t>
  </si>
  <si>
    <t>Soccer</t>
  </si>
  <si>
    <t>MASH</t>
  </si>
  <si>
    <t xml:space="preserve">Superheroes </t>
  </si>
  <si>
    <t>Tatum tattoos a tater-tot</t>
  </si>
  <si>
    <t>Tootsie totes a tortoise</t>
  </si>
  <si>
    <t>Family</t>
  </si>
  <si>
    <r>
      <t xml:space="preserve">Woo </t>
    </r>
    <r>
      <rPr>
        <sz val="10"/>
        <color theme="1"/>
        <rFont val="Arial"/>
      </rPr>
      <t>whoopsies</t>
    </r>
    <r>
      <rPr>
        <sz val="10"/>
        <color theme="1"/>
        <rFont val="Arial"/>
      </rPr>
      <t xml:space="preserve"> a woo-woo</t>
    </r>
  </si>
  <si>
    <t>Star_Trek</t>
  </si>
  <si>
    <r>
      <rPr>
        <sz val="10"/>
        <color theme="1"/>
        <rFont val="Arial"/>
      </rPr>
      <t>Zsa_Zsa</t>
    </r>
    <r>
      <rPr>
        <sz val="10"/>
        <color theme="1"/>
        <rFont val="Arial"/>
      </rPr>
      <t xml:space="preserve"> zaza's za</t>
    </r>
  </si>
  <si>
    <t>Farm_equipment</t>
  </si>
  <si>
    <t>Jesters</t>
  </si>
  <si>
    <t/>
  </si>
  <si>
    <t>BIG_group</t>
  </si>
  <si>
    <t>person</t>
  </si>
  <si>
    <t>group_1_array</t>
  </si>
  <si>
    <t>verb</t>
  </si>
  <si>
    <t>group_2_name</t>
  </si>
  <si>
    <t>group_2_array</t>
  </si>
  <si>
    <t>article</t>
  </si>
  <si>
    <t>object</t>
  </si>
  <si>
    <t>group_3_name</t>
  </si>
  <si>
    <t>group_3_array</t>
  </si>
  <si>
    <t>Abednego</t>
  </si>
  <si>
    <t>armbands</t>
  </si>
  <si>
    <t>Ties_Together</t>
  </si>
  <si>
    <t>armbands, iugo's</t>
  </si>
  <si>
    <t>an</t>
  </si>
  <si>
    <t>abalone</t>
  </si>
  <si>
    <t>dc, jz, ac</t>
  </si>
  <si>
    <t>Acorn</t>
  </si>
  <si>
    <t>accessorizes</t>
  </si>
  <si>
    <t xml:space="preserve">Decorates </t>
  </si>
  <si>
    <t>accessorizes, decorates, jazzes</t>
  </si>
  <si>
    <t>accordian</t>
  </si>
  <si>
    <t>Instruments</t>
  </si>
  <si>
    <t>accordian, recorder, zuffolo</t>
  </si>
  <si>
    <t>he, ad, zr, tv</t>
  </si>
  <si>
    <t>Adam</t>
  </si>
  <si>
    <t>addresses</t>
  </si>
  <si>
    <t>adidas</t>
  </si>
  <si>
    <t>Shoes</t>
  </si>
  <si>
    <t>adidas, upcourts, zoris, tevas, heels</t>
  </si>
  <si>
    <t>vn, ae</t>
  </si>
  <si>
    <t>Aesop</t>
  </si>
  <si>
    <t>aerosols</t>
  </si>
  <si>
    <t>aerogel</t>
  </si>
  <si>
    <t>Alf</t>
  </si>
  <si>
    <t>afflicts</t>
  </si>
  <si>
    <t>affidavit</t>
  </si>
  <si>
    <t>Papers</t>
  </si>
  <si>
    <t>affidavit, etude, air</t>
  </si>
  <si>
    <t>bc, vk, mi, ag, tq, be, bk, ov, kj, al, oe, ku, sb, eg, st, re, mt, po, yc, qa</t>
  </si>
  <si>
    <t>Agueda</t>
  </si>
  <si>
    <t>aga's</t>
  </si>
  <si>
    <t>Cooks</t>
  </si>
  <si>
    <t xml:space="preserve">aga's, ovens, sautees </t>
  </si>
  <si>
    <t>agave</t>
  </si>
  <si>
    <t xml:space="preserve">Plants </t>
  </si>
  <si>
    <t>agave, yucca, quaqua</t>
  </si>
  <si>
    <t>nc, ah</t>
  </si>
  <si>
    <t>Asher</t>
  </si>
  <si>
    <t>ashes</t>
  </si>
  <si>
    <t>Cigarette_Ash</t>
  </si>
  <si>
    <t>ashes, nicotines</t>
  </si>
  <si>
    <t>ash</t>
  </si>
  <si>
    <t>Aida</t>
  </si>
  <si>
    <t>airtights</t>
  </si>
  <si>
    <t>Packages</t>
  </si>
  <si>
    <t>airtights, ziplocks, unseals, saran_wraps, aluminums</t>
  </si>
  <si>
    <t>air</t>
  </si>
  <si>
    <t xml:space="preserve"> Papers</t>
  </si>
  <si>
    <t>tu, yw, aj, iv</t>
  </si>
  <si>
    <t>Aja</t>
  </si>
  <si>
    <t>adjusts</t>
  </si>
  <si>
    <t>Movings</t>
  </si>
  <si>
    <t>adjusts, yaws</t>
  </si>
  <si>
    <t>adjustor</t>
  </si>
  <si>
    <t>Ackermann</t>
  </si>
  <si>
    <t>akimbos</t>
  </si>
  <si>
    <t>Vetoes</t>
  </si>
  <si>
    <t>ark</t>
  </si>
  <si>
    <t>kj, tq, al, ag, mi, oe, ku, sb</t>
  </si>
  <si>
    <t>Allison</t>
  </si>
  <si>
    <t>aluminums</t>
  </si>
  <si>
    <t>aluminums, saran-wraps</t>
  </si>
  <si>
    <t>alligator</t>
  </si>
  <si>
    <t>Reptiles</t>
  </si>
  <si>
    <t>Amir</t>
  </si>
  <si>
    <t>amasses</t>
  </si>
  <si>
    <t>ammo</t>
  </si>
  <si>
    <t>Ammunition</t>
  </si>
  <si>
    <t>Anastasia</t>
  </si>
  <si>
    <t>anneals</t>
  </si>
  <si>
    <t>annual</t>
  </si>
  <si>
    <t>Flowers</t>
  </si>
  <si>
    <t xml:space="preserve">annual, gloxinia, azalea </t>
  </si>
  <si>
    <t>Aoki</t>
  </si>
  <si>
    <t>Electronic_Musicians</t>
  </si>
  <si>
    <t>Aoki, Vibert, Uppermost, Ziq</t>
  </si>
  <si>
    <t>aortagrams</t>
  </si>
  <si>
    <t>aorta</t>
  </si>
  <si>
    <t>dl, ap, yz, bv</t>
  </si>
  <si>
    <t>April</t>
  </si>
  <si>
    <t>applauds</t>
  </si>
  <si>
    <t>Applauds</t>
  </si>
  <si>
    <t xml:space="preserve">applauds, bravos </t>
  </si>
  <si>
    <t>apple</t>
  </si>
  <si>
    <t>Computers</t>
  </si>
  <si>
    <t>Aquaman</t>
  </si>
  <si>
    <t>aqueducts</t>
  </si>
  <si>
    <t>aquarium</t>
  </si>
  <si>
    <t xml:space="preserve">Aquariums </t>
  </si>
  <si>
    <t>Ari</t>
  </si>
  <si>
    <t>arrests</t>
  </si>
  <si>
    <t>arrow</t>
  </si>
  <si>
    <t>Wooden_shafts</t>
  </si>
  <si>
    <t>arrow, tiller</t>
  </si>
  <si>
    <t>fi, ht, as, at, cg</t>
  </si>
  <si>
    <t>Asa</t>
  </si>
  <si>
    <t>assails</t>
  </si>
  <si>
    <t>Attacks</t>
  </si>
  <si>
    <t>assam</t>
  </si>
  <si>
    <t>Drinks</t>
  </si>
  <si>
    <t xml:space="preserve">assam, verjus, quinines </t>
  </si>
  <si>
    <t>fi, ht, as, at, cg, gk, dt, td, nj, nk, nv, rp, gy, gc, wk</t>
  </si>
  <si>
    <t>Atilla</t>
  </si>
  <si>
    <t>Asian_Emperors</t>
  </si>
  <si>
    <t>Attila, Genghis</t>
  </si>
  <si>
    <t>attacks</t>
  </si>
  <si>
    <t>attacks, rips</t>
  </si>
  <si>
    <t>altar</t>
  </si>
  <si>
    <t>Austin</t>
  </si>
  <si>
    <t>augers</t>
  </si>
  <si>
    <t>Big_Drills</t>
  </si>
  <si>
    <t>augers, youngquist</t>
  </si>
  <si>
    <t>Audi</t>
  </si>
  <si>
    <t>Cars</t>
  </si>
  <si>
    <t>audi, veyron, nissan, volk</t>
  </si>
  <si>
    <t>hk, lb, av, ts, op, qh</t>
  </si>
  <si>
    <t>Avon</t>
  </si>
  <si>
    <t>aviates</t>
  </si>
  <si>
    <t>Throws</t>
  </si>
  <si>
    <t>aviates, lobs, tosses, hucks</t>
  </si>
  <si>
    <t>anvil</t>
  </si>
  <si>
    <t>Anwar</t>
  </si>
  <si>
    <t>awaits</t>
  </si>
  <si>
    <t>award</t>
  </si>
  <si>
    <t>Awards</t>
  </si>
  <si>
    <t>award, chimes, medal</t>
  </si>
  <si>
    <t>ax, sb, pr, jh, ym</t>
  </si>
  <si>
    <t>Axel</t>
  </si>
  <si>
    <t>Motorcycles</t>
  </si>
  <si>
    <t>axes</t>
  </si>
  <si>
    <t xml:space="preserve">Knifes </t>
  </si>
  <si>
    <t>axes, sabres, pares</t>
  </si>
  <si>
    <t>axle</t>
  </si>
  <si>
    <t>Gears</t>
  </si>
  <si>
    <t>axle, jackshaft</t>
  </si>
  <si>
    <t>Aya</t>
  </si>
  <si>
    <t>aye-aye's</t>
  </si>
  <si>
    <t>argyle</t>
  </si>
  <si>
    <t>az, sb, ku, ok</t>
  </si>
  <si>
    <t>Aziz</t>
  </si>
  <si>
    <t>Parks_&amp;_Rec</t>
  </si>
  <si>
    <t>adzes</t>
  </si>
  <si>
    <t>adzes, sabres, kukri's, okapi's</t>
  </si>
  <si>
    <t>azalea</t>
  </si>
  <si>
    <t>Babar</t>
  </si>
  <si>
    <t>barbecues</t>
  </si>
  <si>
    <t>barbecues, charbroils, aga's, ovens</t>
  </si>
  <si>
    <t>a</t>
  </si>
  <si>
    <t>barbell</t>
  </si>
  <si>
    <t>bc, vk, mi, ag, tq, be, wo, mj</t>
  </si>
  <si>
    <t>Bacon</t>
  </si>
  <si>
    <t>bacardi's</t>
  </si>
  <si>
    <t>Alcohols</t>
  </si>
  <si>
    <t>bacardi's, vodkas, beers, tequilas, mimosas</t>
  </si>
  <si>
    <t>bacon</t>
  </si>
  <si>
    <t>Meat</t>
  </si>
  <si>
    <t>bacon, beef</t>
  </si>
  <si>
    <t>Buddha_The</t>
  </si>
  <si>
    <t>birdies</t>
  </si>
  <si>
    <t>bed</t>
  </si>
  <si>
    <t>Furniture</t>
  </si>
  <si>
    <t>bc, vk, mi, ag, tq, be, py, go, gm</t>
  </si>
  <si>
    <t>Bee</t>
  </si>
  <si>
    <t>beers</t>
  </si>
  <si>
    <t>beef</t>
  </si>
  <si>
    <t>Biff</t>
  </si>
  <si>
    <t>buffs</t>
  </si>
  <si>
    <t>buffalo</t>
  </si>
  <si>
    <t>Animals</t>
  </si>
  <si>
    <t>buffalo, cow</t>
  </si>
  <si>
    <t>Baggins</t>
  </si>
  <si>
    <t>bags</t>
  </si>
  <si>
    <t>Sacks</t>
  </si>
  <si>
    <t>bags, burlaps</t>
  </si>
  <si>
    <t>bug</t>
  </si>
  <si>
    <t>Bugs</t>
  </si>
  <si>
    <t>bl, bh, bu</t>
  </si>
  <si>
    <t>Bush</t>
  </si>
  <si>
    <t>brushes</t>
  </si>
  <si>
    <t>Cleans_Dirties</t>
  </si>
  <si>
    <t>brushes, tidies</t>
  </si>
  <si>
    <t>bombshell</t>
  </si>
  <si>
    <t>zf, bi, rc, bs</t>
  </si>
  <si>
    <t>Bilbo</t>
  </si>
  <si>
    <t>bibs</t>
  </si>
  <si>
    <t>bible</t>
  </si>
  <si>
    <t>Books</t>
  </si>
  <si>
    <t>bible, quire, hymnal</t>
  </si>
  <si>
    <t>Bojangles</t>
  </si>
  <si>
    <t>buckjumps</t>
  </si>
  <si>
    <t>banjo</t>
  </si>
  <si>
    <t>banjo, accordian</t>
  </si>
  <si>
    <t>bk, ag, ov</t>
  </si>
  <si>
    <t>Beck</t>
  </si>
  <si>
    <t>bakes</t>
  </si>
  <si>
    <t>bakes, aga's, ovens</t>
  </si>
  <si>
    <t>bike</t>
  </si>
  <si>
    <t xml:space="preserve">Bicycles </t>
  </si>
  <si>
    <t>Bill</t>
  </si>
  <si>
    <t>Bush, Bubba, Ronnie, Reagan, Bill</t>
  </si>
  <si>
    <t>burlaps</t>
  </si>
  <si>
    <t>bullet</t>
  </si>
  <si>
    <t>bullet, ammo</t>
  </si>
  <si>
    <t>bm, yw</t>
  </si>
  <si>
    <t>Bam</t>
  </si>
  <si>
    <t>bams</t>
  </si>
  <si>
    <t>bams, yaws, adjusts</t>
  </si>
  <si>
    <t>bum</t>
  </si>
  <si>
    <t>bn, fb, sf</t>
  </si>
  <si>
    <t>Ben</t>
  </si>
  <si>
    <t>burns</t>
  </si>
  <si>
    <t>Sets_Afire</t>
  </si>
  <si>
    <t>burns, flambe's, pyros, fires</t>
  </si>
  <si>
    <t>banner</t>
  </si>
  <si>
    <t>bo, fo, kd, qi, vk, tq, jo</t>
  </si>
  <si>
    <t>Bo</t>
  </si>
  <si>
    <t>Two_Letter_Names</t>
  </si>
  <si>
    <t>boots</t>
  </si>
  <si>
    <t>Foots</t>
  </si>
  <si>
    <t>boots, foots, keds</t>
  </si>
  <si>
    <t>bong</t>
  </si>
  <si>
    <t>Wuukah</t>
  </si>
  <si>
    <t>wuukah, bong</t>
  </si>
  <si>
    <t>bp, bt</t>
  </si>
  <si>
    <t>Bopeep</t>
  </si>
  <si>
    <t>bops</t>
  </si>
  <si>
    <t>bops, bats, rips, attacks</t>
  </si>
  <si>
    <t>biped</t>
  </si>
  <si>
    <t>Birds</t>
  </si>
  <si>
    <t>bq, cl, rw, dx, po, lb</t>
  </si>
  <si>
    <t>Basquette</t>
  </si>
  <si>
    <t>bouquets</t>
  </si>
  <si>
    <t>Basque</t>
  </si>
  <si>
    <t>Dogs</t>
  </si>
  <si>
    <t>basque, collie, rottweiler, doxie, poodle, lab</t>
  </si>
  <si>
    <t>Burr</t>
  </si>
  <si>
    <t>Hamilton</t>
  </si>
  <si>
    <t>buries</t>
  </si>
  <si>
    <t>Digs_Buries</t>
  </si>
  <si>
    <t>bear</t>
  </si>
  <si>
    <t>bear, cow, beaver</t>
  </si>
  <si>
    <t>bs, ni, et, el, rs, uv, rv, ws, zf, bi, rc</t>
  </si>
  <si>
    <t>Bessie</t>
  </si>
  <si>
    <t>African_American_Fem_Singers</t>
  </si>
  <si>
    <t>Bessie, Nina, Etta</t>
  </si>
  <si>
    <t>blesses</t>
  </si>
  <si>
    <t>Blesses</t>
  </si>
  <si>
    <t>blesses, churches</t>
  </si>
  <si>
    <t>bass</t>
  </si>
  <si>
    <t>bass, recorder</t>
  </si>
  <si>
    <t>bp, bt, cn, ol, pv, qh, pu, ht</t>
  </si>
  <si>
    <t>Bette</t>
  </si>
  <si>
    <t>bats</t>
  </si>
  <si>
    <t>boat</t>
  </si>
  <si>
    <t>Boats</t>
  </si>
  <si>
    <t>boat, yawl-quests, yacht</t>
  </si>
  <si>
    <t>Bubba</t>
  </si>
  <si>
    <t>bubblebaths</t>
  </si>
  <si>
    <t>bumbershoot</t>
  </si>
  <si>
    <t>Umbrellas</t>
  </si>
  <si>
    <t>bumbershoot, umbrella</t>
  </si>
  <si>
    <t>pt, rk, pc, bv, yz, ap</t>
  </si>
  <si>
    <t>Bev</t>
  </si>
  <si>
    <t>Star_Trek_TNG</t>
  </si>
  <si>
    <t>bravos</t>
  </si>
  <si>
    <t>beaver</t>
  </si>
  <si>
    <t>bw, hc</t>
  </si>
  <si>
    <t>Bowie</t>
  </si>
  <si>
    <t>bewitches</t>
  </si>
  <si>
    <t>Spells</t>
  </si>
  <si>
    <t xml:space="preserve">bewitches, hocuses, voodoos </t>
  </si>
  <si>
    <t>bow</t>
  </si>
  <si>
    <t>Bix</t>
  </si>
  <si>
    <t>boxes</t>
  </si>
  <si>
    <t>boxes, hatboxes</t>
  </si>
  <si>
    <t>borax</t>
  </si>
  <si>
    <t>fv, sl, by</t>
  </si>
  <si>
    <t>Bly</t>
  </si>
  <si>
    <t>buys</t>
  </si>
  <si>
    <t>Buys_Sells</t>
  </si>
  <si>
    <t>bay</t>
  </si>
  <si>
    <t>Horses</t>
  </si>
  <si>
    <t>bay, neddies, roan</t>
  </si>
  <si>
    <t>Buzz</t>
  </si>
  <si>
    <t>bazookas</t>
  </si>
  <si>
    <t>Guns</t>
  </si>
  <si>
    <t>bazookas, gats</t>
  </si>
  <si>
    <t>buzzard</t>
  </si>
  <si>
    <t>buzzard, zunzun, kingfisher</t>
  </si>
  <si>
    <t>jg, ca</t>
  </si>
  <si>
    <t>Cancun</t>
  </si>
  <si>
    <t>cascades</t>
  </si>
  <si>
    <t>Juggles</t>
  </si>
  <si>
    <t>carcass</t>
  </si>
  <si>
    <t>oq, so, cy, cb, dg, dc, wd</t>
  </si>
  <si>
    <t>Cobb</t>
  </si>
  <si>
    <t>cables</t>
  </si>
  <si>
    <t>cables, iugo's, armbands</t>
  </si>
  <si>
    <t>carbine</t>
  </si>
  <si>
    <t>carbine, gun, gats</t>
  </si>
  <si>
    <t>Codie</t>
  </si>
  <si>
    <t>caddies</t>
  </si>
  <si>
    <t>Carries</t>
  </si>
  <si>
    <t>caddies, carries</t>
  </si>
  <si>
    <t>cod</t>
  </si>
  <si>
    <t>Fish</t>
  </si>
  <si>
    <t>cod, ichthyoid, gar</t>
  </si>
  <si>
    <t>ce, ea</t>
  </si>
  <si>
    <t>Cecil</t>
  </si>
  <si>
    <t>Saxophone</t>
  </si>
  <si>
    <t>cecums</t>
  </si>
  <si>
    <t>Eats</t>
  </si>
  <si>
    <t>cecums, eats</t>
  </si>
  <si>
    <t>cephalopod</t>
  </si>
  <si>
    <t>Invertebrates</t>
  </si>
  <si>
    <t>Coffin</t>
  </si>
  <si>
    <t>cuffs</t>
  </si>
  <si>
    <t>Handcuffs</t>
  </si>
  <si>
    <t>cuffs, manacles</t>
  </si>
  <si>
    <t>coffee</t>
  </si>
  <si>
    <t>Coffee</t>
  </si>
  <si>
    <t xml:space="preserve">coffee, joe, decaf, cappuccino </t>
  </si>
  <si>
    <t>db, rw, cg, fi, ht, as, at, hf, fe, wy</t>
  </si>
  <si>
    <t>Cougar</t>
  </si>
  <si>
    <t>cargo's</t>
  </si>
  <si>
    <t>Shipping</t>
  </si>
  <si>
    <t>corgi</t>
  </si>
  <si>
    <t xml:space="preserve">corgi, lab, rottweiler </t>
  </si>
  <si>
    <t>Cash</t>
  </si>
  <si>
    <t>cushions</t>
  </si>
  <si>
    <t>cashew</t>
  </si>
  <si>
    <t>Nuts</t>
  </si>
  <si>
    <t>Cicero</t>
  </si>
  <si>
    <t>circles</t>
  </si>
  <si>
    <t>cicada</t>
  </si>
  <si>
    <t>cicada, bug, chigger</t>
  </si>
  <si>
    <t>Cujo</t>
  </si>
  <si>
    <t>conjures</t>
  </si>
  <si>
    <t>conjures, voodoos</t>
  </si>
  <si>
    <t>crossjack</t>
  </si>
  <si>
    <t>ck, dz</t>
  </si>
  <si>
    <t>Cokie</t>
  </si>
  <si>
    <t>caulks</t>
  </si>
  <si>
    <t>Extrudes</t>
  </si>
  <si>
    <t>caulks, drizzles</t>
  </si>
  <si>
    <t>cake</t>
  </si>
  <si>
    <t>Pastries</t>
  </si>
  <si>
    <t>cake, pie</t>
  </si>
  <si>
    <t>Collin</t>
  </si>
  <si>
    <t>collages</t>
  </si>
  <si>
    <t>Wall_art</t>
  </si>
  <si>
    <t>collie</t>
  </si>
  <si>
    <t xml:space="preserve">collie, rottweiler </t>
  </si>
  <si>
    <t>gi, ve, xf, cm</t>
  </si>
  <si>
    <t>Cam</t>
  </si>
  <si>
    <t>camo's</t>
  </si>
  <si>
    <t>Fabric</t>
  </si>
  <si>
    <t>camel</t>
  </si>
  <si>
    <t>camel, cow</t>
  </si>
  <si>
    <t>cn, bt, du, gt</t>
  </si>
  <si>
    <t>Connor</t>
  </si>
  <si>
    <t>canes</t>
  </si>
  <si>
    <t>canes, bats</t>
  </si>
  <si>
    <t>canon</t>
  </si>
  <si>
    <t>canon, gun</t>
  </si>
  <si>
    <t>co, lt, ml, pr, gv, qc, um, oq, kq, fg</t>
  </si>
  <si>
    <t>Coco</t>
  </si>
  <si>
    <t>cocoons</t>
  </si>
  <si>
    <t>coconut</t>
  </si>
  <si>
    <t>Big_round_food</t>
  </si>
  <si>
    <t>coconut, melon, lettuce</t>
  </si>
  <si>
    <t>Coppola</t>
  </si>
  <si>
    <t>composts</t>
  </si>
  <si>
    <t>cappuccino</t>
  </si>
  <si>
    <t>cq, vq</t>
  </si>
  <si>
    <t>Conqueror_The</t>
  </si>
  <si>
    <t>conquers</t>
  </si>
  <si>
    <t>Conquers</t>
  </si>
  <si>
    <t>croquet</t>
  </si>
  <si>
    <t>cr, iy, ol</t>
  </si>
  <si>
    <t>Carrie</t>
  </si>
  <si>
    <t>corrodes</t>
  </si>
  <si>
    <t>Acid</t>
  </si>
  <si>
    <t>corrodes, oleums</t>
  </si>
  <si>
    <t>car</t>
  </si>
  <si>
    <t>car, volk, nissan</t>
  </si>
  <si>
    <t>Cassie</t>
  </si>
  <si>
    <t>cases</t>
  </si>
  <si>
    <t>casserole</t>
  </si>
  <si>
    <t>Cat</t>
  </si>
  <si>
    <t>cuts</t>
  </si>
  <si>
    <t>Knifes</t>
  </si>
  <si>
    <t>cot</t>
  </si>
  <si>
    <t>Cupcake</t>
  </si>
  <si>
    <t>cues</t>
  </si>
  <si>
    <t>cucumber</t>
  </si>
  <si>
    <t>Fruits_vegetables</t>
  </si>
  <si>
    <t>Calvin</t>
  </si>
  <si>
    <t>covers</t>
  </si>
  <si>
    <t>Covers</t>
  </si>
  <si>
    <t>caviar</t>
  </si>
  <si>
    <t>Cowan</t>
  </si>
  <si>
    <t>claws</t>
  </si>
  <si>
    <t>claws, attacks</t>
  </si>
  <si>
    <t>cow</t>
  </si>
  <si>
    <t>Cox</t>
  </si>
  <si>
    <t>coxes</t>
  </si>
  <si>
    <t>coxcomb</t>
  </si>
  <si>
    <t>coxcomb, Zanni_one</t>
  </si>
  <si>
    <t>Cy</t>
  </si>
  <si>
    <t>cyphers</t>
  </si>
  <si>
    <t>cyclops</t>
  </si>
  <si>
    <t>Giants</t>
  </si>
  <si>
    <t>cyclops, giga, ogre</t>
  </si>
  <si>
    <t>Calzone_Boy</t>
  </si>
  <si>
    <t>Calzone_Boy, Ulani, Lowe, Aziz</t>
  </si>
  <si>
    <t>cozies</t>
  </si>
  <si>
    <t>calzone</t>
  </si>
  <si>
    <t>Pizza</t>
  </si>
  <si>
    <t>calzone, pizza, za</t>
  </si>
  <si>
    <t>kf, da, rc, dk</t>
  </si>
  <si>
    <t>Dad</t>
  </si>
  <si>
    <t>Richard</t>
  </si>
  <si>
    <t>dadoes</t>
  </si>
  <si>
    <t>Kerfs</t>
  </si>
  <si>
    <t>daal</t>
  </si>
  <si>
    <t>db, rw, cg</t>
  </si>
  <si>
    <t>Debbie</t>
  </si>
  <si>
    <t>debriefs</t>
  </si>
  <si>
    <t>doberman</t>
  </si>
  <si>
    <t>doberman, rottweiler, corgi</t>
  </si>
  <si>
    <t>dc, jz, ac, hg, hr, nv, oq, so, cy, cb, dg</t>
  </si>
  <si>
    <t>Doc</t>
  </si>
  <si>
    <t>Old_West</t>
  </si>
  <si>
    <t>decorates</t>
  </si>
  <si>
    <t xml:space="preserve">decorates, jazzes, accessorizes </t>
  </si>
  <si>
    <t>decaf</t>
  </si>
  <si>
    <t>Dee</t>
  </si>
  <si>
    <t>deets</t>
  </si>
  <si>
    <t>Aerosol_sprays</t>
  </si>
  <si>
    <t xml:space="preserve">deets, aerosols </t>
  </si>
  <si>
    <t>Deere</t>
  </si>
  <si>
    <t>Duff</t>
  </si>
  <si>
    <t>diffs</t>
  </si>
  <si>
    <t>duffle</t>
  </si>
  <si>
    <t>dg, ps, vs, rw, oq, so, cy, cb, dc, wd</t>
  </si>
  <si>
    <t>Doug</t>
  </si>
  <si>
    <t>digs</t>
  </si>
  <si>
    <t>digs, buries, exhumes</t>
  </si>
  <si>
    <t>dugout</t>
  </si>
  <si>
    <t>dugout, vessels, pesse, rows, oars</t>
  </si>
  <si>
    <t>Dash</t>
  </si>
  <si>
    <t>dashes</t>
  </si>
  <si>
    <t>dish</t>
  </si>
  <si>
    <t>wi, zi, di</t>
  </si>
  <si>
    <t>Di</t>
  </si>
  <si>
    <t>dings</t>
  </si>
  <si>
    <t>Damages</t>
  </si>
  <si>
    <t>ding-dong</t>
  </si>
  <si>
    <t>ding-dong, voodoo, cake, pie</t>
  </si>
  <si>
    <t>pd, vj, dj</t>
  </si>
  <si>
    <t>Dej</t>
  </si>
  <si>
    <t>D.J.'s</t>
  </si>
  <si>
    <t>dijon</t>
  </si>
  <si>
    <t>Condiments</t>
  </si>
  <si>
    <t>dijon, ragu's</t>
  </si>
  <si>
    <t>rc, dk, da</t>
  </si>
  <si>
    <t>Dick</t>
  </si>
  <si>
    <t>dunks</t>
  </si>
  <si>
    <t>Underwater</t>
  </si>
  <si>
    <t>dunks, recovers, immerses</t>
  </si>
  <si>
    <t>duck</t>
  </si>
  <si>
    <t>duck, kingfisher, dove</t>
  </si>
  <si>
    <t>dl, ap</t>
  </si>
  <si>
    <t>Dole</t>
  </si>
  <si>
    <t>dulls</t>
  </si>
  <si>
    <t>Emeries</t>
  </si>
  <si>
    <t>dell</t>
  </si>
  <si>
    <t>dell, apple, iPad</t>
  </si>
  <si>
    <t>Demi</t>
  </si>
  <si>
    <t>demos</t>
  </si>
  <si>
    <t>demos, attacks</t>
  </si>
  <si>
    <t>dime</t>
  </si>
  <si>
    <t>Coins</t>
  </si>
  <si>
    <t xml:space="preserve">dime, nickel, kopeks, zuzes </t>
  </si>
  <si>
    <t>dn, hg, nv</t>
  </si>
  <si>
    <t>Dan</t>
  </si>
  <si>
    <t>Harry_Potter</t>
  </si>
  <si>
    <t>Dan, Hagrid, Neville</t>
  </si>
  <si>
    <t>dons</t>
  </si>
  <si>
    <t>Wears</t>
  </si>
  <si>
    <t>dons, wears</t>
  </si>
  <si>
    <t>denim</t>
  </si>
  <si>
    <t>Jeans</t>
  </si>
  <si>
    <t>denim, jeans</t>
  </si>
  <si>
    <t>do, ib, no</t>
  </si>
  <si>
    <t>Doodle</t>
  </si>
  <si>
    <t>Scarlet_Ibis</t>
  </si>
  <si>
    <t>Doodle, ibis</t>
  </si>
  <si>
    <t>doodles</t>
  </si>
  <si>
    <t>Draws</t>
  </si>
  <si>
    <t>doodles, draws</t>
  </si>
  <si>
    <t>doe</t>
  </si>
  <si>
    <t>doe, bear</t>
  </si>
  <si>
    <t>dp, ea, ed, ke, ng</t>
  </si>
  <si>
    <t>Depp</t>
  </si>
  <si>
    <t>dips</t>
  </si>
  <si>
    <t>dips, eats</t>
  </si>
  <si>
    <t>dope</t>
  </si>
  <si>
    <t>Drugs</t>
  </si>
  <si>
    <t>Duquesne</t>
  </si>
  <si>
    <t>disqualifies</t>
  </si>
  <si>
    <t>daiquiri</t>
  </si>
  <si>
    <t>daiquiri, beers</t>
  </si>
  <si>
    <t>Derek</t>
  </si>
  <si>
    <t>derries</t>
  </si>
  <si>
    <t xml:space="preserve">Walks_away </t>
  </si>
  <si>
    <t>derailleur</t>
  </si>
  <si>
    <t xml:space="preserve"> Bicycles</t>
  </si>
  <si>
    <t>Doss</t>
  </si>
  <si>
    <t>dissolves</t>
  </si>
  <si>
    <t>dissolves, oleums</t>
  </si>
  <si>
    <t>dressing</t>
  </si>
  <si>
    <t>dt, td, gk, at, so, md</t>
  </si>
  <si>
    <t>Dottie</t>
  </si>
  <si>
    <t>details</t>
  </si>
  <si>
    <t>details, tidies</t>
  </si>
  <si>
    <t>date</t>
  </si>
  <si>
    <t>Figs</t>
  </si>
  <si>
    <t>date, fig</t>
  </si>
  <si>
    <t>du, gt, cn, hi</t>
  </si>
  <si>
    <t>Dundee</t>
  </si>
  <si>
    <t>dumdum's</t>
  </si>
  <si>
    <t>dumdum's, gats, canon</t>
  </si>
  <si>
    <t>dud</t>
  </si>
  <si>
    <t>dud, bombshell</t>
  </si>
  <si>
    <t>dv, ea, nb</t>
  </si>
  <si>
    <t>Dave</t>
  </si>
  <si>
    <t>devours</t>
  </si>
  <si>
    <t>devours, eats, nibbles</t>
  </si>
  <si>
    <t>dove</t>
  </si>
  <si>
    <t>Dow</t>
  </si>
  <si>
    <t>draws</t>
  </si>
  <si>
    <t>dew</t>
  </si>
  <si>
    <t>Dax</t>
  </si>
  <si>
    <t>detoxifies</t>
  </si>
  <si>
    <t>detoxifies, aerosols</t>
  </si>
  <si>
    <t>doxie</t>
  </si>
  <si>
    <t>Dyson</t>
  </si>
  <si>
    <t>dyes</t>
  </si>
  <si>
    <t>Dyes</t>
  </si>
  <si>
    <t>dyson</t>
  </si>
  <si>
    <t xml:space="preserve">Vacuums </t>
  </si>
  <si>
    <t xml:space="preserve">dyson, vacuums </t>
  </si>
  <si>
    <t>Danzig</t>
  </si>
  <si>
    <t>drizzles</t>
  </si>
  <si>
    <t>dozen</t>
  </si>
  <si>
    <t>Eggs</t>
  </si>
  <si>
    <t>dozen, ovum, eggs</t>
  </si>
  <si>
    <t>ce, ea, dp, dv, nb, gb, fs, gm, ki, nu, pe, xw</t>
  </si>
  <si>
    <t>Eastman</t>
  </si>
  <si>
    <t>eats</t>
  </si>
  <si>
    <t>eats, gobbles</t>
  </si>
  <si>
    <t>ear</t>
  </si>
  <si>
    <t>ear, cucumber</t>
  </si>
  <si>
    <t>qx, eb, zw, kw</t>
  </si>
  <si>
    <t>Ebenezer</t>
  </si>
  <si>
    <t>embraces</t>
  </si>
  <si>
    <t>Hugs</t>
  </si>
  <si>
    <t>embraces, hugs, quells</t>
  </si>
  <si>
    <t>elbow</t>
  </si>
  <si>
    <t>Eclipse</t>
  </si>
  <si>
    <t>eclipses</t>
  </si>
  <si>
    <t>eclair</t>
  </si>
  <si>
    <t>eclair, voodoo</t>
  </si>
  <si>
    <t>ed, ke, dp, yw</t>
  </si>
  <si>
    <t>Ed</t>
  </si>
  <si>
    <t xml:space="preserve">Ed, Keefer </t>
  </si>
  <si>
    <t>endangers</t>
  </si>
  <si>
    <t>endangers, yaws</t>
  </si>
  <si>
    <t>edible</t>
  </si>
  <si>
    <t xml:space="preserve">Drugs </t>
  </si>
  <si>
    <t>edible, dope</t>
  </si>
  <si>
    <t>Effertz</t>
  </si>
  <si>
    <t>effigies</t>
  </si>
  <si>
    <t>Yarn</t>
  </si>
  <si>
    <t>effigies, weaves, yarn</t>
  </si>
  <si>
    <t>elf</t>
  </si>
  <si>
    <t>Elf</t>
  </si>
  <si>
    <t>eg, ov, ag</t>
  </si>
  <si>
    <t>Egger</t>
  </si>
  <si>
    <t>Nora</t>
  </si>
  <si>
    <t>eggs</t>
  </si>
  <si>
    <t>eggs, ovum</t>
  </si>
  <si>
    <t>eggo</t>
  </si>
  <si>
    <t>eggo, cake</t>
  </si>
  <si>
    <t>Esha</t>
  </si>
  <si>
    <t>enshrines</t>
  </si>
  <si>
    <t>elshin</t>
  </si>
  <si>
    <t>elshin, ramrod, tiller, crossjack</t>
  </si>
  <si>
    <t>ei, fz, mf</t>
  </si>
  <si>
    <t>Einstein</t>
  </si>
  <si>
    <t>eiderdowns</t>
  </si>
  <si>
    <t>Fuzzies</t>
  </si>
  <si>
    <t>eiderdowns, fuzzes</t>
  </si>
  <si>
    <t>eightball</t>
  </si>
  <si>
    <t>Balls</t>
  </si>
  <si>
    <t>Eljer</t>
  </si>
  <si>
    <t>ejects</t>
  </si>
  <si>
    <t>ejects, lobs</t>
  </si>
  <si>
    <t>eljer</t>
  </si>
  <si>
    <t>Urinates</t>
  </si>
  <si>
    <t>Ek</t>
  </si>
  <si>
    <t>ekes</t>
  </si>
  <si>
    <t>elk</t>
  </si>
  <si>
    <t xml:space="preserve">elk, moose, cow </t>
  </si>
  <si>
    <t>el, et, bs, ni, rs, uv, rv, ws, vy</t>
  </si>
  <si>
    <t>Ella</t>
  </si>
  <si>
    <t xml:space="preserve">Ella, Bessie, Nina, Etta, </t>
  </si>
  <si>
    <t>elevates</t>
  </si>
  <si>
    <t>Raises</t>
  </si>
  <si>
    <t>elevates, raises</t>
  </si>
  <si>
    <t>electric</t>
  </si>
  <si>
    <t>electric, recorder</t>
  </si>
  <si>
    <t>Emma</t>
  </si>
  <si>
    <t>emeries</t>
  </si>
  <si>
    <t>emu</t>
  </si>
  <si>
    <t>emu, duck</t>
  </si>
  <si>
    <t>Enola</t>
  </si>
  <si>
    <t>enamels</t>
  </si>
  <si>
    <t>Varnishes</t>
  </si>
  <si>
    <t>enamels, glazes</t>
  </si>
  <si>
    <t>enigma</t>
  </si>
  <si>
    <t xml:space="preserve">Typewriters </t>
  </si>
  <si>
    <t xml:space="preserve">enigma, typewriter </t>
  </si>
  <si>
    <t>Eomer</t>
  </si>
  <si>
    <t>eosins</t>
  </si>
  <si>
    <t xml:space="preserve">eosins, dyes, choys </t>
  </si>
  <si>
    <t>eohippus</t>
  </si>
  <si>
    <t>eohippus, uintathere</t>
  </si>
  <si>
    <t>Epominandas</t>
  </si>
  <si>
    <t>epipens</t>
  </si>
  <si>
    <t>Needles</t>
  </si>
  <si>
    <t>epipens, injects, needles</t>
  </si>
  <si>
    <t>epaulet</t>
  </si>
  <si>
    <t>Equalizer_The</t>
  </si>
  <si>
    <t>equalizes</t>
  </si>
  <si>
    <t>Weighs</t>
  </si>
  <si>
    <t>equalizes, feels</t>
  </si>
  <si>
    <t>equine</t>
  </si>
  <si>
    <t>equine, roan</t>
  </si>
  <si>
    <t>er, hs</t>
  </si>
  <si>
    <t>Erin</t>
  </si>
  <si>
    <t>erodes</t>
  </si>
  <si>
    <t>Hoses</t>
  </si>
  <si>
    <t>erodes, hoses</t>
  </si>
  <si>
    <t>eraser</t>
  </si>
  <si>
    <t>Esau</t>
  </si>
  <si>
    <t>ensembles</t>
  </si>
  <si>
    <t>ensembles, decorates</t>
  </si>
  <si>
    <t>essence</t>
  </si>
  <si>
    <t xml:space="preserve">Perfumes </t>
  </si>
  <si>
    <t>essence, uomo</t>
  </si>
  <si>
    <t>bs, ni, et, el, rs</t>
  </si>
  <si>
    <t>Etta</t>
  </si>
  <si>
    <t>enters</t>
  </si>
  <si>
    <t>etude</t>
  </si>
  <si>
    <t>Euclid</t>
  </si>
  <si>
    <t>eulogizes</t>
  </si>
  <si>
    <t>euphonium</t>
  </si>
  <si>
    <t>euphonium, recorder</t>
  </si>
  <si>
    <t>fr, ev, ld, vt, nx, no</t>
  </si>
  <si>
    <t>Evan</t>
  </si>
  <si>
    <t>evicts</t>
  </si>
  <si>
    <t>evergreen</t>
  </si>
  <si>
    <t>Trees</t>
  </si>
  <si>
    <t>evergreen, fir</t>
  </si>
  <si>
    <t>Ewing</t>
  </si>
  <si>
    <t>ewers</t>
  </si>
  <si>
    <t>Chalices</t>
  </si>
  <si>
    <t>ewers, chalice</t>
  </si>
  <si>
    <t>ewe</t>
  </si>
  <si>
    <t>ewe, cow</t>
  </si>
  <si>
    <t>lw, mw, ex, qa</t>
  </si>
  <si>
    <t>Exeter</t>
  </si>
  <si>
    <t>exhumes</t>
  </si>
  <si>
    <t>exhumes, buries</t>
  </si>
  <si>
    <t>exotic</t>
  </si>
  <si>
    <t>Plants</t>
  </si>
  <si>
    <t>exotic, lungwort</t>
  </si>
  <si>
    <t>Eeyore</t>
  </si>
  <si>
    <t>eyes</t>
  </si>
  <si>
    <t>Looks_at</t>
  </si>
  <si>
    <t>eyrie</t>
  </si>
  <si>
    <t>Nests</t>
  </si>
  <si>
    <t>eyrie, nest</t>
  </si>
  <si>
    <t>Ezzard</t>
  </si>
  <si>
    <t>end_zones</t>
  </si>
  <si>
    <t xml:space="preserve">end_zones, lobs, aviates </t>
  </si>
  <si>
    <t>E-ZPass</t>
  </si>
  <si>
    <t>fa, uy, mq, fw</t>
  </si>
  <si>
    <t>Fairfield</t>
  </si>
  <si>
    <t>fanfares</t>
  </si>
  <si>
    <t>fanfares, bravos</t>
  </si>
  <si>
    <t>farfalle</t>
  </si>
  <si>
    <t>Butterflies</t>
  </si>
  <si>
    <t xml:space="preserve">farfalle, ulysses </t>
  </si>
  <si>
    <t>bn, fb</t>
  </si>
  <si>
    <t>Fabio</t>
  </si>
  <si>
    <t>flambe's</t>
  </si>
  <si>
    <t>flambe's, glazes, enamels</t>
  </si>
  <si>
    <t>fishbowl</t>
  </si>
  <si>
    <t xml:space="preserve">fishbowl, aquarium </t>
  </si>
  <si>
    <t>fc, py</t>
  </si>
  <si>
    <t>Falcon</t>
  </si>
  <si>
    <t>focuses</t>
  </si>
  <si>
    <t>focuses, pyros</t>
  </si>
  <si>
    <t>focaccia</t>
  </si>
  <si>
    <t>Sandwiches</t>
  </si>
  <si>
    <t xml:space="preserve">focaccia, zanwich </t>
  </si>
  <si>
    <t>Fudd</t>
  </si>
  <si>
    <t>fondles</t>
  </si>
  <si>
    <t>fiddle</t>
  </si>
  <si>
    <t>fiddle, recorder</t>
  </si>
  <si>
    <t>hf, fe, cg</t>
  </si>
  <si>
    <t>Feenie</t>
  </si>
  <si>
    <t>feels</t>
  </si>
  <si>
    <t>feeder</t>
  </si>
  <si>
    <t>pr, gv, qc, um, oq, kq, fg, co</t>
  </si>
  <si>
    <t>Figaro</t>
  </si>
  <si>
    <t>fogs</t>
  </si>
  <si>
    <t>Fans</t>
  </si>
  <si>
    <t>fig</t>
  </si>
  <si>
    <t>fh, iy</t>
  </si>
  <si>
    <t>Fisher</t>
  </si>
  <si>
    <t>freshens</t>
  </si>
  <si>
    <t>freshens, tidies</t>
  </si>
  <si>
    <t>fish</t>
  </si>
  <si>
    <t xml:space="preserve">fish, ichthyoid </t>
  </si>
  <si>
    <t>fi, ht, as, at, cg, ju, ip, gr, gn</t>
  </si>
  <si>
    <t>Fifi</t>
  </si>
  <si>
    <t>fistfights</t>
  </si>
  <si>
    <t>fistfights, fights, assails, hits</t>
  </si>
  <si>
    <t>fife</t>
  </si>
  <si>
    <t>fife, recorder</t>
  </si>
  <si>
    <t>fj, vf, il</t>
  </si>
  <si>
    <t>Fujita</t>
  </si>
  <si>
    <t>fuji's</t>
  </si>
  <si>
    <t>fuji's, viewfinds</t>
  </si>
  <si>
    <t>flapjack</t>
  </si>
  <si>
    <t>ow, zo, hs, wl, fk</t>
  </si>
  <si>
    <t>Focker</t>
  </si>
  <si>
    <t>flicks</t>
  </si>
  <si>
    <t>flicks, lobs</t>
  </si>
  <si>
    <t>fork</t>
  </si>
  <si>
    <t>Utensils</t>
  </si>
  <si>
    <t>fork, utensils</t>
  </si>
  <si>
    <t>fl, tc, xh, kt, lp, xp, sb, om</t>
  </si>
  <si>
    <t>Fuller</t>
  </si>
  <si>
    <t>fells</t>
  </si>
  <si>
    <t>fells, chops, sabres</t>
  </si>
  <si>
    <t>feline</t>
  </si>
  <si>
    <t>Cats</t>
  </si>
  <si>
    <t>feline, tomcat, cheshire</t>
  </si>
  <si>
    <t>Fimmel</t>
  </si>
  <si>
    <t>frames</t>
  </si>
  <si>
    <t>frames, image</t>
  </si>
  <si>
    <t>femur</t>
  </si>
  <si>
    <t>Finn</t>
  </si>
  <si>
    <t>fans</t>
  </si>
  <si>
    <t>fan</t>
  </si>
  <si>
    <t>bo, fo, kd</t>
  </si>
  <si>
    <t>Foote</t>
  </si>
  <si>
    <t>foots</t>
  </si>
  <si>
    <t>food</t>
  </si>
  <si>
    <t>Flipper</t>
  </si>
  <si>
    <t>flips</t>
  </si>
  <si>
    <t>flips, inverts, yaws</t>
  </si>
  <si>
    <t>frap</t>
  </si>
  <si>
    <t>frap, coffee</t>
  </si>
  <si>
    <t>yi, fq</t>
  </si>
  <si>
    <t>Farquaad</t>
  </si>
  <si>
    <t>fiques</t>
  </si>
  <si>
    <t>fiques, iugo's</t>
  </si>
  <si>
    <t>forequarter</t>
  </si>
  <si>
    <t>forequarter, beef</t>
  </si>
  <si>
    <t>fr, ev, ld, gx, nv, py, gw</t>
  </si>
  <si>
    <t>Farrah</t>
  </si>
  <si>
    <t>Farrah, Ladd</t>
  </si>
  <si>
    <t>fires</t>
  </si>
  <si>
    <t>fir</t>
  </si>
  <si>
    <t>fir, evergreen</t>
  </si>
  <si>
    <t>gb, fs, ea, gu, lk, nb</t>
  </si>
  <si>
    <t>Foss</t>
  </si>
  <si>
    <t>fresses</t>
  </si>
  <si>
    <t>fossil</t>
  </si>
  <si>
    <t>Fatima</t>
  </si>
  <si>
    <t>fights</t>
  </si>
  <si>
    <t>feta</t>
  </si>
  <si>
    <t>qu, fu, ra, qi, ma, wu, yu, vu</t>
  </si>
  <si>
    <t>Fu</t>
  </si>
  <si>
    <t>Qu, Fu, Ra, Qi, Ma, Wu, Yu, Vu</t>
  </si>
  <si>
    <t>funfetti's</t>
  </si>
  <si>
    <t>funfetti's, fanfares</t>
  </si>
  <si>
    <t>furfur</t>
  </si>
  <si>
    <t>Fever</t>
  </si>
  <si>
    <t>fivers</t>
  </si>
  <si>
    <t>fivers, buys, sells</t>
  </si>
  <si>
    <t>favor</t>
  </si>
  <si>
    <t>favor, recorder</t>
  </si>
  <si>
    <t>fw, iw, wl, mq, fa</t>
  </si>
  <si>
    <t>Finwe</t>
  </si>
  <si>
    <t>firewalls</t>
  </si>
  <si>
    <t>Walls</t>
  </si>
  <si>
    <t>firewalls, inwalls, walls</t>
  </si>
  <si>
    <t>firewood</t>
  </si>
  <si>
    <t>Wood</t>
  </si>
  <si>
    <t>firewood, mesquite</t>
  </si>
  <si>
    <t>Fox</t>
  </si>
  <si>
    <t>faxes</t>
  </si>
  <si>
    <t>Mails</t>
  </si>
  <si>
    <t>faxes, mails</t>
  </si>
  <si>
    <t>fox</t>
  </si>
  <si>
    <t>fox, cow</t>
  </si>
  <si>
    <t>lz, fy, nt</t>
  </si>
  <si>
    <t>Fey</t>
  </si>
  <si>
    <t>fykes</t>
  </si>
  <si>
    <t>Nets</t>
  </si>
  <si>
    <t>fykes, unnets</t>
  </si>
  <si>
    <t>fryer</t>
  </si>
  <si>
    <t>fryer, beef</t>
  </si>
  <si>
    <t>ei, fz, hk, mf</t>
  </si>
  <si>
    <t>Fonzie</t>
  </si>
  <si>
    <t>Winkler</t>
  </si>
  <si>
    <t>Fonzie, Hank</t>
  </si>
  <si>
    <t>fuzzes</t>
  </si>
  <si>
    <t>fez</t>
  </si>
  <si>
    <t>Hats</t>
  </si>
  <si>
    <t>fez, hat</t>
  </si>
  <si>
    <t>Gaga</t>
  </si>
  <si>
    <t>gauges</t>
  </si>
  <si>
    <t>Eyeballs</t>
  </si>
  <si>
    <t>gauges, eyes</t>
  </si>
  <si>
    <t>gaggle</t>
  </si>
  <si>
    <t>gaggle, queue</t>
  </si>
  <si>
    <t>ea, gb, fs</t>
  </si>
  <si>
    <t>Gabriel</t>
  </si>
  <si>
    <t>gobbles</t>
  </si>
  <si>
    <t>gobbles, fresses, eats.</t>
  </si>
  <si>
    <t>garbage</t>
  </si>
  <si>
    <t>gc, gy, uc, nv, rp, at</t>
  </si>
  <si>
    <t>Guncle_The</t>
  </si>
  <si>
    <t>Guncle_The, Unc</t>
  </si>
  <si>
    <t>guncottons</t>
  </si>
  <si>
    <t>Blows_up</t>
  </si>
  <si>
    <t xml:space="preserve">guncottons, glycerines, novas </t>
  </si>
  <si>
    <t>gorcrow</t>
  </si>
  <si>
    <t>gorcrow, kingfisher</t>
  </si>
  <si>
    <t>yd, gd, wd</t>
  </si>
  <si>
    <t>God</t>
  </si>
  <si>
    <t>gilds</t>
  </si>
  <si>
    <t>gilds, decorates</t>
  </si>
  <si>
    <t>Godiva</t>
  </si>
  <si>
    <t>Chocolate</t>
  </si>
  <si>
    <t>md, td, ge, gk</t>
  </si>
  <si>
    <t>Genghis</t>
  </si>
  <si>
    <t xml:space="preserve"> Genghis, Attila</t>
  </si>
  <si>
    <t>geeks</t>
  </si>
  <si>
    <t>gunks, details, tidies</t>
  </si>
  <si>
    <t>ghee</t>
  </si>
  <si>
    <t>Butter</t>
  </si>
  <si>
    <t xml:space="preserve">ghee, urfabutter, whey </t>
  </si>
  <si>
    <t>Groff</t>
  </si>
  <si>
    <t>Groff, Oak</t>
  </si>
  <si>
    <t>gaffs</t>
  </si>
  <si>
    <t>griffin</t>
  </si>
  <si>
    <t>griffin, ziz, wivern, Nessie, Sasquatch</t>
  </si>
  <si>
    <t>Ghosh</t>
  </si>
  <si>
    <t>gashes</t>
  </si>
  <si>
    <t>gashes, sabres, cuts, kukri's</t>
  </si>
  <si>
    <t>gumshoe</t>
  </si>
  <si>
    <t>gumshoe, upcourts, adidas, cheyanne</t>
  </si>
  <si>
    <t>gi, ve, xf, cm, ja</t>
  </si>
  <si>
    <t>Gilgamesh</t>
  </si>
  <si>
    <t>gingham's</t>
  </si>
  <si>
    <t>ginghams, chiffons, velvets, camo's</t>
  </si>
  <si>
    <t>giga</t>
  </si>
  <si>
    <t>giga, ogre</t>
  </si>
  <si>
    <t>gj, zn, gr, ok</t>
  </si>
  <si>
    <t>Gojira</t>
  </si>
  <si>
    <t>goujons</t>
  </si>
  <si>
    <t xml:space="preserve">Divides </t>
  </si>
  <si>
    <t>ganja</t>
  </si>
  <si>
    <t>gk, dt, td, at, md, ge</t>
  </si>
  <si>
    <t>Gekko</t>
  </si>
  <si>
    <t>gunks</t>
  </si>
  <si>
    <t>gecko</t>
  </si>
  <si>
    <t>Lizard</t>
  </si>
  <si>
    <t>gl, mk</t>
  </si>
  <si>
    <t>Gollum</t>
  </si>
  <si>
    <t>gallops</t>
  </si>
  <si>
    <t>gallon</t>
  </si>
  <si>
    <t>Gallon</t>
  </si>
  <si>
    <t>gallon, milk</t>
  </si>
  <si>
    <t>gm, ea, py, go, be</t>
  </si>
  <si>
    <t>Gomer</t>
  </si>
  <si>
    <t>gums</t>
  </si>
  <si>
    <t>gummi</t>
  </si>
  <si>
    <t>Sweets</t>
  </si>
  <si>
    <t>gn, gt, ju, ip, ht, gr, fi</t>
  </si>
  <si>
    <t>Gunnar</t>
  </si>
  <si>
    <t>garnishes</t>
  </si>
  <si>
    <t>gun</t>
  </si>
  <si>
    <t>py, go, be, gm</t>
  </si>
  <si>
    <t>Goober</t>
  </si>
  <si>
    <t>googles</t>
  </si>
  <si>
    <t>goose</t>
  </si>
  <si>
    <t>rg, rn, gp</t>
  </si>
  <si>
    <t>Gipper_The</t>
  </si>
  <si>
    <t>grips</t>
  </si>
  <si>
    <t>grape</t>
  </si>
  <si>
    <t>Gasquet</t>
  </si>
  <si>
    <t>greques</t>
  </si>
  <si>
    <t>grecque</t>
  </si>
  <si>
    <t>gr, gj, ok, ju, ip, ht, gn, fi</t>
  </si>
  <si>
    <t>Gore</t>
  </si>
  <si>
    <t>gores</t>
  </si>
  <si>
    <t>gar</t>
  </si>
  <si>
    <t>Gauss</t>
  </si>
  <si>
    <t>guesses</t>
  </si>
  <si>
    <t>gas</t>
  </si>
  <si>
    <t>du, gt, cn, gn, hi, mg, of, tm</t>
  </si>
  <si>
    <t>Gotti</t>
  </si>
  <si>
    <t>gats</t>
  </si>
  <si>
    <t>goat</t>
  </si>
  <si>
    <t>gu, fs, lk, nb</t>
  </si>
  <si>
    <t>Guggenheim</t>
  </si>
  <si>
    <t>gurgitates</t>
  </si>
  <si>
    <t>gudgeon</t>
  </si>
  <si>
    <t>Grover</t>
  </si>
  <si>
    <t>gavels</t>
  </si>
  <si>
    <t xml:space="preserve">Hammers </t>
  </si>
  <si>
    <t>glove</t>
  </si>
  <si>
    <t>gw, yi, gx, py, fr, nv</t>
  </si>
  <si>
    <t>Gawain</t>
  </si>
  <si>
    <t>glows</t>
  </si>
  <si>
    <t>gearwheel</t>
  </si>
  <si>
    <t>Glox</t>
  </si>
  <si>
    <t>goxes</t>
  </si>
  <si>
    <t>gloxinias</t>
  </si>
  <si>
    <t>gc, gy, uc, hs, ie, nv, ir, rp, at, nz</t>
  </si>
  <si>
    <t>Guy</t>
  </si>
  <si>
    <t>glycerines</t>
  </si>
  <si>
    <t>gargoyle</t>
  </si>
  <si>
    <t>gz, vn</t>
  </si>
  <si>
    <t>Gonzo</t>
  </si>
  <si>
    <t>glazes</t>
  </si>
  <si>
    <t>gazebo</t>
  </si>
  <si>
    <t>Haas</t>
  </si>
  <si>
    <t>hangs</t>
  </si>
  <si>
    <t>hardhat</t>
  </si>
  <si>
    <t>Hobbes*</t>
  </si>
  <si>
    <t>hibachis</t>
  </si>
  <si>
    <t>hamburger</t>
  </si>
  <si>
    <t>Hecate</t>
  </si>
  <si>
    <t>hocusses</t>
  </si>
  <si>
    <t>hotcake</t>
  </si>
  <si>
    <t>lc, ls, qr, hd, uv, rv</t>
  </si>
  <si>
    <t>Hedda</t>
  </si>
  <si>
    <t>hides</t>
  </si>
  <si>
    <t>Lost_&amp;_Found</t>
  </si>
  <si>
    <t>hod</t>
  </si>
  <si>
    <t>Heekin</t>
  </si>
  <si>
    <t>hee-hee's</t>
  </si>
  <si>
    <t>Laughs_at</t>
  </si>
  <si>
    <t>heels</t>
  </si>
  <si>
    <t>Heifetz</t>
  </si>
  <si>
    <t>huffs</t>
  </si>
  <si>
    <t>heifer</t>
  </si>
  <si>
    <t>dn, hg, nv, hr, dc, ql</t>
  </si>
  <si>
    <t>Hagrid</t>
  </si>
  <si>
    <t>hugs</t>
  </si>
  <si>
    <t>hog</t>
  </si>
  <si>
    <t xml:space="preserve">Animals </t>
  </si>
  <si>
    <t>hi, du, gt</t>
  </si>
  <si>
    <t>Hi</t>
  </si>
  <si>
    <t>hipshots</t>
  </si>
  <si>
    <t>high-hat</t>
  </si>
  <si>
    <t>Haji</t>
  </si>
  <si>
    <t>hijacks</t>
  </si>
  <si>
    <t>hijab</t>
  </si>
  <si>
    <t>fz, hk, lb, av</t>
  </si>
  <si>
    <t>Hank</t>
  </si>
  <si>
    <t>hucks</t>
  </si>
  <si>
    <t>hankie</t>
  </si>
  <si>
    <t>Hill</t>
  </si>
  <si>
    <t>heals</t>
  </si>
  <si>
    <t>helicopter</t>
  </si>
  <si>
    <t>Homer</t>
  </si>
  <si>
    <t>hammers</t>
  </si>
  <si>
    <t>ham</t>
  </si>
  <si>
    <t>Hannah</t>
  </si>
  <si>
    <t>hennas</t>
  </si>
  <si>
    <t xml:space="preserve">Tattoos </t>
  </si>
  <si>
    <t>hen</t>
  </si>
  <si>
    <t>ya, ho, ra, qc, yb, zw, sw</t>
  </si>
  <si>
    <t>Hood</t>
  </si>
  <si>
    <t>hoofs</t>
  </si>
  <si>
    <t>hoodie</t>
  </si>
  <si>
    <t>Hope</t>
  </si>
  <si>
    <t>hops</t>
  </si>
  <si>
    <t>Jumps</t>
  </si>
  <si>
    <t>hippo</t>
  </si>
  <si>
    <t>pq, hq, mq</t>
  </si>
  <si>
    <t>Harlequin</t>
  </si>
  <si>
    <t>Q_placement</t>
  </si>
  <si>
    <t>hindquarters</t>
  </si>
  <si>
    <t>harlequin</t>
  </si>
  <si>
    <t>hg, hr, dc, nv</t>
  </si>
  <si>
    <t>Harold</t>
  </si>
  <si>
    <t>hires</t>
  </si>
  <si>
    <t>hare</t>
  </si>
  <si>
    <t>er, hs, gy, ir, nz, ow, zo, wl, fk, ps, td, yq, oq</t>
  </si>
  <si>
    <t>Hansel</t>
  </si>
  <si>
    <t>hoses</t>
  </si>
  <si>
    <t>horse</t>
  </si>
  <si>
    <t>fi, ht, as, at, cg, ju, ip, gr, gn, qh, pu, bt</t>
  </si>
  <si>
    <t>Hattie</t>
  </si>
  <si>
    <t>hits</t>
  </si>
  <si>
    <t>hat</t>
  </si>
  <si>
    <t>hu, hw</t>
  </si>
  <si>
    <t>Hugh</t>
  </si>
  <si>
    <t>Howard</t>
  </si>
  <si>
    <t>hues</t>
  </si>
  <si>
    <t>hue</t>
  </si>
  <si>
    <t>Havoc</t>
  </si>
  <si>
    <t>heaves</t>
  </si>
  <si>
    <t>hive</t>
  </si>
  <si>
    <t>hews</t>
  </si>
  <si>
    <t>howitzer</t>
  </si>
  <si>
    <t>Hoxworth</t>
  </si>
  <si>
    <t>hatboxes</t>
  </si>
  <si>
    <t>helix</t>
  </si>
  <si>
    <t>Hyland</t>
  </si>
  <si>
    <t>hydroplanes</t>
  </si>
  <si>
    <t>hymnal</t>
  </si>
  <si>
    <t>hz, ru, ld</t>
  </si>
  <si>
    <t>Hazel</t>
  </si>
  <si>
    <t>hazes</t>
  </si>
  <si>
    <t>hazard</t>
  </si>
  <si>
    <t>Ladders</t>
  </si>
  <si>
    <t>Iacocca</t>
  </si>
  <si>
    <t>iambs</t>
  </si>
  <si>
    <t>iacocca</t>
  </si>
  <si>
    <t>do, ib, ra, qa, pl, rx, vm</t>
  </si>
  <si>
    <t>ibis</t>
  </si>
  <si>
    <t>iceballs</t>
  </si>
  <si>
    <t>jl, ic</t>
  </si>
  <si>
    <t>Icarus</t>
  </si>
  <si>
    <t>iconifies</t>
  </si>
  <si>
    <t>icon</t>
  </si>
  <si>
    <t>qy, qf, id, iy, ul</t>
  </si>
  <si>
    <t>Ida</t>
  </si>
  <si>
    <t>idles</t>
  </si>
  <si>
    <t>idol</t>
  </si>
  <si>
    <t>idol, icon</t>
  </si>
  <si>
    <t>ie, gy, nv</t>
  </si>
  <si>
    <t>ieva</t>
  </si>
  <si>
    <t>iena's</t>
  </si>
  <si>
    <t>iena</t>
  </si>
  <si>
    <t>infamous</t>
  </si>
  <si>
    <t>infrareds</t>
  </si>
  <si>
    <t>inflatable</t>
  </si>
  <si>
    <t>Igor</t>
  </si>
  <si>
    <t>iggs</t>
  </si>
  <si>
    <t>iguana</t>
  </si>
  <si>
    <t>Ishi</t>
  </si>
  <si>
    <t>ish's</t>
  </si>
  <si>
    <t>inshore</t>
  </si>
  <si>
    <t>ij, wr</t>
  </si>
  <si>
    <t>Ijeoma</t>
  </si>
  <si>
    <t>injects</t>
  </si>
  <si>
    <t>injunction</t>
  </si>
  <si>
    <t>Ike</t>
  </si>
  <si>
    <t>inks</t>
  </si>
  <si>
    <t>ink</t>
  </si>
  <si>
    <t>il, vf, fj</t>
  </si>
  <si>
    <t>Illinois</t>
  </si>
  <si>
    <t>illuminates</t>
  </si>
  <si>
    <t>island</t>
  </si>
  <si>
    <t>Imelda</t>
  </si>
  <si>
    <t>immerses</t>
  </si>
  <si>
    <t>image</t>
  </si>
  <si>
    <t>it, of, in</t>
  </si>
  <si>
    <t>Innes</t>
  </si>
  <si>
    <t>inns</t>
  </si>
  <si>
    <t>innie</t>
  </si>
  <si>
    <t>Stomach</t>
  </si>
  <si>
    <t>io, vp, ry, tq, lq, kc, nj</t>
  </si>
  <si>
    <t>Iolanthe</t>
  </si>
  <si>
    <t>ionizes</t>
  </si>
  <si>
    <t>Rayguns</t>
  </si>
  <si>
    <t>iodine</t>
  </si>
  <si>
    <t>ju, ip, ht, gr, gn, fi</t>
  </si>
  <si>
    <t>Ippolito</t>
  </si>
  <si>
    <t>ippons</t>
  </si>
  <si>
    <t>iPad</t>
  </si>
  <si>
    <t>Inquisitor_The</t>
  </si>
  <si>
    <t>inquests</t>
  </si>
  <si>
    <t>Judges</t>
  </si>
  <si>
    <t>inquisitor</t>
  </si>
  <si>
    <t>ir, gy, hs</t>
  </si>
  <si>
    <t>Ira</t>
  </si>
  <si>
    <t>irrigates</t>
  </si>
  <si>
    <t>iris</t>
  </si>
  <si>
    <t>Isildur</t>
  </si>
  <si>
    <t>insulates</t>
  </si>
  <si>
    <t>insect</t>
  </si>
  <si>
    <t>Ito</t>
  </si>
  <si>
    <t>inters</t>
  </si>
  <si>
    <t>intestines</t>
  </si>
  <si>
    <t>iustitia</t>
  </si>
  <si>
    <t>iugo's</t>
  </si>
  <si>
    <t>iulock</t>
  </si>
  <si>
    <t>la, iv, tu, yw, aj</t>
  </si>
  <si>
    <t>Ivan</t>
  </si>
  <si>
    <t>inverts</t>
  </si>
  <si>
    <t>invertebrate</t>
  </si>
  <si>
    <t>fw, iw, wl</t>
  </si>
  <si>
    <t>Ingwe</t>
  </si>
  <si>
    <t>inwalls</t>
  </si>
  <si>
    <t>the</t>
  </si>
  <si>
    <t>iwi</t>
  </si>
  <si>
    <t>ix, kv, uf</t>
  </si>
  <si>
    <t>INXS</t>
  </si>
  <si>
    <t>iceboxes</t>
  </si>
  <si>
    <t>Refrigerators</t>
  </si>
  <si>
    <t>IMAX</t>
  </si>
  <si>
    <t>cr, iy, fh, qf, qy, id, ul</t>
  </si>
  <si>
    <t>Ilya</t>
  </si>
  <si>
    <t>isopropyls</t>
  </si>
  <si>
    <t>ichthyoid</t>
  </si>
  <si>
    <t>Izzard</t>
  </si>
  <si>
    <t>izods</t>
  </si>
  <si>
    <t>izar</t>
  </si>
  <si>
    <t>Fashion</t>
  </si>
  <si>
    <t>ja, xf, gi</t>
  </si>
  <si>
    <t>JarJar</t>
  </si>
  <si>
    <t>jamjars</t>
  </si>
  <si>
    <t>jaase</t>
  </si>
  <si>
    <t>Job</t>
  </si>
  <si>
    <t>jabs</t>
  </si>
  <si>
    <t>Jumbo</t>
  </si>
  <si>
    <t>jc, qk</t>
  </si>
  <si>
    <t>Jacob</t>
  </si>
  <si>
    <t>jacuzzis</t>
  </si>
  <si>
    <t>junco</t>
  </si>
  <si>
    <t>Jade</t>
  </si>
  <si>
    <t>judases</t>
  </si>
  <si>
    <t>jade</t>
  </si>
  <si>
    <t>Gem_minerals</t>
  </si>
  <si>
    <t>je, jh</t>
  </si>
  <si>
    <t>Jeenie_Weenie</t>
  </si>
  <si>
    <t>jeers</t>
  </si>
  <si>
    <t>jejune</t>
  </si>
  <si>
    <t>Jeff</t>
  </si>
  <si>
    <t>jerf's</t>
  </si>
  <si>
    <t>jif</t>
  </si>
  <si>
    <t>Jagger</t>
  </si>
  <si>
    <t>juggles</t>
  </si>
  <si>
    <t>jugs</t>
  </si>
  <si>
    <t>ax, sb, pr, jh, je</t>
  </si>
  <si>
    <t>Josh</t>
  </si>
  <si>
    <t>joshes</t>
  </si>
  <si>
    <t>jackshaft</t>
  </si>
  <si>
    <t>ji, py</t>
  </si>
  <si>
    <t>Jimjim</t>
  </si>
  <si>
    <t>jii's</t>
  </si>
  <si>
    <t>Sets_afire</t>
  </si>
  <si>
    <t>jiljil</t>
  </si>
  <si>
    <t>jk, ku</t>
  </si>
  <si>
    <t>Jack</t>
  </si>
  <si>
    <t>jacks</t>
  </si>
  <si>
    <t>jackal</t>
  </si>
  <si>
    <t>Julien</t>
  </si>
  <si>
    <t>jails</t>
  </si>
  <si>
    <t>jello</t>
  </si>
  <si>
    <t>jm, no</t>
  </si>
  <si>
    <t>Jamie</t>
  </si>
  <si>
    <t>jomo's</t>
  </si>
  <si>
    <t>jimmies</t>
  </si>
  <si>
    <t>Jen</t>
  </si>
  <si>
    <t>journals</t>
  </si>
  <si>
    <t>jeans</t>
  </si>
  <si>
    <t>qi, vk, tq, jo, bo</t>
  </si>
  <si>
    <t>Joe</t>
  </si>
  <si>
    <t>jojo's</t>
  </si>
  <si>
    <t>joe</t>
  </si>
  <si>
    <t>jp, lj</t>
  </si>
  <si>
    <t>Joplin</t>
  </si>
  <si>
    <t>jumps</t>
  </si>
  <si>
    <t>jumper</t>
  </si>
  <si>
    <t>Jacque</t>
  </si>
  <si>
    <t>jerques</t>
  </si>
  <si>
    <t>jonquil</t>
  </si>
  <si>
    <t>Jared</t>
  </si>
  <si>
    <t>juries</t>
  </si>
  <si>
    <t>jorum</t>
  </si>
  <si>
    <t>ys, js, sg</t>
  </si>
  <si>
    <t>Jesse</t>
  </si>
  <si>
    <t>jigsaws</t>
  </si>
  <si>
    <t>jockstrap</t>
  </si>
  <si>
    <t>Bad_S_words</t>
  </si>
  <si>
    <t>jt, qj, qw, sj, rj, lj, tj, nx, no</t>
  </si>
  <si>
    <t>Jet</t>
  </si>
  <si>
    <t>jettisons</t>
  </si>
  <si>
    <t>jet</t>
  </si>
  <si>
    <t>Jets</t>
  </si>
  <si>
    <t>Juju</t>
  </si>
  <si>
    <t>jujitsu's</t>
  </si>
  <si>
    <t>jujubes</t>
  </si>
  <si>
    <t>Jove</t>
  </si>
  <si>
    <t>javelins</t>
  </si>
  <si>
    <t>juvenile</t>
  </si>
  <si>
    <t>nw, jw</t>
  </si>
  <si>
    <t>Jawan</t>
  </si>
  <si>
    <t>jows</t>
  </si>
  <si>
    <t>jawa</t>
  </si>
  <si>
    <t>ne, ko, jx, ru</t>
  </si>
  <si>
    <t>Jexi</t>
  </si>
  <si>
    <t>jinxes</t>
  </si>
  <si>
    <t>jukebox</t>
  </si>
  <si>
    <t>Jay</t>
  </si>
  <si>
    <t>joysticks</t>
  </si>
  <si>
    <t>jellyfish</t>
  </si>
  <si>
    <t>Jazz</t>
  </si>
  <si>
    <t>jazzes</t>
  </si>
  <si>
    <t>jazz</t>
  </si>
  <si>
    <t>Kai</t>
  </si>
  <si>
    <t>kaka's</t>
  </si>
  <si>
    <t>khakis</t>
  </si>
  <si>
    <t>Kobe</t>
  </si>
  <si>
    <t>kebabs</t>
  </si>
  <si>
    <t>kickball</t>
  </si>
  <si>
    <t>kc, ki, vp, io, ry, nj</t>
  </si>
  <si>
    <t>Kroc</t>
  </si>
  <si>
    <t>kingcrafts</t>
  </si>
  <si>
    <t>kincob</t>
  </si>
  <si>
    <t>Kid_The</t>
  </si>
  <si>
    <t>keds</t>
  </si>
  <si>
    <t>kid</t>
  </si>
  <si>
    <t>Keefer</t>
  </si>
  <si>
    <t>keels</t>
  </si>
  <si>
    <t>keeper</t>
  </si>
  <si>
    <t>kf, da, zu, kp, ko</t>
  </si>
  <si>
    <t>Kaffe</t>
  </si>
  <si>
    <t>kerfs</t>
  </si>
  <si>
    <t>kingfisher</t>
  </si>
  <si>
    <t>kg, ro</t>
  </si>
  <si>
    <t>Kanga</t>
  </si>
  <si>
    <t>kegs</t>
  </si>
  <si>
    <t>kanga</t>
  </si>
  <si>
    <t>Kesha</t>
  </si>
  <si>
    <t>kashas</t>
  </si>
  <si>
    <t>kosher</t>
  </si>
  <si>
    <t>kc, ki, nb, ea</t>
  </si>
  <si>
    <t>Kirk</t>
  </si>
  <si>
    <t>kikkomans</t>
  </si>
  <si>
    <t>kingklip</t>
  </si>
  <si>
    <t>Kojak</t>
  </si>
  <si>
    <t>khanjars</t>
  </si>
  <si>
    <t>koji</t>
  </si>
  <si>
    <t>Khalil</t>
  </si>
  <si>
    <t>kills</t>
  </si>
  <si>
    <t>kilo</t>
  </si>
  <si>
    <t>lf, vy, tv, km</t>
  </si>
  <si>
    <t>Kim</t>
  </si>
  <si>
    <t>kamiks</t>
  </si>
  <si>
    <t>kimono</t>
  </si>
  <si>
    <t>Kenneth</t>
  </si>
  <si>
    <t>kennels</t>
  </si>
  <si>
    <t>kine</t>
  </si>
  <si>
    <t>ne, ko, jx, ru, zu, kp, kf</t>
  </si>
  <si>
    <t>Koopa</t>
  </si>
  <si>
    <t>kool-aids</t>
  </si>
  <si>
    <t>kookaburra</t>
  </si>
  <si>
    <t>qd, kp, zu, yn, yc, kf, ko</t>
  </si>
  <si>
    <t>Kip</t>
  </si>
  <si>
    <t>kopeks</t>
  </si>
  <si>
    <t>kelp</t>
  </si>
  <si>
    <t>Kumquat</t>
  </si>
  <si>
    <t>kumquats</t>
  </si>
  <si>
    <t>kumquat</t>
  </si>
  <si>
    <t>Kerr</t>
  </si>
  <si>
    <t>kerosenes</t>
  </si>
  <si>
    <t>kerr</t>
  </si>
  <si>
    <t>Kiss</t>
  </si>
  <si>
    <t>kisses</t>
  </si>
  <si>
    <t>kaiser</t>
  </si>
  <si>
    <t>kt, tc, fl</t>
  </si>
  <si>
    <t>Kate</t>
  </si>
  <si>
    <t>kites</t>
  </si>
  <si>
    <t>kitten</t>
  </si>
  <si>
    <t>az, sb, ku, ok, jk, kj, tq, al, ag, mi, oe, pi, vr, sz, sw, zr, zv</t>
  </si>
  <si>
    <t>Kunkel</t>
  </si>
  <si>
    <t>kukri's</t>
  </si>
  <si>
    <t>kunkur</t>
  </si>
  <si>
    <t>ix, kv, uf, xl</t>
  </si>
  <si>
    <t>Kevin</t>
  </si>
  <si>
    <t>kelvins</t>
  </si>
  <si>
    <t>kava</t>
  </si>
  <si>
    <t>Kowalska</t>
  </si>
  <si>
    <t>kalewifes</t>
  </si>
  <si>
    <t>kingwood</t>
  </si>
  <si>
    <t>Kix</t>
  </si>
  <si>
    <t>kickboxes</t>
  </si>
  <si>
    <t>kix</t>
  </si>
  <si>
    <t>Kyle</t>
  </si>
  <si>
    <t>keys</t>
  </si>
  <si>
    <t>kayak</t>
  </si>
  <si>
    <t>Katz</t>
  </si>
  <si>
    <t>klutzes</t>
  </si>
  <si>
    <t>kazoo</t>
  </si>
  <si>
    <t>la, iv</t>
  </si>
  <si>
    <t>Lael</t>
  </si>
  <si>
    <t>lalala's</t>
  </si>
  <si>
    <t>landline</t>
  </si>
  <si>
    <t>bq, cl, rw, dx, po, lb, hk, av, pj, ts, op, qh, wz</t>
  </si>
  <si>
    <t>Libbie</t>
  </si>
  <si>
    <t>lobs</t>
  </si>
  <si>
    <t>lab</t>
  </si>
  <si>
    <t>Lucas</t>
  </si>
  <si>
    <t>locates</t>
  </si>
  <si>
    <t>locust</t>
  </si>
  <si>
    <t>fr, ev, ld, hz, ru</t>
  </si>
  <si>
    <t>Ladd</t>
  </si>
  <si>
    <t>lards</t>
  </si>
  <si>
    <t>ladder</t>
  </si>
  <si>
    <t>le, wj</t>
  </si>
  <si>
    <t>Lee</t>
  </si>
  <si>
    <t>leaflets</t>
  </si>
  <si>
    <t>leek</t>
  </si>
  <si>
    <t>lf, vy, tv, km, oa, ps, rd</t>
  </si>
  <si>
    <t>Leif</t>
  </si>
  <si>
    <t>luffs</t>
  </si>
  <si>
    <t>loafers</t>
  </si>
  <si>
    <t>lg, yl</t>
  </si>
  <si>
    <t>Legolas</t>
  </si>
  <si>
    <t>lugs</t>
  </si>
  <si>
    <t>log</t>
  </si>
  <si>
    <t>Lush</t>
  </si>
  <si>
    <t>longships</t>
  </si>
  <si>
    <t>lampshade</t>
  </si>
  <si>
    <t>Lili</t>
  </si>
  <si>
    <t>lifelines</t>
  </si>
  <si>
    <t>lilac</t>
  </si>
  <si>
    <t>jp, lj, lq, rj, tj, sj, jt, nx, no</t>
  </si>
  <si>
    <t>LaJoie</t>
  </si>
  <si>
    <t>longjumps</t>
  </si>
  <si>
    <t>learjet</t>
  </si>
  <si>
    <t>Luke</t>
  </si>
  <si>
    <t>licks</t>
  </si>
  <si>
    <t>lock</t>
  </si>
  <si>
    <t>lm, ml, ln</t>
  </si>
  <si>
    <t>Lem</t>
  </si>
  <si>
    <t>laments</t>
  </si>
  <si>
    <t>lemon</t>
  </si>
  <si>
    <t>ln, vk, ns, ml, lm</t>
  </si>
  <si>
    <t>Lennon</t>
  </si>
  <si>
    <t>lines</t>
  </si>
  <si>
    <t>loaner</t>
  </si>
  <si>
    <t>Loomis</t>
  </si>
  <si>
    <t>loots</t>
  </si>
  <si>
    <t>loo</t>
  </si>
  <si>
    <t>lp, fl, xp, sb</t>
  </si>
  <si>
    <t>Lupino</t>
  </si>
  <si>
    <t>lops</t>
  </si>
  <si>
    <t>leopard</t>
  </si>
  <si>
    <t>lj, lq, ry, tq, io, vp</t>
  </si>
  <si>
    <t>LaQuan</t>
  </si>
  <si>
    <t>liquifies</t>
  </si>
  <si>
    <t>liquor</t>
  </si>
  <si>
    <t>zm, zb, lr</t>
  </si>
  <si>
    <t>Laura</t>
  </si>
  <si>
    <t>lorries</t>
  </si>
  <si>
    <t>laurel</t>
  </si>
  <si>
    <t>lc, ls, qr, hd, uv, rv, ws</t>
  </si>
  <si>
    <t>Les</t>
  </si>
  <si>
    <t>loses</t>
  </si>
  <si>
    <t>lasso</t>
  </si>
  <si>
    <t>co, lt, ml, on</t>
  </si>
  <si>
    <t>Lott</t>
  </si>
  <si>
    <t>litters</t>
  </si>
  <si>
    <t>lettuce</t>
  </si>
  <si>
    <t>lu, na</t>
  </si>
  <si>
    <t>Lulu</t>
  </si>
  <si>
    <t>lullabies</t>
  </si>
  <si>
    <t>lulu</t>
  </si>
  <si>
    <t>Lev</t>
  </si>
  <si>
    <t>levers</t>
  </si>
  <si>
    <t>lave</t>
  </si>
  <si>
    <t>Lowe</t>
  </si>
  <si>
    <t>lowers</t>
  </si>
  <si>
    <t>lungwort</t>
  </si>
  <si>
    <t>lx, ns</t>
  </si>
  <si>
    <t>Lex</t>
  </si>
  <si>
    <t>luxates</t>
  </si>
  <si>
    <t>Lox</t>
  </si>
  <si>
    <t>Lyle</t>
  </si>
  <si>
    <t>lysols</t>
  </si>
  <si>
    <t>lye</t>
  </si>
  <si>
    <t>lz, fy</t>
  </si>
  <si>
    <t>Liz</t>
  </si>
  <si>
    <t>lozenges</t>
  </si>
  <si>
    <t>lizard</t>
  </si>
  <si>
    <t>Ma</t>
  </si>
  <si>
    <t>mammograms</t>
  </si>
  <si>
    <t>mammoth</t>
  </si>
  <si>
    <t>mb, sv, up, xt</t>
  </si>
  <si>
    <t>Mabel</t>
  </si>
  <si>
    <t>mothballs</t>
  </si>
  <si>
    <t>mambo</t>
  </si>
  <si>
    <t>Mac</t>
  </si>
  <si>
    <t>mercs</t>
  </si>
  <si>
    <t>mic</t>
  </si>
  <si>
    <t>md, td, ge, gk, so, dt</t>
  </si>
  <si>
    <t>Maddie</t>
  </si>
  <si>
    <t>muddies</t>
  </si>
  <si>
    <t>medal</t>
  </si>
  <si>
    <t>Meena</t>
  </si>
  <si>
    <t>meets</t>
  </si>
  <si>
    <t>meercat</t>
  </si>
  <si>
    <t>mf, ei, fz</t>
  </si>
  <si>
    <t>Mufasa</t>
  </si>
  <si>
    <t>muffles</t>
  </si>
  <si>
    <t>mafia</t>
  </si>
  <si>
    <t>mg, gt</t>
  </si>
  <si>
    <t>Meg</t>
  </si>
  <si>
    <t>migs</t>
  </si>
  <si>
    <t>mug</t>
  </si>
  <si>
    <t>mh, rm</t>
  </si>
  <si>
    <t>Mosh</t>
  </si>
  <si>
    <t>meshes</t>
  </si>
  <si>
    <t>mash</t>
  </si>
  <si>
    <t>bc, vk, mi, ag, tq, be, kj, al, oe, ku, sb, vs, xl</t>
  </si>
  <si>
    <t>Mimi</t>
  </si>
  <si>
    <t>mimosas</t>
  </si>
  <si>
    <t>ming</t>
  </si>
  <si>
    <t>wo, tq, bc, mj</t>
  </si>
  <si>
    <t>Major</t>
  </si>
  <si>
    <t>Bicycles</t>
  </si>
  <si>
    <t>misjudges</t>
  </si>
  <si>
    <t>marjoram</t>
  </si>
  <si>
    <t>gl, mk, ta, xn</t>
  </si>
  <si>
    <t>Mike</t>
  </si>
  <si>
    <t>marks</t>
  </si>
  <si>
    <t>milk</t>
  </si>
  <si>
    <t>co, lt, ml, lm, ln, wj, on</t>
  </si>
  <si>
    <t>Mel</t>
  </si>
  <si>
    <t>mails</t>
  </si>
  <si>
    <t>melon</t>
  </si>
  <si>
    <t>Manning</t>
  </si>
  <si>
    <t>manacles</t>
  </si>
  <si>
    <t>menu</t>
  </si>
  <si>
    <t>Moore</t>
  </si>
  <si>
    <t>moons</t>
  </si>
  <si>
    <t>moose</t>
  </si>
  <si>
    <t>Mopp</t>
  </si>
  <si>
    <t>mops</t>
  </si>
  <si>
    <t>map</t>
  </si>
  <si>
    <t>mq, fa, fw, pq, hq</t>
  </si>
  <si>
    <t>Monique</t>
  </si>
  <si>
    <t>marquees</t>
  </si>
  <si>
    <t>mesquite</t>
  </si>
  <si>
    <t>Morris</t>
  </si>
  <si>
    <t>mars</t>
  </si>
  <si>
    <t>mirror</t>
  </si>
  <si>
    <t>ms, wa</t>
  </si>
  <si>
    <t>Mose</t>
  </si>
  <si>
    <t>misses</t>
  </si>
  <si>
    <t>moss</t>
  </si>
  <si>
    <t>st, re, mt, po, ag, ov, yp, rt</t>
  </si>
  <si>
    <t>Matt</t>
  </si>
  <si>
    <t>mitts</t>
  </si>
  <si>
    <t>mutt</t>
  </si>
  <si>
    <t>Murph</t>
  </si>
  <si>
    <t>mummifies</t>
  </si>
  <si>
    <t>muumuu</t>
  </si>
  <si>
    <t>Marvel</t>
  </si>
  <si>
    <t>moves</t>
  </si>
  <si>
    <t>movie</t>
  </si>
  <si>
    <t>Morwen</t>
  </si>
  <si>
    <t>mows</t>
  </si>
  <si>
    <t>milkweed</t>
  </si>
  <si>
    <t>Max</t>
  </si>
  <si>
    <t>maximizes</t>
  </si>
  <si>
    <t>mixture</t>
  </si>
  <si>
    <t>Maya</t>
  </si>
  <si>
    <t>myrrhs</t>
  </si>
  <si>
    <t>mynah</t>
  </si>
  <si>
    <t>mz, wg</t>
  </si>
  <si>
    <t>muzzles</t>
  </si>
  <si>
    <t>mozzarella</t>
  </si>
  <si>
    <t>Nan</t>
  </si>
  <si>
    <t>nannies</t>
  </si>
  <si>
    <t>naan</t>
  </si>
  <si>
    <t>dv, ea, nb, gu, fs, lk, ki, nu</t>
  </si>
  <si>
    <t>Nebula</t>
  </si>
  <si>
    <t>nibbles</t>
  </si>
  <si>
    <t>nib</t>
  </si>
  <si>
    <t>Nico</t>
  </si>
  <si>
    <t>nicotines</t>
  </si>
  <si>
    <t>nicotine</t>
  </si>
  <si>
    <t>narcotics</t>
  </si>
  <si>
    <t>Ned</t>
  </si>
  <si>
    <t>neddies</t>
  </si>
  <si>
    <t>nudist</t>
  </si>
  <si>
    <t>Neen</t>
  </si>
  <si>
    <t>needles</t>
  </si>
  <si>
    <t>nene</t>
  </si>
  <si>
    <t>Nefertiti</t>
  </si>
  <si>
    <t>nerfs</t>
  </si>
  <si>
    <t>numbfish</t>
  </si>
  <si>
    <t>ng, dp</t>
  </si>
  <si>
    <t>Niggle</t>
  </si>
  <si>
    <t>nougats</t>
  </si>
  <si>
    <t>nugget</t>
  </si>
  <si>
    <t>Nash</t>
  </si>
  <si>
    <t>noshes</t>
  </si>
  <si>
    <t>nutshell</t>
  </si>
  <si>
    <t>bs, ni, et, el, rs, uv, rv, ws</t>
  </si>
  <si>
    <t>Nina</t>
  </si>
  <si>
    <t>nines</t>
  </si>
  <si>
    <t>niner</t>
  </si>
  <si>
    <t>nj, at, vp, kc, io, ry</t>
  </si>
  <si>
    <t>Narjis</t>
  </si>
  <si>
    <t>ninjas</t>
  </si>
  <si>
    <t>naja</t>
  </si>
  <si>
    <t>nk, at</t>
  </si>
  <si>
    <t>Nick</t>
  </si>
  <si>
    <t>nukes</t>
  </si>
  <si>
    <t>nickel</t>
  </si>
  <si>
    <t>Nellie</t>
  </si>
  <si>
    <t>nails</t>
  </si>
  <si>
    <t>nilla</t>
  </si>
  <si>
    <t>Norm</t>
  </si>
  <si>
    <t>names</t>
  </si>
  <si>
    <t>nomad</t>
  </si>
  <si>
    <t>jm, no, do, nx, vt, rj, lj, tj, sj, jt, sx, ev, yr</t>
  </si>
  <si>
    <t>Noodles</t>
  </si>
  <si>
    <t>no's</t>
  </si>
  <si>
    <t>noodle</t>
  </si>
  <si>
    <t>Napolean</t>
  </si>
  <si>
    <t>nips</t>
  </si>
  <si>
    <t>newspaper</t>
  </si>
  <si>
    <t>nq, oq, uq</t>
  </si>
  <si>
    <t>Nique</t>
  </si>
  <si>
    <t>naqqali's</t>
  </si>
  <si>
    <t>nonliquid</t>
  </si>
  <si>
    <t>nears</t>
  </si>
  <si>
    <t>neuron</t>
  </si>
  <si>
    <t>ln, vk, ns, lx, ut, vg, vf, vy, xv</t>
  </si>
  <si>
    <t>Nessie</t>
  </si>
  <si>
    <t>nelsons</t>
  </si>
  <si>
    <t>Nissan</t>
  </si>
  <si>
    <t>nt, fy</t>
  </si>
  <si>
    <t>Nat</t>
  </si>
  <si>
    <t>nets</t>
  </si>
  <si>
    <t>nest</t>
  </si>
  <si>
    <t>nu, ea, nb</t>
  </si>
  <si>
    <t>Nunn</t>
  </si>
  <si>
    <t>num-num's</t>
  </si>
  <si>
    <t>nun</t>
  </si>
  <si>
    <t>dn, hg, nv, gx, fr, py, gw, hr, dc, ie, gy, rp, at, gc, yh</t>
  </si>
  <si>
    <t>Neville</t>
  </si>
  <si>
    <t>novas</t>
  </si>
  <si>
    <t>navel</t>
  </si>
  <si>
    <t>Nawin</t>
  </si>
  <si>
    <t>newels</t>
  </si>
  <si>
    <t>Narwhal</t>
  </si>
  <si>
    <t>nx, no, vt, rj, lj, tj, sj, jt, sx, ev, yr</t>
  </si>
  <si>
    <t>Nixon</t>
  </si>
  <si>
    <t>nixes</t>
  </si>
  <si>
    <t>nexus</t>
  </si>
  <si>
    <t>Nye</t>
  </si>
  <si>
    <t>nylons</t>
  </si>
  <si>
    <t>nymph</t>
  </si>
  <si>
    <t>nz, gy, hs</t>
  </si>
  <si>
    <t>Nunzio</t>
  </si>
  <si>
    <t>nuzzles</t>
  </si>
  <si>
    <t>nozzle</t>
  </si>
  <si>
    <t>oa, ps, lf</t>
  </si>
  <si>
    <t>Oak</t>
  </si>
  <si>
    <t>oars</t>
  </si>
  <si>
    <t>oatmeal</t>
  </si>
  <si>
    <t>Gruel</t>
  </si>
  <si>
    <t>Obama</t>
  </si>
  <si>
    <t>obliterates</t>
  </si>
  <si>
    <t>oboe</t>
  </si>
  <si>
    <t>Occam</t>
  </si>
  <si>
    <t>ocarinas</t>
  </si>
  <si>
    <t>occiput</t>
  </si>
  <si>
    <t>qk, od</t>
  </si>
  <si>
    <t>Odo</t>
  </si>
  <si>
    <t>orders</t>
  </si>
  <si>
    <t>odor</t>
  </si>
  <si>
    <t>Oedipus</t>
  </si>
  <si>
    <t>oenomels</t>
  </si>
  <si>
    <t>it, of, in, gt, tm</t>
  </si>
  <si>
    <t>Offenbach</t>
  </si>
  <si>
    <t>offs</t>
  </si>
  <si>
    <t>orff</t>
  </si>
  <si>
    <t>Og</t>
  </si>
  <si>
    <t>ogles</t>
  </si>
  <si>
    <t>ogre</t>
  </si>
  <si>
    <t>oh, yr</t>
  </si>
  <si>
    <t>O'Shea</t>
  </si>
  <si>
    <t>oshacs</t>
  </si>
  <si>
    <t>oshac</t>
  </si>
  <si>
    <t>Oin</t>
  </si>
  <si>
    <t>oils</t>
  </si>
  <si>
    <t>oilskin</t>
  </si>
  <si>
    <t>Ojo</t>
  </si>
  <si>
    <t>objurgates</t>
  </si>
  <si>
    <t>ojime</t>
  </si>
  <si>
    <t>az, sb, ku, ok, gr, gj, sz, sw, yj, xi, zv</t>
  </si>
  <si>
    <t>O'Keeffe</t>
  </si>
  <si>
    <t>okapi's</t>
  </si>
  <si>
    <t>okra</t>
  </si>
  <si>
    <t>ol, cr, bt, pv</t>
  </si>
  <si>
    <t>Olaf</t>
  </si>
  <si>
    <t>oleums</t>
  </si>
  <si>
    <t>olive</t>
  </si>
  <si>
    <t xml:space="preserve"> Figs</t>
  </si>
  <si>
    <t>om, fl</t>
  </si>
  <si>
    <t>Omar</t>
  </si>
  <si>
    <t>omits</t>
  </si>
  <si>
    <t>omen</t>
  </si>
  <si>
    <t>lt, on, wj, ml, yk</t>
  </si>
  <si>
    <t>Ono</t>
  </si>
  <si>
    <t>onions*</t>
  </si>
  <si>
    <t>onion*</t>
  </si>
  <si>
    <t>ts, op, qh, lb, av</t>
  </si>
  <si>
    <t>Opus</t>
  </si>
  <si>
    <t>opens</t>
  </si>
  <si>
    <t>opossum</t>
  </si>
  <si>
    <t>nq, oq, uq, so, cy, cb, dg, dc, pr, gv, qc, um, kq, fg, co, ps, td, hs, yq, wd</t>
  </si>
  <si>
    <t>Oquendo</t>
  </si>
  <si>
    <t>overequips</t>
  </si>
  <si>
    <t>oquawka</t>
  </si>
  <si>
    <t>Orin</t>
  </si>
  <si>
    <t>origami's</t>
  </si>
  <si>
    <t>orange</t>
  </si>
  <si>
    <t>Ossie</t>
  </si>
  <si>
    <t>ossifies</t>
  </si>
  <si>
    <t>ossetra</t>
  </si>
  <si>
    <t>Otto</t>
  </si>
  <si>
    <t>otoscopes</t>
  </si>
  <si>
    <t>otter</t>
  </si>
  <si>
    <t>Ousmane</t>
  </si>
  <si>
    <t>ouzos</t>
  </si>
  <si>
    <t>oud</t>
  </si>
  <si>
    <t>bk, ag, ov, eg, st, re, mt, po</t>
  </si>
  <si>
    <t>Ovid</t>
  </si>
  <si>
    <t>ovens</t>
  </si>
  <si>
    <t>ovum</t>
  </si>
  <si>
    <t>Owen</t>
  </si>
  <si>
    <t>owes</t>
  </si>
  <si>
    <t>owie</t>
  </si>
  <si>
    <t>Oxford</t>
  </si>
  <si>
    <t>oxidizes</t>
  </si>
  <si>
    <t>ox</t>
  </si>
  <si>
    <t>Oyster</t>
  </si>
  <si>
    <t>oysters</t>
  </si>
  <si>
    <t>oysterman</t>
  </si>
  <si>
    <t>Oz</t>
  </si>
  <si>
    <t>ozones</t>
  </si>
  <si>
    <t>orzo</t>
  </si>
  <si>
    <t>Papa</t>
  </si>
  <si>
    <t>paperbags</t>
  </si>
  <si>
    <t>pampers</t>
  </si>
  <si>
    <t>Plumbean</t>
  </si>
  <si>
    <t>parboils</t>
  </si>
  <si>
    <t>pebble</t>
  </si>
  <si>
    <t>pt, rk, pc, bv</t>
  </si>
  <si>
    <t>Picard</t>
  </si>
  <si>
    <t>procures</t>
  </si>
  <si>
    <t>Picasso</t>
  </si>
  <si>
    <t>pd, sl, pl, vj, dj</t>
  </si>
  <si>
    <t>Perd</t>
  </si>
  <si>
    <t>peddles</t>
  </si>
  <si>
    <t>paddle</t>
  </si>
  <si>
    <t>pe, ea</t>
  </si>
  <si>
    <t>Peele</t>
  </si>
  <si>
    <t>peppers</t>
  </si>
  <si>
    <t>peel</t>
  </si>
  <si>
    <t>Puff</t>
  </si>
  <si>
    <t>perfumes</t>
  </si>
  <si>
    <t>puffin</t>
  </si>
  <si>
    <t>Peg</t>
  </si>
  <si>
    <t>pugs</t>
  </si>
  <si>
    <t>pig</t>
  </si>
  <si>
    <t>Posh</t>
  </si>
  <si>
    <t>pushes</t>
  </si>
  <si>
    <t>pushup</t>
  </si>
  <si>
    <t>pi, vr, ku, sb</t>
  </si>
  <si>
    <t>Pi</t>
  </si>
  <si>
    <t>pinpricks</t>
  </si>
  <si>
    <t>pie</t>
  </si>
  <si>
    <t>pj, lb</t>
  </si>
  <si>
    <t>Puja</t>
  </si>
  <si>
    <t>projects</t>
  </si>
  <si>
    <t>pajamas</t>
  </si>
  <si>
    <t>Pike</t>
  </si>
  <si>
    <t>packs</t>
  </si>
  <si>
    <t>puck</t>
  </si>
  <si>
    <t>pl, pd, qa, ib</t>
  </si>
  <si>
    <t>Paul</t>
  </si>
  <si>
    <t>pallets</t>
  </si>
  <si>
    <t>pillow</t>
  </si>
  <si>
    <t>Pam</t>
  </si>
  <si>
    <t>palms</t>
  </si>
  <si>
    <t>palm</t>
  </si>
  <si>
    <t>Penn</t>
  </si>
  <si>
    <t>pans</t>
  </si>
  <si>
    <t>penne</t>
  </si>
  <si>
    <t>bq, cl, rw, dx, po, lb, st, re, mt, ag, ov</t>
  </si>
  <si>
    <t>Po</t>
  </si>
  <si>
    <t>poofs</t>
  </si>
  <si>
    <t>poodle</t>
  </si>
  <si>
    <t>Plastique</t>
  </si>
  <si>
    <t>plastiques</t>
  </si>
  <si>
    <t>plaque</t>
  </si>
  <si>
    <t>ax, sb, pr, jh, gv, qc, um, oq, kq, fg, co, vi</t>
  </si>
  <si>
    <t>Parr</t>
  </si>
  <si>
    <t>pares</t>
  </si>
  <si>
    <t>pear</t>
  </si>
  <si>
    <t>dg, ps, vs, rw, oa, lf, td, hs, yq, oq, sn, vy, wq</t>
  </si>
  <si>
    <t>Puss</t>
  </si>
  <si>
    <t>presoaks</t>
  </si>
  <si>
    <t>pesse</t>
  </si>
  <si>
    <t>Pat</t>
  </si>
  <si>
    <t>pets</t>
  </si>
  <si>
    <t>pot</t>
  </si>
  <si>
    <t>qh, pu, ht, bt</t>
  </si>
  <si>
    <t>Puppeteer_The</t>
  </si>
  <si>
    <t>pulps</t>
  </si>
  <si>
    <t>puppet</t>
  </si>
  <si>
    <t>pv, ol, bt</t>
  </si>
  <si>
    <t>Pavarotti</t>
  </si>
  <si>
    <t>pulverizes</t>
  </si>
  <si>
    <t>paver</t>
  </si>
  <si>
    <t>Pow</t>
  </si>
  <si>
    <t>paws</t>
  </si>
  <si>
    <t>pew</t>
  </si>
  <si>
    <t>Paxton</t>
  </si>
  <si>
    <t>pixilates</t>
  </si>
  <si>
    <t>pixie</t>
  </si>
  <si>
    <t>fc, py, gw, yi, gx, fr, nv, ji, go, be, gm, xr</t>
  </si>
  <si>
    <t>Pyle</t>
  </si>
  <si>
    <t>pyros</t>
  </si>
  <si>
    <t>pylon</t>
  </si>
  <si>
    <t>pz, za</t>
  </si>
  <si>
    <t>Paz</t>
  </si>
  <si>
    <t>Prizes</t>
  </si>
  <si>
    <t>lw, mw, ex, qa, pl, ib, yc, ag</t>
  </si>
  <si>
    <t>Qua</t>
  </si>
  <si>
    <t>quaaludes</t>
  </si>
  <si>
    <t>quaqua</t>
  </si>
  <si>
    <t>qb, sb, zr</t>
  </si>
  <si>
    <t>Quickbeam</t>
  </si>
  <si>
    <t>quillbacks</t>
  </si>
  <si>
    <t>quibbler</t>
  </si>
  <si>
    <t>pr, gv, qc, um, oq, kq, fg, co, ya, ho, ra, yb</t>
  </si>
  <si>
    <t>Quarcoo</t>
  </si>
  <si>
    <t>quitclaims</t>
  </si>
  <si>
    <t>quincuncial</t>
  </si>
  <si>
    <t>qd, kp, zu</t>
  </si>
  <si>
    <t>Quaid</t>
  </si>
  <si>
    <t>quids</t>
  </si>
  <si>
    <t>quidditch_stick</t>
  </si>
  <si>
    <t>Queen</t>
  </si>
  <si>
    <t>queens</t>
  </si>
  <si>
    <t>queen</t>
  </si>
  <si>
    <t>qf, iy, qy, id, ul</t>
  </si>
  <si>
    <t>Qwilfish</t>
  </si>
  <si>
    <t>quaffs</t>
  </si>
  <si>
    <t>quaffer</t>
  </si>
  <si>
    <t>Qui_Gon</t>
  </si>
  <si>
    <t>quags</t>
  </si>
  <si>
    <t>quagga</t>
  </si>
  <si>
    <t>qh, pu, ht, bt, ts, op, lb, av</t>
  </si>
  <si>
    <t>Quashie</t>
  </si>
  <si>
    <t>quashes</t>
  </si>
  <si>
    <t>quasher</t>
  </si>
  <si>
    <t>qu, fu, ra, qi, ma, wu, yu, vu, vk, tq, jo, bo, to, yw</t>
  </si>
  <si>
    <t>Qi</t>
  </si>
  <si>
    <t>quinquina's</t>
  </si>
  <si>
    <t>quinqua</t>
  </si>
  <si>
    <t>jt, qj, qw, sj, tj</t>
  </si>
  <si>
    <t>Quajo</t>
  </si>
  <si>
    <t>quikjoints</t>
  </si>
  <si>
    <t>quinjet</t>
  </si>
  <si>
    <t>jc, qk, od, vb</t>
  </si>
  <si>
    <t>Quark</t>
  </si>
  <si>
    <t>quakes</t>
  </si>
  <si>
    <t>quacker</t>
  </si>
  <si>
    <t>ql, hg</t>
  </si>
  <si>
    <t>Quill</t>
  </si>
  <si>
    <t>quells</t>
  </si>
  <si>
    <t>quoll</t>
  </si>
  <si>
    <t>qw, qm, tc</t>
  </si>
  <si>
    <t>Quimmons</t>
  </si>
  <si>
    <t>quemes</t>
  </si>
  <si>
    <t>qualmond</t>
  </si>
  <si>
    <t>xn, qn, sb, xi</t>
  </si>
  <si>
    <t>Quinn</t>
  </si>
  <si>
    <t>quinines</t>
  </si>
  <si>
    <t>quinnat</t>
  </si>
  <si>
    <t>Quo</t>
  </si>
  <si>
    <t>quo's</t>
  </si>
  <si>
    <t>quooker</t>
  </si>
  <si>
    <t>Quipper_The</t>
  </si>
  <si>
    <t>quarpels</t>
  </si>
  <si>
    <t>quip</t>
  </si>
  <si>
    <t>Quarrel</t>
  </si>
  <si>
    <t>quarantines</t>
  </si>
  <si>
    <t>quire</t>
  </si>
  <si>
    <t>Quassi</t>
  </si>
  <si>
    <t>quisses</t>
  </si>
  <si>
    <t>quassia</t>
  </si>
  <si>
    <t>Quentin</t>
  </si>
  <si>
    <t>quilts</t>
  </si>
  <si>
    <t>quart</t>
  </si>
  <si>
    <t>Qu</t>
  </si>
  <si>
    <t>queues</t>
  </si>
  <si>
    <t>queue</t>
  </si>
  <si>
    <t>Quaver</t>
  </si>
  <si>
    <t>quivers</t>
  </si>
  <si>
    <t>quaver</t>
  </si>
  <si>
    <t>qj, qw, sj, jt, qm, tc</t>
  </si>
  <si>
    <t>Quadsworth</t>
  </si>
  <si>
    <t>quillworks</t>
  </si>
  <si>
    <t>quikwall</t>
  </si>
  <si>
    <t>Quixall</t>
  </si>
  <si>
    <t>quixxes</t>
  </si>
  <si>
    <t>quoxwood</t>
  </si>
  <si>
    <t>Quayle</t>
  </si>
  <si>
    <t>quaycrafts</t>
  </si>
  <si>
    <t>quoy</t>
  </si>
  <si>
    <t>Quartz</t>
  </si>
  <si>
    <t>quizzes</t>
  </si>
  <si>
    <t>quartz</t>
  </si>
  <si>
    <t>qu, fu, ra, qi, ma, wu, yu, vu, ib, rx, vm, ya, ho, qc, yb</t>
  </si>
  <si>
    <t>Ra</t>
  </si>
  <si>
    <t>ralphs</t>
  </si>
  <si>
    <t>ramrod</t>
  </si>
  <si>
    <t>Robin</t>
  </si>
  <si>
    <t>robs</t>
  </si>
  <si>
    <t>rubber</t>
  </si>
  <si>
    <t>rc, dk, da, zf, bi, bs</t>
  </si>
  <si>
    <t>Ricardo</t>
  </si>
  <si>
    <t>recovers</t>
  </si>
  <si>
    <t>recorder</t>
  </si>
  <si>
    <t>lf, rd</t>
  </si>
  <si>
    <t>Red</t>
  </si>
  <si>
    <t>reddens</t>
  </si>
  <si>
    <t>rudder</t>
  </si>
  <si>
    <t>st, re, mt, po, ag, ov</t>
  </si>
  <si>
    <t>Reese</t>
  </si>
  <si>
    <t>reels</t>
  </si>
  <si>
    <t>reed</t>
  </si>
  <si>
    <t>Riff</t>
  </si>
  <si>
    <t>raffles</t>
  </si>
  <si>
    <t>ruffles</t>
  </si>
  <si>
    <t>Reagan</t>
  </si>
  <si>
    <t>ragu's</t>
  </si>
  <si>
    <t>rug</t>
  </si>
  <si>
    <t>Roshi</t>
  </si>
  <si>
    <t>rickshaws</t>
  </si>
  <si>
    <t>rush</t>
  </si>
  <si>
    <t>Riri</t>
  </si>
  <si>
    <t>rings</t>
  </si>
  <si>
    <t>ring</t>
  </si>
  <si>
    <t>rj, lj, tj, sj, jt, nx, no</t>
  </si>
  <si>
    <t>Raj</t>
  </si>
  <si>
    <t>rejects</t>
  </si>
  <si>
    <t>ramjet</t>
  </si>
  <si>
    <t>Rick</t>
  </si>
  <si>
    <t>rocks</t>
  </si>
  <si>
    <t>rake</t>
  </si>
  <si>
    <t>Raleigh</t>
  </si>
  <si>
    <t>rolls</t>
  </si>
  <si>
    <t>rollie</t>
  </si>
  <si>
    <t>Rahm</t>
  </si>
  <si>
    <t>rims</t>
  </si>
  <si>
    <t>Basketball_shots</t>
  </si>
  <si>
    <t>roma</t>
  </si>
  <si>
    <t>Ronnie</t>
  </si>
  <si>
    <t>reins</t>
  </si>
  <si>
    <t>roan</t>
  </si>
  <si>
    <t>kg, ro, tg</t>
  </si>
  <si>
    <t>Roo</t>
  </si>
  <si>
    <t>roots</t>
  </si>
  <si>
    <t>roo</t>
  </si>
  <si>
    <t>nv, rp, at, gy, gc, yh, yo</t>
  </si>
  <si>
    <t>Rip</t>
  </si>
  <si>
    <t>rips</t>
  </si>
  <si>
    <t>rope</t>
  </si>
  <si>
    <t>Raquel</t>
  </si>
  <si>
    <t>racquets</t>
  </si>
  <si>
    <t>racquetball</t>
  </si>
  <si>
    <t>el, et, bs, ni, rs</t>
  </si>
  <si>
    <t>Ross</t>
  </si>
  <si>
    <t>raises</t>
  </si>
  <si>
    <t>rosé</t>
  </si>
  <si>
    <t>yp, rt, mt</t>
  </si>
  <si>
    <t>Rhett</t>
  </si>
  <si>
    <t>returns</t>
  </si>
  <si>
    <t>rat</t>
  </si>
  <si>
    <t>hz, ru, ld, ne, ko, jx</t>
  </si>
  <si>
    <t>Rurudo</t>
  </si>
  <si>
    <t>rungs</t>
  </si>
  <si>
    <t>ruru</t>
  </si>
  <si>
    <t>lc, ls, qr, hd, uv, rv, ws, bs, ni, el</t>
  </si>
  <si>
    <t>Ravi</t>
  </si>
  <si>
    <t>reveals</t>
  </si>
  <si>
    <t>raven</t>
  </si>
  <si>
    <t>bq, cl, rw, dx, po, lb, db, cg, dg, ps, vs, tr, st</t>
  </si>
  <si>
    <t>Rowan</t>
  </si>
  <si>
    <t>rows</t>
  </si>
  <si>
    <t>rottweiler</t>
  </si>
  <si>
    <t>ra, ib, rx, vm</t>
  </si>
  <si>
    <t>Roxanne</t>
  </si>
  <si>
    <t>refluxes</t>
  </si>
  <si>
    <t>Vomits</t>
  </si>
  <si>
    <t>rax</t>
  </si>
  <si>
    <t>ry, tq, lq, io, vp, kc, nj</t>
  </si>
  <si>
    <t>Rey</t>
  </si>
  <si>
    <t>rayguns</t>
  </si>
  <si>
    <t>rye</t>
  </si>
  <si>
    <t>rz, sb</t>
  </si>
  <si>
    <t>Rizzo</t>
  </si>
  <si>
    <t>razorblades</t>
  </si>
  <si>
    <t>ritz</t>
  </si>
  <si>
    <t>Samson</t>
  </si>
  <si>
    <t>Saabs</t>
  </si>
  <si>
    <t>salsa</t>
  </si>
  <si>
    <t>ax, sb, pr, jh, az, ku, ok, kj, tq, al, ag, mi, oe, lp, fl, xp, pi, vr, qb, zr, rz, si, xi, xn, qn, xs, zv</t>
  </si>
  <si>
    <t>Seb</t>
  </si>
  <si>
    <t>sabres</t>
  </si>
  <si>
    <t>sub</t>
  </si>
  <si>
    <t>Sacco</t>
  </si>
  <si>
    <t>secures</t>
  </si>
  <si>
    <t>soccerball</t>
  </si>
  <si>
    <t>sd, sg, sl, zg, zl, uz</t>
  </si>
  <si>
    <t>Sid</t>
  </si>
  <si>
    <t>suds</t>
  </si>
  <si>
    <t>saddle</t>
  </si>
  <si>
    <t>te, se, us, zl, uc</t>
  </si>
  <si>
    <t>Seeger</t>
  </si>
  <si>
    <t>seesaws</t>
  </si>
  <si>
    <t>seed</t>
  </si>
  <si>
    <t>sf, bn</t>
  </si>
  <si>
    <t>Saffron</t>
  </si>
  <si>
    <t>souffles</t>
  </si>
  <si>
    <t>surface</t>
  </si>
  <si>
    <t>sd, sg, sl, zg, ys, js</t>
  </si>
  <si>
    <t>Sig</t>
  </si>
  <si>
    <t>smuggles</t>
  </si>
  <si>
    <t>siggi</t>
  </si>
  <si>
    <t>Yogurt</t>
  </si>
  <si>
    <t>Sasha</t>
  </si>
  <si>
    <t>smashes</t>
  </si>
  <si>
    <t>sushi</t>
  </si>
  <si>
    <t>sb, si, zr, xi</t>
  </si>
  <si>
    <t>Scissorhands</t>
  </si>
  <si>
    <t>sidesteps</t>
  </si>
  <si>
    <t>scissors</t>
  </si>
  <si>
    <t>qj, qw, sj, jt, rj, lj, tj, nx, no</t>
  </si>
  <si>
    <t>Sojourner</t>
  </si>
  <si>
    <t>straitjackets</t>
  </si>
  <si>
    <t>scramjet</t>
  </si>
  <si>
    <t>Suke</t>
  </si>
  <si>
    <t>sinks</t>
  </si>
  <si>
    <t>sack</t>
  </si>
  <si>
    <t>fv, sl, by, pd, sg, sd, zg</t>
  </si>
  <si>
    <t>Sal</t>
  </si>
  <si>
    <t>sells</t>
  </si>
  <si>
    <t>sail</t>
  </si>
  <si>
    <t>Sam</t>
  </si>
  <si>
    <t>semis</t>
  </si>
  <si>
    <t>salmon</t>
  </si>
  <si>
    <t>sn, td, ps</t>
  </si>
  <si>
    <t>Sun</t>
  </si>
  <si>
    <t>sani's</t>
  </si>
  <si>
    <t>sign</t>
  </si>
  <si>
    <t>oq, so, cy, cb, dg, dc, md, td, dt, wd</t>
  </si>
  <si>
    <t>Sosa</t>
  </si>
  <si>
    <t>soots</t>
  </si>
  <si>
    <t>sooner</t>
  </si>
  <si>
    <t>Superman</t>
  </si>
  <si>
    <t>supplies</t>
  </si>
  <si>
    <t>supper</t>
  </si>
  <si>
    <t>Sasquatch</t>
  </si>
  <si>
    <t>sequesters</t>
  </si>
  <si>
    <t>sequin</t>
  </si>
  <si>
    <t>Sarah</t>
  </si>
  <si>
    <t>saran-wraps</t>
  </si>
  <si>
    <t>saran-wrap</t>
  </si>
  <si>
    <t>sorels</t>
  </si>
  <si>
    <t>st, re, mt, po, ag, ov, tr, rw</t>
  </si>
  <si>
    <t>Saturn</t>
  </si>
  <si>
    <t>sautees</t>
  </si>
  <si>
    <t>setter</t>
  </si>
  <si>
    <t>Susan</t>
  </si>
  <si>
    <t>sunsets</t>
  </si>
  <si>
    <t>suss</t>
  </si>
  <si>
    <t>mb, sv, up</t>
  </si>
  <si>
    <t>Seven</t>
  </si>
  <si>
    <t>saves</t>
  </si>
  <si>
    <t>silver</t>
  </si>
  <si>
    <t>sz, ok, ku, sw, zw, ho</t>
  </si>
  <si>
    <t>Sowash</t>
  </si>
  <si>
    <t>saws</t>
  </si>
  <si>
    <t>sandwich</t>
  </si>
  <si>
    <t>sx, nx, no, yr</t>
  </si>
  <si>
    <t>Sax</t>
  </si>
  <si>
    <t>sixes</t>
  </si>
  <si>
    <t>sax</t>
  </si>
  <si>
    <t>Sly</t>
  </si>
  <si>
    <t>skyhooks</t>
  </si>
  <si>
    <t>scythe</t>
  </si>
  <si>
    <t>sz, ok, ku, sw</t>
  </si>
  <si>
    <t>Suzanne</t>
  </si>
  <si>
    <t>sawzalls</t>
  </si>
  <si>
    <t>seltzer</t>
  </si>
  <si>
    <t>ta, xn, mk</t>
  </si>
  <si>
    <t>Tatum</t>
  </si>
  <si>
    <t>tattoos</t>
  </si>
  <si>
    <t>tater-tot</t>
  </si>
  <si>
    <t>Tobias</t>
  </si>
  <si>
    <t>tubs</t>
  </si>
  <si>
    <t>tuber</t>
  </si>
  <si>
    <t>fl, tc, xh, kt, qw, qm</t>
  </si>
  <si>
    <t>Taco</t>
  </si>
  <si>
    <t>talcums</t>
  </si>
  <si>
    <t>tomcat</t>
  </si>
  <si>
    <t>dt, td, gk, at, md, ge, ps, hs, yq, oq, sn, so, vh, ze</t>
  </si>
  <si>
    <t>Ted</t>
  </si>
  <si>
    <t>tidies</t>
  </si>
  <si>
    <t>toddler</t>
  </si>
  <si>
    <t>te, se</t>
  </si>
  <si>
    <t>Teenie</t>
  </si>
  <si>
    <t>teeter-totters</t>
  </si>
  <si>
    <t>tent</t>
  </si>
  <si>
    <t>Tiffani</t>
  </si>
  <si>
    <t>teffs</t>
  </si>
  <si>
    <t>toffee</t>
  </si>
  <si>
    <t>ro, tg</t>
  </si>
  <si>
    <t>Tigger</t>
  </si>
  <si>
    <t>tags</t>
  </si>
  <si>
    <t>tiger</t>
  </si>
  <si>
    <t>Tash</t>
  </si>
  <si>
    <t>trashes</t>
  </si>
  <si>
    <t>tush</t>
  </si>
  <si>
    <t>Titi</t>
  </si>
  <si>
    <t>tightens</t>
  </si>
  <si>
    <t>tie</t>
  </si>
  <si>
    <t>rj, lj, tj, sj, jt, nx, no, qj</t>
  </si>
  <si>
    <t>Taj</t>
  </si>
  <si>
    <t>twinjets</t>
  </si>
  <si>
    <t>tearjerker</t>
  </si>
  <si>
    <t>Takei</t>
  </si>
  <si>
    <t>tackles</t>
  </si>
  <si>
    <t>tack</t>
  </si>
  <si>
    <t>Tell</t>
  </si>
  <si>
    <t>tallies</t>
  </si>
  <si>
    <t>tiller</t>
  </si>
  <si>
    <t>tm, of, gt</t>
  </si>
  <si>
    <t>Tom</t>
  </si>
  <si>
    <t>terminates</t>
  </si>
  <si>
    <t>team</t>
  </si>
  <si>
    <t>Tan</t>
  </si>
  <si>
    <t>tines</t>
  </si>
  <si>
    <t>tuna</t>
  </si>
  <si>
    <t>to, qi</t>
  </si>
  <si>
    <t>Tootsie</t>
  </si>
  <si>
    <t>tongues</t>
  </si>
  <si>
    <t>tortoise</t>
  </si>
  <si>
    <t>tp, yw</t>
  </si>
  <si>
    <t>Tipper</t>
  </si>
  <si>
    <t>tips</t>
  </si>
  <si>
    <t>tupperware</t>
  </si>
  <si>
    <t>bc, vk, mi, ag, tq, be, kj, al, oe, ku, sb, vs, xl, qi, jo, bo, ry, lq, io, vp, wo, mj</t>
  </si>
  <si>
    <t>Tocqueville</t>
  </si>
  <si>
    <t>tequilas</t>
  </si>
  <si>
    <t>turquoise</t>
  </si>
  <si>
    <t>tr, st, rw</t>
  </si>
  <si>
    <t>Tor</t>
  </si>
  <si>
    <t>tars</t>
  </si>
  <si>
    <t>terrier</t>
  </si>
  <si>
    <t>Tess</t>
  </si>
  <si>
    <t>tosses</t>
  </si>
  <si>
    <t>tassel</t>
  </si>
  <si>
    <t>Tut</t>
  </si>
  <si>
    <t>turtles</t>
  </si>
  <si>
    <t>tutu</t>
  </si>
  <si>
    <t>he, ad, zr, tv, lf, vy, km</t>
  </si>
  <si>
    <t>Tove</t>
  </si>
  <si>
    <t>teva's</t>
  </si>
  <si>
    <t>tava</t>
  </si>
  <si>
    <t>Tower</t>
  </si>
  <si>
    <t>tows</t>
  </si>
  <si>
    <t>towel</t>
  </si>
  <si>
    <t>Tex</t>
  </si>
  <si>
    <t>taxies</t>
  </si>
  <si>
    <t>tux</t>
  </si>
  <si>
    <t>Tyler</t>
  </si>
  <si>
    <t>types</t>
  </si>
  <si>
    <t>typewriter</t>
  </si>
  <si>
    <t>Tarzan</t>
  </si>
  <si>
    <t>twizzles</t>
  </si>
  <si>
    <t>tanzanite</t>
  </si>
  <si>
    <t>uj, wc, ua, uw</t>
  </si>
  <si>
    <t>Uatu</t>
  </si>
  <si>
    <t>uada's</t>
  </si>
  <si>
    <t>uakari</t>
  </si>
  <si>
    <t>Usborne</t>
  </si>
  <si>
    <t>ubers</t>
  </si>
  <si>
    <t>umbrella</t>
  </si>
  <si>
    <t>gc, gy, uc, us, se, zl</t>
  </si>
  <si>
    <t>Unc</t>
  </si>
  <si>
    <t>uncrates</t>
  </si>
  <si>
    <t>upcourts</t>
  </si>
  <si>
    <t>Uddo</t>
  </si>
  <si>
    <t>underlinens</t>
  </si>
  <si>
    <t>udder</t>
  </si>
  <si>
    <t>Ueli</t>
  </si>
  <si>
    <t>uego's</t>
  </si>
  <si>
    <t>uelibloom</t>
  </si>
  <si>
    <t>ix, kv, uf, ye</t>
  </si>
  <si>
    <t>Uffie</t>
  </si>
  <si>
    <t>unfreezes</t>
  </si>
  <si>
    <t>urfabutter</t>
  </si>
  <si>
    <t>Unger</t>
  </si>
  <si>
    <t>upgrades</t>
  </si>
  <si>
    <t>uggs</t>
  </si>
  <si>
    <t>Usher</t>
  </si>
  <si>
    <t>ushers</t>
  </si>
  <si>
    <t>usher</t>
  </si>
  <si>
    <t>Uinen</t>
  </si>
  <si>
    <t>uintates</t>
  </si>
  <si>
    <t>uintathere</t>
  </si>
  <si>
    <t>Upjohn</t>
  </si>
  <si>
    <t>unjams</t>
  </si>
  <si>
    <t>unjointed</t>
  </si>
  <si>
    <t>Ukiah</t>
  </si>
  <si>
    <t>ukes</t>
  </si>
  <si>
    <t>ukulele</t>
  </si>
  <si>
    <t>Ulani</t>
  </si>
  <si>
    <t>ulu's</t>
  </si>
  <si>
    <t>ulua</t>
  </si>
  <si>
    <t>Umm</t>
  </si>
  <si>
    <t>umami's</t>
  </si>
  <si>
    <t>ume</t>
  </si>
  <si>
    <t>Uno</t>
  </si>
  <si>
    <t>unnets</t>
  </si>
  <si>
    <t>Uotani</t>
  </si>
  <si>
    <t>uoma's</t>
  </si>
  <si>
    <t>uomo</t>
  </si>
  <si>
    <t>mb, sv, up, zq</t>
  </si>
  <si>
    <t>Uppermost</t>
  </si>
  <si>
    <t>unpacks</t>
  </si>
  <si>
    <t>unpainted</t>
  </si>
  <si>
    <t>nq, oq, uq, uw</t>
  </si>
  <si>
    <t>Unquiet</t>
  </si>
  <si>
    <t>umiaqs</t>
  </si>
  <si>
    <t>umiaq</t>
  </si>
  <si>
    <t>Uriah</t>
  </si>
  <si>
    <t>urinates</t>
  </si>
  <si>
    <t>urinal</t>
  </si>
  <si>
    <t>us, se, zl, uc</t>
  </si>
  <si>
    <t>Usain</t>
  </si>
  <si>
    <t>unseals</t>
  </si>
  <si>
    <t>unsalted</t>
  </si>
  <si>
    <t>ut, ns, vk</t>
  </si>
  <si>
    <t>Utah</t>
  </si>
  <si>
    <t>utensils</t>
  </si>
  <si>
    <t>ute</t>
  </si>
  <si>
    <t>Uvee</t>
  </si>
  <si>
    <t>unveils</t>
  </si>
  <si>
    <t>urva</t>
  </si>
  <si>
    <t>uw, uq, uj, wc, ua</t>
  </si>
  <si>
    <t>Unwound</t>
  </si>
  <si>
    <t>unwinds</t>
  </si>
  <si>
    <t>unwinder</t>
  </si>
  <si>
    <t>Uxie</t>
  </si>
  <si>
    <t>uxorates</t>
  </si>
  <si>
    <t>uxor</t>
  </si>
  <si>
    <t>fa, uy, zu</t>
  </si>
  <si>
    <t>Ulysses</t>
  </si>
  <si>
    <t>unyokes</t>
  </si>
  <si>
    <t>zl, sd, uz</t>
  </si>
  <si>
    <t>Uzi</t>
  </si>
  <si>
    <t>unzips</t>
  </si>
  <si>
    <t>uzi</t>
  </si>
  <si>
    <t>VaVa</t>
  </si>
  <si>
    <t>valves</t>
  </si>
  <si>
    <t>valvoline</t>
  </si>
  <si>
    <t>vb, qk</t>
  </si>
  <si>
    <t>Vibert</t>
  </si>
  <si>
    <t>vibrates</t>
  </si>
  <si>
    <t>vibraphone</t>
  </si>
  <si>
    <t>Vic</t>
  </si>
  <si>
    <t>vacuums</t>
  </si>
  <si>
    <t>velcro</t>
  </si>
  <si>
    <t>Vader</t>
  </si>
  <si>
    <t>videos</t>
  </si>
  <si>
    <t>vada</t>
  </si>
  <si>
    <t>Velveteen</t>
  </si>
  <si>
    <t>velvets</t>
  </si>
  <si>
    <t>velveeta</t>
  </si>
  <si>
    <t>fj, vf, il, vg, ns, vy</t>
  </si>
  <si>
    <t>Vanford</t>
  </si>
  <si>
    <t>viewfinds</t>
  </si>
  <si>
    <t>vatful</t>
  </si>
  <si>
    <t>vg, vf, ns, vy</t>
  </si>
  <si>
    <t>Vega</t>
  </si>
  <si>
    <t>vogues</t>
  </si>
  <si>
    <t>td, vh</t>
  </si>
  <si>
    <t>Vish</t>
  </si>
  <si>
    <t>vashe's</t>
  </si>
  <si>
    <t>voshells</t>
  </si>
  <si>
    <t>vi, pr</t>
  </si>
  <si>
    <t>Vi</t>
  </si>
  <si>
    <t>vivisects</t>
  </si>
  <si>
    <t>viva</t>
  </si>
  <si>
    <t>VelJohnson</t>
  </si>
  <si>
    <t>V.J.'s</t>
  </si>
  <si>
    <t>verjus</t>
  </si>
  <si>
    <t>bc, vk, mi, ag, tq, be, ln, ns, qi, jo, bo, ut, xv</t>
  </si>
  <si>
    <t>Vack</t>
  </si>
  <si>
    <t>vodkas</t>
  </si>
  <si>
    <t>volk</t>
  </si>
  <si>
    <t>Val</t>
  </si>
  <si>
    <t>veils</t>
  </si>
  <si>
    <t>vole</t>
  </si>
  <si>
    <t>Velma</t>
  </si>
  <si>
    <t>vomits</t>
  </si>
  <si>
    <t>varmint</t>
  </si>
  <si>
    <t>gz, vn, ae</t>
  </si>
  <si>
    <t>Venus</t>
  </si>
  <si>
    <t>varnishes</t>
  </si>
  <si>
    <t>van</t>
  </si>
  <si>
    <t>Voortman</t>
  </si>
  <si>
    <t>voodoos</t>
  </si>
  <si>
    <t>voodoo</t>
  </si>
  <si>
    <t>Viper</t>
  </si>
  <si>
    <t>vaporizes</t>
  </si>
  <si>
    <t>viper</t>
  </si>
  <si>
    <t>Vazquez</t>
  </si>
  <si>
    <t>vanquishes</t>
  </si>
  <si>
    <t>visqueen</t>
  </si>
  <si>
    <t>Veronica</t>
  </si>
  <si>
    <t>vara's</t>
  </si>
  <si>
    <t>variant</t>
  </si>
  <si>
    <t>dg, ps, vs, rw, mi, tq, xl, vy, wq</t>
  </si>
  <si>
    <t>Vassar</t>
  </si>
  <si>
    <t>vessels</t>
  </si>
  <si>
    <t>vaseline</t>
  </si>
  <si>
    <t>nx, no, vt, ev</t>
  </si>
  <si>
    <t>Vito</t>
  </si>
  <si>
    <t>vetoes</t>
  </si>
  <si>
    <t>vitamin</t>
  </si>
  <si>
    <t>Vu</t>
  </si>
  <si>
    <t>vuvaults</t>
  </si>
  <si>
    <t>vuvuzela</t>
  </si>
  <si>
    <t>Vawer</t>
  </si>
  <si>
    <t>vows</t>
  </si>
  <si>
    <t>vowel</t>
  </si>
  <si>
    <t>Vixen</t>
  </si>
  <si>
    <t>voxes</t>
  </si>
  <si>
    <t>VAX</t>
  </si>
  <si>
    <t>lf, vy, tv, km, vg, vf, ns, vs, ps, el, yt, yq</t>
  </si>
  <si>
    <t>Veyron</t>
  </si>
  <si>
    <t>voyages</t>
  </si>
  <si>
    <t>vinyl</t>
  </si>
  <si>
    <t>zn, vz</t>
  </si>
  <si>
    <t>Vanzetti</t>
  </si>
  <si>
    <t>vizio's</t>
  </si>
  <si>
    <t>vizard</t>
  </si>
  <si>
    <t>Warwick</t>
  </si>
  <si>
    <t>war_wolfs</t>
  </si>
  <si>
    <t>wallwort</t>
  </si>
  <si>
    <t>Webbie</t>
  </si>
  <si>
    <t>wobbles</t>
  </si>
  <si>
    <t>web</t>
  </si>
  <si>
    <t>Wilco</t>
  </si>
  <si>
    <t>welcomes</t>
  </si>
  <si>
    <t>wiccan</t>
  </si>
  <si>
    <t>wd, cy, cb, dg, oq, so, yd, gd</t>
  </si>
  <si>
    <t>Wade</t>
  </si>
  <si>
    <t>welds</t>
  </si>
  <si>
    <t>waders</t>
  </si>
  <si>
    <t>Weederman</t>
  </si>
  <si>
    <t>weewees</t>
  </si>
  <si>
    <t>weed</t>
  </si>
  <si>
    <t>Worf</t>
  </si>
  <si>
    <t>wiffles</t>
  </si>
  <si>
    <t>waffle</t>
  </si>
  <si>
    <t>Wolfgang</t>
  </si>
  <si>
    <t>wiggles</t>
  </si>
  <si>
    <t>wig</t>
  </si>
  <si>
    <t>wh, zj</t>
  </si>
  <si>
    <t>Walsh</t>
  </si>
  <si>
    <t>washes</t>
  </si>
  <si>
    <t>washer</t>
  </si>
  <si>
    <t>Winwood</t>
  </si>
  <si>
    <t>wings</t>
  </si>
  <si>
    <t>wii</t>
  </si>
  <si>
    <t>le, wj, ml, on</t>
  </si>
  <si>
    <t>Wojak</t>
  </si>
  <si>
    <t>wejars</t>
  </si>
  <si>
    <t>woju</t>
  </si>
  <si>
    <t>wk, at</t>
  </si>
  <si>
    <t>Wonka</t>
  </si>
  <si>
    <t>whacks</t>
  </si>
  <si>
    <t>walker</t>
  </si>
  <si>
    <t>fw, iw, wl, ow, zo, hs, fk</t>
  </si>
  <si>
    <t>Will</t>
  </si>
  <si>
    <t>walls</t>
  </si>
  <si>
    <t>whale</t>
  </si>
  <si>
    <t>xm, wm</t>
  </si>
  <si>
    <t>Wham</t>
  </si>
  <si>
    <t>whams</t>
  </si>
  <si>
    <t>whamo</t>
  </si>
  <si>
    <t>Winnie</t>
  </si>
  <si>
    <t>wins</t>
  </si>
  <si>
    <t>wine</t>
  </si>
  <si>
    <t>Woo</t>
  </si>
  <si>
    <t>whoopsies</t>
  </si>
  <si>
    <t>woo-woo</t>
  </si>
  <si>
    <t>Whop</t>
  </si>
  <si>
    <t>wipes</t>
  </si>
  <si>
    <t>whippet</t>
  </si>
  <si>
    <t>wq, ps, vs</t>
  </si>
  <si>
    <t>Waqar</t>
  </si>
  <si>
    <t>wasques</t>
  </si>
  <si>
    <t>waqf</t>
  </si>
  <si>
    <t>Warren</t>
  </si>
  <si>
    <t>wears</t>
  </si>
  <si>
    <t>walrus</t>
  </si>
  <si>
    <t>uv, rv, ws, bs, ni, el, ls</t>
  </si>
  <si>
    <t>Wes</t>
  </si>
  <si>
    <t>wassails</t>
  </si>
  <si>
    <t>weasel</t>
  </si>
  <si>
    <t>Watterson</t>
  </si>
  <si>
    <t>whittles</t>
  </si>
  <si>
    <t>waterbed</t>
  </si>
  <si>
    <t>Wu</t>
  </si>
  <si>
    <t>wub-wub's</t>
  </si>
  <si>
    <t>wuukah</t>
  </si>
  <si>
    <t>wv, yn</t>
  </si>
  <si>
    <t>Wolverine</t>
  </si>
  <si>
    <t>weaves</t>
  </si>
  <si>
    <t>wivern</t>
  </si>
  <si>
    <t>Waxman</t>
  </si>
  <si>
    <t>waxes</t>
  </si>
  <si>
    <t>waxwing</t>
  </si>
  <si>
    <t>wy, cg</t>
  </si>
  <si>
    <t>Wyatt</t>
  </si>
  <si>
    <t>wyes</t>
  </si>
  <si>
    <t>whey</t>
  </si>
  <si>
    <t>wz, lb</t>
  </si>
  <si>
    <t>Wiz_The</t>
  </si>
  <si>
    <t>whizzes</t>
  </si>
  <si>
    <t>wuzzle</t>
  </si>
  <si>
    <t>Chachi</t>
  </si>
  <si>
    <t>cha-cha's</t>
  </si>
  <si>
    <t>chai</t>
  </si>
  <si>
    <t>Chamberlain</t>
  </si>
  <si>
    <t>charbroils</t>
  </si>
  <si>
    <t>chipboard</t>
  </si>
  <si>
    <t>Chico</t>
  </si>
  <si>
    <t>chaconnes</t>
  </si>
  <si>
    <t>charcoal</t>
  </si>
  <si>
    <t>Chad</t>
  </si>
  <si>
    <t>chandeliers</t>
  </si>
  <si>
    <t>cheddar</t>
  </si>
  <si>
    <t>Cheech</t>
  </si>
  <si>
    <t>cheeses</t>
  </si>
  <si>
    <t>cheeseburger</t>
  </si>
  <si>
    <t>Chaffee</t>
  </si>
  <si>
    <t>chauffeurs</t>
  </si>
  <si>
    <t>chiffon</t>
  </si>
  <si>
    <t>Chagall</t>
  </si>
  <si>
    <t>chugs</t>
  </si>
  <si>
    <t>chigger</t>
  </si>
  <si>
    <t>fl, tc, xh</t>
  </si>
  <si>
    <t>Cheshire</t>
  </si>
  <si>
    <t>chainshots</t>
  </si>
  <si>
    <t>cheshire</t>
  </si>
  <si>
    <t>xi, sb, si, xn, qn, yj, ok</t>
  </si>
  <si>
    <t>Ching</t>
  </si>
  <si>
    <t>chings</t>
  </si>
  <si>
    <t>chinchilla</t>
  </si>
  <si>
    <t>Chojun</t>
  </si>
  <si>
    <t>cheapjacks</t>
  </si>
  <si>
    <t>chajang</t>
  </si>
  <si>
    <t>Chuck</t>
  </si>
  <si>
    <t>checks</t>
  </si>
  <si>
    <t>chicken</t>
  </si>
  <si>
    <t>mi, tq, vs, xl, kv</t>
  </si>
  <si>
    <t>Charlie</t>
  </si>
  <si>
    <t>chills</t>
  </si>
  <si>
    <t>chalice</t>
  </si>
  <si>
    <t>Charming</t>
  </si>
  <si>
    <t>chamoises</t>
  </si>
  <si>
    <t>chimes</t>
  </si>
  <si>
    <t>ta, xn, mk, qn, sb, xi</t>
  </si>
  <si>
    <t>Channing</t>
  </si>
  <si>
    <t>chines</t>
  </si>
  <si>
    <t>chinook</t>
  </si>
  <si>
    <t>Chong</t>
  </si>
  <si>
    <t>choochoo's</t>
  </si>
  <si>
    <t>chooser</t>
  </si>
  <si>
    <t>lp, fl, xp, sb, xs</t>
  </si>
  <si>
    <t>Chip</t>
  </si>
  <si>
    <t>chops</t>
  </si>
  <si>
    <t>chopper</t>
  </si>
  <si>
    <t>Choquette</t>
  </si>
  <si>
    <t>charqui's</t>
  </si>
  <si>
    <t>chiquita</t>
  </si>
  <si>
    <t>xr, py</t>
  </si>
  <si>
    <t>Cher</t>
  </si>
  <si>
    <t>cheroots</t>
  </si>
  <si>
    <t>chariot</t>
  </si>
  <si>
    <t>xs, sb, xp</t>
  </si>
  <si>
    <t>Chelsea</t>
  </si>
  <si>
    <t>chisels</t>
  </si>
  <si>
    <t>chassis</t>
  </si>
  <si>
    <t>xt, mb</t>
  </si>
  <si>
    <t>Chet</t>
  </si>
  <si>
    <t>charts</t>
  </si>
  <si>
    <t>chest</t>
  </si>
  <si>
    <t>Chung</t>
  </si>
  <si>
    <t>churches</t>
  </si>
  <si>
    <t>chunchullo</t>
  </si>
  <si>
    <t>xv, ns, vk</t>
  </si>
  <si>
    <t>Chavez</t>
  </si>
  <si>
    <t>chevies</t>
  </si>
  <si>
    <t>chives</t>
  </si>
  <si>
    <t>xw, ea</t>
  </si>
  <si>
    <t>Chewie</t>
  </si>
  <si>
    <t>chews</t>
  </si>
  <si>
    <t>chaw</t>
  </si>
  <si>
    <t>Cheyenne</t>
  </si>
  <si>
    <t>choys</t>
  </si>
  <si>
    <t>cheyanne</t>
  </si>
  <si>
    <t>Chaz</t>
  </si>
  <si>
    <t>chizzes</t>
  </si>
  <si>
    <t>chintz</t>
  </si>
  <si>
    <t>ya, ho, ra, qc, yb</t>
  </si>
  <si>
    <t>Yang</t>
  </si>
  <si>
    <t>yays</t>
  </si>
  <si>
    <t>yarpha</t>
  </si>
  <si>
    <t>Yebba</t>
  </si>
  <si>
    <t>yabba-dabba-doo's</t>
  </si>
  <si>
    <t>yearbook</t>
  </si>
  <si>
    <t>yc, ag, qa, yn, zu, kp</t>
  </si>
  <si>
    <t>Yucco</t>
  </si>
  <si>
    <t>yocoins</t>
  </si>
  <si>
    <t>yucca</t>
  </si>
  <si>
    <t>Yoda</t>
  </si>
  <si>
    <t>yields</t>
  </si>
  <si>
    <t>yard</t>
  </si>
  <si>
    <t>ye, uf</t>
  </si>
  <si>
    <t>Yeek</t>
  </si>
  <si>
    <t>yeelights</t>
  </si>
  <si>
    <t>yeedi</t>
  </si>
  <si>
    <t>Yeffe</t>
  </si>
  <si>
    <t>yaffa's</t>
  </si>
  <si>
    <t>yaffle</t>
  </si>
  <si>
    <t>Yogi</t>
  </si>
  <si>
    <t>yeggs</t>
  </si>
  <si>
    <t>yogurt</t>
  </si>
  <si>
    <t>yh, rp, nv</t>
  </si>
  <si>
    <t>Yoshi</t>
  </si>
  <si>
    <t>yoshi's</t>
  </si>
  <si>
    <t>yashica</t>
  </si>
  <si>
    <t>gw, yi, gx, py, fq</t>
  </si>
  <si>
    <t>Ying</t>
  </si>
  <si>
    <t>yinyoo's</t>
  </si>
  <si>
    <t>yin_yang</t>
  </si>
  <si>
    <t>yj, xi, ok</t>
  </si>
  <si>
    <t>Yojimbo</t>
  </si>
  <si>
    <t>yojumbo's</t>
  </si>
  <si>
    <t>Yo-J</t>
  </si>
  <si>
    <t>yk, on</t>
  </si>
  <si>
    <t>Yoko</t>
  </si>
  <si>
    <t>yanks</t>
  </si>
  <si>
    <t>yak</t>
  </si>
  <si>
    <t>Yolanda</t>
  </si>
  <si>
    <t>yellows</t>
  </si>
  <si>
    <t>yule</t>
  </si>
  <si>
    <t>ym, ax</t>
  </si>
  <si>
    <t>Yamaha</t>
  </si>
  <si>
    <t>yamaha's</t>
  </si>
  <si>
    <t>yam</t>
  </si>
  <si>
    <t>wv, yn, zu, yc, kp</t>
  </si>
  <si>
    <t>Yanni</t>
  </si>
  <si>
    <t>yens</t>
  </si>
  <si>
    <t>yarn</t>
  </si>
  <si>
    <t>yo, rp</t>
  </si>
  <si>
    <t>Yo-Yo</t>
  </si>
  <si>
    <t>yo-yo's</t>
  </si>
  <si>
    <t>yo-yo</t>
  </si>
  <si>
    <t>Yippie_The</t>
  </si>
  <si>
    <t>yomps</t>
  </si>
  <si>
    <t>yapper</t>
  </si>
  <si>
    <t>ps, td, hs, yq, oq, yt, vy</t>
  </si>
  <si>
    <t>Youngquist</t>
  </si>
  <si>
    <t>yawl-quests</t>
  </si>
  <si>
    <t>youngquist</t>
  </si>
  <si>
    <t>oh, yr, sx, nx, no</t>
  </si>
  <si>
    <t>Yar</t>
  </si>
  <si>
    <t>yores</t>
  </si>
  <si>
    <t>yarrow</t>
  </si>
  <si>
    <t>Yes</t>
  </si>
  <si>
    <t>yardsticks</t>
  </si>
  <si>
    <t>yasso</t>
  </si>
  <si>
    <t>yt, yq, vy</t>
  </si>
  <si>
    <t>Yente</t>
  </si>
  <si>
    <t>yachts</t>
  </si>
  <si>
    <t>yurt</t>
  </si>
  <si>
    <t>Yu</t>
  </si>
  <si>
    <t>yuk-yuk's</t>
  </si>
  <si>
    <t>yu</t>
  </si>
  <si>
    <t>Yovani</t>
  </si>
  <si>
    <t>yeves</t>
  </si>
  <si>
    <t>EXPLORED!</t>
  </si>
  <si>
    <t>bm, yw, ed, ke, tp, tu, aj, iv, qi</t>
  </si>
  <si>
    <t>Yuwu</t>
  </si>
  <si>
    <t>yaws</t>
  </si>
  <si>
    <t>yew</t>
  </si>
  <si>
    <t>Yax</t>
  </si>
  <si>
    <t>yoxes</t>
  </si>
  <si>
    <t>yunx</t>
  </si>
  <si>
    <t>yz, bv, ap</t>
  </si>
  <si>
    <t>Yazz</t>
  </si>
  <si>
    <t>yowza's</t>
  </si>
  <si>
    <t>yahtzee</t>
  </si>
  <si>
    <t>Zsa_Zsa</t>
  </si>
  <si>
    <t>zaza's</t>
  </si>
  <si>
    <t>za</t>
  </si>
  <si>
    <t>Zamboni</t>
  </si>
  <si>
    <t>zambonies</t>
  </si>
  <si>
    <t>zamboni</t>
  </si>
  <si>
    <t>Zico</t>
  </si>
  <si>
    <t>zincifies</t>
  </si>
  <si>
    <t>zoccolo</t>
  </si>
  <si>
    <t>Zed</t>
  </si>
  <si>
    <t>zendos</t>
  </si>
  <si>
    <t>zedonk</t>
  </si>
  <si>
    <t>ze, td</t>
  </si>
  <si>
    <t>Zeena</t>
  </si>
  <si>
    <t>zeeps</t>
  </si>
  <si>
    <t>zeze</t>
  </si>
  <si>
    <t>Zefram</t>
  </si>
  <si>
    <t>zarfs</t>
  </si>
  <si>
    <t>zuffolo</t>
  </si>
  <si>
    <t>sg, sd, sl, zg</t>
  </si>
  <si>
    <t>Zig</t>
  </si>
  <si>
    <t>zags</t>
  </si>
  <si>
    <t>zagone</t>
  </si>
  <si>
    <t>Zosha</t>
  </si>
  <si>
    <t>zisha's</t>
  </si>
  <si>
    <t>zisha</t>
  </si>
  <si>
    <t>Zizek</t>
  </si>
  <si>
    <t>zings</t>
  </si>
  <si>
    <t>ziz</t>
  </si>
  <si>
    <t>Zajac</t>
  </si>
  <si>
    <t>zojans</t>
  </si>
  <si>
    <t>zoje</t>
  </si>
  <si>
    <t>Zak</t>
  </si>
  <si>
    <t>zonks</t>
  </si>
  <si>
    <t>zerk</t>
  </si>
  <si>
    <t>us, se, zl, uc, sd, uz</t>
  </si>
  <si>
    <t>Zale</t>
  </si>
  <si>
    <t>ziplocks</t>
  </si>
  <si>
    <t>zill</t>
  </si>
  <si>
    <t>Zimmerman</t>
  </si>
  <si>
    <t>zimmers</t>
  </si>
  <si>
    <t>zima</t>
  </si>
  <si>
    <t>gj, zn, vz</t>
  </si>
  <si>
    <t>Zanni_one</t>
  </si>
  <si>
    <t>zones</t>
  </si>
  <si>
    <t>Divides</t>
  </si>
  <si>
    <t>zenith</t>
  </si>
  <si>
    <t>zooms</t>
  </si>
  <si>
    <t>zoozoo</t>
  </si>
  <si>
    <t>zp, zt</t>
  </si>
  <si>
    <t>Zappa</t>
  </si>
  <si>
    <t>zaps</t>
  </si>
  <si>
    <t>zippo</t>
  </si>
  <si>
    <t>up, zq</t>
  </si>
  <si>
    <t>Ziq</t>
  </si>
  <si>
    <t>zzzquils</t>
  </si>
  <si>
    <t>zaqqum</t>
  </si>
  <si>
    <t>he, ad, zr, tv, qb, sb, si, ku</t>
  </si>
  <si>
    <t>Zorro</t>
  </si>
  <si>
    <t>zeroes</t>
  </si>
  <si>
    <t>zoris</t>
  </si>
  <si>
    <t>Zissou</t>
  </si>
  <si>
    <t>zasasa's</t>
  </si>
  <si>
    <t>zoisite</t>
  </si>
  <si>
    <t>Zoltar</t>
  </si>
  <si>
    <t>zots</t>
  </si>
  <si>
    <t>zit</t>
  </si>
  <si>
    <t>qd, kp, zu, uy, yn, yc, kf, ko</t>
  </si>
  <si>
    <t>Zuzana</t>
  </si>
  <si>
    <t>zuzes</t>
  </si>
  <si>
    <t>zunzun</t>
  </si>
  <si>
    <t>zv, sb, ku, ok</t>
  </si>
  <si>
    <t>Zavier</t>
  </si>
  <si>
    <t>zouaves</t>
  </si>
  <si>
    <t>zouave</t>
  </si>
  <si>
    <t>qx, eb, zw, kw, ho, sw</t>
  </si>
  <si>
    <t>Zawe</t>
  </si>
  <si>
    <t>zowies</t>
  </si>
  <si>
    <t>zanwich</t>
  </si>
  <si>
    <t>Zay</t>
  </si>
  <si>
    <t>zymes</t>
  </si>
  <si>
    <t>zymoscope</t>
  </si>
  <si>
    <t>Adam Driver becomes a poster child for practicing good mental health</t>
  </si>
  <si>
    <t>Aja judges the dashboard's windshield wiper lever in a magical car</t>
  </si>
  <si>
    <t>Allison covertly pours her beer off the side of the boat at a party</t>
  </si>
  <si>
    <t>Anastasia Higginbotham announces an annual literary award</t>
  </si>
  <si>
    <t>Avery Jessup from '30 Rock' flies home.from Korea with an avocado</t>
  </si>
  <si>
    <t xml:space="preserve">Babar burns up a baseball after having been forced to play with it in the circus </t>
  </si>
  <si>
    <t>Buddy Holly sings a tribute to Charlie Parker, who was nicknamed 'bird'</t>
  </si>
  <si>
    <t>Frodo Baggins begs Shelob the spider for mercy</t>
  </si>
  <si>
    <t>Bo Derek gets mad at Italy</t>
  </si>
  <si>
    <t>Bessie Smith compliments the brass section</t>
  </si>
  <si>
    <t>John Cougar Mellencamp hurls a small widget/doodad at a corgi dog</t>
  </si>
  <si>
    <t>Cameron Diaz throws a camouflage covering over a camel as part of a spy movie she's acting in</t>
  </si>
  <si>
    <t>Francis Ford Coppola swipes the name of a hat for his own last name</t>
  </si>
  <si>
    <t>Ernest Cloquet wins a moral victory over the King of Iran</t>
  </si>
  <si>
    <t>Carrie Fisher carries a car because she can't levitate it like Luke can, OR Carrie Fisher's star status aides the role of her hapless car in the Blues Brothers movie</t>
  </si>
  <si>
    <t>Queen Cassiopeia swears at a Berber casserole</t>
  </si>
  <si>
    <t>my dad takes a bite of daal</t>
  </si>
  <si>
    <t>Debbie debriefs a dabber</t>
  </si>
  <si>
    <t>Duke Ellington rejects a pair of casual pants</t>
  </si>
  <si>
    <t>Johnny Depp dips marijuana in cough syrup</t>
  </si>
  <si>
    <t>Ebenezer Scrooge embraces Christmas, including its piano music</t>
  </si>
  <si>
    <t>Eclipse eats eclairs and other pastries after retiring from superhero work</t>
  </si>
  <si>
    <t>Ed Rosenthal edifies an edible while stoned</t>
  </si>
  <si>
    <t>Ella Fitzgerald rides a Chicago el train with an electric guitar</t>
  </si>
  <si>
    <t>Emma takes M&amp;M's out of their bag</t>
  </si>
  <si>
    <t>Esau wears a top appropriate to her torso--esophagus</t>
  </si>
  <si>
    <t>Evan throws a burnt roast out of the house</t>
  </si>
  <si>
    <t>Faceman shines sh__, by carefully burning it using a magnifying glass</t>
  </si>
  <si>
    <t>Feenie Ziner feels the ache in her feet</t>
  </si>
  <si>
    <t>Tokuaki Fujita takes a dim view of pancakes</t>
  </si>
  <si>
    <t>Finn fans out his orbak-mounted troop as they ride across a star destroyer</t>
  </si>
  <si>
    <t>Farrah Fawcett ships the image of a ferret to T-shirt stores all over the world, via the famous 'ferret fawcett' T-shirt</t>
  </si>
  <si>
    <t>Fats Domino makes a blue note on a guitar</t>
  </si>
  <si>
    <t>Dr. Fever accepts a TV gig for extra money</t>
  </si>
  <si>
    <t>Tina Fey takes a roasted chicken from Chicago's Athenian Room and brings it to New York with her in a net.</t>
  </si>
  <si>
    <t>Grace Kelly gives thanks for groceries</t>
  </si>
  <si>
    <t>Gollum eats a fish</t>
  </si>
  <si>
    <t>Aunt Eller from the musical 'Oklahoma!' smashes a gun with a rock</t>
  </si>
  <si>
    <t>George Gipp struggles to recover a fumbled a football</t>
  </si>
  <si>
    <t>Grover Cleveland decides against a farm bill</t>
  </si>
  <si>
    <t>Sir Gawain sets a flower ablaze with Greek Fire</t>
  </si>
  <si>
    <t>Guy Fawkes uses glycerine as part of his planned explosion of the parliament building</t>
  </si>
  <si>
    <t>Mrs. Heekin quietly laughs at a roughly made henhouse built by her first graders</t>
  </si>
  <si>
    <t>Harold Hill shines a spotlight on a helicopter</t>
  </si>
  <si>
    <t>Little Red Riding Hood gets excited about a macabre meal</t>
  </si>
  <si>
    <t>June Havoc goes on an exercise regimen and slims down</t>
  </si>
  <si>
    <t>Kathy Hyland, in her private life, encourages singing from a hymnal</t>
  </si>
  <si>
    <t>Lee Iacocca writes a poem</t>
  </si>
  <si>
    <t>ibis Gomez-Vega medicates a scarlet ibis</t>
  </si>
  <si>
    <t>Icarus puts the sun in jail for melting his wings</t>
  </si>
  <si>
    <t>Ida Hall identifies a silver orfe fish</t>
  </si>
  <si>
    <t>DJ infamous provides flotation for his child during a flood</t>
  </si>
  <si>
    <t>Ishi baits a fishing pole hook with a walnut</t>
  </si>
  <si>
    <t>Illinois Jacquet shines a spotlight on the American pelvis</t>
  </si>
  <si>
    <t>Kirsten 'Kish' Inquilla questions an authority figure in the Catholic Church</t>
  </si>
  <si>
    <t>Lady Justice commands that heated vests not be worn by Olympic competitors</t>
  </si>
  <si>
    <t>Ivanka Trump creates the Trump Foundation</t>
  </si>
  <si>
    <t>the band INXS, including frontman Michael Hutchence, denies and destroys copies of its IMAX movie</t>
  </si>
  <si>
    <t>Job yammers at God</t>
  </si>
  <si>
    <t>Jen shares gin with a janitor</t>
  </si>
  <si>
    <t>Jacques Cousteau investigates one of those deep sea yellow flowers, tries to see if it's ready to come to the surface</t>
  </si>
  <si>
    <t>Barney Kroger fills a keg with a noodle kugel</t>
  </si>
  <si>
    <t>Kojak spoils the fun of a gang of ne'er-do-well drunks</t>
  </si>
  <si>
    <t>Kiss band members kiss a kaiser roll onstage in Vienna</t>
  </si>
  <si>
    <t>Leif Erikson sails lutefisk to the New World</t>
  </si>
  <si>
    <t>Lem Hewitt throws limes at a LEM</t>
  </si>
  <si>
    <t>Lin-Manuel loans a loaner car to Anthony Ramos</t>
  </si>
  <si>
    <t>Mable Normand takes one of her best movies out of circulation</t>
  </si>
  <si>
    <t xml:space="preserve">Mildred McAfee kicks butt and takes names </t>
  </si>
  <si>
    <t>Maude throws Harold's ring into the ocean</t>
  </si>
  <si>
    <t>Mosh smushes beer grains</t>
  </si>
  <si>
    <t>Major Taylor gambles and strategized to win fame and laurels in France</t>
  </si>
  <si>
    <t>Monique H. Koeyers-Felida showcases/presents the mosquito problem</t>
  </si>
  <si>
    <t>Matt Damon pets his rescue chihuahua</t>
  </si>
  <si>
    <t>Nog celebrates the find of a gold nugget with champagne</t>
  </si>
  <si>
    <t>Nique tells the story of the sinking of the Noquebay</t>
  </si>
  <si>
    <t>Nawin wishes 'Merry Christmas' to a narwhal</t>
  </si>
  <si>
    <t>Richard Nixon starts the war on drugs</t>
  </si>
  <si>
    <t>René Auberjonois sings about the fish he is cooking</t>
  </si>
  <si>
    <t>Jacques Offenbach fires musicians and actors who show up late and underperform in his opera 'The Tales of Hoffmann'</t>
  </si>
  <si>
    <t>Rapper Ice Cube imports a plant from the mountains of Mexico with spiritual healing powers</t>
  </si>
  <si>
    <t>Jose Oquendo sticks a straw into an orange to drink its juice</t>
  </si>
  <si>
    <t>John T. Oxley ships an ox by air</t>
  </si>
  <si>
    <t>the hothead character named Oyster chucks oysters at a fishing vessel in New York</t>
  </si>
  <si>
    <t>Pepe Le Pew sprays a flowering pepper plant</t>
  </si>
  <si>
    <t>Puff the Magic Dragon blows a puff of smoke at a puffin</t>
  </si>
  <si>
    <t>Pi throws a pie at a pipi</t>
  </si>
  <si>
    <t>Paul McCartney and the Beatles peddle drug use</t>
  </si>
  <si>
    <t>Puss in Boots, sailing on a catamaran, passes a canoe</t>
  </si>
  <si>
    <t>writer Quince Duncan throws a party for a quince fruit</t>
  </si>
  <si>
    <t>Quajo Mezayah puts a T-shirt with his own name on the monster Quajath the Undermaw and tells it that he --Quajo-- is the chosen one</t>
  </si>
  <si>
    <t>Quark from Deep Space Nine shakes a duck who's making too much noise in his bar</t>
  </si>
  <si>
    <t>Ra throws up his power, metaphorically, when he tells Isis his real name after she causes him to be sick</t>
  </si>
  <si>
    <t>Jeff Rice throws rice at Kyle and Stephanie's car as they leave the wedding</t>
  </si>
  <si>
    <t>Reese Witherspoon uses a fishing pole made of a stalk of bamboo</t>
  </si>
  <si>
    <t>Raj Patel rejects missiles as a way of solving problems</t>
  </si>
  <si>
    <t>Kanga gives baby roo his strengthening medicine, made of a plant root</t>
  </si>
  <si>
    <t>Rhett McLaughlin rates a rodent</t>
  </si>
  <si>
    <t>The ilustrator Rurudo regrets how long it takes to draw a picture of a demon girl with wings</t>
  </si>
  <si>
    <t>Siggy Flicker sneaks a yogurt</t>
  </si>
  <si>
    <t>Sojourner Truth reads poetry about slavery</t>
  </si>
  <si>
    <t>Sally Ride sells a sailboat</t>
  </si>
  <si>
    <t>Sunny sanitizes and cleans a fishing boat</t>
  </si>
  <si>
    <t>the god Saturn, father of Jove-Jupiter, fries an Irish setter</t>
  </si>
  <si>
    <t>Jeri Ryan, a.k.a. 'Seven of Nine', saves a cabbage for her daughter</t>
  </si>
  <si>
    <t>Tiffani Thiessen wraps tofu in a teff injera --tortilla--</t>
  </si>
  <si>
    <t>William Tell does inventory on his farming equipment</t>
  </si>
  <si>
    <t>Tess Turbo flips a tassel on her outfit while performing</t>
  </si>
  <si>
    <t>King Tut expresses displeasure over new styles of dress</t>
  </si>
  <si>
    <t>Tyler classifies a typewriter</t>
  </si>
  <si>
    <t>Dr. William Upjohn helps out members of the band 'Unjoy' with happy pills</t>
  </si>
  <si>
    <t>electronic music artist Uppermost takes pills out of his suitcase while on tour</t>
  </si>
  <si>
    <t>Sarah Douglas, who plays Ursa in Superman, opens a pack of peanuts</t>
  </si>
  <si>
    <t>Uvee Hayes opens her mouth to sing</t>
  </si>
  <si>
    <t>Vijay Pande does a video promo for verjus</t>
  </si>
  <si>
    <t>Veronica Palmer paints a virus in striped colors</t>
  </si>
  <si>
    <t>Will Ferrell's character 'Mugatu' builds fortifications around his bathhouse which contains a lava pit</t>
  </si>
  <si>
    <t>Earl Warren serves a warrant as district attorney of Alameda County, CA in the 1920's</t>
  </si>
  <si>
    <t>Walt Disney whittles a waterbed in motion, using a knife and a chunk of wood</t>
  </si>
  <si>
    <t>Waverly Jong weaves a story about a dragon</t>
  </si>
  <si>
    <t>House rep. Henry Waxman puts a coat of wax on a model/statue of a cedar waxwing</t>
  </si>
  <si>
    <t>Drummer Chad Smith smashes a cheese display at a fancy party</t>
  </si>
  <si>
    <t>Eric 'Badlands' Booker drinks a chigger bug</t>
  </si>
  <si>
    <t>Chojun Miyagi sells chajang during a rough patch to make money for his dojo</t>
  </si>
  <si>
    <t>Corinne Chooey feeds chokecherry jelly to her toddler</t>
  </si>
  <si>
    <t>Chevy Chase carries chives in the family station wagon in the movie "Vacation"</t>
  </si>
  <si>
    <t>The musician Yeek shines a blue light to find yeast microbes on a kitchen counter</t>
  </si>
  <si>
    <t>David Zucchino galvanizes a zucchini, in the public imagination</t>
  </si>
  <si>
    <t>Mad scientist Zander Rice sends a zedonk he created to a zendo for spiritual healing</t>
  </si>
  <si>
    <t>pianist Zhang Zuo cuts-builds a musical instrument</t>
  </si>
  <si>
    <t>Zefram Cochrane displays designer eyeglasses in a zarf as he models for a sculpture of himself</t>
  </si>
  <si>
    <t>Zoroaster plays a zither</t>
  </si>
  <si>
    <t>Zion Marley, as a child, throws ziti pasta at a mythical beast</t>
  </si>
  <si>
    <t>Bob Dylan drives a tractor with a clear, lightly carbonated alcoholic beverage.</t>
  </si>
  <si>
    <t>Robin Williams, as Mork, decorates the apartment with flowers, carefully sectioning the zinnias by their colors, before proposing to Mindy</t>
  </si>
  <si>
    <t>cartoon character Zippy verbally zings zippo lighters, and smoking in general</t>
  </si>
  <si>
    <t>Zavier Simpson fights against a fellow fighter</t>
  </si>
  <si>
    <t>addresses=writes an address on object, with the intention of mailing it to a friend; adderal=a pill container of adderall</t>
  </si>
  <si>
    <t>ashes verb=throws campfire ashes at; ash=a bucket of woodstove or campfire ash</t>
  </si>
  <si>
    <t>air=aria=a piece of sheet music</t>
  </si>
  <si>
    <t>adjudicates: imagine the person, wearing a judge's badge, walking around with a clipboard and adjudicating items; adjustor=that bent, black lever with the circular dial at its end, used to turn on and adjust windshield wipers</t>
  </si>
  <si>
    <t>ark=the ark of the covenant, as pictured in "Raiders of the Lost Ark"</t>
  </si>
  <si>
    <t>ales=pours beer on</t>
  </si>
  <si>
    <t>annual=marigold, which I'm 90% sure is that golden flower that appears in all Cincinnati yards every spring</t>
  </si>
  <si>
    <t>apple=the fruit; applauds=claps</t>
  </si>
  <si>
    <t>aviates=flies on a plane with object; anvil=a blacksmith's anvil</t>
  </si>
  <si>
    <t>award=blue ribbon; awaits=waits expectantly on other side of door from person delivering object</t>
  </si>
  <si>
    <t>buffs=interacts with (object) in the buff</t>
  </si>
  <si>
    <t>begs=asks for, like 'Dude, can I eat that chicken wing?'</t>
  </si>
  <si>
    <t>buckjumps=tries to stay on (object) as it bucks like a bull at a rodeo</t>
  </si>
  <si>
    <t>brass=a trumpet; blesses=dips fingers in holy water and makes the sign of the cross</t>
  </si>
  <si>
    <t>borax=a big bottle of laundry detergent; boxes=fights or hits object with boxing gloves</t>
  </si>
  <si>
    <t>caddies=carries in a a golf bag</t>
  </si>
  <si>
    <t>cogs=throws a cog at</t>
  </si>
  <si>
    <t>cocoons=wraps in silk swaddling clothes or a protective tarp</t>
  </si>
  <si>
    <t>casserole=a cheesy grain dish in a rectangular white casserole dish</t>
  </si>
  <si>
    <t>claws=scrapes with fingernails, in an attempt to attack</t>
  </si>
  <si>
    <t>debriefs=takes off the underwear that someone put on (object) at last night's wild party; dabber=street performer</t>
  </si>
  <si>
    <t>dashes = door-dashes; dish=white ceramic plate</t>
  </si>
  <si>
    <t>deejays: deejays a club, hyping the (object), with a real-live (object) nearby; dijon=grey poupon dijon mustard</t>
  </si>
  <si>
    <t>dips=dips in chocolate sauce</t>
  </si>
  <si>
    <t>derries=walks out on (object) just because of a little damage</t>
  </si>
  <si>
    <t>draws=draws, with the real model nearby</t>
  </si>
  <si>
    <t>detoxes=cleans</t>
  </si>
  <si>
    <t xml:space="preserve">eclipses=holds out at arm's length, with back turned to the bright morning sun so that object is in eclipse. </t>
  </si>
  <si>
    <t>edible=brownie; edifies=while drunk, says 'Dude, you're called a (name of object)!'</t>
  </si>
  <si>
    <t>ekes=buys with his/her last dollar, picture the person grinning next to (object) and holding an empty wallet</t>
  </si>
  <si>
    <t>els= rides in a train car with</t>
  </si>
  <si>
    <t>emancipates=frees, or just removes from a bag or package</t>
  </si>
  <si>
    <t>ensembles=puts a colorful scarf around (object)</t>
  </si>
  <si>
    <t>eulogizes=expounds on (object) while (object) lies nearby on its side, broken; euphonium: a large, valved brass instrument very similar to the baritone horn</t>
  </si>
  <si>
    <t>evil=the burnt piece of charcoal, the last remnant of evil, at the end of Time Bandits, and/or the burnt roast that the boy's parents think it is</t>
  </si>
  <si>
    <t>flambe's=fires in a kiln to add a layer of protective, colorful flambe ceramic glaze</t>
  </si>
  <si>
    <t>foci's='focuses' the suns light on an object with a magnifying glass</t>
  </si>
  <si>
    <t>feels=touches or moves the hands over</t>
  </si>
  <si>
    <t>frame=hang on wall in picture frame</t>
  </si>
  <si>
    <t>fans= waves hand to move air, or installs an electric fan; fin=shark, or fin</t>
  </si>
  <si>
    <t>flattens=squashes; fret=can picture fretboard</t>
  </si>
  <si>
    <t>favors=gives special regard to, puts a wreath onto</t>
  </si>
  <si>
    <t>firewalls=builds a fireproof wall around; flower=orchid</t>
  </si>
  <si>
    <t>faxes=takes a picture of (object) and faxes it</t>
  </si>
  <si>
    <t>graces=says grace over, gives thanks to, imagine a group of people around the object, and the person says a prayer of thanks and makes the sign of the cross; groceries=a big paper bag of groceries</t>
  </si>
  <si>
    <t>godiva=a chocolate from a box of chocolates</t>
  </si>
  <si>
    <t>granites=smashes with a granite rock</t>
  </si>
  <si>
    <t>grapples=wrestles with and attempts to break</t>
  </si>
  <si>
    <t>glows=lights with Greek Fire</t>
  </si>
  <si>
    <t>geysers=sprays with a fire hose; glycerine=a bottle of viscous glycerine</t>
  </si>
  <si>
    <t>hides=hides in a pocket, or throws a coat over (object)</t>
  </si>
  <si>
    <t>hee-hee's=laughs at; henhouse=a small henhouse resembling a large doghouse</t>
  </si>
  <si>
    <t>halogens=at NIGHT, shines a headlamp on object</t>
  </si>
  <si>
    <t>hires=rents in British English. Can imagine a contract on a clipboard, and money changing hands. For a consumable like wine, can imagine the object being rented for display purposes only</t>
  </si>
  <si>
    <t>hues=throws a bucket of red paint onto object; hue=a bound collection of paint color sample chips</t>
  </si>
  <si>
    <t>halves=cuts in two with a sword</t>
  </si>
  <si>
    <t>iamb=physical paper with poem; iambs=writes an ode to (object)</t>
  </si>
  <si>
    <t>ibuprofens=drugs, or pours bottles of ibuprofen over</t>
  </si>
  <si>
    <t>incarcerates=puts in a cell; incandescent=light bulb</t>
  </si>
  <si>
    <t>identifies=as from a lineup</t>
  </si>
  <si>
    <t>iena's=blows up (object), in the manner of a battleship</t>
  </si>
  <si>
    <t>inshells=pelts with walnuts; inshore=fishing pole</t>
  </si>
  <si>
    <t>inks=writes all over; ink=an inkwell</t>
  </si>
  <si>
    <t>illuminates=shines a flashlight on</t>
  </si>
  <si>
    <t>ionizes=blasts into little particles; iodine=think purple bottle of liquid iodine drops, or a small chunk of sublimating iodine in a petri dish</t>
  </si>
  <si>
    <t>inquests=treats (object) as a piece of evidence in an investigation, like Exhibit A; inquisitor=picture the Monty Python sketch with three inquisitors dressed in deep-red outfits and red hats, and large crosses hanging around their necks</t>
  </si>
  <si>
    <t>iubers=commands to go somewhere or do something</t>
  </si>
  <si>
    <t>invents=invents and then tries to show it off and sell it at a trade convention; invention=Alexander Graham Bell's telephone- picture the type with the big dial on the body, and the handheld part attached by a curly cord and sitting in a cradle over the dial</t>
  </si>
  <si>
    <t>iwi=elves of Aman, or action figures representing them</t>
  </si>
  <si>
    <t>ixne's=waves away or shoves away with the hand; IMAX=IMAX projector</t>
  </si>
  <si>
    <t>jumbo=elephant, jawbone's = try to influence someone from one's (supposed in this case) position of power</t>
  </si>
  <si>
    <t>joshes: says 'You call yourself a (object) ?! while looking at a smallish example of, or toy version of, (object); jackshaft=a steel rod with a gear at each end, think barbells</t>
  </si>
  <si>
    <t>junipers=pours gin onto</t>
  </si>
  <si>
    <t>jettisons=gets rid of, OR throws out of a plane</t>
  </si>
  <si>
    <t>Jexi: think Ultron, the AI who took out J.A.R.V.I.S. in the Avengers; jinxes=makes fall apart or fall over</t>
  </si>
  <si>
    <t>kegs=puts into a keg, that's a real usage</t>
  </si>
  <si>
    <t>kites=throws</t>
  </si>
  <si>
    <t>kix= the cereal with little balls</t>
  </si>
  <si>
    <t>lalala's=puts fingers in ears, turns around, and says "La-la-la, I can't hear you!"; landline=a cordless landline phone in its cradle</t>
  </si>
  <si>
    <t>lards=spreads lard on (object) with intent to destroy</t>
  </si>
  <si>
    <t>limes=squeezes lime juice onto, using a real lime</t>
  </si>
  <si>
    <t>loaner=car</t>
  </si>
  <si>
    <t>loo=porta-potty; loots=steals (object)</t>
  </si>
  <si>
    <t>lave=a bucket of coal ash</t>
  </si>
  <si>
    <t>mothballs=stows in a trunk or closet</t>
  </si>
  <si>
    <t>merc= attacks with a sword. Short for mercenary</t>
  </si>
  <si>
    <t>mashes=smashes and mushes; Mash=grains in a pot</t>
  </si>
  <si>
    <t>mahjongs=plays mahjong to win (object) from opponent, can picture object waiting nearby</t>
  </si>
  <si>
    <t>marks=writes a checkmark on (object) with a sharpie to lay claim to it; milk=a gallon of milk</t>
  </si>
  <si>
    <t>mails=ties with a red bow and sends in the mail: mellon=cantaloupe, or honeydew or watermelon</t>
  </si>
  <si>
    <t>mops=mops or wipes down a very dirty instance of (object); map=thick foldable map of city, the type you would get at a gas station</t>
  </si>
  <si>
    <t>marquees=announces, calls attention to</t>
  </si>
  <si>
    <t>misses: picture (object) being driven away by pickup truck</t>
  </si>
  <si>
    <t>mitts=puts hands on; mutt=golden retriever</t>
  </si>
  <si>
    <t>mixture=beaker of chemicals or a 'suicide', a drink made from combining different drinks from a soda fountain; maximizes=makes 3x bigger with the wave of a magic wand</t>
  </si>
  <si>
    <t>neddies=rides on a horse with</t>
  </si>
  <si>
    <t>nerfs=shoots with a nerf gun, causing (object) to fall over</t>
  </si>
  <si>
    <t>nogs=pours spiked eggnog onto</t>
  </si>
  <si>
    <t>nines=dresses up (object) in a tuxedo or fancy clothing; niner=a ninepin, or bowling pin</t>
  </si>
  <si>
    <t>ninjas=pulls out a ninja star from a hidden pocket and throws it at (object)</t>
  </si>
  <si>
    <t>nails=hits with a snowball (which was perhaps saved in a freezer), causing (object) to fall over or become disheveled</t>
  </si>
  <si>
    <t>no's=sends away, with a pointing finger; noodle=swim noodle</t>
  </si>
  <si>
    <t xml:space="preserve">naqqali's=tells a dramatic story about (object) to an audience, with (object) present;  nonliquid=a nonliquid asset such as a TV </t>
  </si>
  <si>
    <t>nears=draws within inches of ($object)</t>
  </si>
  <si>
    <t>nowells=sings 'We Wish You a Merry Christmas' to</t>
  </si>
  <si>
    <t>nixes= rejects, says no to, picture the person waving it away or pushing it away with his or her hand; naproxen -- just think 'pill'. naproxen=aleve, it's an NSAID like ibuprofen</t>
  </si>
  <si>
    <t>odor=a sachet, or potpourri bag; odes=sings about the specific benefits of, opera style</t>
  </si>
  <si>
    <t>offs=shoots</t>
  </si>
  <si>
    <t>ogles=holds and considers stealing; ogre=Shrek or one of his relatives</t>
  </si>
  <si>
    <t>offshores=opens up a box containing object that has been shipped from overseas</t>
  </si>
  <si>
    <t>omen=black cat; omits=picture person with a clipboard looking to the left of object and making a list</t>
  </si>
  <si>
    <t>opens=opens, or takes apart, or operates on with a scalpel, or opens a container containing (object)</t>
  </si>
  <si>
    <t>overequips=wraps with several chains or necklaces of bells, as with the proverbial 'bells and whistles'</t>
  </si>
  <si>
    <t>owie=a cut on the subject's finger; owes an object-- picture the person clutching the object and refusing to let go</t>
  </si>
  <si>
    <t>oysterman=a small fishing vessel used to harvest oysters</t>
  </si>
  <si>
    <t>paperbags=puts into a big brown paper bag with handles to take somewhere, or for large objects, cuts eye holes in the bag and puts it over head of (object); pampers=a pack of diapers</t>
  </si>
  <si>
    <t>peppers=sprays with pepper spray? grates peppercorns onto?</t>
  </si>
  <si>
    <t>puffs=blows smoke in the face of object</t>
  </si>
  <si>
    <t>pugs = destroys in a trash compactor</t>
  </si>
  <si>
    <t>pallets=puts on a pallet for shipping</t>
  </si>
  <si>
    <t>puss=any cat, passes=walks by OR throws</t>
  </si>
  <si>
    <t>paws=grabs at</t>
  </si>
  <si>
    <t>pixillates=shows a video of the thing and pixilates it</t>
  </si>
  <si>
    <t>queen=a chess piece queen; queens=puts a queens crown onto; Queen: think Freddie Mercury</t>
  </si>
  <si>
    <t>quaffer=small fish or double-decker shot glass</t>
  </si>
  <si>
    <t>quashes=smushes; quasher=a bottle of "Q.O.R.I.S. the Quasher" beer, made by Hoppin' Frog Brewery in Akron, Ohio</t>
  </si>
  <si>
    <t>quinqua=a 50-year-old tortoise, just because tortoises are famously long-lived;  quinquina's=accidentally spills quinquina onto</t>
  </si>
  <si>
    <t>quakes=shakes violently</t>
  </si>
  <si>
    <t>quemes= to clean and tidy (object), to take it from a ruffled, upset, messy state to a tidy, neat one</t>
  </si>
  <si>
    <t>quilts=covers with a patchwork quilt; quart=a quart of milk</t>
  </si>
  <si>
    <t>queues=lines object up in a row of similar objects, OR gets in line at the store to buy object;  queue=a collection of rubber ducks in a pail, not necessarily lined up at the moment (think of the phrase, "get your ducks in a row")</t>
  </si>
  <si>
    <t>quaver=one of my 5' tall plastic eighth notes; quivers=puts into a quiver, readies or stockpiles to use as a weapon</t>
  </si>
  <si>
    <t>quillworks=adorns object with a quill work; quikwall=a bag of quikwall</t>
  </si>
  <si>
    <t>quixxes=fixes a scratch in, with Quixx; quoxwood: I picture a giant cartoon tree. Or it could be a glowing, magical board cut from a tree</t>
  </si>
  <si>
    <t>racer=red sportscar</t>
  </si>
  <si>
    <t>reddens=paints red, or makes angry</t>
  </si>
  <si>
    <t>rolls=rolls along the ground, or overturns as with a car; rollie=a real slang word for self-rolled cigarette</t>
  </si>
  <si>
    <t>roo=kangaroo; roots=plants or half-buries object in the ground</t>
  </si>
  <si>
    <t>rates: picture a game show, or a person with a clipboard</t>
  </si>
  <si>
    <t>refluxes= eats a piece of (object), like a hair or a screw, then gets acid reflux</t>
  </si>
  <si>
    <t>rye=a bottle of rye whiskey</t>
  </si>
  <si>
    <t>sabres=cuts with sword</t>
  </si>
  <si>
    <t>sijos=holds a scroll and reads a contemplative poem about (subject)</t>
  </si>
  <si>
    <t>sani's=scrubs and sanitizes</t>
  </si>
  <si>
    <t>Sasquatch: if it helps, can picture Chewbacca</t>
  </si>
  <si>
    <t>sixes=throws out, abandons</t>
  </si>
  <si>
    <t>skyhooks=skyhooks (object) into a basketball basket</t>
  </si>
  <si>
    <t>tattoos=draws an identifying mark on object; tater-tot=a big bag of tater-tots</t>
  </si>
  <si>
    <t>tiller=the long stick attached to a small sailboat's rudder</t>
  </si>
  <si>
    <t>tongues=licks</t>
  </si>
  <si>
    <t>tut-tuts=can picture person giving the 'shame, shame' sign with the two index fingers</t>
  </si>
  <si>
    <t>tows=gets in a pickup truck and tows behind on a flatbed</t>
  </si>
  <si>
    <t>taxies=taxies a plane containing (object)</t>
  </si>
  <si>
    <t>types=classifies and categorizes by putting (object) in a lineup with other (objects), after investigating and examining</t>
  </si>
  <si>
    <t>Usher= an usher at a show, wearing a nice suit, holding a flashlight and a program; ushers=precedes, walks in front of, with object on a wheeled cart coming right behind</t>
  </si>
  <si>
    <t>uppers=pills; unpacks=pulls out of a suitcase or large box</t>
  </si>
  <si>
    <t>uvula= can be a 3-D model of a uvula; unveils=can picture a shower curtain</t>
  </si>
  <si>
    <t>unwinder=a martini in a triangular martini glass; unwinds- think of object having long black cord wrapped around it a hundred times, and we're unwinding it and removing it</t>
  </si>
  <si>
    <t>unyokes=unties the ropes around (object)</t>
  </si>
  <si>
    <t>valves=sprays with a garden hose, the kind with the hand-gripper valve at the end; valvoline=a plastic container of valvoline motor oil</t>
  </si>
  <si>
    <t>vibrates=strikes object with big mallet and makes it vibrate</t>
  </si>
  <si>
    <t>velcro=watch with velcro watchband</t>
  </si>
  <si>
    <t>vatful=vat of live bait</t>
  </si>
  <si>
    <t>V.J.'s=does a video demo of object at a promo event, with the actual object nearby</t>
  </si>
  <si>
    <t>voodoo=donut; voodoos=places a spell on, or makes a voodoo doll out of</t>
  </si>
  <si>
    <t>virus: can picture a test tube containing the virus</t>
  </si>
  <si>
    <t>vetoes=does not allow to join (in an activity)</t>
  </si>
  <si>
    <t>vows=promises to give; vowel=refrigerator magnet vowel</t>
  </si>
  <si>
    <t>Voxes=praises or warns by name, stands next to the object and calls out 'Hey everyone, it's a (object)!', or 'Oh no, it's a (object)!'; VAX=old desktop computer</t>
  </si>
  <si>
    <t>voyages=brings along on a voyage, in a ship; vinyl=a vinyl LP record</t>
  </si>
  <si>
    <t>wobbles=rocks back and forth, and/or gets on top of object and causes it to wobble</t>
  </si>
  <si>
    <t>wiccan: think the Wicked Witch of the West (Oz)</t>
  </si>
  <si>
    <t>wings=grazes and damages with a snowball or rock; wii=wii-mote (wii remote control)</t>
  </si>
  <si>
    <t>well=inkwell, a great square and curvy shape; walls=builds a stone wall around</t>
  </si>
  <si>
    <t>wires=hangs decorative seasonal lights on, or makes electric, with lights or motion; warrant=an arrest warrant for the subject (protagonist) of the sentence</t>
  </si>
  <si>
    <t>wyes=throws a metal wye plumbing fixture at something, or stuffs something into the fixture</t>
  </si>
  <si>
    <t>chandeliers=drops a chandelier on object, which then falls over; cheddar=a big cheddar wheel</t>
  </si>
  <si>
    <t>chugs=tilts back head and eats object, or a hunk of the main body of object</t>
  </si>
  <si>
    <t>chainshots=destroys using chainshot</t>
  </si>
  <si>
    <t>chamoises=cleans with a chamois cloth</t>
  </si>
  <si>
    <t>choochoo's=eats on a spoon (as if feeding to a child), or says "I'm going to eat you up" before taking a bite out of an object too big for a spoon</t>
  </si>
  <si>
    <t>chives=a rubber-banded clump of chives; chevies=drives in a Chevrolet El Camino, which has a station wagon frontend and a pickup truck backend</t>
  </si>
  <si>
    <t>yeelights=shines a red light on; yeast=a jar of yeast</t>
  </si>
  <si>
    <t>zaza's=gives ZaZa to, or puts ZaZa inside of; za=pizza (Think: 'Will it pizza?')</t>
  </si>
  <si>
    <t>zincifies=coats or impregnates with zinc, i.e. galvanizes</t>
  </si>
  <si>
    <t>zoff=eyeglasses; zarfs=puts into a zarf sleeve</t>
  </si>
  <si>
    <t>zithers=serenades, plays for</t>
  </si>
  <si>
    <t>ziti's=throws ziti at</t>
  </si>
  <si>
    <t>zojans=mends a tear in; Zoje=picture the Zoje sewing machine with the brand name 'ZOJE' across its main body</t>
  </si>
  <si>
    <t>zones=divides (object) into 4 regions with a crayon, in preparation for taking one of the regions</t>
  </si>
  <si>
    <t>zzzquils=pours liquid zzzquil over (object), from the characteristic purple bottle</t>
  </si>
  <si>
    <t>zot=to cause lightning to strike object</t>
  </si>
  <si>
    <t>zouaves=attacks, perhaps in a flamboyant way</t>
  </si>
  <si>
    <t xml:space="preserve">Acorn accessorizes an accordian </t>
  </si>
  <si>
    <t>Adam addresses adderol</t>
  </si>
  <si>
    <t>Aja adjudicates an adjustor</t>
  </si>
  <si>
    <t>Allison ales an alligator</t>
  </si>
  <si>
    <t>Anastasia announces an annual</t>
  </si>
  <si>
    <t>Avery aviates an avocado</t>
  </si>
  <si>
    <t>Babar barbecues a baseball</t>
  </si>
  <si>
    <t>Buddy bards a bird</t>
  </si>
  <si>
    <t>Baggins Begs a Bug</t>
  </si>
  <si>
    <t>Bo boos a boot</t>
  </si>
  <si>
    <t>Bessie blesses brass</t>
  </si>
  <si>
    <t xml:space="preserve">Bubba bubblebaths a bumbershoot </t>
  </si>
  <si>
    <t>Beverly bravos a beaver</t>
  </si>
  <si>
    <t>Cecil centuries a cephalopod</t>
  </si>
  <si>
    <t>Cougar cogs a Corgi</t>
  </si>
  <si>
    <t>Coppola cops a cap</t>
  </si>
  <si>
    <t>Cloquet conquers a conquistador</t>
  </si>
  <si>
    <t>Carrie carries a car</t>
  </si>
  <si>
    <t>Cassie cusses a casserole</t>
  </si>
  <si>
    <t>Draco decorates decaf</t>
  </si>
  <si>
    <t>Deja D.J.'s dijon</t>
  </si>
  <si>
    <t>Duke dunks dockers</t>
  </si>
  <si>
    <t>Daniel dons denim</t>
  </si>
  <si>
    <t>Dax detoxes a doxie</t>
  </si>
  <si>
    <t>Ebenezer embraces ebony</t>
  </si>
  <si>
    <t>Ed edifies an edible</t>
  </si>
  <si>
    <t>Egger eggs an Eggo</t>
  </si>
  <si>
    <t>Ella els an electric</t>
  </si>
  <si>
    <t>Emma emancipates eminems</t>
  </si>
  <si>
    <t>Esau ensembles an esophagus</t>
  </si>
  <si>
    <t>Evan evicts evil</t>
  </si>
  <si>
    <t>Face foci's feces</t>
  </si>
  <si>
    <t>Feenie feels feet</t>
  </si>
  <si>
    <t>Fujita forejudges a flapjack</t>
  </si>
  <si>
    <t>Finn fans a fin</t>
  </si>
  <si>
    <t>Farrah ferries a ferret</t>
  </si>
  <si>
    <r>
      <rPr>
        <b/>
        <sz val="10"/>
        <color theme="1"/>
        <rFont val="Arial"/>
      </rPr>
      <t xml:space="preserve">Fats* </t>
    </r>
    <r>
      <rPr>
        <sz val="10"/>
        <color theme="1"/>
        <rFont val="Arial"/>
      </rPr>
      <t>flattens a fret</t>
    </r>
  </si>
  <si>
    <t>Fever favors a fiver</t>
  </si>
  <si>
    <t>Finwe firewalls a flower</t>
  </si>
  <si>
    <t>Grace graces groceries</t>
  </si>
  <si>
    <r>
      <rPr>
        <sz val="10"/>
        <color theme="1"/>
        <rFont val="Arial"/>
      </rPr>
      <t>Ghosh</t>
    </r>
    <r>
      <rPr>
        <sz val="10"/>
        <color theme="1"/>
        <rFont val="Arial"/>
      </rPr>
      <t xml:space="preserve"> gashes a gumshoe</t>
    </r>
  </si>
  <si>
    <t>Gollum gullets a gill</t>
  </si>
  <si>
    <t>Grannie granites a gun</t>
  </si>
  <si>
    <t>Gipper_The grapples a grape</t>
  </si>
  <si>
    <t>Grover gavels a guava</t>
  </si>
  <si>
    <t>Gawain glows a gowan</t>
  </si>
  <si>
    <t>Guy geysers glycerine</t>
  </si>
  <si>
    <r>
      <rPr>
        <b/>
        <sz val="10"/>
        <color theme="1"/>
        <rFont val="Arial"/>
      </rPr>
      <t xml:space="preserve">Hobbes* </t>
    </r>
    <r>
      <rPr>
        <sz val="10"/>
        <color theme="1"/>
        <rFont val="Arial"/>
      </rPr>
      <t>hibachis a hamburger</t>
    </r>
  </si>
  <si>
    <t>Heekin hee-hee's a henhouse</t>
  </si>
  <si>
    <t>Hill halogens a helo</t>
  </si>
  <si>
    <t>Hood hooplas a ho_ho</t>
  </si>
  <si>
    <t>Harold hires a hare</t>
  </si>
  <si>
    <t>Havoc halves a hive</t>
  </si>
  <si>
    <t>Hyland hypes a hymnal</t>
  </si>
  <si>
    <t>Iacocca iambs an iamb</t>
  </si>
  <si>
    <t>ibis ibuprofens an ibis</t>
  </si>
  <si>
    <t>Icarus incarcerates an incandescent</t>
  </si>
  <si>
    <t>Ida identifies an ide</t>
  </si>
  <si>
    <t>infamous inflates an infant</t>
  </si>
  <si>
    <t>Ishi inshells an inshore</t>
  </si>
  <si>
    <t>ijeoma injects an injunction</t>
  </si>
  <si>
    <t>ike inks ink</t>
  </si>
  <si>
    <t>illinois illuminates an ileum</t>
  </si>
  <si>
    <t>imelda immerses an image</t>
  </si>
  <si>
    <t>innes inns an innie</t>
  </si>
  <si>
    <t>iolanthe ionizes iodine</t>
  </si>
  <si>
    <t>inquilla inquests an inquisitor</t>
  </si>
  <si>
    <t>ira irrigates an iris</t>
  </si>
  <si>
    <t>Ito itemizes an itinerary</t>
  </si>
  <si>
    <t>iustitia iubes a iurek</t>
  </si>
  <si>
    <t>Ivanka invents an invention</t>
  </si>
  <si>
    <t>INXS ixne's an IMAX</t>
  </si>
  <si>
    <t>ilya isopropyls an ichthyoid</t>
  </si>
  <si>
    <t>Job jawbones a Jumbo</t>
  </si>
  <si>
    <t>Jeenie jeers a jejune</t>
  </si>
  <si>
    <t>Jen junipers a janitor</t>
  </si>
  <si>
    <t>Kroger kegs a kugel</t>
  </si>
  <si>
    <t>Kojak killjoys koji</t>
  </si>
  <si>
    <r>
      <t xml:space="preserve">Leif luffs </t>
    </r>
    <r>
      <rPr>
        <sz val="10"/>
        <color theme="1"/>
        <rFont val="Arial"/>
      </rPr>
      <t>lutefisk</t>
    </r>
  </si>
  <si>
    <t>Luthien lithos lath</t>
  </si>
  <si>
    <t>Lem limes a lem</t>
  </si>
  <si>
    <t>Lin loans a loaner</t>
  </si>
  <si>
    <t>Les loses a lasso</t>
  </si>
  <si>
    <t>Mabel mothballs a meatball</t>
  </si>
  <si>
    <t>Maude muddies a medal</t>
  </si>
  <si>
    <t>Mosh mashes a mash</t>
  </si>
  <si>
    <t>Major mahjongs marjoram</t>
  </si>
  <si>
    <t>Monique marquees a mosquito</t>
  </si>
  <si>
    <t>Nog nogs a nugget</t>
  </si>
  <si>
    <t>Noodles no's a noodle</t>
  </si>
  <si>
    <t>Nique naqqali's the Noquebay</t>
  </si>
  <si>
    <t>Nawin nowells a Narwhal</t>
  </si>
  <si>
    <t>Nixon nixes naproxen</t>
  </si>
  <si>
    <t>Odo odes an odor</t>
  </si>
  <si>
    <t>Offenbach offs offal</t>
  </si>
  <si>
    <t>Othello ortho's an orthodontist</t>
  </si>
  <si>
    <t>Ono onions an onion</t>
  </si>
  <si>
    <t>Oquendo overequips an ortanique</t>
  </si>
  <si>
    <t>Oxley oxcarts an ox</t>
  </si>
  <si>
    <t>Pepe peppers a pepper</t>
  </si>
  <si>
    <t>Puff puffs a puffin</t>
  </si>
  <si>
    <t>Pi pies a pipi</t>
  </si>
  <si>
    <t>Paul pallets a pill</t>
  </si>
  <si>
    <t>Puss passes a pesse</t>
  </si>
  <si>
    <t>Paxton pixilates a pixie</t>
  </si>
  <si>
    <t>Quince quinces a quince</t>
  </si>
  <si>
    <t>Quajo quajo's Quajath</t>
  </si>
  <si>
    <t>Rice rices a racer</t>
  </si>
  <si>
    <t>Rhett rates a rat</t>
  </si>
  <si>
    <t>Rurudo rues a ruru</t>
  </si>
  <si>
    <t>Siggy smuggles a siggi</t>
  </si>
  <si>
    <t>Sojourner sijo's a straitjacket</t>
  </si>
  <si>
    <t>Sukey sinks a sack</t>
  </si>
  <si>
    <t>Sunny sani's a seiner</t>
  </si>
  <si>
    <t>Seven saves a savoy</t>
  </si>
  <si>
    <t>Sowash saws a sandwich</t>
  </si>
  <si>
    <t xml:space="preserve">Tatum tattoos a tater-tot </t>
  </si>
  <si>
    <t>Toby tubs a tuber</t>
  </si>
  <si>
    <t xml:space="preserve">Teenie teeter-totters a tent </t>
  </si>
  <si>
    <t>Tiffani teffs tofu</t>
  </si>
  <si>
    <t xml:space="preserve">Tootsie tongues a tortoise </t>
  </si>
  <si>
    <t>Tut tut-tuts a tutu</t>
  </si>
  <si>
    <t>Upjohn unjams Unjoy</t>
  </si>
  <si>
    <t>Uppermost unpacks uppers</t>
  </si>
  <si>
    <t>Ursa unseals an unsalted</t>
  </si>
  <si>
    <t>Uvee unveils a uvula</t>
  </si>
  <si>
    <t xml:space="preserve">VaVa valves valvoline </t>
  </si>
  <si>
    <t>Vijay V.J.'s verjus</t>
  </si>
  <si>
    <t>Veronica variegates a virus</t>
  </si>
  <si>
    <t>Vassar vessels vaseline</t>
  </si>
  <si>
    <t>Warwick war_wolfs wallwort</t>
  </si>
  <si>
    <t>Webbie wobbles a web</t>
  </si>
  <si>
    <t>Will walls a well</t>
  </si>
  <si>
    <r>
      <t xml:space="preserve">Woo </t>
    </r>
    <r>
      <rPr>
        <sz val="10"/>
        <color theme="1"/>
        <rFont val="Arial"/>
      </rPr>
      <t>whoopsies</t>
    </r>
    <r>
      <rPr>
        <sz val="10"/>
        <color theme="1"/>
        <rFont val="Arial"/>
      </rPr>
      <t xml:space="preserve"> a woo-woo</t>
    </r>
  </si>
  <si>
    <t>Warren wires a warrant</t>
  </si>
  <si>
    <t>Walt whittles a waterbed</t>
  </si>
  <si>
    <t>Waverly weaves a wivern</t>
  </si>
  <si>
    <t>Wyatt wyes whey</t>
  </si>
  <si>
    <t xml:space="preserve">Chachi cha-cha's chai  </t>
  </si>
  <si>
    <t>Chad chandeliers cheddar</t>
  </si>
  <si>
    <t>Chugs chugs a chigger</t>
  </si>
  <si>
    <t>Chooey choochoo's a chokecherry</t>
  </si>
  <si>
    <t xml:space="preserve">Choquette charqui's a chiquita   </t>
  </si>
  <si>
    <t>Chung churches chunchulla</t>
  </si>
  <si>
    <t>Chevy chevies chives</t>
  </si>
  <si>
    <t>Yebba yabba-dabba-doo's a yearbook   . yabbers, yabbadabbadoo's  yobbo. yardbird yearbook yarborough(YAR-bruh, a bridge hand with no card higher than 9), youngberry, yabbers</t>
  </si>
  <si>
    <t>Yucco yocoins yucca.   Yucco Miller yocoins(buys) yucca.     yolcan yalcars(sells)  yacco oil, yaccos(oils) yucca</t>
  </si>
  <si>
    <t>Yogi Berra.    yoga yogurt  yogi(teacher)  Eexist others too</t>
  </si>
  <si>
    <t>Ying Huang(soprano)</t>
  </si>
  <si>
    <t>Yojimbo(bodyguard) yojumbo's yojay     Yeji. Yoji(common male name Japan)  Yoji Anjo.     yohji tea(maybe. Sounds too much like yogi)  Yo-J=Yojay-like O.J.-Orange Juice.   Youjuice  YoJumbo(knife)[20% larger than the original YoJimbo]  YoJumbos(cuts with knife)</t>
  </si>
  <si>
    <t>Yoko yanks a yak (probable)  or a yorkie.   Or a  yolk yoke yankee yorkie(dog)</t>
  </si>
  <si>
    <t>Yolanda  yells . yellows(verb, pees on?) yellow________.  yellowbellies(runs away from)  yellowtail</t>
  </si>
  <si>
    <t>yuppy, yuppifies</t>
  </si>
  <si>
    <t>youthquake</t>
  </si>
  <si>
    <t>yasso, yersinia</t>
  </si>
  <si>
    <t xml:space="preserve">yurt youtube's  yeti. </t>
  </si>
  <si>
    <t>Yusuf, Yule, Yunyun(character)  yum-yums(eats)  a yumyum(treat)</t>
  </si>
  <si>
    <t>Yavanah? (sp)  yvette(yucky use if y as vowel)</t>
  </si>
  <si>
    <r>
      <rPr>
        <sz val="10"/>
        <color theme="1"/>
        <rFont val="Arial"/>
      </rPr>
      <t>Zsa_Zsa</t>
    </r>
    <r>
      <rPr>
        <sz val="10"/>
        <color theme="1"/>
        <rFont val="Arial"/>
      </rPr>
      <t xml:space="preserve"> zaza's za</t>
    </r>
  </si>
  <si>
    <t>Zucchino zincifies a zucchini</t>
  </si>
  <si>
    <t>Zander zendos a zedonk</t>
  </si>
  <si>
    <r>
      <t xml:space="preserve">Zee_Zee </t>
    </r>
    <r>
      <rPr>
        <b/>
        <sz val="10"/>
        <color theme="1"/>
        <rFont val="Arial"/>
      </rPr>
      <t>zexes</t>
    </r>
    <r>
      <rPr>
        <sz val="10"/>
        <color theme="1"/>
        <rFont val="Arial"/>
      </rPr>
      <t xml:space="preserve"> a zeze</t>
    </r>
  </si>
  <si>
    <t>Ziggy zags a zagone</t>
  </si>
  <si>
    <r>
      <rPr>
        <b/>
        <sz val="10"/>
        <color theme="1"/>
        <rFont val="Arial"/>
      </rPr>
      <t>Zarathustra</t>
    </r>
    <r>
      <rPr>
        <sz val="10"/>
        <color theme="1"/>
        <rFont val="Arial"/>
      </rPr>
      <t xml:space="preserve"> zithers a zither</t>
    </r>
  </si>
  <si>
    <t>Zion zitis a ziz</t>
  </si>
  <si>
    <t>Zanni_one zones a zinnia</t>
  </si>
  <si>
    <t>Zippy zaps a zippo</t>
  </si>
  <si>
    <t>Zay zymes a zymometer</t>
  </si>
  <si>
    <t>"CH is used for X. OR, do what I do: if you don't need Z, use Z for X"</t>
  </si>
  <si>
    <t>notes</t>
  </si>
  <si>
    <t>pic_1_person</t>
  </si>
  <si>
    <t>pic_2_verb</t>
  </si>
  <si>
    <t>pic_3_object</t>
  </si>
  <si>
    <t>pic_4_supplemental</t>
  </si>
  <si>
    <t>group</t>
  </si>
  <si>
    <t xml:space="preserve">person_group </t>
  </si>
  <si>
    <t>person_group_name</t>
  </si>
  <si>
    <t>verb_group</t>
  </si>
  <si>
    <t>verb_group_name</t>
  </si>
  <si>
    <t>object_group</t>
  </si>
  <si>
    <t>object_group_name</t>
  </si>
  <si>
    <t>hybrid_definition</t>
  </si>
  <si>
    <t>pronunciation</t>
  </si>
  <si>
    <t>location</t>
  </si>
  <si>
    <t>tool</t>
  </si>
  <si>
    <t>tool_rationale</t>
  </si>
  <si>
    <t>tool_pic</t>
  </si>
  <si>
    <t>tableau</t>
  </si>
  <si>
    <t>backstory</t>
  </si>
  <si>
    <t>length_backstory</t>
  </si>
  <si>
    <t>research_1</t>
  </si>
  <si>
    <t>research_2</t>
  </si>
  <si>
    <t>legacy_sentence</t>
  </si>
  <si>
    <t>more_words</t>
  </si>
  <si>
    <t>protagonist</t>
  </si>
  <si>
    <t>non_cube_associations</t>
  </si>
  <si>
    <t>anneals=heats in a kiln to make E16; annual=sunflower</t>
  </si>
  <si>
    <t>AA's=places object on floor with the original Winnie-the-Pooh animals and tells a story about it; AA=a pack of AA batteries</t>
  </si>
  <si>
    <t>addresses=writes an address on object, with the intention of mailing it to a friend</t>
  </si>
  <si>
    <t>num-num's=eats</t>
  </si>
  <si>
    <t>quo's=searches for, can picture person scanning the landscape, with open hand above eyes, while object sits in front of them in plain sight</t>
  </si>
  <si>
    <t>yanks=pulls object, which then lands on top of person as they fall over backward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</si>
</sst>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0"/>
      <color rgb="FF000000"/>
      <name val="Arial"/>
      <scheme val="minor"/>
    </font>
    <font>
      <b/>
      <sz val="12"/>
      <color theme="1"/>
      <name val="Arial"/>
    </font>
    <font>
      <sz val="10"/>
      <color theme="1"/>
      <name val="Arial"/>
    </font>
    <font>
      <sz val="8"/>
      <color theme="1"/>
      <name val="Arial"/>
    </font>
    <font>
      <b/>
      <sz val="8"/>
      <color rgb="FF9900FF"/>
      <name val="Arial"/>
    </font>
    <font>
      <b/>
      <sz val="10"/>
      <color theme="1"/>
      <name val="Arial"/>
    </font>
    <font>
      <sz val="10"/>
      <color theme="1"/>
      <name val="Arial"/>
      <scheme val="minor"/>
    </font>
    <font>
      <sz val="10"/>
      <color theme="1"/>
      <name val="Arial"/>
      <scheme val="minor"/>
    </font>
    <font>
      <b/>
      <sz val="10"/>
      <color theme="1"/>
      <name val="Arial"/>
      <scheme val="minor"/>
    </font>
    <font>
      <b/>
      <sz val="10"/>
      <color theme="1"/>
      <name val="Arial"/>
      <scheme val="minor"/>
    </font>
    <font>
      <sz val="10"/>
      <color rgb="FFCC0000"/>
      <name val="Arial"/>
      <scheme val="minor"/>
    </font>
    <font>
      <sz val="10"/>
      <color rgb="FF0000FF"/>
      <name val="Arial"/>
      <scheme val="minor"/>
    </font>
    <font>
      <sz val="10"/>
      <color rgb="FF000000"/>
      <name val="Arial"/>
      <scheme val="minor"/>
    </font>
    <font>
      <sz val="11"/>
      <color rgb="FF000000"/>
      <name val="Calibri"/>
    </font>
    <font>
      <b/>
      <sz val="11"/>
      <color rgb="FF000000"/>
      <name val="Calibri"/>
    </font>
    <font>
      <sz val="10"/>
      <color theme="1"/>
      <name val="Arial"/>
    </font>
    <font>
      <sz val="10"/>
      <color rgb="FF000000"/>
      <name val="Roboto"/>
    </font>
    <font>
      <b/>
      <sz val="10"/>
      <color theme="1"/>
      <name val="Arial"/>
    </font>
    <font>
      <b/>
      <sz val="10"/>
      <color rgb="FF000000"/>
      <name val="Roboto"/>
    </font>
    <font>
      <strike/>
      <sz val="10"/>
      <color theme="1"/>
      <name val="Arial"/>
    </font>
    <font>
      <b/>
      <strike/>
      <sz val="10"/>
      <color theme="1"/>
      <name val="Arial"/>
    </font>
    <font>
      <b/>
      <u/>
      <sz val="10"/>
      <color theme="1"/>
      <name val="Arial"/>
    </font>
    <font>
      <i/>
      <sz val="10"/>
      <color theme="1"/>
      <name val="Arial"/>
    </font>
  </fonts>
  <fills count="10">
    <fill>
      <patternFill patternType="none"/>
    </fill>
    <fill>
      <patternFill patternType="gray125"/>
    </fill>
    <fill>
      <patternFill patternType="solid">
        <fgColor rgb="FFF4CCCC"/>
        <bgColor rgb="FFF4CCCC"/>
      </patternFill>
    </fill>
    <fill>
      <patternFill patternType="solid">
        <fgColor rgb="FFD0E0E3"/>
        <bgColor rgb="FFD0E0E3"/>
      </patternFill>
    </fill>
    <fill>
      <patternFill patternType="solid">
        <fgColor rgb="FFBDBDBD"/>
        <bgColor rgb="FFBDBDBD"/>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F0C4F0"/>
        <bgColor rgb="FFF0C4F0"/>
      </patternFill>
    </fill>
    <fill>
      <patternFill patternType="solid">
        <fgColor rgb="FFD9EAD3"/>
        <bgColor rgb="FFD9EAD3"/>
      </patternFill>
    </fill>
  </fills>
  <borders count="4">
    <border>
      <left/>
      <right/>
      <top/>
      <bottom/>
      <diagonal/>
    </border>
    <border>
      <left/>
      <right style="thick">
        <color rgb="FF9FC5E8"/>
      </right>
      <top/>
      <bottom style="thick">
        <color rgb="FF9FC5E8"/>
      </bottom>
      <diagonal/>
    </border>
    <border>
      <left/>
      <right/>
      <top/>
      <bottom style="thick">
        <color rgb="FF9FC5E8"/>
      </bottom>
      <diagonal/>
    </border>
    <border>
      <left/>
      <right style="thick">
        <color rgb="FF9FC5E8"/>
      </right>
      <top/>
      <bottom/>
      <diagonal/>
    </border>
  </borders>
  <cellStyleXfs count="1">
    <xf numFmtId="0" fontId="0" fillId="0" borderId="0"/>
  </cellStyleXfs>
  <cellXfs count="99">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5" fillId="0" borderId="0" xfId="0" applyFont="1" applyAlignment="1"/>
    <xf numFmtId="0" fontId="5" fillId="0" borderId="0" xfId="0" applyFont="1" applyAlignment="1"/>
    <xf numFmtId="0" fontId="2" fillId="0" borderId="0" xfId="0" applyFont="1" applyAlignment="1"/>
    <xf numFmtId="0" fontId="5" fillId="0" borderId="0" xfId="0" applyFont="1" applyAlignment="1"/>
    <xf numFmtId="0" fontId="2" fillId="0" borderId="0" xfId="0" applyFont="1" applyAlignment="1"/>
    <xf numFmtId="0" fontId="6" fillId="0" borderId="0" xfId="0" applyFont="1" applyAlignment="1"/>
    <xf numFmtId="0" fontId="7" fillId="0" borderId="0" xfId="0" applyFont="1"/>
    <xf numFmtId="0" fontId="7" fillId="0" borderId="0" xfId="0" applyFont="1" applyAlignment="1"/>
    <xf numFmtId="0" fontId="8" fillId="0" borderId="0" xfId="0" applyFont="1" applyAlignment="1"/>
    <xf numFmtId="0" fontId="9" fillId="0" borderId="1" xfId="0" applyFont="1" applyBorder="1" applyAlignment="1"/>
    <xf numFmtId="0" fontId="9" fillId="0" borderId="2" xfId="0" applyFont="1" applyBorder="1" applyAlignment="1"/>
    <xf numFmtId="0" fontId="9" fillId="2" borderId="2" xfId="0" applyFont="1" applyFill="1" applyBorder="1" applyAlignment="1"/>
    <xf numFmtId="0" fontId="9" fillId="3" borderId="2" xfId="0" applyFont="1" applyFill="1" applyBorder="1" applyAlignment="1"/>
    <xf numFmtId="0" fontId="9" fillId="0" borderId="0" xfId="0" applyFont="1"/>
    <xf numFmtId="0" fontId="9" fillId="0" borderId="0" xfId="0" applyFont="1" applyAlignment="1"/>
    <xf numFmtId="0" fontId="6" fillId="0" borderId="3" xfId="0" applyFont="1" applyBorder="1" applyAlignment="1"/>
    <xf numFmtId="0" fontId="6" fillId="0" borderId="0" xfId="0" applyFont="1" applyAlignment="1"/>
    <xf numFmtId="0" fontId="6" fillId="2" borderId="0" xfId="0" applyFont="1" applyFill="1" applyAlignment="1"/>
    <xf numFmtId="0" fontId="6" fillId="3" borderId="0" xfId="0" applyFont="1" applyFill="1" applyAlignment="1"/>
    <xf numFmtId="0" fontId="6" fillId="0" borderId="0" xfId="0" applyFont="1" applyAlignment="1"/>
    <xf numFmtId="0" fontId="6" fillId="0" borderId="1" xfId="0" applyFont="1" applyBorder="1" applyAlignment="1"/>
    <xf numFmtId="0" fontId="6" fillId="0" borderId="2" xfId="0" applyFont="1" applyBorder="1" applyAlignment="1"/>
    <xf numFmtId="0" fontId="6" fillId="0" borderId="2" xfId="0" applyFont="1" applyBorder="1" applyAlignment="1"/>
    <xf numFmtId="0" fontId="6" fillId="0" borderId="0" xfId="0" applyFont="1" applyAlignment="1"/>
    <xf numFmtId="0" fontId="6" fillId="0" borderId="0" xfId="0" applyFont="1" applyAlignment="1"/>
    <xf numFmtId="0" fontId="6" fillId="2" borderId="2" xfId="0" applyFont="1" applyFill="1" applyBorder="1" applyAlignment="1"/>
    <xf numFmtId="0" fontId="6" fillId="3" borderId="2" xfId="0" applyFont="1" applyFill="1" applyBorder="1" applyAlignment="1"/>
    <xf numFmtId="0" fontId="6" fillId="4" borderId="0" xfId="0" applyFont="1" applyFill="1" applyAlignment="1"/>
    <xf numFmtId="0" fontId="6" fillId="2" borderId="0" xfId="0" applyFont="1" applyFill="1" applyAlignment="1"/>
    <xf numFmtId="0" fontId="6" fillId="3" borderId="0" xfId="0" applyFont="1" applyFill="1" applyAlignment="1"/>
    <xf numFmtId="0" fontId="10" fillId="0" borderId="0" xfId="0" applyFont="1" applyAlignment="1"/>
    <xf numFmtId="0" fontId="11" fillId="0" borderId="0" xfId="0" applyFont="1" applyAlignment="1"/>
    <xf numFmtId="0" fontId="9" fillId="0" borderId="0" xfId="0" applyFont="1" applyAlignment="1"/>
    <xf numFmtId="0" fontId="12" fillId="5" borderId="0" xfId="0" applyFont="1" applyFill="1" applyAlignment="1"/>
    <xf numFmtId="0" fontId="6" fillId="5" borderId="0" xfId="0" applyFont="1" applyFill="1" applyAlignment="1"/>
    <xf numFmtId="0" fontId="6" fillId="0" borderId="0" xfId="0" applyFont="1" applyAlignment="1"/>
    <xf numFmtId="0" fontId="9" fillId="6" borderId="0" xfId="0" applyFont="1" applyFill="1" applyAlignment="1"/>
    <xf numFmtId="0" fontId="9" fillId="6" borderId="2" xfId="0" applyFont="1" applyFill="1" applyBorder="1" applyAlignment="1"/>
    <xf numFmtId="0" fontId="6" fillId="6" borderId="0" xfId="0" applyFont="1" applyFill="1" applyAlignment="1"/>
    <xf numFmtId="0" fontId="6" fillId="6" borderId="0" xfId="0" applyFont="1" applyFill="1" applyAlignment="1"/>
    <xf numFmtId="0" fontId="6" fillId="6" borderId="2" xfId="0" applyFont="1" applyFill="1" applyBorder="1" applyAlignment="1"/>
    <xf numFmtId="0" fontId="12" fillId="6" borderId="0" xfId="0" applyFont="1" applyFill="1" applyAlignment="1"/>
    <xf numFmtId="0" fontId="6" fillId="6" borderId="0" xfId="0" applyFont="1" applyFill="1" applyAlignment="1"/>
    <xf numFmtId="0" fontId="6" fillId="6" borderId="0" xfId="0" applyFont="1" applyFill="1" applyAlignment="1"/>
    <xf numFmtId="0" fontId="6" fillId="6" borderId="2" xfId="0" applyFont="1" applyFill="1" applyBorder="1" applyAlignment="1"/>
    <xf numFmtId="0" fontId="6" fillId="7" borderId="0" xfId="0" applyFont="1" applyFill="1" applyAlignment="1"/>
    <xf numFmtId="0" fontId="13" fillId="8" borderId="0" xfId="0" applyFont="1" applyFill="1" applyAlignment="1"/>
    <xf numFmtId="0" fontId="6" fillId="7" borderId="0" xfId="0" applyFont="1" applyFill="1" applyAlignment="1"/>
    <xf numFmtId="0" fontId="9" fillId="7" borderId="0" xfId="0" applyFont="1" applyFill="1" applyAlignment="1"/>
    <xf numFmtId="0" fontId="6" fillId="9" borderId="0" xfId="0" applyFont="1" applyFill="1" applyAlignment="1"/>
    <xf numFmtId="0" fontId="9" fillId="9" borderId="0" xfId="0" applyFont="1" applyFill="1" applyAlignment="1"/>
    <xf numFmtId="0" fontId="9" fillId="3" borderId="0" xfId="0" applyFont="1" applyFill="1" applyAlignment="1"/>
    <xf numFmtId="0" fontId="14" fillId="8" borderId="0" xfId="0" applyFont="1" applyFill="1" applyAlignment="1"/>
    <xf numFmtId="0" fontId="9" fillId="7" borderId="2" xfId="0" applyFont="1" applyFill="1" applyBorder="1" applyAlignment="1"/>
    <xf numFmtId="0" fontId="9" fillId="9" borderId="2" xfId="0" applyFont="1" applyFill="1" applyBorder="1" applyAlignment="1"/>
    <xf numFmtId="0" fontId="13" fillId="8" borderId="0" xfId="0" applyFont="1" applyFill="1" applyAlignment="1"/>
    <xf numFmtId="0" fontId="6" fillId="9" borderId="0" xfId="0" applyFont="1" applyFill="1" applyAlignment="1"/>
    <xf numFmtId="0" fontId="13" fillId="8" borderId="0" xfId="0" applyFont="1" applyFill="1" applyAlignment="1"/>
    <xf numFmtId="0" fontId="6" fillId="3" borderId="0" xfId="0" applyFont="1" applyFill="1" applyAlignment="1"/>
    <xf numFmtId="0" fontId="6" fillId="7" borderId="2" xfId="0" applyFont="1" applyFill="1" applyBorder="1" applyAlignment="1"/>
    <xf numFmtId="0" fontId="6" fillId="9" borderId="2" xfId="0" applyFont="1" applyFill="1" applyBorder="1" applyAlignment="1"/>
    <xf numFmtId="0" fontId="12" fillId="7" borderId="0" xfId="0" applyFont="1" applyFill="1" applyAlignment="1"/>
    <xf numFmtId="0" fontId="6" fillId="7" borderId="2" xfId="0" applyFont="1" applyFill="1" applyBorder="1" applyAlignment="1"/>
    <xf numFmtId="0" fontId="6" fillId="7" borderId="0" xfId="0" applyFont="1" applyFill="1" applyAlignment="1"/>
    <xf numFmtId="0" fontId="6" fillId="9" borderId="0" xfId="0" applyFont="1" applyFill="1" applyAlignment="1"/>
    <xf numFmtId="0" fontId="6" fillId="3" borderId="0" xfId="0" applyFont="1" applyFill="1" applyAlignment="1"/>
    <xf numFmtId="0" fontId="6" fillId="9" borderId="2" xfId="0" applyFont="1" applyFill="1" applyBorder="1" applyAlignment="1"/>
    <xf numFmtId="0" fontId="6" fillId="9" borderId="0" xfId="0" applyFont="1" applyFill="1" applyAlignment="1"/>
    <xf numFmtId="0" fontId="6" fillId="3" borderId="2" xfId="0" applyFont="1" applyFill="1" applyBorder="1" applyAlignment="1"/>
    <xf numFmtId="0" fontId="12" fillId="9" borderId="0" xfId="0" applyFont="1" applyFill="1" applyAlignment="1"/>
    <xf numFmtId="0" fontId="12" fillId="3" borderId="0" xfId="0" applyFont="1" applyFill="1" applyAlignment="1"/>
    <xf numFmtId="0" fontId="6" fillId="7" borderId="0" xfId="0" applyFont="1" applyFill="1" applyAlignment="1"/>
    <xf numFmtId="0" fontId="6" fillId="7" borderId="0" xfId="0" applyFont="1" applyFill="1" applyAlignment="1"/>
    <xf numFmtId="0" fontId="6" fillId="9" borderId="0" xfId="0" applyFont="1" applyFill="1" applyAlignment="1"/>
    <xf numFmtId="0" fontId="6" fillId="3" borderId="0" xfId="0" applyFont="1" applyFill="1" applyAlignment="1"/>
    <xf numFmtId="0" fontId="6" fillId="7" borderId="0" xfId="0" applyFont="1" applyFill="1" applyAlignment="1"/>
    <xf numFmtId="0" fontId="6" fillId="9" borderId="0" xfId="0" applyFont="1" applyFill="1" applyAlignment="1"/>
    <xf numFmtId="0" fontId="6" fillId="3" borderId="0" xfId="0" applyFont="1" applyFill="1" applyAlignment="1"/>
    <xf numFmtId="0" fontId="6" fillId="8" borderId="0" xfId="0" applyFont="1" applyFill="1" applyAlignment="1"/>
    <xf numFmtId="0" fontId="6" fillId="0" borderId="0" xfId="0" applyFont="1" applyAlignment="1"/>
    <xf numFmtId="0" fontId="6" fillId="0" borderId="2" xfId="0" applyFont="1" applyBorder="1"/>
    <xf numFmtId="0" fontId="15" fillId="0" borderId="0" xfId="0" applyFont="1" applyAlignment="1"/>
    <xf numFmtId="0" fontId="16" fillId="5" borderId="0" xfId="0" applyFont="1" applyFill="1" applyAlignment="1"/>
    <xf numFmtId="0" fontId="6" fillId="0" borderId="0" xfId="0" applyFont="1"/>
    <xf numFmtId="0" fontId="15" fillId="5" borderId="0" xfId="0" applyFont="1" applyFill="1" applyAlignment="1"/>
    <xf numFmtId="0" fontId="15" fillId="0" borderId="0" xfId="0" applyFont="1" applyAlignment="1"/>
    <xf numFmtId="0" fontId="6" fillId="0" borderId="3" xfId="0" applyFont="1" applyBorder="1" applyAlignment="1"/>
    <xf numFmtId="0" fontId="6" fillId="0" borderId="1" xfId="0" applyFont="1" applyBorder="1" applyAlignment="1"/>
    <xf numFmtId="0" fontId="9" fillId="0" borderId="0" xfId="0" applyFont="1" applyAlignment="1"/>
    <xf numFmtId="0" fontId="6" fillId="0" borderId="0" xfId="0" applyFont="1" applyAlignment="1"/>
    <xf numFmtId="0" fontId="17" fillId="0" borderId="0" xfId="0" applyFont="1" applyAlignment="1"/>
    <xf numFmtId="0" fontId="18" fillId="5" borderId="0" xfId="0" applyFont="1" applyFill="1" applyAlignment="1"/>
    <xf numFmtId="0" fontId="6" fillId="0" borderId="0" xfId="0" quotePrefix="1" applyFont="1" applyAlignment="1"/>
  </cellXfs>
  <cellStyles count="1">
    <cellStyle name="Normal" xfId="0" builtinId="0"/>
  </cellStyles>
  <dxfs count="23">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9">
    <tableStyle name="private-style" pivot="0" count="3" xr9:uid="{00000000-0011-0000-FFFF-FFFF00000000}">
      <tableStyleElement type="headerRow" dxfId="22"/>
      <tableStyleElement type="firstRowStripe" dxfId="21"/>
      <tableStyleElement type="secondRowStripe" dxfId="20"/>
    </tableStyle>
    <tableStyle name="synopsis-style" pivot="0" count="3" xr9:uid="{00000000-0011-0000-FFFF-FFFF01000000}">
      <tableStyleElement type="headerRow" dxfId="19"/>
      <tableStyleElement type="firstRowStripe" dxfId="18"/>
      <tableStyleElement type="secondRowStripe" dxfId="17"/>
    </tableStyle>
    <tableStyle name="L-style" pivot="0" count="3" xr9:uid="{00000000-0011-0000-FFFF-FFFF02000000}">
      <tableStyleElement type="headerRow" dxfId="16"/>
      <tableStyleElement type="firstRowStripe" dxfId="15"/>
      <tableStyleElement type="secondRowStripe" dxfId="14"/>
    </tableStyle>
    <tableStyle name="L-style 2" pivot="0" count="3" xr9:uid="{00000000-0011-0000-FFFF-FFFF03000000}">
      <tableStyleElement type="headerRow" dxfId="13"/>
      <tableStyleElement type="firstRowStripe" dxfId="12"/>
      <tableStyleElement type="secondRowStripe" dxfId="11"/>
    </tableStyle>
    <tableStyle name="Sheet7-style" pivot="0" count="3" xr9:uid="{00000000-0011-0000-FFFF-FFFF04000000}">
      <tableStyleElement type="headerRow" dxfId="10"/>
      <tableStyleElement type="firstRowStripe" dxfId="9"/>
      <tableStyleElement type="secondRowStripe" dxfId="8"/>
    </tableStyle>
    <tableStyle name="test-synopsis-style" pivot="0" count="2" xr9:uid="{00000000-0011-0000-FFFF-FFFF05000000}">
      <tableStyleElement type="firstRowStripe" dxfId="7"/>
      <tableStyleElement type="secondRowStripe" dxfId="6"/>
    </tableStyle>
    <tableStyle name="test-hybrid-style" pivot="0" count="2" xr9:uid="{00000000-0011-0000-FFFF-FFFF06000000}">
      <tableStyleElement type="firstRowStripe" dxfId="5"/>
      <tableStyleElement type="secondRowStripe" dxfId="4"/>
    </tableStyle>
    <tableStyle name="test-style" pivot="0" count="2" xr9:uid="{00000000-0011-0000-FFFF-FFFF07000000}">
      <tableStyleElement type="firstRowStripe" dxfId="3"/>
      <tableStyleElement type="secondRowStripe" dxfId="2"/>
    </tableStyle>
    <tableStyle name="public-style" pivot="0" count="2" xr9:uid="{00000000-0011-0000-FFFF-FFFF08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E677">
  <tableColumns count="5">
    <tableColumn id="1" xr3:uid="{00000000-0010-0000-0000-000001000000}" name="letter_pair"/>
    <tableColumn id="2" xr3:uid="{00000000-0010-0000-0000-000002000000}" name="starter_sentence"/>
    <tableColumn id="3" xr3:uid="{00000000-0010-0000-0000-000003000000}" name="verbX"/>
    <tableColumn id="4" xr3:uid="{00000000-0010-0000-0000-000004000000}" name="objectX"/>
    <tableColumn id="5" xr3:uid="{00000000-0010-0000-0000-000005000000}" name="hybrid_def"/>
  </tableColumns>
  <tableStyleInfo name="privat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A1048" headerRowCount="0">
  <tableColumns count="1">
    <tableColumn id="1" xr3:uid="{00000000-0010-0000-0100-000001000000}" name="Column1"/>
  </tableColumns>
  <tableStyleInfo name="synopsis-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A678" headerRowCount="0">
  <tableColumns count="1">
    <tableColumn id="1" xr3:uid="{00000000-0010-0000-0200-000001000000}" name="Column1"/>
  </tableColumns>
  <tableStyleInfo name="L-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B1:B1048" headerRowCount="0">
  <tableColumns count="1">
    <tableColumn id="1" xr3:uid="{00000000-0010-0000-0300-000001000000}" name="Column1"/>
  </tableColumns>
  <tableStyleInfo name="L-style 2"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K1048" headerRowCount="0">
  <tableColumns count="11">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 id="8" xr3:uid="{00000000-0010-0000-0400-000008000000}" name="Column8"/>
    <tableColumn id="9" xr3:uid="{00000000-0010-0000-0400-000009000000}" name="Column9"/>
    <tableColumn id="10" xr3:uid="{00000000-0010-0000-0400-00000A000000}" name="Column10"/>
    <tableColumn id="11" xr3:uid="{00000000-0010-0000-0400-00000B000000}" name="Column11"/>
  </tableColumns>
  <tableStyleInfo name="Sheet7-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A675" headerRowCount="0">
  <tableColumns count="1">
    <tableColumn id="1" xr3:uid="{00000000-0010-0000-0500-000001000000}" name="Column1"/>
  </tableColumns>
  <tableStyleInfo name="test-synopsis-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1:A676" headerRowCount="0">
  <tableColumns count="1">
    <tableColumn id="1" xr3:uid="{00000000-0010-0000-0600-000001000000}" name="Column1"/>
  </tableColumns>
  <tableStyleInfo name="test-hybrid-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3:B678" headerRowCount="0">
  <tableColumns count="2">
    <tableColumn id="1" xr3:uid="{00000000-0010-0000-0700-000001000000}" name="Column1"/>
    <tableColumn id="2" xr3:uid="{00000000-0010-0000-0700-000002000000}" name="Column2"/>
  </tableColumns>
  <tableStyleInfo name="test-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E2:G2" headerRowCount="0">
  <tableColumns count="3">
    <tableColumn id="1" xr3:uid="{00000000-0010-0000-0800-000001000000}" name="Column1"/>
    <tableColumn id="2" xr3:uid="{00000000-0010-0000-0800-000002000000}" name="Column2"/>
    <tableColumn id="3" xr3:uid="{00000000-0010-0000-0800-000003000000}" name="Column3"/>
  </tableColumns>
  <tableStyleInfo name="public-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111"/>
  <sheetViews>
    <sheetView workbookViewId="0"/>
  </sheetViews>
  <sheetFormatPr defaultColWidth="12.59765625" defaultRowHeight="15.75" customHeight="1" x14ac:dyDescent="0.35"/>
  <sheetData>
    <row r="1" spans="1:30" ht="15.75" customHeight="1" x14ac:dyDescent="0.4">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row>
    <row r="2" spans="1:30" ht="12.75" x14ac:dyDescent="0.35">
      <c r="A2" s="3" t="s">
        <v>1</v>
      </c>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ht="12.75" x14ac:dyDescent="0.35">
      <c r="A3" s="4" t="s">
        <v>2</v>
      </c>
      <c r="B3" s="2"/>
      <c r="C3" s="2"/>
      <c r="D3" s="2"/>
      <c r="E3" s="2"/>
      <c r="F3" s="2"/>
      <c r="G3" s="2"/>
      <c r="H3" s="2"/>
      <c r="I3" s="2"/>
      <c r="J3" s="2"/>
      <c r="K3" s="2"/>
      <c r="L3" s="2"/>
      <c r="M3" s="2"/>
      <c r="N3" s="2"/>
      <c r="O3" s="2"/>
      <c r="P3" s="2"/>
      <c r="Q3" s="2"/>
      <c r="R3" s="2"/>
      <c r="S3" s="2"/>
      <c r="T3" s="2"/>
      <c r="U3" s="2"/>
      <c r="V3" s="2"/>
      <c r="W3" s="2"/>
      <c r="X3" s="2"/>
      <c r="Y3" s="2"/>
      <c r="Z3" s="2"/>
      <c r="AA3" s="2"/>
      <c r="AB3" s="2"/>
      <c r="AC3" s="2"/>
      <c r="AD3" s="2"/>
    </row>
    <row r="4" spans="1:30" ht="12.75" x14ac:dyDescent="0.35">
      <c r="A4" s="4" t="s">
        <v>3</v>
      </c>
      <c r="B4" s="2"/>
      <c r="C4" s="2"/>
      <c r="D4" s="2"/>
      <c r="E4" s="2"/>
      <c r="F4" s="2"/>
      <c r="G4" s="2"/>
      <c r="H4" s="2"/>
      <c r="I4" s="2"/>
      <c r="J4" s="2"/>
      <c r="K4" s="2"/>
      <c r="L4" s="2"/>
      <c r="M4" s="2"/>
      <c r="N4" s="2"/>
      <c r="O4" s="2"/>
      <c r="P4" s="2"/>
      <c r="Q4" s="2"/>
      <c r="R4" s="2"/>
      <c r="S4" s="2"/>
      <c r="T4" s="2"/>
      <c r="U4" s="2"/>
      <c r="V4" s="2"/>
      <c r="W4" s="2"/>
      <c r="X4" s="2"/>
      <c r="Y4" s="2"/>
      <c r="Z4" s="2"/>
      <c r="AA4" s="2"/>
      <c r="AB4" s="2"/>
      <c r="AC4" s="2"/>
      <c r="AD4" s="2"/>
    </row>
    <row r="5" spans="1:30" ht="15.75" customHeight="1" x14ac:dyDescent="0.4">
      <c r="A5" s="5"/>
      <c r="B5" s="2"/>
      <c r="C5" s="2"/>
      <c r="D5" s="2"/>
      <c r="E5" s="2"/>
      <c r="F5" s="2"/>
      <c r="G5" s="2"/>
      <c r="H5" s="2"/>
      <c r="I5" s="2"/>
      <c r="J5" s="2"/>
      <c r="K5" s="2"/>
      <c r="L5" s="2"/>
      <c r="M5" s="2"/>
      <c r="N5" s="2"/>
      <c r="O5" s="2"/>
      <c r="P5" s="2"/>
      <c r="Q5" s="2"/>
      <c r="R5" s="2"/>
      <c r="S5" s="2"/>
      <c r="T5" s="2"/>
      <c r="U5" s="2"/>
      <c r="V5" s="2"/>
      <c r="W5" s="2"/>
      <c r="X5" s="2"/>
      <c r="Y5" s="2"/>
      <c r="Z5" s="2"/>
      <c r="AA5" s="2"/>
      <c r="AB5" s="2"/>
      <c r="AC5" s="2"/>
      <c r="AD5" s="2"/>
    </row>
    <row r="6" spans="1:30" ht="15.75" customHeight="1" x14ac:dyDescent="0.4">
      <c r="A6" s="6" t="s">
        <v>4</v>
      </c>
      <c r="B6" s="2"/>
      <c r="C6" s="2"/>
      <c r="D6" s="2"/>
      <c r="E6" s="2"/>
      <c r="F6" s="2"/>
      <c r="G6" s="2"/>
      <c r="H6" s="2"/>
      <c r="I6" s="2"/>
      <c r="J6" s="2"/>
      <c r="K6" s="2"/>
      <c r="L6" s="2"/>
      <c r="M6" s="2"/>
      <c r="N6" s="2"/>
      <c r="O6" s="2"/>
      <c r="P6" s="2"/>
      <c r="Q6" s="2"/>
      <c r="R6" s="2"/>
      <c r="S6" s="2"/>
      <c r="T6" s="2"/>
      <c r="U6" s="2"/>
      <c r="V6" s="2"/>
      <c r="W6" s="2"/>
      <c r="X6" s="2"/>
      <c r="Y6" s="2"/>
      <c r="Z6" s="2"/>
      <c r="AA6" s="2"/>
      <c r="AB6" s="2"/>
      <c r="AC6" s="2"/>
      <c r="AD6" s="2"/>
    </row>
    <row r="7" spans="1:30" ht="12.75" x14ac:dyDescent="0.35">
      <c r="A7" s="2"/>
      <c r="B7" s="2"/>
      <c r="C7" s="2"/>
      <c r="D7" s="2"/>
      <c r="E7" s="2"/>
      <c r="F7" s="2"/>
      <c r="G7" s="2"/>
      <c r="H7" s="2"/>
      <c r="I7" s="2"/>
      <c r="J7" s="2"/>
      <c r="K7" s="2"/>
      <c r="L7" s="2"/>
      <c r="M7" s="2"/>
      <c r="N7" s="2"/>
      <c r="O7" s="2"/>
      <c r="P7" s="2"/>
      <c r="Q7" s="2"/>
      <c r="R7" s="2"/>
      <c r="S7" s="2"/>
      <c r="T7" s="2"/>
      <c r="U7" s="2"/>
      <c r="V7" s="2"/>
      <c r="W7" s="2"/>
      <c r="X7" s="2"/>
      <c r="Y7" s="2"/>
      <c r="Z7" s="2"/>
      <c r="AA7" s="2"/>
      <c r="AB7" s="2"/>
      <c r="AC7" s="2"/>
      <c r="AD7" s="2"/>
    </row>
    <row r="8" spans="1:30" ht="15.75" customHeight="1" x14ac:dyDescent="0.4">
      <c r="A8" s="7" t="s">
        <v>5</v>
      </c>
      <c r="B8" s="2"/>
      <c r="C8" s="2"/>
      <c r="D8" s="2"/>
      <c r="E8" s="2"/>
      <c r="F8" s="2"/>
      <c r="G8" s="2"/>
      <c r="H8" s="2"/>
      <c r="I8" s="2"/>
      <c r="J8" s="2"/>
      <c r="K8" s="2"/>
      <c r="L8" s="2"/>
      <c r="M8" s="2"/>
      <c r="N8" s="2"/>
      <c r="O8" s="2"/>
      <c r="P8" s="2"/>
      <c r="Q8" s="2"/>
      <c r="R8" s="2"/>
      <c r="S8" s="2"/>
      <c r="T8" s="2"/>
      <c r="U8" s="2"/>
      <c r="V8" s="2"/>
      <c r="W8" s="2"/>
      <c r="X8" s="2"/>
      <c r="Y8" s="2"/>
      <c r="Z8" s="2"/>
      <c r="AA8" s="2"/>
      <c r="AB8" s="2"/>
      <c r="AC8" s="2"/>
      <c r="AD8" s="2"/>
    </row>
    <row r="9" spans="1:30" ht="12.75" x14ac:dyDescent="0.35">
      <c r="A9" s="2"/>
      <c r="B9" s="2"/>
      <c r="C9" s="2"/>
      <c r="D9" s="2"/>
      <c r="E9" s="2"/>
      <c r="F9" s="2"/>
      <c r="G9" s="2"/>
      <c r="H9" s="2"/>
      <c r="I9" s="2"/>
      <c r="J9" s="2"/>
      <c r="K9" s="2"/>
      <c r="L9" s="2"/>
      <c r="M9" s="2"/>
      <c r="N9" s="2"/>
      <c r="O9" s="2"/>
      <c r="P9" s="2"/>
      <c r="Q9" s="2"/>
      <c r="R9" s="2"/>
      <c r="S9" s="2"/>
      <c r="T9" s="2"/>
      <c r="U9" s="2"/>
      <c r="V9" s="2"/>
      <c r="W9" s="2"/>
      <c r="X9" s="2"/>
      <c r="Y9" s="2"/>
      <c r="Z9" s="2"/>
      <c r="AA9" s="2"/>
      <c r="AB9" s="2"/>
      <c r="AC9" s="2"/>
      <c r="AD9" s="2"/>
    </row>
    <row r="10" spans="1:30" ht="15.75" customHeight="1" x14ac:dyDescent="0.4">
      <c r="A10" s="5" t="s">
        <v>6</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row>
    <row r="11" spans="1:30" ht="12.75" x14ac:dyDescent="0.35">
      <c r="A11" s="8" t="s">
        <v>7</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row>
    <row r="12" spans="1:30" ht="12.75" x14ac:dyDescent="0.35">
      <c r="A12" s="8" t="s">
        <v>8</v>
      </c>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row>
    <row r="13" spans="1:30" ht="12.75" x14ac:dyDescent="0.35">
      <c r="A13" s="8" t="s">
        <v>9</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row>
    <row r="14" spans="1:30" ht="12.75" x14ac:dyDescent="0.35">
      <c r="A14" s="8" t="s">
        <v>10</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row>
    <row r="15" spans="1:30" ht="12.75" x14ac:dyDescent="0.35">
      <c r="A15" s="8" t="s">
        <v>11</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row>
    <row r="16" spans="1:30" ht="15.75" customHeight="1" x14ac:dyDescent="0.4">
      <c r="A16" s="8" t="s">
        <v>12</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row>
    <row r="17" spans="1:30" ht="15.75" customHeight="1" x14ac:dyDescent="0.4">
      <c r="A17" s="9"/>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row>
    <row r="18" spans="1:30" ht="15.75" customHeight="1" x14ac:dyDescent="0.4">
      <c r="A18" s="6" t="s">
        <v>13</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row>
    <row r="19" spans="1:30" ht="12.75" x14ac:dyDescent="0.35">
      <c r="A19" s="8" t="s">
        <v>14</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row>
    <row r="20" spans="1:30" ht="12.75" x14ac:dyDescent="0.35">
      <c r="A20" s="8" t="s">
        <v>15</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row>
    <row r="21" spans="1:30" ht="12.75" x14ac:dyDescent="0.35">
      <c r="A21" s="8" t="s">
        <v>16</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row>
    <row r="22" spans="1:30" ht="12.75" x14ac:dyDescent="0.35">
      <c r="A22" s="8" t="s">
        <v>17</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row>
    <row r="23" spans="1:30" ht="12.75" x14ac:dyDescent="0.35">
      <c r="A23" s="8" t="s">
        <v>18</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row>
    <row r="24" spans="1:30" ht="12.75" x14ac:dyDescent="0.35">
      <c r="A24" s="8" t="s">
        <v>19</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row>
    <row r="25" spans="1:30" ht="12.75" x14ac:dyDescent="0.35">
      <c r="A25" s="8" t="s">
        <v>20</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row>
    <row r="26" spans="1:30" ht="12.75" x14ac:dyDescent="0.35">
      <c r="A26" s="8" t="s">
        <v>21</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spans="1:30" ht="12.75" x14ac:dyDescent="0.3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spans="1:30" ht="13.15" x14ac:dyDescent="0.4">
      <c r="A28" s="7" t="s">
        <v>22</v>
      </c>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r="29" spans="1:30" ht="12.75" x14ac:dyDescent="0.35">
      <c r="A29" s="10" t="s">
        <v>23</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spans="1:30" ht="12.75" x14ac:dyDescent="0.35">
      <c r="A30" s="10" t="s">
        <v>24</v>
      </c>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row>
    <row r="31" spans="1:30" ht="12.75" x14ac:dyDescent="0.35">
      <c r="A31" s="10" t="s">
        <v>25</v>
      </c>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row>
    <row r="32" spans="1:30" ht="12.75" x14ac:dyDescent="0.35">
      <c r="A32" s="10"/>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row>
    <row r="33" spans="1:30" ht="12.75" x14ac:dyDescent="0.35">
      <c r="A33" s="10" t="s">
        <v>26</v>
      </c>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row>
    <row r="34" spans="1:30" ht="12.75" x14ac:dyDescent="0.35">
      <c r="A34" s="10"/>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row>
    <row r="35" spans="1:30" ht="12.75" x14ac:dyDescent="0.35">
      <c r="A35" s="10" t="s">
        <v>27</v>
      </c>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row>
    <row r="36" spans="1:30" ht="12.75" x14ac:dyDescent="0.35">
      <c r="A36" s="10"/>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row>
    <row r="37" spans="1:30" ht="13.15" x14ac:dyDescent="0.4">
      <c r="A37" s="7" t="s">
        <v>28</v>
      </c>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row>
    <row r="38" spans="1:30" ht="13.15" x14ac:dyDescent="0.4">
      <c r="A38" s="7" t="s">
        <v>29</v>
      </c>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row>
    <row r="39" spans="1:30" ht="13.15" x14ac:dyDescent="0.4">
      <c r="A39" s="10" t="s">
        <v>30</v>
      </c>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spans="1:30" ht="13.15" x14ac:dyDescent="0.4">
      <c r="A40" s="7" t="s">
        <v>31</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spans="1:30" ht="13.15" x14ac:dyDescent="0.4">
      <c r="A41" s="7" t="s">
        <v>32</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row>
    <row r="42" spans="1:30" ht="13.15" x14ac:dyDescent="0.4">
      <c r="A42" s="7" t="s">
        <v>33</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spans="1:30" ht="13.15" x14ac:dyDescent="0.4">
      <c r="A43" s="7" t="s">
        <v>34</v>
      </c>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row>
    <row r="44" spans="1:30" ht="13.15" x14ac:dyDescent="0.4">
      <c r="A44" s="10" t="s">
        <v>35</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row>
    <row r="45" spans="1:30" ht="12.75" x14ac:dyDescent="0.35">
      <c r="A45" s="10" t="s">
        <v>36</v>
      </c>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row>
    <row r="46" spans="1:30" ht="12.75" x14ac:dyDescent="0.35">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row>
    <row r="47" spans="1:30" ht="12.75" x14ac:dyDescent="0.35">
      <c r="A47" s="10" t="s">
        <v>37</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row>
    <row r="48" spans="1:30" ht="13.15" x14ac:dyDescent="0.4">
      <c r="A48" s="10" t="s">
        <v>38</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row>
    <row r="49" spans="1:30" ht="12.75" x14ac:dyDescent="0.35">
      <c r="A49" s="10" t="s">
        <v>39</v>
      </c>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row>
    <row r="50" spans="1:30" ht="12.75" x14ac:dyDescent="0.35">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row>
    <row r="51" spans="1:30" ht="12.75" x14ac:dyDescent="0.35">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row>
    <row r="52" spans="1:30" ht="13.15" x14ac:dyDescent="0.4">
      <c r="A52" s="11" t="s">
        <v>40</v>
      </c>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row>
    <row r="53" spans="1:30" ht="12.75" x14ac:dyDescent="0.35">
      <c r="A53" s="11" t="s">
        <v>41</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row>
    <row r="54" spans="1:30" ht="13.15" x14ac:dyDescent="0.4">
      <c r="A54" s="10" t="s">
        <v>42</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row>
    <row r="55" spans="1:30" ht="13.15" x14ac:dyDescent="0.4">
      <c r="A55" s="10" t="s">
        <v>43</v>
      </c>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row>
    <row r="56" spans="1:30" ht="12.75" x14ac:dyDescent="0.35">
      <c r="A56" s="10" t="s">
        <v>44</v>
      </c>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row>
    <row r="57" spans="1:30" ht="12.75" x14ac:dyDescent="0.35">
      <c r="A57" s="10" t="s">
        <v>45</v>
      </c>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row>
    <row r="58" spans="1:30" ht="12.75" x14ac:dyDescent="0.35">
      <c r="A58" s="10" t="s">
        <v>46</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spans="1:30" ht="12.75" x14ac:dyDescent="0.35">
      <c r="A59" s="10"/>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row>
    <row r="60" spans="1:30" ht="12.75" x14ac:dyDescent="0.35">
      <c r="A60" s="10" t="s">
        <v>47</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row>
    <row r="61" spans="1:30" ht="12.75" x14ac:dyDescent="0.35">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row>
    <row r="62" spans="1:30" ht="12.75" x14ac:dyDescent="0.35">
      <c r="A62" s="10"/>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row>
    <row r="63" spans="1:30" ht="12.75" x14ac:dyDescent="0.35">
      <c r="A63" s="10" t="s">
        <v>48</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row>
    <row r="64" spans="1:30" ht="12.75" x14ac:dyDescent="0.35">
      <c r="A64" s="10" t="s">
        <v>49</v>
      </c>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row>
    <row r="65" spans="1:30" ht="12.75" x14ac:dyDescent="0.35">
      <c r="A65" s="10"/>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row>
    <row r="66" spans="1:30" ht="13.15" x14ac:dyDescent="0.4">
      <c r="A66" s="8" t="s">
        <v>50</v>
      </c>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row>
    <row r="67" spans="1:30" ht="12.75" x14ac:dyDescent="0.35">
      <c r="A67" s="8" t="s">
        <v>51</v>
      </c>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row>
    <row r="68" spans="1:30" ht="12.75" x14ac:dyDescent="0.35">
      <c r="A68" s="8" t="s">
        <v>52</v>
      </c>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row>
    <row r="69" spans="1:30" ht="12.75" x14ac:dyDescent="0.3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row>
    <row r="70" spans="1:30" ht="12.75" x14ac:dyDescent="0.35">
      <c r="A70" s="10" t="s">
        <v>53</v>
      </c>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row>
    <row r="71" spans="1:30" ht="12.75" x14ac:dyDescent="0.35">
      <c r="A71" s="10" t="s">
        <v>54</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row>
    <row r="72" spans="1:30" ht="12.75" x14ac:dyDescent="0.3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row>
    <row r="73" spans="1:30" ht="12.75" x14ac:dyDescent="0.35">
      <c r="A73" s="10" t="s">
        <v>55</v>
      </c>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row>
    <row r="74" spans="1:30" ht="12.75" x14ac:dyDescent="0.3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row>
    <row r="75" spans="1:30" ht="12.75" x14ac:dyDescent="0.35">
      <c r="A75" s="8" t="s">
        <v>56</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row>
    <row r="76" spans="1:30" ht="12.75" x14ac:dyDescent="0.35">
      <c r="A76" s="8" t="s">
        <v>57</v>
      </c>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row>
    <row r="77" spans="1:30" ht="12.75" x14ac:dyDescent="0.35">
      <c r="A77" s="8" t="s">
        <v>58</v>
      </c>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row>
    <row r="78" spans="1:30" ht="12.75" x14ac:dyDescent="0.35">
      <c r="A78" s="8" t="s">
        <v>59</v>
      </c>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row>
    <row r="79" spans="1:30" ht="13.15" x14ac:dyDescent="0.4">
      <c r="A79" s="5" t="s">
        <v>60</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row>
    <row r="80" spans="1:30" ht="12.75" x14ac:dyDescent="0.35">
      <c r="A80" s="8" t="s">
        <v>61</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row>
    <row r="81" spans="1:30" ht="13.15" x14ac:dyDescent="0.4">
      <c r="A81" s="9"/>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spans="1:30" ht="13.15" x14ac:dyDescent="0.4">
      <c r="A82" s="5" t="s">
        <v>62</v>
      </c>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row>
    <row r="83" spans="1:30" ht="12.75" x14ac:dyDescent="0.35">
      <c r="A83" s="8" t="s">
        <v>63</v>
      </c>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row>
    <row r="84" spans="1:30" ht="12.75" x14ac:dyDescent="0.35">
      <c r="A84" s="8" t="s">
        <v>64</v>
      </c>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row>
    <row r="85" spans="1:30" ht="12.75" x14ac:dyDescent="0.35">
      <c r="A85" s="8" t="s">
        <v>65</v>
      </c>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row>
    <row r="86" spans="1:30" ht="12.75" x14ac:dyDescent="0.35">
      <c r="A86" s="8" t="s">
        <v>66</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spans="1:30" ht="12.75" x14ac:dyDescent="0.3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spans="1:30" ht="12.75" x14ac:dyDescent="0.35">
      <c r="A88" s="8" t="s">
        <v>67</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spans="1:30" ht="12.75" x14ac:dyDescent="0.35">
      <c r="A89" s="8" t="s">
        <v>68</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spans="1:30" ht="12.75" x14ac:dyDescent="0.3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spans="1:30" ht="12.75" x14ac:dyDescent="0.35">
      <c r="A91" s="8" t="s">
        <v>69</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spans="1:30" ht="12.75" x14ac:dyDescent="0.35">
      <c r="A92" s="8" t="s">
        <v>70</v>
      </c>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spans="1:30" ht="12.75" x14ac:dyDescent="0.35">
      <c r="A93" s="8" t="s">
        <v>71</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spans="1:30" ht="12.75" x14ac:dyDescent="0.3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spans="1:30" ht="12.75" x14ac:dyDescent="0.35">
      <c r="A95" s="8" t="s">
        <v>72</v>
      </c>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spans="1:30" ht="13.15" x14ac:dyDescent="0.4">
      <c r="A96" s="5" t="s">
        <v>73</v>
      </c>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spans="1:30" ht="13.15" x14ac:dyDescent="0.4">
      <c r="A97" s="5" t="s">
        <v>74</v>
      </c>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spans="1:30" ht="12.75" x14ac:dyDescent="0.3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spans="1:30" ht="12.75" x14ac:dyDescent="0.35">
      <c r="A99" s="8" t="s">
        <v>75</v>
      </c>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spans="1:30" ht="12.75" x14ac:dyDescent="0.35">
      <c r="A100" s="8" t="s">
        <v>76</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spans="1:30" ht="12.75" x14ac:dyDescent="0.35">
      <c r="A101" s="8" t="s">
        <v>77</v>
      </c>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spans="1:30" ht="12.75" x14ac:dyDescent="0.35">
      <c r="A102" s="8" t="s">
        <v>78</v>
      </c>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spans="1:30" ht="12.75" x14ac:dyDescent="0.35">
      <c r="A103" s="8" t="s">
        <v>79</v>
      </c>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spans="1:30" ht="13.15" x14ac:dyDescent="0.4">
      <c r="A104" s="8" t="s">
        <v>80</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spans="1:30" ht="12.75" x14ac:dyDescent="0.35">
      <c r="A105" s="8" t="s">
        <v>81</v>
      </c>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spans="1:30" ht="12.75" x14ac:dyDescent="0.35">
      <c r="A106" s="8" t="s">
        <v>82</v>
      </c>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spans="1:30" ht="12.75" x14ac:dyDescent="0.35">
      <c r="A107" s="8" t="s">
        <v>83</v>
      </c>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spans="1:30" ht="12.75" x14ac:dyDescent="0.35">
      <c r="A108" s="8" t="s">
        <v>84</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spans="1:30" ht="12.75" x14ac:dyDescent="0.35">
      <c r="A109" s="8" t="s">
        <v>85</v>
      </c>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spans="1:30" ht="12.75" x14ac:dyDescent="0.35">
      <c r="A110" s="8" t="s">
        <v>86</v>
      </c>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spans="1:30" ht="12.75" x14ac:dyDescent="0.35">
      <c r="A111" s="8" t="s">
        <v>87</v>
      </c>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spans="1:30" ht="12.75" x14ac:dyDescent="0.35">
      <c r="A112" s="8" t="s">
        <v>88</v>
      </c>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spans="1:30" ht="12.75" x14ac:dyDescent="0.35">
      <c r="A113" s="8" t="s">
        <v>89</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spans="1:30" ht="12.75" x14ac:dyDescent="0.35">
      <c r="A114" s="8" t="s">
        <v>90</v>
      </c>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spans="1:30" ht="12.75" x14ac:dyDescent="0.35">
      <c r="A115" s="8" t="s">
        <v>91</v>
      </c>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spans="1:30" ht="12.75" x14ac:dyDescent="0.35">
      <c r="A116" s="8" t="s">
        <v>92</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spans="1:30" ht="13.15" x14ac:dyDescent="0.4">
      <c r="A117" s="8" t="s">
        <v>93</v>
      </c>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spans="1:30" ht="12.75" x14ac:dyDescent="0.35">
      <c r="A118" s="8" t="s">
        <v>94</v>
      </c>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spans="1:30" ht="12.75" x14ac:dyDescent="0.35">
      <c r="A119" s="8" t="s">
        <v>95</v>
      </c>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spans="1:30" ht="12.75" x14ac:dyDescent="0.35">
      <c r="A120" s="8" t="s">
        <v>96</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spans="1:30" ht="12.75" x14ac:dyDescent="0.35">
      <c r="A121" s="8" t="s">
        <v>97</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spans="1:30" ht="12.75" x14ac:dyDescent="0.35">
      <c r="A122" s="8" t="s">
        <v>98</v>
      </c>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spans="1:30" ht="13.15" x14ac:dyDescent="0.4">
      <c r="A123" s="9" t="s">
        <v>99</v>
      </c>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spans="1:30" ht="13.15" x14ac:dyDescent="0.4">
      <c r="A124" s="5" t="s">
        <v>100</v>
      </c>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spans="1:30" ht="13.15" x14ac:dyDescent="0.4">
      <c r="A125" s="5" t="s">
        <v>101</v>
      </c>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spans="1:30" ht="13.15" x14ac:dyDescent="0.4">
      <c r="A126" s="5" t="s">
        <v>102</v>
      </c>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spans="1:30" ht="13.15" x14ac:dyDescent="0.4">
      <c r="A127" s="5" t="s">
        <v>103</v>
      </c>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spans="1:30" ht="13.15" x14ac:dyDescent="0.4">
      <c r="A128" s="5" t="s">
        <v>104</v>
      </c>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spans="1:30" ht="13.15" x14ac:dyDescent="0.4">
      <c r="A129" s="5" t="s">
        <v>105</v>
      </c>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spans="1:30" ht="13.15" x14ac:dyDescent="0.4">
      <c r="A130" s="5" t="s">
        <v>106</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spans="1:30" ht="13.15" x14ac:dyDescent="0.4">
      <c r="A131" s="5" t="s">
        <v>107</v>
      </c>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spans="1:30" ht="13.15" x14ac:dyDescent="0.4">
      <c r="A132" s="5" t="s">
        <v>108</v>
      </c>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spans="1:30" ht="13.15" x14ac:dyDescent="0.4">
      <c r="A133" s="5" t="s">
        <v>109</v>
      </c>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spans="1:30" ht="13.15" x14ac:dyDescent="0.4">
      <c r="A134" s="5" t="s">
        <v>110</v>
      </c>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spans="1:30" ht="13.15" x14ac:dyDescent="0.4">
      <c r="A135" s="5" t="s">
        <v>111</v>
      </c>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spans="1:30" ht="13.15" x14ac:dyDescent="0.4">
      <c r="A136" s="5" t="s">
        <v>112</v>
      </c>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spans="1:30" ht="13.15" x14ac:dyDescent="0.4">
      <c r="A137" s="5" t="s">
        <v>113</v>
      </c>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spans="1:30" ht="13.15" x14ac:dyDescent="0.4">
      <c r="A138" s="5" t="s">
        <v>114</v>
      </c>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spans="1:30" ht="13.15" x14ac:dyDescent="0.4">
      <c r="A139" s="5" t="s">
        <v>115</v>
      </c>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spans="1:30" ht="12.75" x14ac:dyDescent="0.35">
      <c r="A140" s="8" t="s">
        <v>116</v>
      </c>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spans="1:30" ht="13.15" x14ac:dyDescent="0.4">
      <c r="A141" s="5" t="s">
        <v>117</v>
      </c>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spans="1:30" ht="13.15" x14ac:dyDescent="0.4">
      <c r="A142" s="5" t="s">
        <v>118</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spans="1:30" ht="13.15" x14ac:dyDescent="0.4">
      <c r="A143" s="5" t="s">
        <v>119</v>
      </c>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spans="1:30" ht="13.15" x14ac:dyDescent="0.4">
      <c r="A144" s="6" t="s">
        <v>120</v>
      </c>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spans="1:30" ht="13.15" x14ac:dyDescent="0.4">
      <c r="A145" s="6" t="s">
        <v>121</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spans="1:30" ht="13.15" x14ac:dyDescent="0.4">
      <c r="A146" s="6" t="s">
        <v>122</v>
      </c>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spans="1:30" ht="13.15" x14ac:dyDescent="0.4">
      <c r="A147" s="5" t="s">
        <v>123</v>
      </c>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spans="1:30" ht="13.15" x14ac:dyDescent="0.4">
      <c r="A148" s="5" t="s">
        <v>124</v>
      </c>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spans="1:30" ht="13.15" x14ac:dyDescent="0.4">
      <c r="A149" s="5" t="s">
        <v>125</v>
      </c>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spans="1:30" ht="13.15" x14ac:dyDescent="0.4">
      <c r="A150" s="5" t="s">
        <v>126</v>
      </c>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spans="1:30" ht="13.15" x14ac:dyDescent="0.4">
      <c r="A151" s="5" t="s">
        <v>127</v>
      </c>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spans="1:30" ht="13.15" x14ac:dyDescent="0.4">
      <c r="A152" s="5" t="s">
        <v>128</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spans="1:30" ht="13.15" x14ac:dyDescent="0.4">
      <c r="A153" s="5" t="s">
        <v>129</v>
      </c>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spans="1:30" ht="13.15" x14ac:dyDescent="0.4">
      <c r="A154" s="5" t="s">
        <v>130</v>
      </c>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spans="1:30" ht="13.15" x14ac:dyDescent="0.4">
      <c r="A155" s="5" t="s">
        <v>131</v>
      </c>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spans="1:30" ht="13.15" x14ac:dyDescent="0.4">
      <c r="A156" s="5" t="s">
        <v>132</v>
      </c>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spans="1:30" ht="12.75" x14ac:dyDescent="0.35">
      <c r="A157" s="8" t="s">
        <v>133</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spans="1:30" ht="12.75" x14ac:dyDescent="0.35">
      <c r="A158" s="8" t="s">
        <v>134</v>
      </c>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spans="1:30" ht="12.75" x14ac:dyDescent="0.35">
      <c r="A159" s="8" t="s">
        <v>135</v>
      </c>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spans="1:30" ht="12.75" x14ac:dyDescent="0.35">
      <c r="A160" s="8" t="s">
        <v>136</v>
      </c>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spans="1:30" ht="12.75" x14ac:dyDescent="0.35">
      <c r="A161" s="8" t="s">
        <v>137</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spans="1:30" ht="12.75" x14ac:dyDescent="0.35">
      <c r="A162" s="8" t="s">
        <v>138</v>
      </c>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spans="1:30" ht="12.75" x14ac:dyDescent="0.3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spans="1:30" ht="12.75" x14ac:dyDescent="0.35">
      <c r="A164" s="8" t="s">
        <v>139</v>
      </c>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spans="1:30" ht="12.75" x14ac:dyDescent="0.35">
      <c r="A165" s="8" t="s">
        <v>140</v>
      </c>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spans="1:30" ht="12.75" x14ac:dyDescent="0.35">
      <c r="A166" s="8" t="s">
        <v>141</v>
      </c>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spans="1:30" ht="12.75" x14ac:dyDescent="0.35">
      <c r="A167" s="8" t="s">
        <v>142</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spans="1:30" ht="12.75" x14ac:dyDescent="0.35">
      <c r="A168" s="8" t="s">
        <v>143</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spans="1:30" ht="12.75" x14ac:dyDescent="0.35">
      <c r="A169" s="8" t="s">
        <v>144</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spans="1:30" ht="12.75" x14ac:dyDescent="0.35">
      <c r="A170" s="8" t="s">
        <v>145</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spans="1:30" ht="13.15" x14ac:dyDescent="0.4">
      <c r="A171" s="5" t="s">
        <v>146</v>
      </c>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spans="1:30" ht="12.75" x14ac:dyDescent="0.35">
      <c r="A172" s="8" t="s">
        <v>147</v>
      </c>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spans="1:30" ht="12.75" x14ac:dyDescent="0.35">
      <c r="A173" s="8" t="s">
        <v>148</v>
      </c>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spans="1:30" ht="12.75" x14ac:dyDescent="0.35">
      <c r="A174" s="8" t="s">
        <v>149</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spans="1:30" ht="12.75" x14ac:dyDescent="0.35">
      <c r="A175" s="8" t="s">
        <v>150</v>
      </c>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spans="1:30" ht="12.75" x14ac:dyDescent="0.35">
      <c r="A176" s="8" t="s">
        <v>151</v>
      </c>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spans="1:30" ht="12.75" x14ac:dyDescent="0.35">
      <c r="A177" s="8" t="s">
        <v>152</v>
      </c>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spans="1:30" ht="12.75" x14ac:dyDescent="0.35">
      <c r="A178" s="8" t="s">
        <v>153</v>
      </c>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spans="1:30" ht="12.75" x14ac:dyDescent="0.35">
      <c r="A179" s="8" t="s">
        <v>154</v>
      </c>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spans="1:30" ht="13.15" x14ac:dyDescent="0.4">
      <c r="A180" s="9"/>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spans="1:30" ht="13.15" x14ac:dyDescent="0.4">
      <c r="A181" s="5" t="s">
        <v>155</v>
      </c>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spans="1:30" ht="13.15" x14ac:dyDescent="0.4">
      <c r="A182" s="8" t="s">
        <v>156</v>
      </c>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spans="1:30" ht="13.15" x14ac:dyDescent="0.4">
      <c r="A183" s="8" t="s">
        <v>157</v>
      </c>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spans="1:30" ht="12.75" x14ac:dyDescent="0.35">
      <c r="A184" s="8" t="s">
        <v>158</v>
      </c>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spans="1:30" ht="12.75" x14ac:dyDescent="0.3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row>
    <row r="186" spans="1:30" ht="12.75" x14ac:dyDescent="0.35">
      <c r="A186" s="13" t="s">
        <v>159</v>
      </c>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row>
    <row r="187" spans="1:30" ht="12.75" x14ac:dyDescent="0.35">
      <c r="A187" s="13" t="s">
        <v>160</v>
      </c>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row>
    <row r="188" spans="1:30" ht="12.75" x14ac:dyDescent="0.35">
      <c r="A188" s="13" t="s">
        <v>161</v>
      </c>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row>
    <row r="189" spans="1:30" ht="12.75" x14ac:dyDescent="0.3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row>
    <row r="190" spans="1:30" ht="12.75" x14ac:dyDescent="0.35">
      <c r="A190" s="13" t="s">
        <v>162</v>
      </c>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row>
    <row r="191" spans="1:30" ht="12.75" x14ac:dyDescent="0.35">
      <c r="A191" s="13" t="s">
        <v>163</v>
      </c>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row>
    <row r="192" spans="1:30" ht="12.75" x14ac:dyDescent="0.3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row>
    <row r="193" spans="1:30" ht="12.75" x14ac:dyDescent="0.35">
      <c r="A193" s="13" t="s">
        <v>164</v>
      </c>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row>
    <row r="194" spans="1:30" ht="12.75" x14ac:dyDescent="0.35">
      <c r="A194" s="13" t="s">
        <v>165</v>
      </c>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row>
    <row r="195" spans="1:30" ht="12.75" x14ac:dyDescent="0.3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row>
    <row r="196" spans="1:30" ht="12.75" x14ac:dyDescent="0.35">
      <c r="A196" s="13" t="s">
        <v>166</v>
      </c>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row>
    <row r="197" spans="1:30" ht="12.75" x14ac:dyDescent="0.3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row>
    <row r="198" spans="1:30" ht="12.75" x14ac:dyDescent="0.35">
      <c r="A198" s="13" t="s">
        <v>167</v>
      </c>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row>
    <row r="199" spans="1:30" ht="12.75" x14ac:dyDescent="0.3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row>
    <row r="200" spans="1:30" ht="12.75" x14ac:dyDescent="0.35">
      <c r="A200" s="13" t="s">
        <v>168</v>
      </c>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row>
    <row r="201" spans="1:30" ht="12.75" x14ac:dyDescent="0.3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row>
    <row r="202" spans="1:30" ht="13.15" x14ac:dyDescent="0.4">
      <c r="A202" s="13" t="s">
        <v>169</v>
      </c>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row>
    <row r="203" spans="1:30" ht="12.75" x14ac:dyDescent="0.35">
      <c r="A203" s="13" t="s">
        <v>170</v>
      </c>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row>
    <row r="204" spans="1:30" ht="12.75" x14ac:dyDescent="0.3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row>
    <row r="205" spans="1:30" ht="12.75" x14ac:dyDescent="0.35">
      <c r="A205" s="13" t="s">
        <v>171</v>
      </c>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row>
    <row r="206" spans="1:30" ht="12.75" x14ac:dyDescent="0.3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row>
    <row r="207" spans="1:30" ht="12.75" x14ac:dyDescent="0.35">
      <c r="A207" s="13" t="s">
        <v>172</v>
      </c>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row>
    <row r="208" spans="1:30" ht="12.75" x14ac:dyDescent="0.3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row>
    <row r="209" spans="1:30" ht="12.75" x14ac:dyDescent="0.35">
      <c r="A209" s="13" t="s">
        <v>173</v>
      </c>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row>
    <row r="210" spans="1:30" ht="12.75" x14ac:dyDescent="0.3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row>
    <row r="211" spans="1:30" ht="12.75" x14ac:dyDescent="0.35">
      <c r="A211" s="13" t="s">
        <v>174</v>
      </c>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row>
    <row r="212" spans="1:30" ht="12.75" x14ac:dyDescent="0.35">
      <c r="A212" s="13" t="s">
        <v>175</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row>
    <row r="213" spans="1:30" ht="12.75" x14ac:dyDescent="0.35">
      <c r="A213" s="13" t="s">
        <v>176</v>
      </c>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row>
    <row r="214" spans="1:30" ht="12.75" x14ac:dyDescent="0.3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row>
    <row r="215" spans="1:30" ht="12.75" x14ac:dyDescent="0.35">
      <c r="A215" s="13" t="s">
        <v>177</v>
      </c>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row>
    <row r="216" spans="1:30" ht="12.75" x14ac:dyDescent="0.3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row>
    <row r="217" spans="1:30" ht="12.75" x14ac:dyDescent="0.35">
      <c r="A217" s="13" t="s">
        <v>178</v>
      </c>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row>
    <row r="218" spans="1:30" ht="12.75" x14ac:dyDescent="0.3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row>
    <row r="219" spans="1:30" ht="12.75" x14ac:dyDescent="0.35">
      <c r="A219" s="13" t="s">
        <v>179</v>
      </c>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row>
    <row r="220" spans="1:30" ht="12.75" x14ac:dyDescent="0.3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row>
    <row r="221" spans="1:30" ht="12.75" x14ac:dyDescent="0.35">
      <c r="A221" s="13" t="s">
        <v>180</v>
      </c>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row>
    <row r="222" spans="1:30" ht="12.75" x14ac:dyDescent="0.35">
      <c r="A222" s="13" t="s">
        <v>181</v>
      </c>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row>
    <row r="223" spans="1:30" ht="12.75" x14ac:dyDescent="0.3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row>
    <row r="224" spans="1:30" ht="12.75" x14ac:dyDescent="0.35">
      <c r="A224" s="13" t="s">
        <v>182</v>
      </c>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row>
    <row r="225" spans="1:30" ht="12.75" x14ac:dyDescent="0.3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row>
    <row r="226" spans="1:30" ht="12.75" x14ac:dyDescent="0.35">
      <c r="A226" s="13" t="s">
        <v>183</v>
      </c>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row>
    <row r="227" spans="1:30" ht="12.75" x14ac:dyDescent="0.35">
      <c r="A227" s="13" t="s">
        <v>184</v>
      </c>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row>
    <row r="228" spans="1:30" ht="12.75" x14ac:dyDescent="0.3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row>
    <row r="229" spans="1:30" ht="12.75" x14ac:dyDescent="0.35">
      <c r="A229" s="13" t="s">
        <v>185</v>
      </c>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row>
    <row r="230" spans="1:30" ht="12.75" x14ac:dyDescent="0.35">
      <c r="A230" s="13" t="s">
        <v>186</v>
      </c>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row>
    <row r="231" spans="1:30" ht="12.75" x14ac:dyDescent="0.35">
      <c r="A231" s="13" t="s">
        <v>187</v>
      </c>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row>
    <row r="232" spans="1:30" ht="12.75" x14ac:dyDescent="0.35">
      <c r="A232" s="13" t="s">
        <v>188</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row>
    <row r="233" spans="1:30" ht="12.75" x14ac:dyDescent="0.35">
      <c r="A233" s="13" t="s">
        <v>189</v>
      </c>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row>
    <row r="234" spans="1:30" ht="12.75" x14ac:dyDescent="0.35">
      <c r="A234" s="13" t="s">
        <v>190</v>
      </c>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row>
    <row r="235" spans="1:30" ht="12.75" x14ac:dyDescent="0.35">
      <c r="A235" s="13" t="s">
        <v>191</v>
      </c>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row>
    <row r="236" spans="1:30" ht="12.75" x14ac:dyDescent="0.35">
      <c r="A236" s="13" t="s">
        <v>192</v>
      </c>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row>
    <row r="237" spans="1:30" ht="12.75" x14ac:dyDescent="0.3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row>
    <row r="238" spans="1:30" ht="12.75" x14ac:dyDescent="0.35">
      <c r="A238" s="13" t="s">
        <v>193</v>
      </c>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row>
    <row r="239" spans="1:30" ht="12.75" x14ac:dyDescent="0.35">
      <c r="A239" s="13" t="s">
        <v>194</v>
      </c>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row>
    <row r="240" spans="1:30" ht="12.75" x14ac:dyDescent="0.35">
      <c r="A240" s="13" t="s">
        <v>195</v>
      </c>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row>
    <row r="241" spans="1:30" ht="12.75" x14ac:dyDescent="0.35">
      <c r="A241" s="13" t="s">
        <v>196</v>
      </c>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row>
    <row r="242" spans="1:30" ht="12.75" x14ac:dyDescent="0.35">
      <c r="A242" s="13" t="s">
        <v>197</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row>
    <row r="243" spans="1:30" ht="12.75" x14ac:dyDescent="0.3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row>
    <row r="244" spans="1:30" ht="12.75" x14ac:dyDescent="0.35">
      <c r="A244" s="13" t="s">
        <v>198</v>
      </c>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row>
    <row r="245" spans="1:30" ht="12.75" x14ac:dyDescent="0.35">
      <c r="A245" s="13" t="s">
        <v>199</v>
      </c>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row>
    <row r="246" spans="1:30" ht="12.75" x14ac:dyDescent="0.35">
      <c r="A246" s="13" t="s">
        <v>200</v>
      </c>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row>
    <row r="247" spans="1:30" ht="12.75" x14ac:dyDescent="0.35">
      <c r="A247" s="13" t="s">
        <v>201</v>
      </c>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row>
    <row r="248" spans="1:30" ht="12.75" x14ac:dyDescent="0.35">
      <c r="A248" s="13" t="s">
        <v>202</v>
      </c>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row>
    <row r="249" spans="1:30" ht="12.75" x14ac:dyDescent="0.35">
      <c r="A249" s="13" t="s">
        <v>203</v>
      </c>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row>
    <row r="250" spans="1:30" ht="12.75" x14ac:dyDescent="0.35">
      <c r="A250" s="13" t="s">
        <v>204</v>
      </c>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row>
    <row r="251" spans="1:30" ht="12.75" x14ac:dyDescent="0.35">
      <c r="A251" s="13" t="s">
        <v>205</v>
      </c>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row>
    <row r="252" spans="1:30" ht="12.75" x14ac:dyDescent="0.35">
      <c r="A252" s="13" t="s">
        <v>206</v>
      </c>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row>
    <row r="253" spans="1:30" ht="12.75" x14ac:dyDescent="0.35">
      <c r="A253" s="13" t="s">
        <v>207</v>
      </c>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row>
    <row r="254" spans="1:30" ht="12.75" x14ac:dyDescent="0.35">
      <c r="A254" s="13" t="s">
        <v>208</v>
      </c>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row>
    <row r="255" spans="1:30" ht="13.15" x14ac:dyDescent="0.4">
      <c r="A255" s="13" t="s">
        <v>209</v>
      </c>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row>
    <row r="256" spans="1:30" ht="12.75" x14ac:dyDescent="0.35">
      <c r="A256" s="13" t="s">
        <v>210</v>
      </c>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row>
    <row r="257" spans="1:30" ht="12.75" x14ac:dyDescent="0.35">
      <c r="A257" s="13" t="s">
        <v>211</v>
      </c>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row>
    <row r="258" spans="1:30" ht="12.75" x14ac:dyDescent="0.35">
      <c r="A258" s="13" t="s">
        <v>212</v>
      </c>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row>
    <row r="259" spans="1:30" ht="12.75" x14ac:dyDescent="0.35">
      <c r="A259" s="13" t="s">
        <v>213</v>
      </c>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row>
    <row r="260" spans="1:30" ht="12.75" x14ac:dyDescent="0.35">
      <c r="A260" s="13" t="s">
        <v>214</v>
      </c>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row>
    <row r="261" spans="1:30" ht="12.75" x14ac:dyDescent="0.35">
      <c r="A261" s="13" t="s">
        <v>215</v>
      </c>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row>
    <row r="262" spans="1:30" ht="12.75" x14ac:dyDescent="0.35">
      <c r="A262" s="13" t="s">
        <v>216</v>
      </c>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row>
    <row r="263" spans="1:30" ht="12.75" x14ac:dyDescent="0.35">
      <c r="A263" s="13" t="s">
        <v>217</v>
      </c>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row>
    <row r="264" spans="1:30" ht="12.75" x14ac:dyDescent="0.35">
      <c r="A264" s="13" t="s">
        <v>218</v>
      </c>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row>
    <row r="265" spans="1:30" ht="12.75" x14ac:dyDescent="0.35">
      <c r="A265" s="13" t="s">
        <v>219</v>
      </c>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row>
    <row r="266" spans="1:30" ht="12.75" x14ac:dyDescent="0.35">
      <c r="A266" s="13" t="s">
        <v>220</v>
      </c>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row>
    <row r="267" spans="1:30" ht="12.75" x14ac:dyDescent="0.35">
      <c r="A267" s="13" t="s">
        <v>221</v>
      </c>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row>
    <row r="268" spans="1:30" ht="12.75" x14ac:dyDescent="0.35">
      <c r="A268" s="13" t="s">
        <v>222</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row>
    <row r="269" spans="1:30" ht="12.75" x14ac:dyDescent="0.35">
      <c r="A269" s="13" t="s">
        <v>223</v>
      </c>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row>
    <row r="270" spans="1:30" ht="12.75" x14ac:dyDescent="0.3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row>
    <row r="271" spans="1:30" ht="12.75" x14ac:dyDescent="0.35">
      <c r="A271" s="13" t="s">
        <v>224</v>
      </c>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row>
    <row r="272" spans="1:30" ht="12.75" x14ac:dyDescent="0.35">
      <c r="A272" s="13" t="s">
        <v>225</v>
      </c>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row>
    <row r="273" spans="1:30" ht="12.75" x14ac:dyDescent="0.35">
      <c r="A273" s="13" t="s">
        <v>226</v>
      </c>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row>
    <row r="274" spans="1:30" ht="12.75" x14ac:dyDescent="0.35">
      <c r="A274" s="13" t="s">
        <v>227</v>
      </c>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row>
    <row r="275" spans="1:30" ht="12.75" x14ac:dyDescent="0.35">
      <c r="A275" s="13" t="s">
        <v>228</v>
      </c>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row>
    <row r="276" spans="1:30" ht="12.75" x14ac:dyDescent="0.35">
      <c r="A276" s="13" t="s">
        <v>229</v>
      </c>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row>
    <row r="277" spans="1:30" ht="12.75" x14ac:dyDescent="0.35">
      <c r="A277" s="13" t="s">
        <v>230</v>
      </c>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row>
    <row r="278" spans="1:30" ht="12.75" x14ac:dyDescent="0.3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row>
    <row r="279" spans="1:30" ht="13.15" x14ac:dyDescent="0.4">
      <c r="A279" s="14" t="s">
        <v>231</v>
      </c>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row>
    <row r="280" spans="1:30" ht="12.75" x14ac:dyDescent="0.35">
      <c r="A280" s="13" t="s">
        <v>232</v>
      </c>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row>
    <row r="281" spans="1:30" ht="12.75" x14ac:dyDescent="0.35">
      <c r="A281" s="13" t="s">
        <v>233</v>
      </c>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row>
    <row r="282" spans="1:30" ht="12.75" x14ac:dyDescent="0.35">
      <c r="A282" s="13" t="s">
        <v>234</v>
      </c>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row>
    <row r="283" spans="1:30" ht="12.75" x14ac:dyDescent="0.35">
      <c r="A283" s="13" t="s">
        <v>235</v>
      </c>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row>
    <row r="284" spans="1:30" ht="12.75" x14ac:dyDescent="0.35">
      <c r="A284" s="13" t="s">
        <v>236</v>
      </c>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row>
    <row r="285" spans="1:30" ht="12.75" x14ac:dyDescent="0.35">
      <c r="A285" s="13" t="s">
        <v>237</v>
      </c>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row>
    <row r="286" spans="1:30" ht="12.75" x14ac:dyDescent="0.35">
      <c r="A286" s="13" t="s">
        <v>238</v>
      </c>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row>
    <row r="287" spans="1:30" ht="12.75" x14ac:dyDescent="0.35">
      <c r="A287" s="13" t="s">
        <v>239</v>
      </c>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row>
    <row r="288" spans="1:30" ht="12.75" x14ac:dyDescent="0.35">
      <c r="A288" s="13" t="s">
        <v>240</v>
      </c>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row>
    <row r="289" spans="1:30" ht="12.75" x14ac:dyDescent="0.35">
      <c r="A289" s="13"/>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row>
    <row r="290" spans="1:30" ht="12.75" x14ac:dyDescent="0.35">
      <c r="A290" s="13" t="s">
        <v>241</v>
      </c>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row>
    <row r="291" spans="1:30" ht="12.75" x14ac:dyDescent="0.35">
      <c r="A291" s="13"/>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row>
    <row r="292" spans="1:30" ht="12.75" x14ac:dyDescent="0.35">
      <c r="A292" s="13" t="s">
        <v>242</v>
      </c>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row>
    <row r="293" spans="1:30" ht="12.75" x14ac:dyDescent="0.35">
      <c r="A293" s="13" t="s">
        <v>243</v>
      </c>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row>
    <row r="294" spans="1:30" ht="12.75" x14ac:dyDescent="0.35">
      <c r="A294" s="13" t="s">
        <v>244</v>
      </c>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row>
    <row r="295" spans="1:30" ht="12.75" x14ac:dyDescent="0.35">
      <c r="A295" s="13" t="s">
        <v>245</v>
      </c>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row>
    <row r="296" spans="1:30" ht="12.75" x14ac:dyDescent="0.35">
      <c r="A296" s="13" t="s">
        <v>246</v>
      </c>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row>
    <row r="297" spans="1:30" ht="12.75" x14ac:dyDescent="0.35">
      <c r="A297" s="13" t="s">
        <v>247</v>
      </c>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spans="1:30" ht="12.75" x14ac:dyDescent="0.35">
      <c r="A298" s="13"/>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row>
    <row r="299" spans="1:30" ht="12.75" x14ac:dyDescent="0.35">
      <c r="A299" s="13" t="s">
        <v>248</v>
      </c>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row>
    <row r="300" spans="1:30" ht="12.75" x14ac:dyDescent="0.35">
      <c r="A300" s="13" t="s">
        <v>249</v>
      </c>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row>
    <row r="301" spans="1:30" ht="12.75" x14ac:dyDescent="0.3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spans="1:30" ht="13.15" x14ac:dyDescent="0.4">
      <c r="A302" s="14" t="s">
        <v>250</v>
      </c>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row>
    <row r="303" spans="1:30" ht="12.75" x14ac:dyDescent="0.35">
      <c r="A303" s="13" t="s">
        <v>251</v>
      </c>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row>
    <row r="304" spans="1:30" ht="12.75" x14ac:dyDescent="0.3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row>
    <row r="305" spans="1:30" ht="12.75" x14ac:dyDescent="0.35">
      <c r="A305" s="13" t="s">
        <v>252</v>
      </c>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row>
    <row r="306" spans="1:30" ht="12.75" x14ac:dyDescent="0.3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row>
    <row r="307" spans="1:30" ht="12.75" x14ac:dyDescent="0.3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row>
    <row r="308" spans="1:30" ht="12.75" x14ac:dyDescent="0.3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row>
    <row r="309" spans="1:30" ht="12.75" x14ac:dyDescent="0.3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spans="1:30" ht="12.75" x14ac:dyDescent="0.3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row>
    <row r="311" spans="1:30" ht="12.75" x14ac:dyDescent="0.3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row>
    <row r="312" spans="1:30" ht="12.75" x14ac:dyDescent="0.3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row>
    <row r="313" spans="1:30" ht="12.75" x14ac:dyDescent="0.3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row>
    <row r="314" spans="1:30" ht="12.75" x14ac:dyDescent="0.3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row>
    <row r="315" spans="1:30" ht="12.75" x14ac:dyDescent="0.3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row>
    <row r="316" spans="1:30" ht="12.75" x14ac:dyDescent="0.3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row>
    <row r="317" spans="1:30" ht="12.75" x14ac:dyDescent="0.3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spans="1:30" ht="12.75" x14ac:dyDescent="0.3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row>
    <row r="319" spans="1:30" ht="12.75" x14ac:dyDescent="0.3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spans="1:30" ht="12.75" x14ac:dyDescent="0.3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row>
    <row r="321" spans="1:30" ht="12.75" x14ac:dyDescent="0.3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spans="1:30" ht="12.75" x14ac:dyDescent="0.3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row>
    <row r="323" spans="1:30" ht="12.75" x14ac:dyDescent="0.3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spans="1:30" ht="12.75" x14ac:dyDescent="0.3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row>
    <row r="325" spans="1:30" ht="12.75" x14ac:dyDescent="0.3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spans="1:30" ht="12.75" x14ac:dyDescent="0.3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row>
    <row r="327" spans="1:30" ht="12.75" x14ac:dyDescent="0.3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row>
    <row r="328" spans="1:30" ht="12.75" x14ac:dyDescent="0.3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spans="1:30" ht="12.75" x14ac:dyDescent="0.3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spans="1:30" ht="12.75" x14ac:dyDescent="0.3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row>
    <row r="331" spans="1:30" ht="12.75" x14ac:dyDescent="0.3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row>
    <row r="332" spans="1:30" ht="12.75" x14ac:dyDescent="0.3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row>
    <row r="333" spans="1:30" ht="12.75" x14ac:dyDescent="0.3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spans="1:30" ht="12.75" x14ac:dyDescent="0.3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row>
    <row r="335" spans="1:30" ht="12.75" x14ac:dyDescent="0.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row>
    <row r="336" spans="1:30" ht="12.75" x14ac:dyDescent="0.3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row>
    <row r="337" spans="1:30" ht="12.75" x14ac:dyDescent="0.3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row>
    <row r="338" spans="1:30" ht="12.75" x14ac:dyDescent="0.3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row>
    <row r="339" spans="1:30" ht="12.75" x14ac:dyDescent="0.3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row>
    <row r="340" spans="1:30" ht="12.75" x14ac:dyDescent="0.3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row>
    <row r="341" spans="1:30" ht="12.75" x14ac:dyDescent="0.3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row>
    <row r="342" spans="1:30" ht="12.75" x14ac:dyDescent="0.3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row>
    <row r="343" spans="1:30" ht="12.75" x14ac:dyDescent="0.3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spans="1:30" ht="12.75" x14ac:dyDescent="0.3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row>
    <row r="345" spans="1:30" ht="12.75" x14ac:dyDescent="0.3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row>
    <row r="346" spans="1:30" ht="12.75" x14ac:dyDescent="0.3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row>
    <row r="347" spans="1:30" ht="12.75" x14ac:dyDescent="0.3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row>
    <row r="348" spans="1:30" ht="12.75" x14ac:dyDescent="0.3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row>
    <row r="349" spans="1:30" ht="12.75" x14ac:dyDescent="0.3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row>
    <row r="350" spans="1:30" ht="12.75" x14ac:dyDescent="0.3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row>
    <row r="351" spans="1:30" ht="12.75" x14ac:dyDescent="0.3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row>
    <row r="352" spans="1:30" ht="12.75" x14ac:dyDescent="0.3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row>
    <row r="353" spans="1:30" ht="12.75" x14ac:dyDescent="0.3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row>
    <row r="354" spans="1:30" ht="12.75" x14ac:dyDescent="0.3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row>
    <row r="355" spans="1:30" ht="12.75" x14ac:dyDescent="0.3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row>
    <row r="356" spans="1:30" ht="12.75" x14ac:dyDescent="0.3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row>
    <row r="357" spans="1:30" ht="12.75" x14ac:dyDescent="0.3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row>
    <row r="358" spans="1:30" ht="12.75" x14ac:dyDescent="0.3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row>
    <row r="359" spans="1:30" ht="12.75" x14ac:dyDescent="0.3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row>
    <row r="360" spans="1:30" ht="12.75" x14ac:dyDescent="0.3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row>
    <row r="361" spans="1:30" ht="12.75" x14ac:dyDescent="0.3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row>
    <row r="362" spans="1:30" ht="12.75" x14ac:dyDescent="0.3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row>
    <row r="363" spans="1:30" ht="12.75" x14ac:dyDescent="0.3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row>
    <row r="364" spans="1:30" ht="12.75" x14ac:dyDescent="0.3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row>
    <row r="365" spans="1:30" ht="12.75" x14ac:dyDescent="0.3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row>
    <row r="366" spans="1:30" ht="12.75" x14ac:dyDescent="0.3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row>
    <row r="367" spans="1:30" ht="12.75" x14ac:dyDescent="0.3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row>
    <row r="368" spans="1:30" ht="12.75" x14ac:dyDescent="0.3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row>
    <row r="369" spans="1:30" ht="12.75" x14ac:dyDescent="0.3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row>
    <row r="370" spans="1:30" ht="12.75" x14ac:dyDescent="0.3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row>
    <row r="371" spans="1:30" ht="12.75" x14ac:dyDescent="0.3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row>
    <row r="372" spans="1:30" ht="12.75" x14ac:dyDescent="0.3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row>
    <row r="373" spans="1:30" ht="12.75" x14ac:dyDescent="0.3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row>
    <row r="374" spans="1:30" ht="12.75" x14ac:dyDescent="0.3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row>
    <row r="375" spans="1:30" ht="12.75" x14ac:dyDescent="0.3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row>
    <row r="376" spans="1:30" ht="12.75" x14ac:dyDescent="0.3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row>
    <row r="377" spans="1:30" ht="12.75" x14ac:dyDescent="0.3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row>
    <row r="378" spans="1:30" ht="12.75" x14ac:dyDescent="0.3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row>
    <row r="379" spans="1:30" ht="12.75" x14ac:dyDescent="0.3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row>
    <row r="380" spans="1:30" ht="12.75" x14ac:dyDescent="0.3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row>
    <row r="381" spans="1:30" ht="12.75" x14ac:dyDescent="0.3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row>
    <row r="382" spans="1:30" ht="12.75" x14ac:dyDescent="0.3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row>
    <row r="383" spans="1:30" ht="12.75" x14ac:dyDescent="0.3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row>
    <row r="384" spans="1:30" ht="12.75" x14ac:dyDescent="0.3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row>
    <row r="385" spans="1:30" ht="12.75" x14ac:dyDescent="0.3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row>
    <row r="386" spans="1:30" ht="12.75" x14ac:dyDescent="0.3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row>
    <row r="387" spans="1:30" ht="12.75" x14ac:dyDescent="0.3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row>
    <row r="388" spans="1:30" ht="12.75" x14ac:dyDescent="0.3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row>
    <row r="389" spans="1:30" ht="12.75" x14ac:dyDescent="0.3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row>
    <row r="390" spans="1:30" ht="12.75" x14ac:dyDescent="0.3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row>
    <row r="391" spans="1:30" ht="12.75" x14ac:dyDescent="0.3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row>
    <row r="392" spans="1:30" ht="12.75" x14ac:dyDescent="0.3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row>
    <row r="393" spans="1:30" ht="12.75" x14ac:dyDescent="0.3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row>
    <row r="394" spans="1:30" ht="12.75" x14ac:dyDescent="0.3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row>
    <row r="395" spans="1:30" ht="12.75" x14ac:dyDescent="0.3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spans="1:30" ht="12.75" x14ac:dyDescent="0.3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row>
    <row r="397" spans="1:30" ht="12.75" x14ac:dyDescent="0.3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row>
    <row r="398" spans="1:30" ht="12.75" x14ac:dyDescent="0.3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row>
    <row r="399" spans="1:30" ht="12.75" x14ac:dyDescent="0.3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row>
    <row r="400" spans="1:30" ht="12.75" x14ac:dyDescent="0.3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row>
    <row r="401" spans="1:30" ht="12.75" x14ac:dyDescent="0.3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row>
    <row r="402" spans="1:30" ht="12.75" x14ac:dyDescent="0.3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row>
    <row r="403" spans="1:30" ht="12.75" x14ac:dyDescent="0.3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row>
    <row r="404" spans="1:30" ht="12.75" x14ac:dyDescent="0.3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row>
    <row r="405" spans="1:30" ht="12.75" x14ac:dyDescent="0.3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row>
    <row r="406" spans="1:30" ht="12.75" x14ac:dyDescent="0.3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row>
    <row r="407" spans="1:30" ht="12.75" x14ac:dyDescent="0.3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row>
    <row r="408" spans="1:30" ht="12.75" x14ac:dyDescent="0.3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row>
    <row r="409" spans="1:30" ht="12.75" x14ac:dyDescent="0.3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row>
    <row r="410" spans="1:30" ht="12.75" x14ac:dyDescent="0.3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row>
    <row r="411" spans="1:30" ht="12.75" x14ac:dyDescent="0.3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row>
    <row r="412" spans="1:30" ht="12.75" x14ac:dyDescent="0.3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row>
    <row r="413" spans="1:30" ht="12.75" x14ac:dyDescent="0.3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row>
    <row r="414" spans="1:30" ht="12.75" x14ac:dyDescent="0.3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row>
    <row r="415" spans="1:30" ht="12.75" x14ac:dyDescent="0.3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row>
    <row r="416" spans="1:30" ht="12.75" x14ac:dyDescent="0.3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row>
    <row r="417" spans="1:30" ht="12.75" x14ac:dyDescent="0.3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row>
    <row r="418" spans="1:30" ht="12.75" x14ac:dyDescent="0.3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row>
    <row r="419" spans="1:30" ht="12.75" x14ac:dyDescent="0.3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row>
    <row r="420" spans="1:30" ht="12.75" x14ac:dyDescent="0.3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row>
    <row r="421" spans="1:30" ht="12.75" x14ac:dyDescent="0.3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row>
    <row r="422" spans="1:30" ht="12.75" x14ac:dyDescent="0.3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row>
    <row r="423" spans="1:30" ht="12.75" x14ac:dyDescent="0.3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spans="1:30" ht="12.75" x14ac:dyDescent="0.3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row>
    <row r="425" spans="1:30" ht="12.75" x14ac:dyDescent="0.3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row>
    <row r="426" spans="1:30" ht="12.75" x14ac:dyDescent="0.3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row>
    <row r="427" spans="1:30" ht="12.75" x14ac:dyDescent="0.3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spans="1:30" ht="12.75" x14ac:dyDescent="0.3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row>
    <row r="429" spans="1:30" ht="12.75" x14ac:dyDescent="0.3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row>
    <row r="430" spans="1:30" ht="12.75" x14ac:dyDescent="0.3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row>
    <row r="431" spans="1:30" ht="12.75" x14ac:dyDescent="0.3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spans="1:30" ht="12.75" x14ac:dyDescent="0.3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row>
    <row r="433" spans="1:30" ht="12.75" x14ac:dyDescent="0.3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spans="1:30" ht="12.75" x14ac:dyDescent="0.3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row>
    <row r="435" spans="1:30" ht="12.75" x14ac:dyDescent="0.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row>
    <row r="436" spans="1:30" ht="12.75" x14ac:dyDescent="0.3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row>
    <row r="437" spans="1:30" ht="12.75" x14ac:dyDescent="0.3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spans="1:30" ht="12.75" x14ac:dyDescent="0.3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row>
    <row r="439" spans="1:30" ht="12.75" x14ac:dyDescent="0.3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row>
    <row r="440" spans="1:30" ht="12.75" x14ac:dyDescent="0.3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row>
    <row r="441" spans="1:30" ht="12.75" x14ac:dyDescent="0.3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row>
    <row r="442" spans="1:30" ht="12.75" x14ac:dyDescent="0.3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row>
    <row r="443" spans="1:30" ht="12.75" x14ac:dyDescent="0.3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spans="1:30" ht="12.75" x14ac:dyDescent="0.3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row>
    <row r="445" spans="1:30" ht="12.75" x14ac:dyDescent="0.3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spans="1:30" ht="12.75" x14ac:dyDescent="0.3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row>
    <row r="447" spans="1:30" ht="12.75" x14ac:dyDescent="0.3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row>
    <row r="448" spans="1:30" ht="12.75" x14ac:dyDescent="0.3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row>
    <row r="449" spans="1:30" ht="12.75" x14ac:dyDescent="0.3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row>
    <row r="450" spans="1:30" ht="12.75" x14ac:dyDescent="0.3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row>
    <row r="451" spans="1:30" ht="12.75" x14ac:dyDescent="0.3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row>
    <row r="452" spans="1:30" ht="12.75" x14ac:dyDescent="0.3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row>
    <row r="453" spans="1:30" ht="12.75" x14ac:dyDescent="0.3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row>
    <row r="454" spans="1:30" ht="12.75" x14ac:dyDescent="0.3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row>
    <row r="455" spans="1:30" ht="12.75" x14ac:dyDescent="0.3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row>
    <row r="456" spans="1:30" ht="12.75" x14ac:dyDescent="0.3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row>
    <row r="457" spans="1:30" ht="12.75" x14ac:dyDescent="0.3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row>
    <row r="458" spans="1:30" ht="12.75" x14ac:dyDescent="0.3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row>
    <row r="459" spans="1:30" ht="12.75" x14ac:dyDescent="0.3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row>
    <row r="460" spans="1:30" ht="12.75" x14ac:dyDescent="0.3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row>
    <row r="461" spans="1:30" ht="12.75" x14ac:dyDescent="0.3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row>
    <row r="462" spans="1:30" ht="12.75" x14ac:dyDescent="0.3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row>
    <row r="463" spans="1:30" ht="12.75" x14ac:dyDescent="0.3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row>
    <row r="464" spans="1:30" ht="12.75" x14ac:dyDescent="0.3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row>
    <row r="465" spans="1:30" ht="12.75" x14ac:dyDescent="0.3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row>
    <row r="466" spans="1:30" ht="12.75" x14ac:dyDescent="0.3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row>
    <row r="467" spans="1:30" ht="12.75" x14ac:dyDescent="0.3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row>
    <row r="468" spans="1:30" ht="12.75" x14ac:dyDescent="0.3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row>
    <row r="469" spans="1:30" ht="12.75" x14ac:dyDescent="0.3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row>
    <row r="470" spans="1:30" ht="12.75" x14ac:dyDescent="0.3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row>
    <row r="471" spans="1:30" ht="12.75" x14ac:dyDescent="0.3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row>
    <row r="472" spans="1:30" ht="12.75" x14ac:dyDescent="0.3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row>
    <row r="473" spans="1:30" ht="12.75" x14ac:dyDescent="0.3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row>
    <row r="474" spans="1:30" ht="12.75" x14ac:dyDescent="0.3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row>
    <row r="475" spans="1:30" ht="12.75" x14ac:dyDescent="0.3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row>
    <row r="476" spans="1:30" ht="12.75" x14ac:dyDescent="0.3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row>
    <row r="477" spans="1:30" ht="12.75" x14ac:dyDescent="0.3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row>
    <row r="478" spans="1:30" ht="12.75" x14ac:dyDescent="0.3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row>
    <row r="479" spans="1:30" ht="12.75" x14ac:dyDescent="0.3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row>
    <row r="480" spans="1:30" ht="12.75" x14ac:dyDescent="0.3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row>
    <row r="481" spans="1:30" ht="12.75" x14ac:dyDescent="0.3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row>
    <row r="482" spans="1:30" ht="12.75" x14ac:dyDescent="0.3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row>
    <row r="483" spans="1:30" ht="12.75" x14ac:dyDescent="0.3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row>
    <row r="484" spans="1:30" ht="12.75" x14ac:dyDescent="0.3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row>
    <row r="485" spans="1:30" ht="12.75" x14ac:dyDescent="0.3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row>
    <row r="486" spans="1:30" ht="12.75" x14ac:dyDescent="0.3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row>
    <row r="487" spans="1:30" ht="12.75" x14ac:dyDescent="0.3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row>
    <row r="488" spans="1:30" ht="12.75" x14ac:dyDescent="0.3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row>
    <row r="489" spans="1:30" ht="12.75" x14ac:dyDescent="0.3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spans="1:30" ht="12.75" x14ac:dyDescent="0.3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row>
    <row r="491" spans="1:30" ht="12.75" x14ac:dyDescent="0.3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spans="1:30" ht="12.75" x14ac:dyDescent="0.3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row>
    <row r="493" spans="1:30" ht="12.75" x14ac:dyDescent="0.3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row>
    <row r="494" spans="1:30" ht="12.75" x14ac:dyDescent="0.3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row>
    <row r="495" spans="1:30" ht="12.75" x14ac:dyDescent="0.3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row>
    <row r="496" spans="1:30" ht="12.75" x14ac:dyDescent="0.3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row>
    <row r="497" spans="1:30" ht="12.75" x14ac:dyDescent="0.3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row>
    <row r="498" spans="1:30" ht="12.75" x14ac:dyDescent="0.3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row>
    <row r="499" spans="1:30" ht="12.75" x14ac:dyDescent="0.3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row>
    <row r="500" spans="1:30" ht="12.75" x14ac:dyDescent="0.3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row>
    <row r="501" spans="1:30" ht="12.75" x14ac:dyDescent="0.3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row>
    <row r="502" spans="1:30" ht="12.75" x14ac:dyDescent="0.3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row>
    <row r="503" spans="1:30" ht="12.75" x14ac:dyDescent="0.3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row>
    <row r="504" spans="1:30" ht="12.75" x14ac:dyDescent="0.3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row>
    <row r="505" spans="1:30" ht="12.75" x14ac:dyDescent="0.3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row>
    <row r="506" spans="1:30" ht="12.75" x14ac:dyDescent="0.3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row>
    <row r="507" spans="1:30" ht="12.75" x14ac:dyDescent="0.3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row>
    <row r="508" spans="1:30" ht="12.75" x14ac:dyDescent="0.3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row>
    <row r="509" spans="1:30" ht="12.75" x14ac:dyDescent="0.3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row>
    <row r="510" spans="1:30" ht="12.75" x14ac:dyDescent="0.3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row>
    <row r="511" spans="1:30" ht="12.75" x14ac:dyDescent="0.3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row>
    <row r="512" spans="1:30" ht="12.75" x14ac:dyDescent="0.3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row>
    <row r="513" spans="1:30" ht="12.75" x14ac:dyDescent="0.3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row>
    <row r="514" spans="1:30" ht="12.75" x14ac:dyDescent="0.3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row>
    <row r="515" spans="1:30" ht="12.75" x14ac:dyDescent="0.3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row>
    <row r="516" spans="1:30" ht="12.75" x14ac:dyDescent="0.3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row>
    <row r="517" spans="1:30" ht="12.75" x14ac:dyDescent="0.3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row>
    <row r="518" spans="1:30" ht="12.75" x14ac:dyDescent="0.3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row>
    <row r="519" spans="1:30" ht="12.75" x14ac:dyDescent="0.3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spans="1:30" ht="12.75" x14ac:dyDescent="0.3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row>
    <row r="521" spans="1:30" ht="12.75" x14ac:dyDescent="0.3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spans="1:30" ht="12.75" x14ac:dyDescent="0.3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row>
    <row r="523" spans="1:30" ht="12.75" x14ac:dyDescent="0.3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spans="1:30" ht="12.75" x14ac:dyDescent="0.3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row>
    <row r="525" spans="1:30" ht="12.75" x14ac:dyDescent="0.3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spans="1:30" ht="12.75" x14ac:dyDescent="0.3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row>
    <row r="527" spans="1:30" ht="12.75" x14ac:dyDescent="0.3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spans="1:30" ht="12.75" x14ac:dyDescent="0.3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row>
    <row r="529" spans="1:30" ht="12.75" x14ac:dyDescent="0.3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spans="1:30" ht="12.75" x14ac:dyDescent="0.3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row>
    <row r="531" spans="1:30" ht="12.75" x14ac:dyDescent="0.3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spans="1:30" ht="12.75" x14ac:dyDescent="0.3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row>
    <row r="533" spans="1:30" ht="12.75" x14ac:dyDescent="0.3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spans="1:30" ht="12.75" x14ac:dyDescent="0.3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row>
    <row r="535" spans="1:30" ht="12.75" x14ac:dyDescent="0.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spans="1:30" ht="12.75" x14ac:dyDescent="0.3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row>
    <row r="537" spans="1:30" ht="12.75" x14ac:dyDescent="0.3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spans="1:30" ht="12.75" x14ac:dyDescent="0.3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row>
    <row r="539" spans="1:30" ht="12.75" x14ac:dyDescent="0.3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spans="1:30" ht="12.75" x14ac:dyDescent="0.3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row>
    <row r="541" spans="1:30" ht="12.75" x14ac:dyDescent="0.3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spans="1:30" ht="12.75" x14ac:dyDescent="0.3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row>
    <row r="543" spans="1:30" ht="12.75" x14ac:dyDescent="0.3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spans="1:30" ht="12.75" x14ac:dyDescent="0.3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row>
    <row r="545" spans="1:30" ht="12.75" x14ac:dyDescent="0.3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spans="1:30" ht="12.75" x14ac:dyDescent="0.3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row>
    <row r="547" spans="1:30" ht="12.75" x14ac:dyDescent="0.3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spans="1:30" ht="12.75" x14ac:dyDescent="0.3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row>
    <row r="549" spans="1:30" ht="12.75" x14ac:dyDescent="0.3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spans="1:30" ht="12.75" x14ac:dyDescent="0.3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row>
    <row r="551" spans="1:30" ht="12.75" x14ac:dyDescent="0.3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spans="1:30" ht="12.75" x14ac:dyDescent="0.3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row>
    <row r="553" spans="1:30" ht="12.75" x14ac:dyDescent="0.3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spans="1:30" ht="12.75" x14ac:dyDescent="0.3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row>
    <row r="555" spans="1:30" ht="12.75" x14ac:dyDescent="0.3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spans="1:30" ht="12.75" x14ac:dyDescent="0.3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row>
    <row r="557" spans="1:30" ht="12.75" x14ac:dyDescent="0.3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spans="1:30" ht="12.75" x14ac:dyDescent="0.3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row>
    <row r="559" spans="1:30" ht="12.75" x14ac:dyDescent="0.3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spans="1:30" ht="12.75" x14ac:dyDescent="0.3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row>
    <row r="561" spans="1:30" ht="12.75" x14ac:dyDescent="0.3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spans="1:30" ht="12.75" x14ac:dyDescent="0.3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row>
    <row r="563" spans="1:30" ht="12.75" x14ac:dyDescent="0.3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spans="1:30" ht="12.75" x14ac:dyDescent="0.3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row>
    <row r="565" spans="1:30" ht="12.75" x14ac:dyDescent="0.3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spans="1:30" ht="12.75" x14ac:dyDescent="0.3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row>
    <row r="567" spans="1:30" ht="12.75" x14ac:dyDescent="0.3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spans="1:30" ht="12.75" x14ac:dyDescent="0.3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row>
    <row r="569" spans="1:30" ht="12.75" x14ac:dyDescent="0.3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spans="1:30" ht="12.75" x14ac:dyDescent="0.3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row>
    <row r="571" spans="1:30" ht="12.75" x14ac:dyDescent="0.3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spans="1:30" ht="12.75" x14ac:dyDescent="0.3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row>
    <row r="573" spans="1:30" ht="12.75" x14ac:dyDescent="0.3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spans="1:30" ht="12.75" x14ac:dyDescent="0.3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row>
    <row r="575" spans="1:30" ht="12.75" x14ac:dyDescent="0.3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spans="1:30" ht="12.75" x14ac:dyDescent="0.3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row>
    <row r="577" spans="1:30" ht="12.75" x14ac:dyDescent="0.3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spans="1:30" ht="12.75" x14ac:dyDescent="0.3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row>
    <row r="579" spans="1:30" ht="12.75" x14ac:dyDescent="0.3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spans="1:30" ht="12.75" x14ac:dyDescent="0.3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row>
    <row r="581" spans="1:30" ht="12.75" x14ac:dyDescent="0.3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spans="1:30" ht="12.75" x14ac:dyDescent="0.3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row>
    <row r="583" spans="1:30" ht="12.75" x14ac:dyDescent="0.3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spans="1:30" ht="12.75" x14ac:dyDescent="0.3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row>
    <row r="585" spans="1:30" ht="12.75" x14ac:dyDescent="0.3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spans="1:30" ht="12.75" x14ac:dyDescent="0.3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row>
    <row r="587" spans="1:30" ht="12.75" x14ac:dyDescent="0.3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spans="1:30" ht="12.75" x14ac:dyDescent="0.3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row>
    <row r="589" spans="1:30" ht="12.75" x14ac:dyDescent="0.3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spans="1:30" ht="12.75" x14ac:dyDescent="0.3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row>
    <row r="591" spans="1:30" ht="12.75" x14ac:dyDescent="0.3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spans="1:30" ht="12.75" x14ac:dyDescent="0.3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row>
    <row r="593" spans="1:30" ht="12.75" x14ac:dyDescent="0.3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spans="1:30" ht="12.75" x14ac:dyDescent="0.3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row>
    <row r="595" spans="1:30" ht="12.75" x14ac:dyDescent="0.3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spans="1:30" ht="12.75" x14ac:dyDescent="0.3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row>
    <row r="597" spans="1:30" ht="12.75" x14ac:dyDescent="0.3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spans="1:30" ht="12.75" x14ac:dyDescent="0.3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row>
    <row r="599" spans="1:30" ht="12.75" x14ac:dyDescent="0.3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spans="1:30" ht="12.75" x14ac:dyDescent="0.3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row>
    <row r="601" spans="1:30" ht="12.75" x14ac:dyDescent="0.3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spans="1:30" ht="12.75" x14ac:dyDescent="0.3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row>
    <row r="603" spans="1:30" ht="12.75" x14ac:dyDescent="0.3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spans="1:30" ht="12.75" x14ac:dyDescent="0.3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row>
    <row r="605" spans="1:30" ht="12.75" x14ac:dyDescent="0.3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spans="1:30" ht="12.75" x14ac:dyDescent="0.3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row>
    <row r="607" spans="1:30" ht="12.75" x14ac:dyDescent="0.3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spans="1:30" ht="12.75" x14ac:dyDescent="0.3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row>
    <row r="609" spans="1:30" ht="12.75" x14ac:dyDescent="0.3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spans="1:30" ht="12.75" x14ac:dyDescent="0.3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row>
    <row r="611" spans="1:30" ht="12.75" x14ac:dyDescent="0.3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spans="1:30" ht="12.75" x14ac:dyDescent="0.3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row>
    <row r="613" spans="1:30" ht="12.75" x14ac:dyDescent="0.3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spans="1:30" ht="12.75" x14ac:dyDescent="0.3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row>
    <row r="615" spans="1:30" ht="12.75" x14ac:dyDescent="0.3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spans="1:30" ht="12.75" x14ac:dyDescent="0.3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row>
    <row r="617" spans="1:30" ht="12.75" x14ac:dyDescent="0.3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spans="1:30" ht="12.75" x14ac:dyDescent="0.3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row>
    <row r="619" spans="1:30" ht="12.75" x14ac:dyDescent="0.3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spans="1:30" ht="12.75" x14ac:dyDescent="0.3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row>
    <row r="621" spans="1:30" ht="12.75" x14ac:dyDescent="0.3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spans="1:30" ht="12.75" x14ac:dyDescent="0.3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row>
    <row r="623" spans="1:30" ht="12.75" x14ac:dyDescent="0.3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spans="1:30" ht="12.75" x14ac:dyDescent="0.3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row>
    <row r="625" spans="1:30" ht="12.75" x14ac:dyDescent="0.3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spans="1:30" ht="12.75" x14ac:dyDescent="0.3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row>
    <row r="627" spans="1:30" ht="12.75" x14ac:dyDescent="0.3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spans="1:30" ht="12.75" x14ac:dyDescent="0.3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row>
    <row r="629" spans="1:30" ht="12.75" x14ac:dyDescent="0.3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spans="1:30" ht="12.75" x14ac:dyDescent="0.3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row>
    <row r="631" spans="1:30" ht="12.75" x14ac:dyDescent="0.3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spans="1:30" ht="12.75" x14ac:dyDescent="0.3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row>
    <row r="633" spans="1:30" ht="12.75" x14ac:dyDescent="0.3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spans="1:30" ht="12.75" x14ac:dyDescent="0.3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row>
    <row r="635" spans="1:30" ht="12.75" x14ac:dyDescent="0.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spans="1:30" ht="12.75" x14ac:dyDescent="0.3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row>
    <row r="637" spans="1:30" ht="12.75" x14ac:dyDescent="0.3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spans="1:30" ht="12.75" x14ac:dyDescent="0.3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row>
    <row r="639" spans="1:30" ht="12.75" x14ac:dyDescent="0.3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spans="1:30" ht="12.75" x14ac:dyDescent="0.3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row>
    <row r="641" spans="1:30" ht="12.75" x14ac:dyDescent="0.3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spans="1:30" ht="12.75" x14ac:dyDescent="0.3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row>
    <row r="643" spans="1:30" ht="12.75" x14ac:dyDescent="0.3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spans="1:30" ht="12.75" x14ac:dyDescent="0.3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row>
    <row r="645" spans="1:30" ht="12.75" x14ac:dyDescent="0.3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spans="1:30" ht="12.75" x14ac:dyDescent="0.3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row>
    <row r="647" spans="1:30" ht="12.75" x14ac:dyDescent="0.3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spans="1:30" ht="12.75" x14ac:dyDescent="0.3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row>
    <row r="649" spans="1:30" ht="12.75" x14ac:dyDescent="0.3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spans="1:30" ht="12.75" x14ac:dyDescent="0.3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row>
    <row r="651" spans="1:30" ht="12.75" x14ac:dyDescent="0.3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spans="1:30" ht="12.75" x14ac:dyDescent="0.3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row>
    <row r="653" spans="1:30" ht="12.75" x14ac:dyDescent="0.3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spans="1:30" ht="12.75" x14ac:dyDescent="0.3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row>
    <row r="655" spans="1:30" ht="12.75" x14ac:dyDescent="0.3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spans="1:30" ht="12.75" x14ac:dyDescent="0.3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row>
    <row r="657" spans="1:30" ht="12.75" x14ac:dyDescent="0.3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spans="1:30" ht="12.75" x14ac:dyDescent="0.3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row>
    <row r="659" spans="1:30" ht="12.75" x14ac:dyDescent="0.3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spans="1:30" ht="12.75" x14ac:dyDescent="0.3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row>
    <row r="661" spans="1:30" ht="12.75" x14ac:dyDescent="0.3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spans="1:30" ht="12.75" x14ac:dyDescent="0.3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row>
    <row r="663" spans="1:30" ht="12.75" x14ac:dyDescent="0.3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spans="1:30" ht="12.75" x14ac:dyDescent="0.3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row>
    <row r="665" spans="1:30" ht="12.75" x14ac:dyDescent="0.3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spans="1:30" ht="12.75" x14ac:dyDescent="0.3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row>
    <row r="667" spans="1:30" ht="12.75" x14ac:dyDescent="0.3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spans="1:30" ht="12.75" x14ac:dyDescent="0.3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row>
    <row r="669" spans="1:30" ht="12.75" x14ac:dyDescent="0.3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spans="1:30" ht="12.75" x14ac:dyDescent="0.3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row>
    <row r="671" spans="1:30" ht="12.75" x14ac:dyDescent="0.3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spans="1:30" ht="12.75" x14ac:dyDescent="0.3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row>
    <row r="673" spans="1:30" ht="12.75" x14ac:dyDescent="0.3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spans="1:30" ht="12.75" x14ac:dyDescent="0.3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row>
    <row r="675" spans="1:30" ht="12.75" x14ac:dyDescent="0.3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spans="1:30" ht="12.75" x14ac:dyDescent="0.3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row>
    <row r="677" spans="1:30" ht="12.75" x14ac:dyDescent="0.3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spans="1:30" ht="12.75" x14ac:dyDescent="0.3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row>
    <row r="679" spans="1:30" ht="12.75" x14ac:dyDescent="0.3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spans="1:30" ht="12.75" x14ac:dyDescent="0.3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row>
    <row r="681" spans="1:30" ht="12.75" x14ac:dyDescent="0.3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spans="1:30" ht="12.75" x14ac:dyDescent="0.3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row>
    <row r="683" spans="1:30" ht="12.75" x14ac:dyDescent="0.3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spans="1:30" ht="12.75" x14ac:dyDescent="0.3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row>
    <row r="685" spans="1:30" ht="12.75" x14ac:dyDescent="0.3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spans="1:30" ht="12.75" x14ac:dyDescent="0.3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row>
    <row r="687" spans="1:30" ht="12.75" x14ac:dyDescent="0.3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spans="1:30" ht="12.75" x14ac:dyDescent="0.3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row>
    <row r="689" spans="1:30" ht="12.75" x14ac:dyDescent="0.3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spans="1:30" ht="12.75" x14ac:dyDescent="0.3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row>
    <row r="691" spans="1:30" ht="12.75" x14ac:dyDescent="0.3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spans="1:30" ht="12.75" x14ac:dyDescent="0.3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row>
    <row r="693" spans="1:30" ht="12.75" x14ac:dyDescent="0.3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spans="1:30" ht="12.75" x14ac:dyDescent="0.3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row>
    <row r="695" spans="1:30" ht="12.75" x14ac:dyDescent="0.3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spans="1:30" ht="12.75" x14ac:dyDescent="0.3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row>
    <row r="697" spans="1:30" ht="12.75" x14ac:dyDescent="0.3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spans="1:30" ht="12.75" x14ac:dyDescent="0.3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row>
    <row r="699" spans="1:30" ht="12.75" x14ac:dyDescent="0.3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spans="1:30" ht="12.75" x14ac:dyDescent="0.3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row>
    <row r="701" spans="1:30" ht="12.75" x14ac:dyDescent="0.3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spans="1:30" ht="12.75" x14ac:dyDescent="0.3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row>
    <row r="703" spans="1:30" ht="12.75" x14ac:dyDescent="0.3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spans="1:30" ht="12.75" x14ac:dyDescent="0.3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row>
    <row r="705" spans="1:30" ht="12.75" x14ac:dyDescent="0.3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spans="1:30" ht="12.75" x14ac:dyDescent="0.3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row>
    <row r="707" spans="1:30" ht="12.75" x14ac:dyDescent="0.3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spans="1:30" ht="12.75" x14ac:dyDescent="0.3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row>
    <row r="709" spans="1:30" ht="12.75" x14ac:dyDescent="0.3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spans="1:30" ht="12.75" x14ac:dyDescent="0.3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row>
    <row r="711" spans="1:30" ht="12.75" x14ac:dyDescent="0.3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spans="1:30" ht="12.75" x14ac:dyDescent="0.3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row>
    <row r="713" spans="1:30" ht="12.75" x14ac:dyDescent="0.3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spans="1:30" ht="12.75" x14ac:dyDescent="0.3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row>
    <row r="715" spans="1:30" ht="12.75" x14ac:dyDescent="0.3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spans="1:30" ht="12.75" x14ac:dyDescent="0.3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row>
    <row r="717" spans="1:30" ht="12.75" x14ac:dyDescent="0.3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spans="1:30" ht="12.75" x14ac:dyDescent="0.3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row>
    <row r="719" spans="1:30" ht="12.75" x14ac:dyDescent="0.3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spans="1:30" ht="12.75" x14ac:dyDescent="0.3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row>
    <row r="721" spans="1:30" ht="12.75" x14ac:dyDescent="0.3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spans="1:30" ht="12.75" x14ac:dyDescent="0.3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row>
    <row r="723" spans="1:30" ht="12.75" x14ac:dyDescent="0.3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spans="1:30" ht="12.75" x14ac:dyDescent="0.3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row>
    <row r="725" spans="1:30" ht="12.75" x14ac:dyDescent="0.3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spans="1:30" ht="12.75" x14ac:dyDescent="0.3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row>
    <row r="727" spans="1:30" ht="12.75" x14ac:dyDescent="0.3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spans="1:30" ht="12.75" x14ac:dyDescent="0.3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row>
    <row r="729" spans="1:30" ht="12.75" x14ac:dyDescent="0.3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spans="1:30" ht="12.75" x14ac:dyDescent="0.3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row>
    <row r="731" spans="1:30" ht="12.75" x14ac:dyDescent="0.3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spans="1:30" ht="12.75" x14ac:dyDescent="0.3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row>
    <row r="733" spans="1:30" ht="12.75" x14ac:dyDescent="0.3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spans="1:30" ht="12.75" x14ac:dyDescent="0.3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row>
    <row r="735" spans="1:30" ht="12.75" x14ac:dyDescent="0.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spans="1:30" ht="12.75" x14ac:dyDescent="0.3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row>
    <row r="737" spans="1:30" ht="12.75" x14ac:dyDescent="0.3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spans="1:30" ht="12.75" x14ac:dyDescent="0.3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row>
    <row r="739" spans="1:30" ht="12.75" x14ac:dyDescent="0.3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spans="1:30" ht="12.75" x14ac:dyDescent="0.3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row>
    <row r="741" spans="1:30" ht="12.75" x14ac:dyDescent="0.3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spans="1:30" ht="12.75" x14ac:dyDescent="0.3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row>
    <row r="743" spans="1:30" ht="12.75" x14ac:dyDescent="0.3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spans="1:30" ht="12.75" x14ac:dyDescent="0.3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row>
    <row r="745" spans="1:30" ht="12.75" x14ac:dyDescent="0.3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spans="1:30" ht="12.75" x14ac:dyDescent="0.3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row>
    <row r="747" spans="1:30" ht="12.75" x14ac:dyDescent="0.3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spans="1:30" ht="12.75" x14ac:dyDescent="0.3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row>
    <row r="749" spans="1:30" ht="12.75" x14ac:dyDescent="0.3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spans="1:30" ht="12.75" x14ac:dyDescent="0.3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row>
    <row r="751" spans="1:30" ht="12.75" x14ac:dyDescent="0.3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spans="1:30" ht="12.75" x14ac:dyDescent="0.3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row>
    <row r="753" spans="1:30" ht="12.75" x14ac:dyDescent="0.3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spans="1:30" ht="12.75" x14ac:dyDescent="0.3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row>
    <row r="755" spans="1:30" ht="12.75" x14ac:dyDescent="0.3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spans="1:30" ht="12.75" x14ac:dyDescent="0.3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row>
    <row r="757" spans="1:30" ht="12.75" x14ac:dyDescent="0.3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spans="1:30" ht="12.75" x14ac:dyDescent="0.3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row>
    <row r="759" spans="1:30" ht="12.75" x14ac:dyDescent="0.3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spans="1:30" ht="12.75" x14ac:dyDescent="0.3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row>
    <row r="761" spans="1:30" ht="12.75" x14ac:dyDescent="0.3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spans="1:30" ht="12.75" x14ac:dyDescent="0.3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row>
    <row r="763" spans="1:30" ht="12.75" x14ac:dyDescent="0.3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spans="1:30" ht="12.75" x14ac:dyDescent="0.3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row>
    <row r="765" spans="1:30" ht="12.75" x14ac:dyDescent="0.3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spans="1:30" ht="12.75" x14ac:dyDescent="0.3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row>
    <row r="767" spans="1:30" ht="12.75" x14ac:dyDescent="0.3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spans="1:30" ht="12.75" x14ac:dyDescent="0.3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row>
    <row r="769" spans="1:30" ht="12.75" x14ac:dyDescent="0.3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spans="1:30" ht="12.75" x14ac:dyDescent="0.3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row>
    <row r="771" spans="1:30" ht="12.75" x14ac:dyDescent="0.3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spans="1:30" ht="12.75" x14ac:dyDescent="0.3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row>
    <row r="773" spans="1:30" ht="12.75" x14ac:dyDescent="0.3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spans="1:30" ht="12.75" x14ac:dyDescent="0.3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row>
    <row r="775" spans="1:30" ht="12.75" x14ac:dyDescent="0.3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spans="1:30" ht="12.75" x14ac:dyDescent="0.3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row>
    <row r="777" spans="1:30" ht="12.75" x14ac:dyDescent="0.3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spans="1:30" ht="12.75" x14ac:dyDescent="0.3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row>
    <row r="779" spans="1:30" ht="12.75" x14ac:dyDescent="0.3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spans="1:30" ht="12.75" x14ac:dyDescent="0.3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row>
    <row r="781" spans="1:30" ht="12.75" x14ac:dyDescent="0.3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spans="1:30" ht="12.75" x14ac:dyDescent="0.3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row>
    <row r="783" spans="1:30" ht="12.75" x14ac:dyDescent="0.3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spans="1:30" ht="12.75" x14ac:dyDescent="0.3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row>
    <row r="785" spans="1:30" ht="12.75" x14ac:dyDescent="0.3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spans="1:30" ht="12.75" x14ac:dyDescent="0.3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row>
    <row r="787" spans="1:30" ht="12.75" x14ac:dyDescent="0.3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spans="1:30" ht="12.75" x14ac:dyDescent="0.3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row>
    <row r="789" spans="1:30" ht="12.75" x14ac:dyDescent="0.3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spans="1:30" ht="12.75" x14ac:dyDescent="0.3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row>
    <row r="791" spans="1:30" ht="12.75" x14ac:dyDescent="0.3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spans="1:30" ht="12.75" x14ac:dyDescent="0.3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row>
    <row r="793" spans="1:30" ht="12.75" x14ac:dyDescent="0.3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spans="1:30" ht="12.75" x14ac:dyDescent="0.3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row>
    <row r="795" spans="1:30" ht="12.75" x14ac:dyDescent="0.3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spans="1:30" ht="12.75" x14ac:dyDescent="0.3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row>
    <row r="797" spans="1:30" ht="12.75" x14ac:dyDescent="0.3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spans="1:30" ht="12.75" x14ac:dyDescent="0.3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row>
    <row r="799" spans="1:30" ht="12.75" x14ac:dyDescent="0.3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spans="1:30" ht="12.75" x14ac:dyDescent="0.3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row>
    <row r="801" spans="1:30" ht="12.75" x14ac:dyDescent="0.3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spans="1:30" ht="12.75" x14ac:dyDescent="0.3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row>
    <row r="803" spans="1:30" ht="12.75" x14ac:dyDescent="0.3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spans="1:30" ht="12.75" x14ac:dyDescent="0.3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row>
    <row r="805" spans="1:30" ht="12.75" x14ac:dyDescent="0.3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spans="1:30" ht="12.75" x14ac:dyDescent="0.3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row>
    <row r="807" spans="1:30" ht="12.75" x14ac:dyDescent="0.3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spans="1:30" ht="12.75" x14ac:dyDescent="0.3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row>
    <row r="809" spans="1:30" ht="12.75" x14ac:dyDescent="0.3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spans="1:30" ht="12.75" x14ac:dyDescent="0.3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row>
    <row r="811" spans="1:30" ht="12.75" x14ac:dyDescent="0.3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spans="1:30" ht="12.75" x14ac:dyDescent="0.3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row>
    <row r="813" spans="1:30" ht="12.75" x14ac:dyDescent="0.3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spans="1:30" ht="12.75" x14ac:dyDescent="0.3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row>
    <row r="815" spans="1:30" ht="12.75" x14ac:dyDescent="0.3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spans="1:30" ht="12.75" x14ac:dyDescent="0.3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row>
    <row r="817" spans="1:30" ht="12.75" x14ac:dyDescent="0.3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spans="1:30" ht="12.75" x14ac:dyDescent="0.3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row>
    <row r="819" spans="1:30" ht="12.75" x14ac:dyDescent="0.3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spans="1:30" ht="12.75" x14ac:dyDescent="0.3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row>
    <row r="821" spans="1:30" ht="12.75" x14ac:dyDescent="0.3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spans="1:30" ht="12.75" x14ac:dyDescent="0.3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row>
    <row r="823" spans="1:30" ht="12.75" x14ac:dyDescent="0.3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spans="1:30" ht="12.75" x14ac:dyDescent="0.3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row>
    <row r="825" spans="1:30" ht="12.75" x14ac:dyDescent="0.3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spans="1:30" ht="12.75" x14ac:dyDescent="0.3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row>
    <row r="827" spans="1:30" ht="12.75" x14ac:dyDescent="0.3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spans="1:30" ht="12.75" x14ac:dyDescent="0.3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row>
    <row r="829" spans="1:30" ht="12.75" x14ac:dyDescent="0.3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spans="1:30" ht="12.75" x14ac:dyDescent="0.3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row>
    <row r="831" spans="1:30" ht="12.75" x14ac:dyDescent="0.3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spans="1:30" ht="12.75" x14ac:dyDescent="0.3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row>
    <row r="833" spans="1:30" ht="12.75" x14ac:dyDescent="0.3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spans="1:30" ht="12.75" x14ac:dyDescent="0.3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row>
    <row r="835" spans="1:30" ht="12.75" x14ac:dyDescent="0.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spans="1:30" ht="12.75" x14ac:dyDescent="0.3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row>
    <row r="837" spans="1:30" ht="12.75" x14ac:dyDescent="0.3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spans="1:30" ht="12.75" x14ac:dyDescent="0.3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row>
    <row r="839" spans="1:30" ht="12.75" x14ac:dyDescent="0.3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spans="1:30" ht="12.75" x14ac:dyDescent="0.3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row>
    <row r="841" spans="1:30" ht="12.75" x14ac:dyDescent="0.3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spans="1:30" ht="12.75" x14ac:dyDescent="0.3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row>
    <row r="843" spans="1:30" ht="12.75" x14ac:dyDescent="0.3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spans="1:30" ht="12.75" x14ac:dyDescent="0.3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row>
    <row r="845" spans="1:30" ht="12.75" x14ac:dyDescent="0.3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spans="1:30" ht="12.75" x14ac:dyDescent="0.3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row>
    <row r="847" spans="1:30" ht="12.75" x14ac:dyDescent="0.3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spans="1:30" ht="12.75" x14ac:dyDescent="0.3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row>
    <row r="849" spans="1:30" ht="12.75" x14ac:dyDescent="0.3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spans="1:30" ht="12.75" x14ac:dyDescent="0.3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row>
    <row r="851" spans="1:30" ht="12.75" x14ac:dyDescent="0.3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spans="1:30" ht="12.75" x14ac:dyDescent="0.3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row>
    <row r="853" spans="1:30" ht="12.75" x14ac:dyDescent="0.3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spans="1:30" ht="12.75" x14ac:dyDescent="0.3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row>
    <row r="855" spans="1:30" ht="12.75" x14ac:dyDescent="0.3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spans="1:30" ht="12.75" x14ac:dyDescent="0.3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row>
    <row r="857" spans="1:30" ht="12.75" x14ac:dyDescent="0.3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spans="1:30" ht="12.75" x14ac:dyDescent="0.3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row>
    <row r="859" spans="1:30" ht="12.75" x14ac:dyDescent="0.3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spans="1:30" ht="12.75" x14ac:dyDescent="0.3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row>
    <row r="861" spans="1:30" ht="12.75" x14ac:dyDescent="0.3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spans="1:30" ht="12.75" x14ac:dyDescent="0.3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row>
    <row r="863" spans="1:30" ht="12.75" x14ac:dyDescent="0.3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spans="1:30" ht="12.75" x14ac:dyDescent="0.3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row>
    <row r="865" spans="1:30" ht="12.75" x14ac:dyDescent="0.3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spans="1:30" ht="12.75" x14ac:dyDescent="0.3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row>
    <row r="867" spans="1:30" ht="12.75" x14ac:dyDescent="0.3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spans="1:30" ht="12.75" x14ac:dyDescent="0.3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row>
    <row r="869" spans="1:30" ht="12.75" x14ac:dyDescent="0.3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spans="1:30" ht="12.75" x14ac:dyDescent="0.3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row>
    <row r="871" spans="1:30" ht="12.75" x14ac:dyDescent="0.3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spans="1:30" ht="12.75" x14ac:dyDescent="0.3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row>
    <row r="873" spans="1:30" ht="12.75" x14ac:dyDescent="0.3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spans="1:30" ht="12.75" x14ac:dyDescent="0.3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row>
    <row r="875" spans="1:30" ht="12.75" x14ac:dyDescent="0.3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spans="1:30" ht="12.75" x14ac:dyDescent="0.3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row>
    <row r="877" spans="1:30" ht="12.75" x14ac:dyDescent="0.3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spans="1:30" ht="12.75" x14ac:dyDescent="0.3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row>
    <row r="879" spans="1:30" ht="12.75" x14ac:dyDescent="0.3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spans="1:30" ht="12.75" x14ac:dyDescent="0.3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row>
    <row r="881" spans="1:30" ht="12.75" x14ac:dyDescent="0.3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spans="1:30" ht="12.75" x14ac:dyDescent="0.3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row>
    <row r="883" spans="1:30" ht="12.75" x14ac:dyDescent="0.3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spans="1:30" ht="12.75" x14ac:dyDescent="0.3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row>
    <row r="885" spans="1:30" ht="12.75" x14ac:dyDescent="0.3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spans="1:30" ht="12.75" x14ac:dyDescent="0.3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row>
    <row r="887" spans="1:30" ht="12.75" x14ac:dyDescent="0.3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spans="1:30" ht="12.75" x14ac:dyDescent="0.3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row>
    <row r="889" spans="1:30" ht="12.75" x14ac:dyDescent="0.3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spans="1:30" ht="12.75" x14ac:dyDescent="0.3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row>
    <row r="891" spans="1:30" ht="12.75" x14ac:dyDescent="0.3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spans="1:30" ht="12.75" x14ac:dyDescent="0.3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row>
    <row r="893" spans="1:30" ht="12.75" x14ac:dyDescent="0.3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spans="1:30" ht="12.75" x14ac:dyDescent="0.3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row>
    <row r="895" spans="1:30" ht="12.75" x14ac:dyDescent="0.3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spans="1:30" ht="12.75" x14ac:dyDescent="0.3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row>
    <row r="897" spans="1:30" ht="12.75" x14ac:dyDescent="0.3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spans="1:30" ht="12.75" x14ac:dyDescent="0.3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row>
    <row r="899" spans="1:30" ht="12.75" x14ac:dyDescent="0.3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spans="1:30" ht="12.75" x14ac:dyDescent="0.3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row>
    <row r="901" spans="1:30" ht="12.75" x14ac:dyDescent="0.3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spans="1:30" ht="12.75" x14ac:dyDescent="0.3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row>
    <row r="903" spans="1:30" ht="12.75" x14ac:dyDescent="0.3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spans="1:30" ht="12.75" x14ac:dyDescent="0.3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row>
    <row r="905" spans="1:30" ht="12.75" x14ac:dyDescent="0.3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spans="1:30" ht="12.75" x14ac:dyDescent="0.3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row>
    <row r="907" spans="1:30" ht="12.75" x14ac:dyDescent="0.3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spans="1:30" ht="12.75" x14ac:dyDescent="0.3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row>
    <row r="909" spans="1:30" ht="12.75" x14ac:dyDescent="0.3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spans="1:30" ht="12.75" x14ac:dyDescent="0.3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row>
    <row r="911" spans="1:30" ht="12.75" x14ac:dyDescent="0.3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spans="1:30" ht="12.75" x14ac:dyDescent="0.3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row>
    <row r="913" spans="1:30" ht="12.75" x14ac:dyDescent="0.3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spans="1:30" ht="12.75" x14ac:dyDescent="0.3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row>
    <row r="915" spans="1:30" ht="12.75" x14ac:dyDescent="0.3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spans="1:30" ht="12.75" x14ac:dyDescent="0.3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row>
    <row r="917" spans="1:30" ht="12.75" x14ac:dyDescent="0.3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spans="1:30" ht="12.75" x14ac:dyDescent="0.3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row>
    <row r="919" spans="1:30" ht="12.75" x14ac:dyDescent="0.3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spans="1:30" ht="12.75" x14ac:dyDescent="0.3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row>
    <row r="921" spans="1:30" ht="12.75" x14ac:dyDescent="0.3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spans="1:30" ht="12.75" x14ac:dyDescent="0.3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row>
    <row r="923" spans="1:30" ht="12.75" x14ac:dyDescent="0.3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spans="1:30" ht="12.75" x14ac:dyDescent="0.3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row>
    <row r="925" spans="1:30" ht="12.75" x14ac:dyDescent="0.3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spans="1:30" ht="12.75" x14ac:dyDescent="0.3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row>
    <row r="927" spans="1:30" ht="12.75" x14ac:dyDescent="0.3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spans="1:30" ht="12.75" x14ac:dyDescent="0.3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row>
    <row r="929" spans="1:30" ht="12.75" x14ac:dyDescent="0.3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spans="1:30" ht="12.75" x14ac:dyDescent="0.3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row>
    <row r="931" spans="1:30" ht="12.75" x14ac:dyDescent="0.3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spans="1:30" ht="12.75" x14ac:dyDescent="0.3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row>
    <row r="933" spans="1:30" ht="12.75" x14ac:dyDescent="0.3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spans="1:30" ht="12.75" x14ac:dyDescent="0.3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row>
    <row r="935" spans="1:30" ht="12.75" x14ac:dyDescent="0.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spans="1:30" ht="12.75" x14ac:dyDescent="0.3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row>
    <row r="937" spans="1:30" ht="12.75" x14ac:dyDescent="0.3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spans="1:30" ht="12.75" x14ac:dyDescent="0.3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row>
    <row r="939" spans="1:30" ht="12.75" x14ac:dyDescent="0.3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spans="1:30" ht="12.75" x14ac:dyDescent="0.3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row>
    <row r="941" spans="1:30" ht="12.75" x14ac:dyDescent="0.3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spans="1:30" ht="12.75" x14ac:dyDescent="0.3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row>
    <row r="943" spans="1:30" ht="12.75" x14ac:dyDescent="0.3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spans="1:30" ht="12.75" x14ac:dyDescent="0.3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row>
    <row r="945" spans="1:30" ht="12.75" x14ac:dyDescent="0.3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spans="1:30" ht="12.75" x14ac:dyDescent="0.3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row>
    <row r="947" spans="1:30" ht="12.75" x14ac:dyDescent="0.3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spans="1:30" ht="12.75" x14ac:dyDescent="0.3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row>
    <row r="949" spans="1:30" ht="12.75" x14ac:dyDescent="0.3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spans="1:30" ht="12.75" x14ac:dyDescent="0.3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row>
    <row r="951" spans="1:30" ht="12.75" x14ac:dyDescent="0.3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spans="1:30" ht="12.75" x14ac:dyDescent="0.3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row>
    <row r="953" spans="1:30" ht="12.75" x14ac:dyDescent="0.3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spans="1:30" ht="12.75" x14ac:dyDescent="0.3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row>
    <row r="955" spans="1:30" ht="12.75" x14ac:dyDescent="0.3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spans="1:30" ht="12.75" x14ac:dyDescent="0.3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row>
    <row r="957" spans="1:30" ht="12.75" x14ac:dyDescent="0.3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spans="1:30" ht="12.75" x14ac:dyDescent="0.3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row>
    <row r="959" spans="1:30" ht="12.75" x14ac:dyDescent="0.3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spans="1:30" ht="12.75" x14ac:dyDescent="0.3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row>
    <row r="961" spans="1:30" ht="12.75" x14ac:dyDescent="0.3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spans="1:30" ht="12.75" x14ac:dyDescent="0.3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row>
    <row r="963" spans="1:30" ht="12.75" x14ac:dyDescent="0.3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spans="1:30" ht="12.75" x14ac:dyDescent="0.3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row>
    <row r="965" spans="1:30" ht="12.75" x14ac:dyDescent="0.3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spans="1:30" ht="12.75" x14ac:dyDescent="0.3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row>
    <row r="967" spans="1:30" ht="12.75" x14ac:dyDescent="0.3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spans="1:30" ht="12.75" x14ac:dyDescent="0.3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row>
    <row r="969" spans="1:30" ht="12.75" x14ac:dyDescent="0.3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spans="1:30" ht="12.75" x14ac:dyDescent="0.3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row>
    <row r="971" spans="1:30" ht="12.75" x14ac:dyDescent="0.3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spans="1:30" ht="12.75" x14ac:dyDescent="0.3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row>
    <row r="973" spans="1:30" ht="12.75" x14ac:dyDescent="0.3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spans="1:30" ht="12.75" x14ac:dyDescent="0.3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row>
    <row r="975" spans="1:30" ht="12.75" x14ac:dyDescent="0.3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spans="1:30" ht="12.75" x14ac:dyDescent="0.3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row>
    <row r="977" spans="1:30" ht="12.75" x14ac:dyDescent="0.3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spans="1:30" ht="12.75" x14ac:dyDescent="0.3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row>
    <row r="979" spans="1:30" ht="12.75" x14ac:dyDescent="0.3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spans="1:30" ht="12.75" x14ac:dyDescent="0.3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row>
    <row r="981" spans="1:30" ht="12.75" x14ac:dyDescent="0.3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spans="1:30" ht="12.75" x14ac:dyDescent="0.3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row>
    <row r="983" spans="1:30" ht="12.75" x14ac:dyDescent="0.3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spans="1:30" ht="12.75" x14ac:dyDescent="0.3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row>
    <row r="985" spans="1:30" ht="12.75" x14ac:dyDescent="0.3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row>
    <row r="986" spans="1:30" ht="12.75" x14ac:dyDescent="0.3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row>
    <row r="987" spans="1:30" ht="12.75" x14ac:dyDescent="0.3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row>
    <row r="988" spans="1:30" ht="12.75" x14ac:dyDescent="0.3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row>
    <row r="989" spans="1:30" ht="12.75" x14ac:dyDescent="0.3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row>
    <row r="990" spans="1:30" ht="12.75" x14ac:dyDescent="0.3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row>
    <row r="991" spans="1:30" ht="12.75" x14ac:dyDescent="0.3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row>
    <row r="992" spans="1:30" ht="12.75" x14ac:dyDescent="0.3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row>
    <row r="993" spans="1:30" ht="12.75" x14ac:dyDescent="0.3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row>
    <row r="994" spans="1:30" ht="12.75" x14ac:dyDescent="0.3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row>
    <row r="995" spans="1:30" ht="12.75" x14ac:dyDescent="0.3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row>
    <row r="996" spans="1:30" ht="12.75" x14ac:dyDescent="0.3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row>
    <row r="997" spans="1:30" ht="12.75" x14ac:dyDescent="0.3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row>
    <row r="998" spans="1:30" ht="12.75" x14ac:dyDescent="0.3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row>
    <row r="999" spans="1:30" ht="12.75" x14ac:dyDescent="0.35">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row>
    <row r="1000" spans="1:30" ht="12.75" x14ac:dyDescent="0.3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row r="1001" spans="1:30" ht="12.75" x14ac:dyDescent="0.35">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row>
    <row r="1002" spans="1:30" ht="12.75" x14ac:dyDescent="0.35">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row>
    <row r="1003" spans="1:30" ht="12.75" x14ac:dyDescent="0.35">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c r="AB1003" s="12"/>
      <c r="AC1003" s="12"/>
      <c r="AD1003" s="12"/>
    </row>
    <row r="1004" spans="1:30" ht="12.75" x14ac:dyDescent="0.35">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row>
    <row r="1005" spans="1:30" ht="12.75" x14ac:dyDescent="0.3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c r="AB1005" s="12"/>
      <c r="AC1005" s="12"/>
      <c r="AD1005" s="12"/>
    </row>
    <row r="1006" spans="1:30" ht="12.75" x14ac:dyDescent="0.35">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c r="AB1006" s="12"/>
      <c r="AC1006" s="12"/>
      <c r="AD1006" s="12"/>
    </row>
    <row r="1007" spans="1:30" ht="12.75" x14ac:dyDescent="0.35">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c r="AB1007" s="12"/>
      <c r="AC1007" s="12"/>
      <c r="AD1007" s="12"/>
    </row>
    <row r="1008" spans="1:30" ht="12.75" x14ac:dyDescent="0.35">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c r="AB1008" s="12"/>
      <c r="AC1008" s="12"/>
      <c r="AD1008" s="12"/>
    </row>
    <row r="1009" spans="1:30" ht="12.75" x14ac:dyDescent="0.35">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c r="AB1009" s="12"/>
      <c r="AC1009" s="12"/>
      <c r="AD1009" s="12"/>
    </row>
    <row r="1010" spans="1:30" ht="12.75" x14ac:dyDescent="0.35">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row>
    <row r="1011" spans="1:30" ht="12.75" x14ac:dyDescent="0.35">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row>
    <row r="1012" spans="1:30" ht="12.75" x14ac:dyDescent="0.35">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c r="AB1012" s="12"/>
      <c r="AC1012" s="12"/>
      <c r="AD1012" s="12"/>
    </row>
    <row r="1013" spans="1:30" ht="12.75" x14ac:dyDescent="0.35">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row>
    <row r="1014" spans="1:30" ht="12.75" x14ac:dyDescent="0.35">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row>
    <row r="1015" spans="1:30" ht="12.75" x14ac:dyDescent="0.35">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c r="AB1015" s="12"/>
      <c r="AC1015" s="12"/>
      <c r="AD1015" s="12"/>
    </row>
    <row r="1016" spans="1:30" ht="12.75" x14ac:dyDescent="0.35">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row>
    <row r="1017" spans="1:30" ht="12.75" x14ac:dyDescent="0.35">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c r="AB1017" s="12"/>
      <c r="AC1017" s="12"/>
      <c r="AD1017" s="12"/>
    </row>
    <row r="1018" spans="1:30" ht="12.75" x14ac:dyDescent="0.35">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c r="AB1018" s="12"/>
      <c r="AC1018" s="12"/>
      <c r="AD1018" s="12"/>
    </row>
    <row r="1019" spans="1:30" ht="12.75" x14ac:dyDescent="0.35">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c r="AB1019" s="12"/>
      <c r="AC1019" s="12"/>
      <c r="AD1019" s="12"/>
    </row>
    <row r="1020" spans="1:30" ht="12.75" x14ac:dyDescent="0.35">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c r="AA1020" s="12"/>
      <c r="AB1020" s="12"/>
      <c r="AC1020" s="12"/>
      <c r="AD1020" s="12"/>
    </row>
    <row r="1021" spans="1:30" ht="12.75" x14ac:dyDescent="0.35">
      <c r="A1021" s="12"/>
      <c r="B1021" s="12"/>
      <c r="C1021" s="12"/>
      <c r="D1021" s="12"/>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c r="AA1021" s="12"/>
      <c r="AB1021" s="12"/>
      <c r="AC1021" s="12"/>
      <c r="AD1021" s="12"/>
    </row>
    <row r="1022" spans="1:30" ht="12.75" x14ac:dyDescent="0.35">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row>
    <row r="1023" spans="1:30" ht="12.75" x14ac:dyDescent="0.35">
      <c r="A1023" s="12"/>
      <c r="B1023" s="12"/>
      <c r="C1023" s="12"/>
      <c r="D1023" s="12"/>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row>
    <row r="1024" spans="1:30" ht="12.75" x14ac:dyDescent="0.35">
      <c r="A1024" s="12"/>
      <c r="B1024" s="12"/>
      <c r="C1024" s="12"/>
      <c r="D1024" s="12"/>
      <c r="E1024" s="12"/>
      <c r="F1024" s="12"/>
      <c r="G1024" s="12"/>
      <c r="H1024" s="12"/>
      <c r="I1024" s="12"/>
      <c r="J1024" s="12"/>
      <c r="K1024" s="12"/>
      <c r="L1024" s="12"/>
      <c r="M1024" s="12"/>
      <c r="N1024" s="12"/>
      <c r="O1024" s="12"/>
      <c r="P1024" s="12"/>
      <c r="Q1024" s="12"/>
      <c r="R1024" s="12"/>
      <c r="S1024" s="12"/>
      <c r="T1024" s="12"/>
      <c r="U1024" s="12"/>
      <c r="V1024" s="12"/>
      <c r="W1024" s="12"/>
      <c r="X1024" s="12"/>
      <c r="Y1024" s="12"/>
      <c r="Z1024" s="12"/>
      <c r="AA1024" s="12"/>
      <c r="AB1024" s="12"/>
      <c r="AC1024" s="12"/>
      <c r="AD1024" s="12"/>
    </row>
    <row r="1025" spans="1:30" ht="12.75" x14ac:dyDescent="0.35">
      <c r="A1025" s="12"/>
      <c r="B1025" s="12"/>
      <c r="C1025" s="12"/>
      <c r="D1025" s="12"/>
      <c r="E1025" s="12"/>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row>
    <row r="1026" spans="1:30" ht="12.75" x14ac:dyDescent="0.35">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row>
    <row r="1027" spans="1:30" ht="12.75" x14ac:dyDescent="0.35">
      <c r="A1027" s="12"/>
      <c r="B1027" s="12"/>
      <c r="C1027" s="12"/>
      <c r="D1027" s="12"/>
      <c r="E1027" s="12"/>
      <c r="F1027" s="12"/>
      <c r="G1027" s="12"/>
      <c r="H1027" s="12"/>
      <c r="I1027" s="12"/>
      <c r="J1027" s="12"/>
      <c r="K1027" s="12"/>
      <c r="L1027" s="12"/>
      <c r="M1027" s="12"/>
      <c r="N1027" s="12"/>
      <c r="O1027" s="12"/>
      <c r="P1027" s="12"/>
      <c r="Q1027" s="12"/>
      <c r="R1027" s="12"/>
      <c r="S1027" s="12"/>
      <c r="T1027" s="12"/>
      <c r="U1027" s="12"/>
      <c r="V1027" s="12"/>
      <c r="W1027" s="12"/>
      <c r="X1027" s="12"/>
      <c r="Y1027" s="12"/>
      <c r="Z1027" s="12"/>
      <c r="AA1027" s="12"/>
      <c r="AB1027" s="12"/>
      <c r="AC1027" s="12"/>
      <c r="AD1027" s="12"/>
    </row>
    <row r="1028" spans="1:30" ht="12.75" x14ac:dyDescent="0.35">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row>
    <row r="1029" spans="1:30" ht="12.75" x14ac:dyDescent="0.35">
      <c r="A1029" s="12"/>
      <c r="B1029" s="12"/>
      <c r="C1029" s="12"/>
      <c r="D1029" s="12"/>
      <c r="E1029" s="12"/>
      <c r="F1029" s="12"/>
      <c r="G1029" s="12"/>
      <c r="H1029" s="12"/>
      <c r="I1029" s="12"/>
      <c r="J1029" s="12"/>
      <c r="K1029" s="12"/>
      <c r="L1029" s="12"/>
      <c r="M1029" s="12"/>
      <c r="N1029" s="12"/>
      <c r="O1029" s="12"/>
      <c r="P1029" s="12"/>
      <c r="Q1029" s="12"/>
      <c r="R1029" s="12"/>
      <c r="S1029" s="12"/>
      <c r="T1029" s="12"/>
      <c r="U1029" s="12"/>
      <c r="V1029" s="12"/>
      <c r="W1029" s="12"/>
      <c r="X1029" s="12"/>
      <c r="Y1029" s="12"/>
      <c r="Z1029" s="12"/>
      <c r="AA1029" s="12"/>
      <c r="AB1029" s="12"/>
      <c r="AC1029" s="12"/>
      <c r="AD1029" s="12"/>
    </row>
    <row r="1030" spans="1:30" ht="12.75" x14ac:dyDescent="0.35">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c r="W1030" s="12"/>
      <c r="X1030" s="12"/>
      <c r="Y1030" s="12"/>
      <c r="Z1030" s="12"/>
      <c r="AA1030" s="12"/>
      <c r="AB1030" s="12"/>
      <c r="AC1030" s="12"/>
      <c r="AD1030" s="12"/>
    </row>
    <row r="1031" spans="1:30" ht="12.75" x14ac:dyDescent="0.35">
      <c r="A1031" s="12"/>
      <c r="B1031" s="12"/>
      <c r="C1031" s="12"/>
      <c r="D1031" s="12"/>
      <c r="E1031" s="12"/>
      <c r="F1031" s="12"/>
      <c r="G1031" s="12"/>
      <c r="H1031" s="12"/>
      <c r="I1031" s="12"/>
      <c r="J1031" s="12"/>
      <c r="K1031" s="12"/>
      <c r="L1031" s="12"/>
      <c r="M1031" s="12"/>
      <c r="N1031" s="12"/>
      <c r="O1031" s="12"/>
      <c r="P1031" s="12"/>
      <c r="Q1031" s="12"/>
      <c r="R1031" s="12"/>
      <c r="S1031" s="12"/>
      <c r="T1031" s="12"/>
      <c r="U1031" s="12"/>
      <c r="V1031" s="12"/>
      <c r="W1031" s="12"/>
      <c r="X1031" s="12"/>
      <c r="Y1031" s="12"/>
      <c r="Z1031" s="12"/>
      <c r="AA1031" s="12"/>
      <c r="AB1031" s="12"/>
      <c r="AC1031" s="12"/>
      <c r="AD1031" s="12"/>
    </row>
    <row r="1032" spans="1:30" ht="12.75" x14ac:dyDescent="0.35">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c r="W1032" s="12"/>
      <c r="X1032" s="12"/>
      <c r="Y1032" s="12"/>
      <c r="Z1032" s="12"/>
      <c r="AA1032" s="12"/>
      <c r="AB1032" s="12"/>
      <c r="AC1032" s="12"/>
      <c r="AD1032" s="12"/>
    </row>
    <row r="1033" spans="1:30" ht="12.75" x14ac:dyDescent="0.35">
      <c r="A1033" s="12"/>
      <c r="B1033" s="12"/>
      <c r="C1033" s="12"/>
      <c r="D1033" s="12"/>
      <c r="E1033" s="12"/>
      <c r="F1033" s="12"/>
      <c r="G1033" s="12"/>
      <c r="H1033" s="12"/>
      <c r="I1033" s="12"/>
      <c r="J1033" s="12"/>
      <c r="K1033" s="12"/>
      <c r="L1033" s="12"/>
      <c r="M1033" s="12"/>
      <c r="N1033" s="12"/>
      <c r="O1033" s="12"/>
      <c r="P1033" s="12"/>
      <c r="Q1033" s="12"/>
      <c r="R1033" s="12"/>
      <c r="S1033" s="12"/>
      <c r="T1033" s="12"/>
      <c r="U1033" s="12"/>
      <c r="V1033" s="12"/>
      <c r="W1033" s="12"/>
      <c r="X1033" s="12"/>
      <c r="Y1033" s="12"/>
      <c r="Z1033" s="12"/>
      <c r="AA1033" s="12"/>
      <c r="AB1033" s="12"/>
      <c r="AC1033" s="12"/>
      <c r="AD1033" s="12"/>
    </row>
    <row r="1034" spans="1:30" ht="12.75" x14ac:dyDescent="0.35">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row>
    <row r="1035" spans="1:30" ht="12.75" x14ac:dyDescent="0.35">
      <c r="A1035" s="12"/>
      <c r="B1035" s="12"/>
      <c r="C1035" s="12"/>
      <c r="D1035" s="12"/>
      <c r="E1035" s="12"/>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row>
    <row r="1036" spans="1:30" ht="12.75" x14ac:dyDescent="0.35">
      <c r="A1036" s="12"/>
      <c r="B1036" s="12"/>
      <c r="C1036" s="12"/>
      <c r="D1036" s="12"/>
      <c r="E1036" s="12"/>
      <c r="F1036" s="12"/>
      <c r="G1036" s="12"/>
      <c r="H1036" s="12"/>
      <c r="I1036" s="12"/>
      <c r="J1036" s="12"/>
      <c r="K1036" s="12"/>
      <c r="L1036" s="12"/>
      <c r="M1036" s="12"/>
      <c r="N1036" s="12"/>
      <c r="O1036" s="12"/>
      <c r="P1036" s="12"/>
      <c r="Q1036" s="12"/>
      <c r="R1036" s="12"/>
      <c r="S1036" s="12"/>
      <c r="T1036" s="12"/>
      <c r="U1036" s="12"/>
      <c r="V1036" s="12"/>
      <c r="W1036" s="12"/>
      <c r="X1036" s="12"/>
      <c r="Y1036" s="12"/>
      <c r="Z1036" s="12"/>
      <c r="AA1036" s="12"/>
      <c r="AB1036" s="12"/>
      <c r="AC1036" s="12"/>
      <c r="AD1036" s="12"/>
    </row>
    <row r="1037" spans="1:30" ht="12.75" x14ac:dyDescent="0.35">
      <c r="A1037" s="12"/>
      <c r="B1037" s="12"/>
      <c r="C1037" s="12"/>
      <c r="D1037" s="12"/>
      <c r="E1037" s="12"/>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row>
    <row r="1038" spans="1:30" ht="12.75" x14ac:dyDescent="0.35">
      <c r="A1038" s="12"/>
      <c r="B1038" s="12"/>
      <c r="C1038" s="12"/>
      <c r="D1038" s="12"/>
      <c r="E1038" s="12"/>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row>
    <row r="1039" spans="1:30" ht="12.75" x14ac:dyDescent="0.35">
      <c r="A1039" s="12"/>
      <c r="B1039" s="12"/>
      <c r="C1039" s="12"/>
      <c r="D1039" s="12"/>
      <c r="E1039" s="12"/>
      <c r="F1039" s="12"/>
      <c r="G1039" s="12"/>
      <c r="H1039" s="12"/>
      <c r="I1039" s="12"/>
      <c r="J1039" s="12"/>
      <c r="K1039" s="12"/>
      <c r="L1039" s="12"/>
      <c r="M1039" s="12"/>
      <c r="N1039" s="12"/>
      <c r="O1039" s="12"/>
      <c r="P1039" s="12"/>
      <c r="Q1039" s="12"/>
      <c r="R1039" s="12"/>
      <c r="S1039" s="12"/>
      <c r="T1039" s="12"/>
      <c r="U1039" s="12"/>
      <c r="V1039" s="12"/>
      <c r="W1039" s="12"/>
      <c r="X1039" s="12"/>
      <c r="Y1039" s="12"/>
      <c r="Z1039" s="12"/>
      <c r="AA1039" s="12"/>
      <c r="AB1039" s="12"/>
      <c r="AC1039" s="12"/>
      <c r="AD1039" s="12"/>
    </row>
    <row r="1040" spans="1:30" ht="12.75" x14ac:dyDescent="0.35">
      <c r="A1040" s="12"/>
      <c r="B1040" s="12"/>
      <c r="C1040" s="12"/>
      <c r="D1040" s="12"/>
      <c r="E1040" s="12"/>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row>
    <row r="1041" spans="1:30" ht="12.75" x14ac:dyDescent="0.35">
      <c r="A1041" s="12"/>
      <c r="B1041" s="12"/>
      <c r="C1041" s="12"/>
      <c r="D1041" s="12"/>
      <c r="E1041" s="12"/>
      <c r="F1041" s="12"/>
      <c r="G1041" s="12"/>
      <c r="H1041" s="12"/>
      <c r="I1041" s="12"/>
      <c r="J1041" s="12"/>
      <c r="K1041" s="12"/>
      <c r="L1041" s="12"/>
      <c r="M1041" s="12"/>
      <c r="N1041" s="12"/>
      <c r="O1041" s="12"/>
      <c r="P1041" s="12"/>
      <c r="Q1041" s="12"/>
      <c r="R1041" s="12"/>
      <c r="S1041" s="12"/>
      <c r="T1041" s="12"/>
      <c r="U1041" s="12"/>
      <c r="V1041" s="12"/>
      <c r="W1041" s="12"/>
      <c r="X1041" s="12"/>
      <c r="Y1041" s="12"/>
      <c r="Z1041" s="12"/>
      <c r="AA1041" s="12"/>
      <c r="AB1041" s="12"/>
      <c r="AC1041" s="12"/>
      <c r="AD1041" s="12"/>
    </row>
    <row r="1042" spans="1:30" ht="12.75" x14ac:dyDescent="0.35">
      <c r="A1042" s="12"/>
      <c r="B1042" s="12"/>
      <c r="C1042" s="12"/>
      <c r="D1042" s="12"/>
      <c r="E1042" s="12"/>
      <c r="F1042" s="12"/>
      <c r="G1042" s="12"/>
      <c r="H1042" s="12"/>
      <c r="I1042" s="12"/>
      <c r="J1042" s="12"/>
      <c r="K1042" s="12"/>
      <c r="L1042" s="12"/>
      <c r="M1042" s="12"/>
      <c r="N1042" s="12"/>
      <c r="O1042" s="12"/>
      <c r="P1042" s="12"/>
      <c r="Q1042" s="12"/>
      <c r="R1042" s="12"/>
      <c r="S1042" s="12"/>
      <c r="T1042" s="12"/>
      <c r="U1042" s="12"/>
      <c r="V1042" s="12"/>
      <c r="W1042" s="12"/>
      <c r="X1042" s="12"/>
      <c r="Y1042" s="12"/>
      <c r="Z1042" s="12"/>
      <c r="AA1042" s="12"/>
      <c r="AB1042" s="12"/>
      <c r="AC1042" s="12"/>
      <c r="AD1042" s="12"/>
    </row>
    <row r="1043" spans="1:30" ht="12.75" x14ac:dyDescent="0.35">
      <c r="A1043" s="12"/>
      <c r="B1043" s="12"/>
      <c r="C1043" s="12"/>
      <c r="D1043" s="12"/>
      <c r="E1043" s="12"/>
      <c r="F1043" s="12"/>
      <c r="G1043" s="12"/>
      <c r="H1043" s="12"/>
      <c r="I1043" s="12"/>
      <c r="J1043" s="12"/>
      <c r="K1043" s="12"/>
      <c r="L1043" s="12"/>
      <c r="M1043" s="12"/>
      <c r="N1043" s="12"/>
      <c r="O1043" s="12"/>
      <c r="P1043" s="12"/>
      <c r="Q1043" s="12"/>
      <c r="R1043" s="12"/>
      <c r="S1043" s="12"/>
      <c r="T1043" s="12"/>
      <c r="U1043" s="12"/>
      <c r="V1043" s="12"/>
      <c r="W1043" s="12"/>
      <c r="X1043" s="12"/>
      <c r="Y1043" s="12"/>
      <c r="Z1043" s="12"/>
      <c r="AA1043" s="12"/>
      <c r="AB1043" s="12"/>
      <c r="AC1043" s="12"/>
      <c r="AD1043" s="12"/>
    </row>
    <row r="1044" spans="1:30" ht="12.75" x14ac:dyDescent="0.35">
      <c r="A1044" s="12"/>
      <c r="B1044" s="12"/>
      <c r="C1044" s="12"/>
      <c r="D1044" s="12"/>
      <c r="E1044" s="12"/>
      <c r="F1044" s="12"/>
      <c r="G1044" s="12"/>
      <c r="H1044" s="12"/>
      <c r="I1044" s="12"/>
      <c r="J1044" s="12"/>
      <c r="K1044" s="12"/>
      <c r="L1044" s="12"/>
      <c r="M1044" s="12"/>
      <c r="N1044" s="12"/>
      <c r="O1044" s="12"/>
      <c r="P1044" s="12"/>
      <c r="Q1044" s="12"/>
      <c r="R1044" s="12"/>
      <c r="S1044" s="12"/>
      <c r="T1044" s="12"/>
      <c r="U1044" s="12"/>
      <c r="V1044" s="12"/>
      <c r="W1044" s="12"/>
      <c r="X1044" s="12"/>
      <c r="Y1044" s="12"/>
      <c r="Z1044" s="12"/>
      <c r="AA1044" s="12"/>
      <c r="AB1044" s="12"/>
      <c r="AC1044" s="12"/>
      <c r="AD1044" s="12"/>
    </row>
    <row r="1045" spans="1:30" ht="12.75" x14ac:dyDescent="0.35">
      <c r="A1045" s="12"/>
      <c r="B1045" s="12"/>
      <c r="C1045" s="12"/>
      <c r="D1045" s="12"/>
      <c r="E1045" s="12"/>
      <c r="F1045" s="12"/>
      <c r="G1045" s="12"/>
      <c r="H1045" s="12"/>
      <c r="I1045" s="12"/>
      <c r="J1045" s="12"/>
      <c r="K1045" s="12"/>
      <c r="L1045" s="12"/>
      <c r="M1045" s="12"/>
      <c r="N1045" s="12"/>
      <c r="O1045" s="12"/>
      <c r="P1045" s="12"/>
      <c r="Q1045" s="12"/>
      <c r="R1045" s="12"/>
      <c r="S1045" s="12"/>
      <c r="T1045" s="12"/>
      <c r="U1045" s="12"/>
      <c r="V1045" s="12"/>
      <c r="W1045" s="12"/>
      <c r="X1045" s="12"/>
      <c r="Y1045" s="12"/>
      <c r="Z1045" s="12"/>
      <c r="AA1045" s="12"/>
      <c r="AB1045" s="12"/>
      <c r="AC1045" s="12"/>
      <c r="AD1045" s="12"/>
    </row>
    <row r="1046" spans="1:30" ht="12.75" x14ac:dyDescent="0.35">
      <c r="A1046" s="12"/>
      <c r="B1046" s="12"/>
      <c r="C1046" s="12"/>
      <c r="D1046" s="12"/>
      <c r="E1046" s="12"/>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row>
    <row r="1047" spans="1:30" ht="12.75" x14ac:dyDescent="0.35">
      <c r="A1047" s="12"/>
      <c r="B1047" s="12"/>
      <c r="C1047" s="12"/>
      <c r="D1047" s="12"/>
      <c r="E1047" s="12"/>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row>
    <row r="1048" spans="1:30" ht="12.75" x14ac:dyDescent="0.35">
      <c r="A1048" s="12"/>
      <c r="B1048" s="12"/>
      <c r="C1048" s="12"/>
      <c r="D1048" s="12"/>
      <c r="E1048" s="12"/>
      <c r="F1048" s="12"/>
      <c r="G1048" s="12"/>
      <c r="H1048" s="12"/>
      <c r="I1048" s="12"/>
      <c r="J1048" s="12"/>
      <c r="K1048" s="12"/>
      <c r="L1048" s="12"/>
      <c r="M1048" s="12"/>
      <c r="N1048" s="12"/>
      <c r="O1048" s="12"/>
      <c r="P1048" s="12"/>
      <c r="Q1048" s="12"/>
      <c r="R1048" s="12"/>
      <c r="S1048" s="12"/>
      <c r="T1048" s="12"/>
      <c r="U1048" s="12"/>
      <c r="V1048" s="12"/>
      <c r="W1048" s="12"/>
      <c r="X1048" s="12"/>
      <c r="Y1048" s="12"/>
      <c r="Z1048" s="12"/>
      <c r="AA1048" s="12"/>
      <c r="AB1048" s="12"/>
      <c r="AC1048" s="12"/>
      <c r="AD1048" s="12"/>
    </row>
    <row r="1049" spans="1:30" ht="12.75" x14ac:dyDescent="0.35">
      <c r="A1049" s="12"/>
      <c r="B1049" s="12"/>
      <c r="C1049" s="12"/>
      <c r="D1049" s="12"/>
      <c r="E1049" s="12"/>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row>
    <row r="1050" spans="1:30" ht="12.75" x14ac:dyDescent="0.35">
      <c r="A1050" s="12"/>
      <c r="B1050" s="12"/>
      <c r="C1050" s="12"/>
      <c r="D1050" s="12"/>
      <c r="E1050" s="12"/>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row>
    <row r="1051" spans="1:30" ht="12.75" x14ac:dyDescent="0.35">
      <c r="A1051" s="12"/>
      <c r="B1051" s="12"/>
      <c r="C1051" s="12"/>
      <c r="D1051" s="12"/>
      <c r="E1051" s="12"/>
      <c r="F1051" s="12"/>
      <c r="G1051" s="12"/>
      <c r="H1051" s="12"/>
      <c r="I1051" s="12"/>
      <c r="J1051" s="12"/>
      <c r="K1051" s="12"/>
      <c r="L1051" s="12"/>
      <c r="M1051" s="12"/>
      <c r="N1051" s="12"/>
      <c r="O1051" s="12"/>
      <c r="P1051" s="12"/>
      <c r="Q1051" s="12"/>
      <c r="R1051" s="12"/>
      <c r="S1051" s="12"/>
      <c r="T1051" s="12"/>
      <c r="U1051" s="12"/>
      <c r="V1051" s="12"/>
      <c r="W1051" s="12"/>
      <c r="X1051" s="12"/>
      <c r="Y1051" s="12"/>
      <c r="Z1051" s="12"/>
      <c r="AA1051" s="12"/>
      <c r="AB1051" s="12"/>
      <c r="AC1051" s="12"/>
      <c r="AD1051" s="12"/>
    </row>
    <row r="1052" spans="1:30" ht="12.75" x14ac:dyDescent="0.35">
      <c r="A1052" s="12"/>
      <c r="B1052" s="12"/>
      <c r="C1052" s="12"/>
      <c r="D1052" s="12"/>
      <c r="E1052" s="12"/>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row>
    <row r="1053" spans="1:30" ht="12.75" x14ac:dyDescent="0.35">
      <c r="A1053" s="12"/>
      <c r="B1053" s="12"/>
      <c r="C1053" s="12"/>
      <c r="D1053" s="12"/>
      <c r="E1053" s="12"/>
      <c r="F1053" s="12"/>
      <c r="G1053" s="12"/>
      <c r="H1053" s="12"/>
      <c r="I1053" s="12"/>
      <c r="J1053" s="12"/>
      <c r="K1053" s="12"/>
      <c r="L1053" s="12"/>
      <c r="M1053" s="12"/>
      <c r="N1053" s="12"/>
      <c r="O1053" s="12"/>
      <c r="P1053" s="12"/>
      <c r="Q1053" s="12"/>
      <c r="R1053" s="12"/>
      <c r="S1053" s="12"/>
      <c r="T1053" s="12"/>
      <c r="U1053" s="12"/>
      <c r="V1053" s="12"/>
      <c r="W1053" s="12"/>
      <c r="X1053" s="12"/>
      <c r="Y1053" s="12"/>
      <c r="Z1053" s="12"/>
      <c r="AA1053" s="12"/>
      <c r="AB1053" s="12"/>
      <c r="AC1053" s="12"/>
      <c r="AD1053" s="12"/>
    </row>
    <row r="1054" spans="1:30" ht="12.75" x14ac:dyDescent="0.35">
      <c r="A1054" s="12"/>
      <c r="B1054" s="12"/>
      <c r="C1054" s="12"/>
      <c r="D1054" s="12"/>
      <c r="E1054" s="12"/>
      <c r="F1054" s="12"/>
      <c r="G1054" s="12"/>
      <c r="H1054" s="12"/>
      <c r="I1054" s="12"/>
      <c r="J1054" s="12"/>
      <c r="K1054" s="12"/>
      <c r="L1054" s="12"/>
      <c r="M1054" s="12"/>
      <c r="N1054" s="12"/>
      <c r="O1054" s="12"/>
      <c r="P1054" s="12"/>
      <c r="Q1054" s="12"/>
      <c r="R1054" s="12"/>
      <c r="S1054" s="12"/>
      <c r="T1054" s="12"/>
      <c r="U1054" s="12"/>
      <c r="V1054" s="12"/>
      <c r="W1054" s="12"/>
      <c r="X1054" s="12"/>
      <c r="Y1054" s="12"/>
      <c r="Z1054" s="12"/>
      <c r="AA1054" s="12"/>
      <c r="AB1054" s="12"/>
      <c r="AC1054" s="12"/>
      <c r="AD1054" s="12"/>
    </row>
    <row r="1055" spans="1:30" ht="12.75" x14ac:dyDescent="0.35">
      <c r="A1055" s="12"/>
      <c r="B1055" s="12"/>
      <c r="C1055" s="12"/>
      <c r="D1055" s="12"/>
      <c r="E1055" s="12"/>
      <c r="F1055" s="12"/>
      <c r="G1055" s="12"/>
      <c r="H1055" s="12"/>
      <c r="I1055" s="12"/>
      <c r="J1055" s="12"/>
      <c r="K1055" s="12"/>
      <c r="L1055" s="12"/>
      <c r="M1055" s="12"/>
      <c r="N1055" s="12"/>
      <c r="O1055" s="12"/>
      <c r="P1055" s="12"/>
      <c r="Q1055" s="12"/>
      <c r="R1055" s="12"/>
      <c r="S1055" s="12"/>
      <c r="T1055" s="12"/>
      <c r="U1055" s="12"/>
      <c r="V1055" s="12"/>
      <c r="W1055" s="12"/>
      <c r="X1055" s="12"/>
      <c r="Y1055" s="12"/>
      <c r="Z1055" s="12"/>
      <c r="AA1055" s="12"/>
      <c r="AB1055" s="12"/>
      <c r="AC1055" s="12"/>
      <c r="AD1055" s="12"/>
    </row>
    <row r="1056" spans="1:30" ht="12.75" x14ac:dyDescent="0.35">
      <c r="A1056" s="12"/>
      <c r="B1056" s="12"/>
      <c r="C1056" s="12"/>
      <c r="D1056" s="12"/>
      <c r="E1056" s="12"/>
      <c r="F1056" s="12"/>
      <c r="G1056" s="12"/>
      <c r="H1056" s="12"/>
      <c r="I1056" s="12"/>
      <c r="J1056" s="12"/>
      <c r="K1056" s="12"/>
      <c r="L1056" s="12"/>
      <c r="M1056" s="12"/>
      <c r="N1056" s="12"/>
      <c r="O1056" s="12"/>
      <c r="P1056" s="12"/>
      <c r="Q1056" s="12"/>
      <c r="R1056" s="12"/>
      <c r="S1056" s="12"/>
      <c r="T1056" s="12"/>
      <c r="U1056" s="12"/>
      <c r="V1056" s="12"/>
      <c r="W1056" s="12"/>
      <c r="X1056" s="12"/>
      <c r="Y1056" s="12"/>
      <c r="Z1056" s="12"/>
      <c r="AA1056" s="12"/>
      <c r="AB1056" s="12"/>
      <c r="AC1056" s="12"/>
      <c r="AD1056" s="12"/>
    </row>
    <row r="1057" spans="1:30" ht="12.75" x14ac:dyDescent="0.35">
      <c r="A1057" s="12"/>
      <c r="B1057" s="12"/>
      <c r="C1057" s="12"/>
      <c r="D1057" s="12"/>
      <c r="E1057" s="12"/>
      <c r="F1057" s="12"/>
      <c r="G1057" s="12"/>
      <c r="H1057" s="12"/>
      <c r="I1057" s="12"/>
      <c r="J1057" s="12"/>
      <c r="K1057" s="12"/>
      <c r="L1057" s="12"/>
      <c r="M1057" s="12"/>
      <c r="N1057" s="12"/>
      <c r="O1057" s="12"/>
      <c r="P1057" s="12"/>
      <c r="Q1057" s="12"/>
      <c r="R1057" s="12"/>
      <c r="S1057" s="12"/>
      <c r="T1057" s="12"/>
      <c r="U1057" s="12"/>
      <c r="V1057" s="12"/>
      <c r="W1057" s="12"/>
      <c r="X1057" s="12"/>
      <c r="Y1057" s="12"/>
      <c r="Z1057" s="12"/>
      <c r="AA1057" s="12"/>
      <c r="AB1057" s="12"/>
      <c r="AC1057" s="12"/>
      <c r="AD1057" s="12"/>
    </row>
    <row r="1058" spans="1:30" ht="12.75" x14ac:dyDescent="0.35">
      <c r="A1058" s="12"/>
      <c r="B1058" s="12"/>
      <c r="C1058" s="12"/>
      <c r="D1058" s="12"/>
      <c r="E1058" s="12"/>
      <c r="F1058" s="12"/>
      <c r="G1058" s="12"/>
      <c r="H1058" s="12"/>
      <c r="I1058" s="12"/>
      <c r="J1058" s="12"/>
      <c r="K1058" s="12"/>
      <c r="L1058" s="12"/>
      <c r="M1058" s="12"/>
      <c r="N1058" s="12"/>
      <c r="O1058" s="12"/>
      <c r="P1058" s="12"/>
      <c r="Q1058" s="12"/>
      <c r="R1058" s="12"/>
      <c r="S1058" s="12"/>
      <c r="T1058" s="12"/>
      <c r="U1058" s="12"/>
      <c r="V1058" s="12"/>
      <c r="W1058" s="12"/>
      <c r="X1058" s="12"/>
      <c r="Y1058" s="12"/>
      <c r="Z1058" s="12"/>
      <c r="AA1058" s="12"/>
      <c r="AB1058" s="12"/>
      <c r="AC1058" s="12"/>
      <c r="AD1058" s="12"/>
    </row>
    <row r="1059" spans="1:30" ht="12.75" x14ac:dyDescent="0.35">
      <c r="A1059" s="12"/>
      <c r="B1059" s="12"/>
      <c r="C1059" s="12"/>
      <c r="D1059" s="12"/>
      <c r="E1059" s="12"/>
      <c r="F1059" s="12"/>
      <c r="G1059" s="12"/>
      <c r="H1059" s="12"/>
      <c r="I1059" s="12"/>
      <c r="J1059" s="12"/>
      <c r="K1059" s="12"/>
      <c r="L1059" s="12"/>
      <c r="M1059" s="12"/>
      <c r="N1059" s="12"/>
      <c r="O1059" s="12"/>
      <c r="P1059" s="12"/>
      <c r="Q1059" s="12"/>
      <c r="R1059" s="12"/>
      <c r="S1059" s="12"/>
      <c r="T1059" s="12"/>
      <c r="U1059" s="12"/>
      <c r="V1059" s="12"/>
      <c r="W1059" s="12"/>
      <c r="X1059" s="12"/>
      <c r="Y1059" s="12"/>
      <c r="Z1059" s="12"/>
      <c r="AA1059" s="12"/>
      <c r="AB1059" s="12"/>
      <c r="AC1059" s="12"/>
      <c r="AD1059" s="12"/>
    </row>
    <row r="1060" spans="1:30" ht="12.75" x14ac:dyDescent="0.35">
      <c r="A1060" s="12"/>
      <c r="B1060" s="12"/>
      <c r="C1060" s="12"/>
      <c r="D1060" s="12"/>
      <c r="E1060" s="12"/>
      <c r="F1060" s="12"/>
      <c r="G1060" s="12"/>
      <c r="H1060" s="12"/>
      <c r="I1060" s="12"/>
      <c r="J1060" s="12"/>
      <c r="K1060" s="12"/>
      <c r="L1060" s="12"/>
      <c r="M1060" s="12"/>
      <c r="N1060" s="12"/>
      <c r="O1060" s="12"/>
      <c r="P1060" s="12"/>
      <c r="Q1060" s="12"/>
      <c r="R1060" s="12"/>
      <c r="S1060" s="12"/>
      <c r="T1060" s="12"/>
      <c r="U1060" s="12"/>
      <c r="V1060" s="12"/>
      <c r="W1060" s="12"/>
      <c r="X1060" s="12"/>
      <c r="Y1060" s="12"/>
      <c r="Z1060" s="12"/>
      <c r="AA1060" s="12"/>
      <c r="AB1060" s="12"/>
      <c r="AC1060" s="12"/>
      <c r="AD1060" s="12"/>
    </row>
    <row r="1061" spans="1:30" ht="12.75" x14ac:dyDescent="0.35">
      <c r="A1061" s="12"/>
      <c r="B1061" s="12"/>
      <c r="C1061" s="12"/>
      <c r="D1061" s="12"/>
      <c r="E1061" s="12"/>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c r="AB1061" s="12"/>
      <c r="AC1061" s="12"/>
      <c r="AD1061" s="12"/>
    </row>
    <row r="1062" spans="1:30" ht="12.75" x14ac:dyDescent="0.35">
      <c r="A1062" s="12"/>
      <c r="B1062" s="12"/>
      <c r="C1062" s="12"/>
      <c r="D1062" s="12"/>
      <c r="E1062" s="12"/>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c r="AB1062" s="12"/>
      <c r="AC1062" s="12"/>
      <c r="AD1062" s="12"/>
    </row>
    <row r="1063" spans="1:30" ht="12.75" x14ac:dyDescent="0.35">
      <c r="A1063" s="12"/>
      <c r="B1063" s="12"/>
      <c r="C1063" s="12"/>
      <c r="D1063" s="12"/>
      <c r="E1063" s="12"/>
      <c r="F1063" s="12"/>
      <c r="G1063" s="12"/>
      <c r="H1063" s="12"/>
      <c r="I1063" s="12"/>
      <c r="J1063" s="12"/>
      <c r="K1063" s="12"/>
      <c r="L1063" s="12"/>
      <c r="M1063" s="12"/>
      <c r="N1063" s="12"/>
      <c r="O1063" s="12"/>
      <c r="P1063" s="12"/>
      <c r="Q1063" s="12"/>
      <c r="R1063" s="12"/>
      <c r="S1063" s="12"/>
      <c r="T1063" s="12"/>
      <c r="U1063" s="12"/>
      <c r="V1063" s="12"/>
      <c r="W1063" s="12"/>
      <c r="X1063" s="12"/>
      <c r="Y1063" s="12"/>
      <c r="Z1063" s="12"/>
      <c r="AA1063" s="12"/>
      <c r="AB1063" s="12"/>
      <c r="AC1063" s="12"/>
      <c r="AD1063" s="12"/>
    </row>
    <row r="1064" spans="1:30" ht="12.75" x14ac:dyDescent="0.35">
      <c r="A1064" s="12"/>
      <c r="B1064" s="12"/>
      <c r="C1064" s="12"/>
      <c r="D1064" s="12"/>
      <c r="E1064" s="12"/>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row>
    <row r="1065" spans="1:30" ht="12.75" x14ac:dyDescent="0.35">
      <c r="A1065" s="12"/>
      <c r="B1065" s="12"/>
      <c r="C1065" s="12"/>
      <c r="D1065" s="12"/>
      <c r="E1065" s="12"/>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c r="AB1065" s="12"/>
      <c r="AC1065" s="12"/>
      <c r="AD1065" s="12"/>
    </row>
    <row r="1066" spans="1:30" ht="12.75" x14ac:dyDescent="0.35">
      <c r="A1066" s="12"/>
      <c r="B1066" s="12"/>
      <c r="C1066" s="12"/>
      <c r="D1066" s="12"/>
      <c r="E1066" s="12"/>
      <c r="F1066" s="12"/>
      <c r="G1066" s="12"/>
      <c r="H1066" s="12"/>
      <c r="I1066" s="12"/>
      <c r="J1066" s="12"/>
      <c r="K1066" s="12"/>
      <c r="L1066" s="12"/>
      <c r="M1066" s="12"/>
      <c r="N1066" s="12"/>
      <c r="O1066" s="12"/>
      <c r="P1066" s="12"/>
      <c r="Q1066" s="12"/>
      <c r="R1066" s="12"/>
      <c r="S1066" s="12"/>
      <c r="T1066" s="12"/>
      <c r="U1066" s="12"/>
      <c r="V1066" s="12"/>
      <c r="W1066" s="12"/>
      <c r="X1066" s="12"/>
      <c r="Y1066" s="12"/>
      <c r="Z1066" s="12"/>
      <c r="AA1066" s="12"/>
      <c r="AB1066" s="12"/>
      <c r="AC1066" s="12"/>
      <c r="AD1066" s="12"/>
    </row>
    <row r="1067" spans="1:30" ht="12.75" x14ac:dyDescent="0.35">
      <c r="A1067" s="12"/>
      <c r="B1067" s="12"/>
      <c r="C1067" s="12"/>
      <c r="D1067" s="12"/>
      <c r="E1067" s="12"/>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c r="AB1067" s="12"/>
      <c r="AC1067" s="12"/>
      <c r="AD1067" s="12"/>
    </row>
    <row r="1068" spans="1:30" ht="12.75" x14ac:dyDescent="0.35">
      <c r="A1068" s="12"/>
      <c r="B1068" s="12"/>
      <c r="C1068" s="12"/>
      <c r="D1068" s="12"/>
      <c r="E1068" s="12"/>
      <c r="F1068" s="12"/>
      <c r="G1068" s="12"/>
      <c r="H1068" s="12"/>
      <c r="I1068" s="12"/>
      <c r="J1068" s="12"/>
      <c r="K1068" s="12"/>
      <c r="L1068" s="12"/>
      <c r="M1068" s="12"/>
      <c r="N1068" s="12"/>
      <c r="O1068" s="12"/>
      <c r="P1068" s="12"/>
      <c r="Q1068" s="12"/>
      <c r="R1068" s="12"/>
      <c r="S1068" s="12"/>
      <c r="T1068" s="12"/>
      <c r="U1068" s="12"/>
      <c r="V1068" s="12"/>
      <c r="W1068" s="12"/>
      <c r="X1068" s="12"/>
      <c r="Y1068" s="12"/>
      <c r="Z1068" s="12"/>
      <c r="AA1068" s="12"/>
      <c r="AB1068" s="12"/>
      <c r="AC1068" s="12"/>
      <c r="AD1068" s="12"/>
    </row>
    <row r="1069" spans="1:30" ht="12.75" x14ac:dyDescent="0.35">
      <c r="A1069" s="12"/>
      <c r="B1069" s="12"/>
      <c r="C1069" s="12"/>
      <c r="D1069" s="12"/>
      <c r="E1069" s="12"/>
      <c r="F1069" s="12"/>
      <c r="G1069" s="12"/>
      <c r="H1069" s="12"/>
      <c r="I1069" s="12"/>
      <c r="J1069" s="12"/>
      <c r="K1069" s="12"/>
      <c r="L1069" s="12"/>
      <c r="M1069" s="12"/>
      <c r="N1069" s="12"/>
      <c r="O1069" s="12"/>
      <c r="P1069" s="12"/>
      <c r="Q1069" s="12"/>
      <c r="R1069" s="12"/>
      <c r="S1069" s="12"/>
      <c r="T1069" s="12"/>
      <c r="U1069" s="12"/>
      <c r="V1069" s="12"/>
      <c r="W1069" s="12"/>
      <c r="X1069" s="12"/>
      <c r="Y1069" s="12"/>
      <c r="Z1069" s="12"/>
      <c r="AA1069" s="12"/>
      <c r="AB1069" s="12"/>
      <c r="AC1069" s="12"/>
      <c r="AD1069" s="12"/>
    </row>
    <row r="1070" spans="1:30" ht="12.75" x14ac:dyDescent="0.35">
      <c r="A1070" s="12"/>
      <c r="B1070" s="12"/>
      <c r="C1070" s="12"/>
      <c r="D1070" s="12"/>
      <c r="E1070" s="12"/>
      <c r="F1070" s="12"/>
      <c r="G1070" s="12"/>
      <c r="H1070" s="12"/>
      <c r="I1070" s="12"/>
      <c r="J1070" s="12"/>
      <c r="K1070" s="12"/>
      <c r="L1070" s="12"/>
      <c r="M1070" s="12"/>
      <c r="N1070" s="12"/>
      <c r="O1070" s="12"/>
      <c r="P1070" s="12"/>
      <c r="Q1070" s="12"/>
      <c r="R1070" s="12"/>
      <c r="S1070" s="12"/>
      <c r="T1070" s="12"/>
      <c r="U1070" s="12"/>
      <c r="V1070" s="12"/>
      <c r="W1070" s="12"/>
      <c r="X1070" s="12"/>
      <c r="Y1070" s="12"/>
      <c r="Z1070" s="12"/>
      <c r="AA1070" s="12"/>
      <c r="AB1070" s="12"/>
      <c r="AC1070" s="12"/>
      <c r="AD1070" s="12"/>
    </row>
    <row r="1071" spans="1:30" ht="12.75" x14ac:dyDescent="0.35">
      <c r="A1071" s="12"/>
      <c r="B1071" s="12"/>
      <c r="C1071" s="12"/>
      <c r="D1071" s="12"/>
      <c r="E1071" s="12"/>
      <c r="F1071" s="12"/>
      <c r="G1071" s="12"/>
      <c r="H1071" s="12"/>
      <c r="I1071" s="12"/>
      <c r="J1071" s="12"/>
      <c r="K1071" s="12"/>
      <c r="L1071" s="12"/>
      <c r="M1071" s="12"/>
      <c r="N1071" s="12"/>
      <c r="O1071" s="12"/>
      <c r="P1071" s="12"/>
      <c r="Q1071" s="12"/>
      <c r="R1071" s="12"/>
      <c r="S1071" s="12"/>
      <c r="T1071" s="12"/>
      <c r="U1071" s="12"/>
      <c r="V1071" s="12"/>
      <c r="W1071" s="12"/>
      <c r="X1071" s="12"/>
      <c r="Y1071" s="12"/>
      <c r="Z1071" s="12"/>
      <c r="AA1071" s="12"/>
      <c r="AB1071" s="12"/>
      <c r="AC1071" s="12"/>
      <c r="AD1071" s="12"/>
    </row>
    <row r="1072" spans="1:30" ht="12.75" x14ac:dyDescent="0.35">
      <c r="A1072" s="12"/>
      <c r="B1072" s="12"/>
      <c r="C1072" s="12"/>
      <c r="D1072" s="12"/>
      <c r="E1072" s="12"/>
      <c r="F1072" s="12"/>
      <c r="G1072" s="12"/>
      <c r="H1072" s="12"/>
      <c r="I1072" s="12"/>
      <c r="J1072" s="12"/>
      <c r="K1072" s="12"/>
      <c r="L1072" s="12"/>
      <c r="M1072" s="12"/>
      <c r="N1072" s="12"/>
      <c r="O1072" s="12"/>
      <c r="P1072" s="12"/>
      <c r="Q1072" s="12"/>
      <c r="R1072" s="12"/>
      <c r="S1072" s="12"/>
      <c r="T1072" s="12"/>
      <c r="U1072" s="12"/>
      <c r="V1072" s="12"/>
      <c r="W1072" s="12"/>
      <c r="X1072" s="12"/>
      <c r="Y1072" s="12"/>
      <c r="Z1072" s="12"/>
      <c r="AA1072" s="12"/>
      <c r="AB1072" s="12"/>
      <c r="AC1072" s="12"/>
      <c r="AD1072" s="12"/>
    </row>
    <row r="1073" spans="1:30" ht="12.75" x14ac:dyDescent="0.35">
      <c r="A1073" s="12"/>
      <c r="B1073" s="12"/>
      <c r="C1073" s="12"/>
      <c r="D1073" s="12"/>
      <c r="E1073" s="12"/>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c r="AB1073" s="12"/>
      <c r="AC1073" s="12"/>
      <c r="AD1073" s="12"/>
    </row>
    <row r="1074" spans="1:30" ht="12.75" x14ac:dyDescent="0.35">
      <c r="A1074" s="12"/>
      <c r="B1074" s="12"/>
      <c r="C1074" s="12"/>
      <c r="D1074" s="12"/>
      <c r="E1074" s="12"/>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row>
    <row r="1075" spans="1:30" ht="12.75" x14ac:dyDescent="0.35">
      <c r="A1075" s="12"/>
      <c r="B1075" s="12"/>
      <c r="C1075" s="12"/>
      <c r="D1075" s="12"/>
      <c r="E1075" s="12"/>
      <c r="F1075" s="12"/>
      <c r="G1075" s="12"/>
      <c r="H1075" s="12"/>
      <c r="I1075" s="12"/>
      <c r="J1075" s="12"/>
      <c r="K1075" s="12"/>
      <c r="L1075" s="12"/>
      <c r="M1075" s="12"/>
      <c r="N1075" s="12"/>
      <c r="O1075" s="12"/>
      <c r="P1075" s="12"/>
      <c r="Q1075" s="12"/>
      <c r="R1075" s="12"/>
      <c r="S1075" s="12"/>
      <c r="T1075" s="12"/>
      <c r="U1075" s="12"/>
      <c r="V1075" s="12"/>
      <c r="W1075" s="12"/>
      <c r="X1075" s="12"/>
      <c r="Y1075" s="12"/>
      <c r="Z1075" s="12"/>
      <c r="AA1075" s="12"/>
      <c r="AB1075" s="12"/>
      <c r="AC1075" s="12"/>
      <c r="AD1075" s="12"/>
    </row>
    <row r="1076" spans="1:30" ht="12.75" x14ac:dyDescent="0.35">
      <c r="A1076" s="12"/>
      <c r="B1076" s="12"/>
      <c r="C1076" s="12"/>
      <c r="D1076" s="12"/>
      <c r="E1076" s="12"/>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row>
    <row r="1077" spans="1:30" ht="12.75" x14ac:dyDescent="0.35">
      <c r="A1077" s="12"/>
      <c r="B1077" s="12"/>
      <c r="C1077" s="12"/>
      <c r="D1077" s="12"/>
      <c r="E1077" s="12"/>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row>
    <row r="1078" spans="1:30" ht="12.75" x14ac:dyDescent="0.35">
      <c r="A1078" s="12"/>
      <c r="B1078" s="12"/>
      <c r="C1078" s="12"/>
      <c r="D1078" s="12"/>
      <c r="E1078" s="12"/>
      <c r="F1078" s="12"/>
      <c r="G1078" s="12"/>
      <c r="H1078" s="12"/>
      <c r="I1078" s="12"/>
      <c r="J1078" s="12"/>
      <c r="K1078" s="12"/>
      <c r="L1078" s="12"/>
      <c r="M1078" s="12"/>
      <c r="N1078" s="12"/>
      <c r="O1078" s="12"/>
      <c r="P1078" s="12"/>
      <c r="Q1078" s="12"/>
      <c r="R1078" s="12"/>
      <c r="S1078" s="12"/>
      <c r="T1078" s="12"/>
      <c r="U1078" s="12"/>
      <c r="V1078" s="12"/>
      <c r="W1078" s="12"/>
      <c r="X1078" s="12"/>
      <c r="Y1078" s="12"/>
      <c r="Z1078" s="12"/>
      <c r="AA1078" s="12"/>
      <c r="AB1078" s="12"/>
      <c r="AC1078" s="12"/>
      <c r="AD1078" s="12"/>
    </row>
    <row r="1079" spans="1:30" ht="12.75" x14ac:dyDescent="0.35">
      <c r="A1079" s="12"/>
      <c r="B1079" s="12"/>
      <c r="C1079" s="12"/>
      <c r="D1079" s="12"/>
      <c r="E1079" s="12"/>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row>
    <row r="1080" spans="1:30" ht="12.75" x14ac:dyDescent="0.35">
      <c r="A1080" s="12"/>
      <c r="B1080" s="12"/>
      <c r="C1080" s="12"/>
      <c r="D1080" s="12"/>
      <c r="E1080" s="12"/>
      <c r="F1080" s="12"/>
      <c r="G1080" s="12"/>
      <c r="H1080" s="12"/>
      <c r="I1080" s="12"/>
      <c r="J1080" s="12"/>
      <c r="K1080" s="12"/>
      <c r="L1080" s="12"/>
      <c r="M1080" s="12"/>
      <c r="N1080" s="12"/>
      <c r="O1080" s="12"/>
      <c r="P1080" s="12"/>
      <c r="Q1080" s="12"/>
      <c r="R1080" s="12"/>
      <c r="S1080" s="12"/>
      <c r="T1080" s="12"/>
      <c r="U1080" s="12"/>
      <c r="V1080" s="12"/>
      <c r="W1080" s="12"/>
      <c r="X1080" s="12"/>
      <c r="Y1080" s="12"/>
      <c r="Z1080" s="12"/>
      <c r="AA1080" s="12"/>
      <c r="AB1080" s="12"/>
      <c r="AC1080" s="12"/>
      <c r="AD1080" s="12"/>
    </row>
    <row r="1081" spans="1:30" ht="12.75" x14ac:dyDescent="0.35">
      <c r="A1081" s="12"/>
      <c r="B1081" s="12"/>
      <c r="C1081" s="12"/>
      <c r="D1081" s="12"/>
      <c r="E1081" s="12"/>
      <c r="F1081" s="12"/>
      <c r="G1081" s="12"/>
      <c r="H1081" s="12"/>
      <c r="I1081" s="12"/>
      <c r="J1081" s="12"/>
      <c r="K1081" s="12"/>
      <c r="L1081" s="12"/>
      <c r="M1081" s="12"/>
      <c r="N1081" s="12"/>
      <c r="O1081" s="12"/>
      <c r="P1081" s="12"/>
      <c r="Q1081" s="12"/>
      <c r="R1081" s="12"/>
      <c r="S1081" s="12"/>
      <c r="T1081" s="12"/>
      <c r="U1081" s="12"/>
      <c r="V1081" s="12"/>
      <c r="W1081" s="12"/>
      <c r="X1081" s="12"/>
      <c r="Y1081" s="12"/>
      <c r="Z1081" s="12"/>
      <c r="AA1081" s="12"/>
      <c r="AB1081" s="12"/>
      <c r="AC1081" s="12"/>
      <c r="AD1081" s="12"/>
    </row>
    <row r="1082" spans="1:30" ht="12.75" x14ac:dyDescent="0.35">
      <c r="A1082" s="12"/>
      <c r="B1082" s="12"/>
      <c r="C1082" s="12"/>
      <c r="D1082" s="12"/>
      <c r="E1082" s="12"/>
      <c r="F1082" s="12"/>
      <c r="G1082" s="12"/>
      <c r="H1082" s="12"/>
      <c r="I1082" s="12"/>
      <c r="J1082" s="12"/>
      <c r="K1082" s="12"/>
      <c r="L1082" s="12"/>
      <c r="M1082" s="12"/>
      <c r="N1082" s="12"/>
      <c r="O1082" s="12"/>
      <c r="P1082" s="12"/>
      <c r="Q1082" s="12"/>
      <c r="R1082" s="12"/>
      <c r="S1082" s="12"/>
      <c r="T1082" s="12"/>
      <c r="U1082" s="12"/>
      <c r="V1082" s="12"/>
      <c r="W1082" s="12"/>
      <c r="X1082" s="12"/>
      <c r="Y1082" s="12"/>
      <c r="Z1082" s="12"/>
      <c r="AA1082" s="12"/>
      <c r="AB1082" s="12"/>
      <c r="AC1082" s="12"/>
      <c r="AD1082" s="12"/>
    </row>
    <row r="1083" spans="1:30" ht="12.75" x14ac:dyDescent="0.35">
      <c r="A1083" s="12"/>
      <c r="B1083" s="12"/>
      <c r="C1083" s="12"/>
      <c r="D1083" s="12"/>
      <c r="E1083" s="12"/>
      <c r="F1083" s="12"/>
      <c r="G1083" s="12"/>
      <c r="H1083" s="12"/>
      <c r="I1083" s="12"/>
      <c r="J1083" s="12"/>
      <c r="K1083" s="12"/>
      <c r="L1083" s="12"/>
      <c r="M1083" s="12"/>
      <c r="N1083" s="12"/>
      <c r="O1083" s="12"/>
      <c r="P1083" s="12"/>
      <c r="Q1083" s="12"/>
      <c r="R1083" s="12"/>
      <c r="S1083" s="12"/>
      <c r="T1083" s="12"/>
      <c r="U1083" s="12"/>
      <c r="V1083" s="12"/>
      <c r="W1083" s="12"/>
      <c r="X1083" s="12"/>
      <c r="Y1083" s="12"/>
      <c r="Z1083" s="12"/>
      <c r="AA1083" s="12"/>
      <c r="AB1083" s="12"/>
      <c r="AC1083" s="12"/>
      <c r="AD1083" s="12"/>
    </row>
    <row r="1084" spans="1:30" ht="12.75" x14ac:dyDescent="0.35">
      <c r="A1084" s="12"/>
      <c r="B1084" s="12"/>
      <c r="C1084" s="12"/>
      <c r="D1084" s="12"/>
      <c r="E1084" s="12"/>
      <c r="F1084" s="12"/>
      <c r="G1084" s="12"/>
      <c r="H1084" s="12"/>
      <c r="I1084" s="12"/>
      <c r="J1084" s="12"/>
      <c r="K1084" s="12"/>
      <c r="L1084" s="12"/>
      <c r="M1084" s="12"/>
      <c r="N1084" s="12"/>
      <c r="O1084" s="12"/>
      <c r="P1084" s="12"/>
      <c r="Q1084" s="12"/>
      <c r="R1084" s="12"/>
      <c r="S1084" s="12"/>
      <c r="T1084" s="12"/>
      <c r="U1084" s="12"/>
      <c r="V1084" s="12"/>
      <c r="W1084" s="12"/>
      <c r="X1084" s="12"/>
      <c r="Y1084" s="12"/>
      <c r="Z1084" s="12"/>
      <c r="AA1084" s="12"/>
      <c r="AB1084" s="12"/>
      <c r="AC1084" s="12"/>
      <c r="AD1084" s="12"/>
    </row>
    <row r="1085" spans="1:30" ht="12.75" x14ac:dyDescent="0.35">
      <c r="A1085" s="12"/>
      <c r="B1085" s="12"/>
      <c r="C1085" s="12"/>
      <c r="D1085" s="12"/>
      <c r="E1085" s="12"/>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c r="AB1085" s="12"/>
      <c r="AC1085" s="12"/>
      <c r="AD1085" s="12"/>
    </row>
    <row r="1086" spans="1:30" ht="12.75" x14ac:dyDescent="0.35">
      <c r="A1086" s="12"/>
      <c r="B1086" s="12"/>
      <c r="C1086" s="12"/>
      <c r="D1086" s="12"/>
      <c r="E1086" s="12"/>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c r="AB1086" s="12"/>
      <c r="AC1086" s="12"/>
      <c r="AD1086" s="12"/>
    </row>
    <row r="1087" spans="1:30" ht="12.75" x14ac:dyDescent="0.35">
      <c r="A1087" s="12"/>
      <c r="B1087" s="12"/>
      <c r="C1087" s="12"/>
      <c r="D1087" s="12"/>
      <c r="E1087" s="12"/>
      <c r="F1087" s="12"/>
      <c r="G1087" s="12"/>
      <c r="H1087" s="12"/>
      <c r="I1087" s="12"/>
      <c r="J1087" s="12"/>
      <c r="K1087" s="12"/>
      <c r="L1087" s="12"/>
      <c r="M1087" s="12"/>
      <c r="N1087" s="12"/>
      <c r="O1087" s="12"/>
      <c r="P1087" s="12"/>
      <c r="Q1087" s="12"/>
      <c r="R1087" s="12"/>
      <c r="S1087" s="12"/>
      <c r="T1087" s="12"/>
      <c r="U1087" s="12"/>
      <c r="V1087" s="12"/>
      <c r="W1087" s="12"/>
      <c r="X1087" s="12"/>
      <c r="Y1087" s="12"/>
      <c r="Z1087" s="12"/>
      <c r="AA1087" s="12"/>
      <c r="AB1087" s="12"/>
      <c r="AC1087" s="12"/>
      <c r="AD1087" s="12"/>
    </row>
    <row r="1088" spans="1:30" ht="12.75" x14ac:dyDescent="0.35">
      <c r="A1088" s="12"/>
      <c r="B1088" s="12"/>
      <c r="C1088" s="12"/>
      <c r="D1088" s="12"/>
      <c r="E1088" s="12"/>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c r="AB1088" s="12"/>
      <c r="AC1088" s="12"/>
      <c r="AD1088" s="12"/>
    </row>
    <row r="1089" spans="1:30" ht="12.75" x14ac:dyDescent="0.35">
      <c r="A1089" s="12"/>
      <c r="B1089" s="12"/>
      <c r="C1089" s="12"/>
      <c r="D1089" s="12"/>
      <c r="E1089" s="12"/>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c r="AB1089" s="12"/>
      <c r="AC1089" s="12"/>
      <c r="AD1089" s="12"/>
    </row>
    <row r="1090" spans="1:30" ht="12.75" x14ac:dyDescent="0.35">
      <c r="A1090" s="12"/>
      <c r="B1090" s="12"/>
      <c r="C1090" s="12"/>
      <c r="D1090" s="12"/>
      <c r="E1090" s="12"/>
      <c r="F1090" s="12"/>
      <c r="G1090" s="12"/>
      <c r="H1090" s="12"/>
      <c r="I1090" s="12"/>
      <c r="J1090" s="12"/>
      <c r="K1090" s="12"/>
      <c r="L1090" s="12"/>
      <c r="M1090" s="12"/>
      <c r="N1090" s="12"/>
      <c r="O1090" s="12"/>
      <c r="P1090" s="12"/>
      <c r="Q1090" s="12"/>
      <c r="R1090" s="12"/>
      <c r="S1090" s="12"/>
      <c r="T1090" s="12"/>
      <c r="U1090" s="12"/>
      <c r="V1090" s="12"/>
      <c r="W1090" s="12"/>
      <c r="X1090" s="12"/>
      <c r="Y1090" s="12"/>
      <c r="Z1090" s="12"/>
      <c r="AA1090" s="12"/>
      <c r="AB1090" s="12"/>
      <c r="AC1090" s="12"/>
      <c r="AD1090" s="12"/>
    </row>
    <row r="1091" spans="1:30" ht="12.75" x14ac:dyDescent="0.35">
      <c r="A1091" s="12"/>
      <c r="B1091" s="12"/>
      <c r="C1091" s="12"/>
      <c r="D1091" s="12"/>
      <c r="E1091" s="12"/>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row>
    <row r="1092" spans="1:30" ht="12.75" x14ac:dyDescent="0.35">
      <c r="A1092" s="12"/>
      <c r="B1092" s="12"/>
      <c r="C1092" s="12"/>
      <c r="D1092" s="12"/>
      <c r="E1092" s="12"/>
      <c r="F1092" s="12"/>
      <c r="G1092" s="12"/>
      <c r="H1092" s="12"/>
      <c r="I1092" s="12"/>
      <c r="J1092" s="12"/>
      <c r="K1092" s="12"/>
      <c r="L1092" s="12"/>
      <c r="M1092" s="12"/>
      <c r="N1092" s="12"/>
      <c r="O1092" s="12"/>
      <c r="P1092" s="12"/>
      <c r="Q1092" s="12"/>
      <c r="R1092" s="12"/>
      <c r="S1092" s="12"/>
      <c r="T1092" s="12"/>
      <c r="U1092" s="12"/>
      <c r="V1092" s="12"/>
      <c r="W1092" s="12"/>
      <c r="X1092" s="12"/>
      <c r="Y1092" s="12"/>
      <c r="Z1092" s="12"/>
      <c r="AA1092" s="12"/>
      <c r="AB1092" s="12"/>
      <c r="AC1092" s="12"/>
      <c r="AD1092" s="12"/>
    </row>
    <row r="1093" spans="1:30" ht="12.75" x14ac:dyDescent="0.35">
      <c r="A1093" s="12"/>
      <c r="B1093" s="12"/>
      <c r="C1093" s="12"/>
      <c r="D1093" s="12"/>
      <c r="E1093" s="12"/>
      <c r="F1093" s="12"/>
      <c r="G1093" s="12"/>
      <c r="H1093" s="12"/>
      <c r="I1093" s="12"/>
      <c r="J1093" s="12"/>
      <c r="K1093" s="12"/>
      <c r="L1093" s="12"/>
      <c r="M1093" s="12"/>
      <c r="N1093" s="12"/>
      <c r="O1093" s="12"/>
      <c r="P1093" s="12"/>
      <c r="Q1093" s="12"/>
      <c r="R1093" s="12"/>
      <c r="S1093" s="12"/>
      <c r="T1093" s="12"/>
      <c r="U1093" s="12"/>
      <c r="V1093" s="12"/>
      <c r="W1093" s="12"/>
      <c r="X1093" s="12"/>
      <c r="Y1093" s="12"/>
      <c r="Z1093" s="12"/>
      <c r="AA1093" s="12"/>
      <c r="AB1093" s="12"/>
      <c r="AC1093" s="12"/>
      <c r="AD1093" s="12"/>
    </row>
    <row r="1094" spans="1:30" ht="12.75" x14ac:dyDescent="0.35">
      <c r="A1094" s="12"/>
      <c r="B1094" s="12"/>
      <c r="C1094" s="12"/>
      <c r="D1094" s="12"/>
      <c r="E1094" s="12"/>
      <c r="F1094" s="12"/>
      <c r="G1094" s="12"/>
      <c r="H1094" s="12"/>
      <c r="I1094" s="12"/>
      <c r="J1094" s="12"/>
      <c r="K1094" s="12"/>
      <c r="L1094" s="12"/>
      <c r="M1094" s="12"/>
      <c r="N1094" s="12"/>
      <c r="O1094" s="12"/>
      <c r="P1094" s="12"/>
      <c r="Q1094" s="12"/>
      <c r="R1094" s="12"/>
      <c r="S1094" s="12"/>
      <c r="T1094" s="12"/>
      <c r="U1094" s="12"/>
      <c r="V1094" s="12"/>
      <c r="W1094" s="12"/>
      <c r="X1094" s="12"/>
      <c r="Y1094" s="12"/>
      <c r="Z1094" s="12"/>
      <c r="AA1094" s="12"/>
      <c r="AB1094" s="12"/>
      <c r="AC1094" s="12"/>
      <c r="AD1094" s="12"/>
    </row>
    <row r="1095" spans="1:30" ht="12.75" x14ac:dyDescent="0.35">
      <c r="A1095" s="12"/>
      <c r="B1095" s="12"/>
      <c r="C1095" s="12"/>
      <c r="D1095" s="12"/>
      <c r="E1095" s="12"/>
      <c r="F1095" s="12"/>
      <c r="G1095" s="12"/>
      <c r="H1095" s="12"/>
      <c r="I1095" s="12"/>
      <c r="J1095" s="12"/>
      <c r="K1095" s="12"/>
      <c r="L1095" s="12"/>
      <c r="M1095" s="12"/>
      <c r="N1095" s="12"/>
      <c r="O1095" s="12"/>
      <c r="P1095" s="12"/>
      <c r="Q1095" s="12"/>
      <c r="R1095" s="12"/>
      <c r="S1095" s="12"/>
      <c r="T1095" s="12"/>
      <c r="U1095" s="12"/>
      <c r="V1095" s="12"/>
      <c r="W1095" s="12"/>
      <c r="X1095" s="12"/>
      <c r="Y1095" s="12"/>
      <c r="Z1095" s="12"/>
      <c r="AA1095" s="12"/>
      <c r="AB1095" s="12"/>
      <c r="AC1095" s="12"/>
      <c r="AD1095" s="12"/>
    </row>
    <row r="1096" spans="1:30" ht="12.75" x14ac:dyDescent="0.35">
      <c r="A1096" s="12"/>
      <c r="B1096" s="12"/>
      <c r="C1096" s="12"/>
      <c r="D1096" s="12"/>
      <c r="E1096" s="12"/>
      <c r="F1096" s="12"/>
      <c r="G1096" s="12"/>
      <c r="H1096" s="12"/>
      <c r="I1096" s="12"/>
      <c r="J1096" s="12"/>
      <c r="K1096" s="12"/>
      <c r="L1096" s="12"/>
      <c r="M1096" s="12"/>
      <c r="N1096" s="12"/>
      <c r="O1096" s="12"/>
      <c r="P1096" s="12"/>
      <c r="Q1096" s="12"/>
      <c r="R1096" s="12"/>
      <c r="S1096" s="12"/>
      <c r="T1096" s="12"/>
      <c r="U1096" s="12"/>
      <c r="V1096" s="12"/>
      <c r="W1096" s="12"/>
      <c r="X1096" s="12"/>
      <c r="Y1096" s="12"/>
      <c r="Z1096" s="12"/>
      <c r="AA1096" s="12"/>
      <c r="AB1096" s="12"/>
      <c r="AC1096" s="12"/>
      <c r="AD1096" s="12"/>
    </row>
    <row r="1097" spans="1:30" ht="12.75" x14ac:dyDescent="0.35">
      <c r="A1097" s="12"/>
      <c r="B1097" s="12"/>
      <c r="C1097" s="12"/>
      <c r="D1097" s="12"/>
      <c r="E1097" s="12"/>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c r="AB1097" s="12"/>
      <c r="AC1097" s="12"/>
      <c r="AD1097" s="12"/>
    </row>
    <row r="1098" spans="1:30" ht="12.75" x14ac:dyDescent="0.35">
      <c r="A1098" s="12"/>
      <c r="B1098" s="12"/>
      <c r="C1098" s="12"/>
      <c r="D1098" s="12"/>
      <c r="E1098" s="12"/>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c r="AB1098" s="12"/>
      <c r="AC1098" s="12"/>
      <c r="AD1098" s="12"/>
    </row>
    <row r="1099" spans="1:30" ht="12.75" x14ac:dyDescent="0.35">
      <c r="A1099" s="12"/>
      <c r="B1099" s="12"/>
      <c r="C1099" s="12"/>
      <c r="D1099" s="12"/>
      <c r="E1099" s="12"/>
      <c r="F1099" s="12"/>
      <c r="G1099" s="12"/>
      <c r="H1099" s="12"/>
      <c r="I1099" s="12"/>
      <c r="J1099" s="12"/>
      <c r="K1099" s="12"/>
      <c r="L1099" s="12"/>
      <c r="M1099" s="12"/>
      <c r="N1099" s="12"/>
      <c r="O1099" s="12"/>
      <c r="P1099" s="12"/>
      <c r="Q1099" s="12"/>
      <c r="R1099" s="12"/>
      <c r="S1099" s="12"/>
      <c r="T1099" s="12"/>
      <c r="U1099" s="12"/>
      <c r="V1099" s="12"/>
      <c r="W1099" s="12"/>
      <c r="X1099" s="12"/>
      <c r="Y1099" s="12"/>
      <c r="Z1099" s="12"/>
      <c r="AA1099" s="12"/>
      <c r="AB1099" s="12"/>
      <c r="AC1099" s="12"/>
      <c r="AD1099" s="12"/>
    </row>
    <row r="1100" spans="1:30" ht="12.75" x14ac:dyDescent="0.35">
      <c r="A1100" s="12"/>
      <c r="B1100" s="12"/>
      <c r="C1100" s="12"/>
      <c r="D1100" s="12"/>
      <c r="E1100" s="12"/>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c r="AB1100" s="12"/>
      <c r="AC1100" s="12"/>
      <c r="AD1100" s="12"/>
    </row>
    <row r="1101" spans="1:30" ht="12.75" x14ac:dyDescent="0.35">
      <c r="A1101" s="12"/>
      <c r="B1101" s="12"/>
      <c r="C1101" s="12"/>
      <c r="D1101" s="12"/>
      <c r="E1101" s="12"/>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row>
    <row r="1102" spans="1:30" ht="12.75" x14ac:dyDescent="0.35">
      <c r="A1102" s="12"/>
      <c r="B1102" s="12"/>
      <c r="C1102" s="12"/>
      <c r="D1102" s="12"/>
      <c r="E1102" s="12"/>
      <c r="F1102" s="12"/>
      <c r="G1102" s="12"/>
      <c r="H1102" s="12"/>
      <c r="I1102" s="12"/>
      <c r="J1102" s="12"/>
      <c r="K1102" s="12"/>
      <c r="L1102" s="12"/>
      <c r="M1102" s="12"/>
      <c r="N1102" s="12"/>
      <c r="O1102" s="12"/>
      <c r="P1102" s="12"/>
      <c r="Q1102" s="12"/>
      <c r="R1102" s="12"/>
      <c r="S1102" s="12"/>
      <c r="T1102" s="12"/>
      <c r="U1102" s="12"/>
      <c r="V1102" s="12"/>
      <c r="W1102" s="12"/>
      <c r="X1102" s="12"/>
      <c r="Y1102" s="12"/>
      <c r="Z1102" s="12"/>
      <c r="AA1102" s="12"/>
      <c r="AB1102" s="12"/>
      <c r="AC1102" s="12"/>
      <c r="AD1102" s="12"/>
    </row>
    <row r="1103" spans="1:30" ht="12.75" x14ac:dyDescent="0.35">
      <c r="A1103" s="12"/>
      <c r="B1103" s="12"/>
      <c r="C1103" s="12"/>
      <c r="D1103" s="12"/>
      <c r="E1103" s="12"/>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row>
    <row r="1104" spans="1:30" ht="12.75" x14ac:dyDescent="0.35">
      <c r="A1104" s="12"/>
      <c r="B1104" s="12"/>
      <c r="C1104" s="12"/>
      <c r="D1104" s="12"/>
      <c r="E1104" s="12"/>
      <c r="F1104" s="12"/>
      <c r="G1104" s="12"/>
      <c r="H1104" s="12"/>
      <c r="I1104" s="12"/>
      <c r="J1104" s="12"/>
      <c r="K1104" s="12"/>
      <c r="L1104" s="12"/>
      <c r="M1104" s="12"/>
      <c r="N1104" s="12"/>
      <c r="O1104" s="12"/>
      <c r="P1104" s="12"/>
      <c r="Q1104" s="12"/>
      <c r="R1104" s="12"/>
      <c r="S1104" s="12"/>
      <c r="T1104" s="12"/>
      <c r="U1104" s="12"/>
      <c r="V1104" s="12"/>
      <c r="W1104" s="12"/>
      <c r="X1104" s="12"/>
      <c r="Y1104" s="12"/>
      <c r="Z1104" s="12"/>
      <c r="AA1104" s="12"/>
      <c r="AB1104" s="12"/>
      <c r="AC1104" s="12"/>
      <c r="AD1104" s="12"/>
    </row>
    <row r="1105" spans="1:30" ht="12.75" x14ac:dyDescent="0.35">
      <c r="A1105" s="12"/>
      <c r="B1105" s="12"/>
      <c r="C1105" s="12"/>
      <c r="D1105" s="12"/>
      <c r="E1105" s="12"/>
      <c r="F1105" s="12"/>
      <c r="G1105" s="12"/>
      <c r="H1105" s="12"/>
      <c r="I1105" s="12"/>
      <c r="J1105" s="12"/>
      <c r="K1105" s="12"/>
      <c r="L1105" s="12"/>
      <c r="M1105" s="12"/>
      <c r="N1105" s="12"/>
      <c r="O1105" s="12"/>
      <c r="P1105" s="12"/>
      <c r="Q1105" s="12"/>
      <c r="R1105" s="12"/>
      <c r="S1105" s="12"/>
      <c r="T1105" s="12"/>
      <c r="U1105" s="12"/>
      <c r="V1105" s="12"/>
      <c r="W1105" s="12"/>
      <c r="X1105" s="12"/>
      <c r="Y1105" s="12"/>
      <c r="Z1105" s="12"/>
      <c r="AA1105" s="12"/>
      <c r="AB1105" s="12"/>
      <c r="AC1105" s="12"/>
      <c r="AD1105" s="12"/>
    </row>
    <row r="1106" spans="1:30" ht="12.75" x14ac:dyDescent="0.35">
      <c r="A1106" s="12"/>
      <c r="B1106" s="12"/>
      <c r="C1106" s="12"/>
      <c r="D1106" s="12"/>
      <c r="E1106" s="12"/>
      <c r="F1106" s="12"/>
      <c r="G1106" s="12"/>
      <c r="H1106" s="12"/>
      <c r="I1106" s="12"/>
      <c r="J1106" s="12"/>
      <c r="K1106" s="12"/>
      <c r="L1106" s="12"/>
      <c r="M1106" s="12"/>
      <c r="N1106" s="12"/>
      <c r="O1106" s="12"/>
      <c r="P1106" s="12"/>
      <c r="Q1106" s="12"/>
      <c r="R1106" s="12"/>
      <c r="S1106" s="12"/>
      <c r="T1106" s="12"/>
      <c r="U1106" s="12"/>
      <c r="V1106" s="12"/>
      <c r="W1106" s="12"/>
      <c r="X1106" s="12"/>
      <c r="Y1106" s="12"/>
      <c r="Z1106" s="12"/>
      <c r="AA1106" s="12"/>
      <c r="AB1106" s="12"/>
      <c r="AC1106" s="12"/>
      <c r="AD1106" s="12"/>
    </row>
    <row r="1107" spans="1:30" ht="12.75" x14ac:dyDescent="0.35">
      <c r="A1107" s="12"/>
      <c r="B1107" s="12"/>
      <c r="C1107" s="12"/>
      <c r="D1107" s="12"/>
      <c r="E1107" s="12"/>
      <c r="F1107" s="12"/>
      <c r="G1107" s="12"/>
      <c r="H1107" s="12"/>
      <c r="I1107" s="12"/>
      <c r="J1107" s="12"/>
      <c r="K1107" s="12"/>
      <c r="L1107" s="12"/>
      <c r="M1107" s="12"/>
      <c r="N1107" s="12"/>
      <c r="O1107" s="12"/>
      <c r="P1107" s="12"/>
      <c r="Q1107" s="12"/>
      <c r="R1107" s="12"/>
      <c r="S1107" s="12"/>
      <c r="T1107" s="12"/>
      <c r="U1107" s="12"/>
      <c r="V1107" s="12"/>
      <c r="W1107" s="12"/>
      <c r="X1107" s="12"/>
      <c r="Y1107" s="12"/>
      <c r="Z1107" s="12"/>
      <c r="AA1107" s="12"/>
      <c r="AB1107" s="12"/>
      <c r="AC1107" s="12"/>
      <c r="AD1107" s="12"/>
    </row>
    <row r="1108" spans="1:30" ht="12.75" x14ac:dyDescent="0.35">
      <c r="A1108" s="12"/>
      <c r="B1108" s="12"/>
      <c r="C1108" s="12"/>
      <c r="D1108" s="12"/>
      <c r="E1108" s="12"/>
      <c r="F1108" s="12"/>
      <c r="G1108" s="12"/>
      <c r="H1108" s="12"/>
      <c r="I1108" s="12"/>
      <c r="J1108" s="12"/>
      <c r="K1108" s="12"/>
      <c r="L1108" s="12"/>
      <c r="M1108" s="12"/>
      <c r="N1108" s="12"/>
      <c r="O1108" s="12"/>
      <c r="P1108" s="12"/>
      <c r="Q1108" s="12"/>
      <c r="R1108" s="12"/>
      <c r="S1108" s="12"/>
      <c r="T1108" s="12"/>
      <c r="U1108" s="12"/>
      <c r="V1108" s="12"/>
      <c r="W1108" s="12"/>
      <c r="X1108" s="12"/>
      <c r="Y1108" s="12"/>
      <c r="Z1108" s="12"/>
      <c r="AA1108" s="12"/>
      <c r="AB1108" s="12"/>
      <c r="AC1108" s="12"/>
      <c r="AD1108" s="12"/>
    </row>
    <row r="1109" spans="1:30" ht="12.75" x14ac:dyDescent="0.35">
      <c r="A1109" s="12"/>
      <c r="B1109" s="12"/>
      <c r="C1109" s="12"/>
      <c r="D1109" s="12"/>
      <c r="E1109" s="12"/>
      <c r="F1109" s="12"/>
      <c r="G1109" s="12"/>
      <c r="H1109" s="12"/>
      <c r="I1109" s="12"/>
      <c r="J1109" s="12"/>
      <c r="K1109" s="12"/>
      <c r="L1109" s="12"/>
      <c r="M1109" s="12"/>
      <c r="N1109" s="12"/>
      <c r="O1109" s="12"/>
      <c r="P1109" s="12"/>
      <c r="Q1109" s="12"/>
      <c r="R1109" s="12"/>
      <c r="S1109" s="12"/>
      <c r="T1109" s="12"/>
      <c r="U1109" s="12"/>
      <c r="V1109" s="12"/>
      <c r="W1109" s="12"/>
      <c r="X1109" s="12"/>
      <c r="Y1109" s="12"/>
      <c r="Z1109" s="12"/>
      <c r="AA1109" s="12"/>
      <c r="AB1109" s="12"/>
      <c r="AC1109" s="12"/>
      <c r="AD1109" s="12"/>
    </row>
    <row r="1110" spans="1:30" ht="12.75" x14ac:dyDescent="0.35">
      <c r="A1110" s="12"/>
      <c r="B1110" s="12"/>
      <c r="C1110" s="12"/>
      <c r="D1110" s="12"/>
      <c r="E1110" s="12"/>
      <c r="F1110" s="12"/>
      <c r="G1110" s="12"/>
      <c r="H1110" s="12"/>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row>
    <row r="1111" spans="1:30" ht="12.75" x14ac:dyDescent="0.35">
      <c r="A1111" s="12"/>
      <c r="B1111" s="12"/>
      <c r="C1111" s="12"/>
      <c r="D1111" s="12"/>
      <c r="E1111" s="12"/>
      <c r="F1111" s="12"/>
      <c r="G1111" s="12"/>
      <c r="H1111" s="12"/>
      <c r="I1111" s="12"/>
      <c r="J1111" s="12"/>
      <c r="K1111" s="12"/>
      <c r="L1111" s="12"/>
      <c r="M1111" s="12"/>
      <c r="N1111" s="12"/>
      <c r="O1111" s="12"/>
      <c r="P1111" s="12"/>
      <c r="Q1111" s="12"/>
      <c r="R1111" s="12"/>
      <c r="S1111" s="12"/>
      <c r="T1111" s="12"/>
      <c r="U1111" s="12"/>
      <c r="V1111" s="12"/>
      <c r="W1111" s="12"/>
      <c r="X1111" s="12"/>
      <c r="Y1111" s="12"/>
      <c r="Z1111" s="12"/>
      <c r="AA1111" s="12"/>
      <c r="AB1111" s="12"/>
      <c r="AC1111" s="12"/>
      <c r="AD1111"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677"/>
  <sheetViews>
    <sheetView tabSelected="1" topLeftCell="A631" workbookViewId="0">
      <pane xSplit="1" topLeftCell="D1" activePane="topRight" state="frozen"/>
      <selection pane="topRight" activeCell="G637" sqref="G637"/>
    </sheetView>
  </sheetViews>
  <sheetFormatPr defaultColWidth="12.59765625" defaultRowHeight="15.75" customHeight="1" x14ac:dyDescent="0.35"/>
  <cols>
    <col min="1" max="1" width="5.3984375" customWidth="1"/>
    <col min="2" max="2" width="19.86328125" customWidth="1"/>
    <col min="3" max="3" width="6.46484375" customWidth="1"/>
    <col min="4" max="4" width="5.46484375" customWidth="1"/>
  </cols>
  <sheetData>
    <row r="1" spans="1:9" ht="13.15" x14ac:dyDescent="0.4">
      <c r="A1" s="15" t="s">
        <v>253</v>
      </c>
      <c r="B1" s="16" t="s">
        <v>254</v>
      </c>
      <c r="C1" s="17" t="s">
        <v>255</v>
      </c>
      <c r="D1" s="18" t="s">
        <v>256</v>
      </c>
      <c r="E1" s="16" t="s">
        <v>257</v>
      </c>
      <c r="F1" s="19"/>
      <c r="G1" s="20" t="s">
        <v>258</v>
      </c>
      <c r="H1" s="20" t="s">
        <v>259</v>
      </c>
      <c r="I1" s="20" t="s">
        <v>260</v>
      </c>
    </row>
    <row r="2" spans="1:9" ht="12.75" x14ac:dyDescent="0.35">
      <c r="A2" s="21" t="s">
        <v>261</v>
      </c>
      <c r="B2" s="22" t="s">
        <v>262</v>
      </c>
      <c r="C2" s="23" t="str">
        <f ca="1">IFERROR(__xludf.DUMMYFUNCTION("index(split(B2,"" ""),1,2)"),"AA's")</f>
        <v>AA's</v>
      </c>
      <c r="D2" s="24" t="str">
        <f t="shared" ref="D2:D256" si="0">TRIM(RIGHT(SUBSTITUTE(B2," ",REPT(" ",LEN(B2))),LEN(B2)))</f>
        <v>AA</v>
      </c>
      <c r="E2" s="22" t="s">
        <v>6101</v>
      </c>
    </row>
    <row r="3" spans="1:9" ht="12.75" x14ac:dyDescent="0.35">
      <c r="A3" s="21" t="s">
        <v>263</v>
      </c>
      <c r="B3" s="22" t="s">
        <v>264</v>
      </c>
      <c r="C3" s="23" t="str">
        <f ca="1">IFERROR(__xludf.DUMMYFUNCTION("index(split(B3,"" ""),1,2)"),"armbands")</f>
        <v>armbands</v>
      </c>
      <c r="D3" s="24" t="str">
        <f t="shared" si="0"/>
        <v>abalone</v>
      </c>
      <c r="E3" s="22" t="s">
        <v>265</v>
      </c>
    </row>
    <row r="4" spans="1:9" ht="12.75" x14ac:dyDescent="0.35">
      <c r="A4" s="21" t="s">
        <v>266</v>
      </c>
      <c r="B4" s="22" t="s">
        <v>267</v>
      </c>
      <c r="C4" s="23" t="str">
        <f ca="1">IFERROR(__xludf.DUMMYFUNCTION("index(split(B4,"" ""),1,2)"),"accessorizes")</f>
        <v>accessorizes</v>
      </c>
      <c r="D4" s="24" t="str">
        <f t="shared" si="0"/>
        <v>accordian</v>
      </c>
      <c r="E4" s="22" t="s">
        <v>268</v>
      </c>
    </row>
    <row r="5" spans="1:9" ht="12.75" x14ac:dyDescent="0.35">
      <c r="A5" s="21" t="s">
        <v>269</v>
      </c>
      <c r="B5" s="22" t="s">
        <v>270</v>
      </c>
      <c r="C5" s="23" t="str">
        <f ca="1">IFERROR(__xludf.DUMMYFUNCTION("index(split(B5,"" ""),1,2)"),"addresses")</f>
        <v>addresses</v>
      </c>
      <c r="D5" s="24" t="str">
        <f t="shared" si="0"/>
        <v>adidas</v>
      </c>
      <c r="E5" s="22" t="s">
        <v>6102</v>
      </c>
    </row>
    <row r="6" spans="1:9" ht="12.75" x14ac:dyDescent="0.35">
      <c r="A6" s="21" t="s">
        <v>271</v>
      </c>
      <c r="B6" s="22" t="s">
        <v>272</v>
      </c>
      <c r="C6" s="23" t="str">
        <f ca="1">IFERROR(__xludf.DUMMYFUNCTION("index(split(B6,"" ""),1,2)"),"aerosols")</f>
        <v>aerosols</v>
      </c>
      <c r="D6" s="24" t="str">
        <f t="shared" si="0"/>
        <v>aerogel</v>
      </c>
      <c r="E6" s="22" t="s">
        <v>273</v>
      </c>
    </row>
    <row r="7" spans="1:9" ht="12.75" x14ac:dyDescent="0.35">
      <c r="A7" s="21" t="s">
        <v>274</v>
      </c>
      <c r="B7" s="22" t="s">
        <v>275</v>
      </c>
      <c r="C7" s="23" t="str">
        <f ca="1">IFERROR(__xludf.DUMMYFUNCTION("index(split(B7,"" ""),1,2)"),"afflicts")</f>
        <v>afflicts</v>
      </c>
      <c r="D7" s="24" t="str">
        <f t="shared" si="0"/>
        <v>affidavit</v>
      </c>
      <c r="E7" s="22" t="s">
        <v>276</v>
      </c>
    </row>
    <row r="8" spans="1:9" ht="12.75" x14ac:dyDescent="0.35">
      <c r="A8" s="21" t="s">
        <v>277</v>
      </c>
      <c r="B8" s="22" t="s">
        <v>278</v>
      </c>
      <c r="C8" s="23" t="str">
        <f ca="1">IFERROR(__xludf.DUMMYFUNCTION("index(split(B8,"" ""),1,2)"),"aga's")</f>
        <v>aga's</v>
      </c>
      <c r="D8" s="24" t="str">
        <f t="shared" si="0"/>
        <v>agave</v>
      </c>
      <c r="E8" s="22" t="s">
        <v>279</v>
      </c>
    </row>
    <row r="9" spans="1:9" ht="12.75" x14ac:dyDescent="0.35">
      <c r="A9" s="21" t="s">
        <v>280</v>
      </c>
      <c r="B9" s="22" t="s">
        <v>281</v>
      </c>
      <c r="C9" s="23" t="str">
        <f ca="1">IFERROR(__xludf.DUMMYFUNCTION("index(split(B9,"" ""),1,2)"),"ashes")</f>
        <v>ashes</v>
      </c>
      <c r="D9" s="24" t="str">
        <f t="shared" si="0"/>
        <v>ash</v>
      </c>
      <c r="E9" s="22" t="s">
        <v>282</v>
      </c>
    </row>
    <row r="10" spans="1:9" ht="12.75" x14ac:dyDescent="0.35">
      <c r="A10" s="21" t="s">
        <v>283</v>
      </c>
      <c r="B10" s="22" t="s">
        <v>284</v>
      </c>
      <c r="C10" s="23" t="str">
        <f ca="1">IFERROR(__xludf.DUMMYFUNCTION("index(split(B10,"" ""),1,2)"),"airtights")</f>
        <v>airtights</v>
      </c>
      <c r="D10" s="24" t="str">
        <f t="shared" si="0"/>
        <v>air</v>
      </c>
      <c r="E10" s="22" t="s">
        <v>285</v>
      </c>
    </row>
    <row r="11" spans="1:9" ht="12.75" x14ac:dyDescent="0.35">
      <c r="A11" s="21" t="s">
        <v>286</v>
      </c>
      <c r="B11" s="22" t="s">
        <v>287</v>
      </c>
      <c r="C11" s="23" t="str">
        <f ca="1">IFERROR(__xludf.DUMMYFUNCTION("index(split(B11,"" ""),1,2)"),"adjusts")</f>
        <v>adjusts</v>
      </c>
      <c r="D11" s="24" t="str">
        <f t="shared" si="0"/>
        <v>adjustor</v>
      </c>
      <c r="E11" s="22" t="s">
        <v>288</v>
      </c>
    </row>
    <row r="12" spans="1:9" ht="12.75" x14ac:dyDescent="0.35">
      <c r="A12" s="21" t="s">
        <v>289</v>
      </c>
      <c r="B12" s="22" t="s">
        <v>290</v>
      </c>
      <c r="C12" s="23" t="str">
        <f ca="1">IFERROR(__xludf.DUMMYFUNCTION("index(split(B12,"" ""),1,2)"),"akimbos")</f>
        <v>akimbos</v>
      </c>
      <c r="D12" s="24" t="str">
        <f t="shared" si="0"/>
        <v>ark</v>
      </c>
      <c r="E12" s="22" t="s">
        <v>291</v>
      </c>
    </row>
    <row r="13" spans="1:9" ht="12.75" x14ac:dyDescent="0.35">
      <c r="A13" s="21" t="s">
        <v>292</v>
      </c>
      <c r="B13" s="22" t="s">
        <v>293</v>
      </c>
      <c r="C13" s="23" t="str">
        <f ca="1">IFERROR(__xludf.DUMMYFUNCTION("index(split(B13,"" ""),1,2)"),"aluminums")</f>
        <v>aluminums</v>
      </c>
      <c r="D13" s="24" t="str">
        <f t="shared" si="0"/>
        <v>alligator</v>
      </c>
      <c r="E13" s="22" t="s">
        <v>294</v>
      </c>
    </row>
    <row r="14" spans="1:9" ht="12.75" x14ac:dyDescent="0.35">
      <c r="A14" s="21" t="s">
        <v>295</v>
      </c>
      <c r="B14" s="22" t="s">
        <v>296</v>
      </c>
      <c r="C14" s="23" t="str">
        <f ca="1">IFERROR(__xludf.DUMMYFUNCTION("index(split(B14,"" ""),1,2)"),"amasses")</f>
        <v>amasses</v>
      </c>
      <c r="D14" s="24" t="str">
        <f t="shared" si="0"/>
        <v>ammo</v>
      </c>
      <c r="E14" s="25"/>
    </row>
    <row r="15" spans="1:9" ht="12.75" x14ac:dyDescent="0.35">
      <c r="A15" s="21" t="s">
        <v>297</v>
      </c>
      <c r="B15" s="22" t="s">
        <v>298</v>
      </c>
      <c r="C15" s="23" t="str">
        <f ca="1">IFERROR(__xludf.DUMMYFUNCTION("index(split(B15,"" ""),1,2)"),"anneals")</f>
        <v>anneals</v>
      </c>
      <c r="D15" s="24" t="str">
        <f t="shared" si="0"/>
        <v>annual</v>
      </c>
      <c r="E15" s="98" t="s">
        <v>6100</v>
      </c>
    </row>
    <row r="16" spans="1:9" ht="12.75" x14ac:dyDescent="0.35">
      <c r="A16" s="21" t="s">
        <v>299</v>
      </c>
      <c r="B16" s="22" t="s">
        <v>300</v>
      </c>
      <c r="C16" s="23" t="str">
        <f ca="1">IFERROR(__xludf.DUMMYFUNCTION("index(split(B16,"" ""),1,2)"),"aortagrams")</f>
        <v>aortagrams</v>
      </c>
      <c r="D16" s="24" t="str">
        <f t="shared" si="0"/>
        <v>aorta</v>
      </c>
      <c r="E16" s="25"/>
    </row>
    <row r="17" spans="1:5" ht="12.75" x14ac:dyDescent="0.35">
      <c r="A17" s="21" t="s">
        <v>301</v>
      </c>
      <c r="B17" s="22" t="s">
        <v>302</v>
      </c>
      <c r="C17" s="23" t="str">
        <f ca="1">IFERROR(__xludf.DUMMYFUNCTION("index(split(B17,"" ""),1,2)"),"applauds")</f>
        <v>applauds</v>
      </c>
      <c r="D17" s="24" t="str">
        <f t="shared" si="0"/>
        <v>apple</v>
      </c>
      <c r="E17" s="22" t="s">
        <v>303</v>
      </c>
    </row>
    <row r="18" spans="1:5" ht="12.75" x14ac:dyDescent="0.35">
      <c r="A18" s="21" t="s">
        <v>304</v>
      </c>
      <c r="B18" s="22" t="s">
        <v>305</v>
      </c>
      <c r="C18" s="23" t="str">
        <f ca="1">IFERROR(__xludf.DUMMYFUNCTION("index(split(B18,"" ""),1,2)"),"aqueducts")</f>
        <v>aqueducts</v>
      </c>
      <c r="D18" s="24" t="str">
        <f t="shared" si="0"/>
        <v>aquarium</v>
      </c>
      <c r="E18" s="22" t="s">
        <v>306</v>
      </c>
    </row>
    <row r="19" spans="1:5" ht="12.75" x14ac:dyDescent="0.35">
      <c r="A19" s="21" t="s">
        <v>307</v>
      </c>
      <c r="B19" s="22" t="s">
        <v>308</v>
      </c>
      <c r="C19" s="23" t="str">
        <f ca="1">IFERROR(__xludf.DUMMYFUNCTION("index(split(B19,"" ""),1,2)"),"arrests")</f>
        <v>arrests</v>
      </c>
      <c r="D19" s="24" t="str">
        <f t="shared" si="0"/>
        <v>arrow</v>
      </c>
      <c r="E19" s="22" t="s">
        <v>309</v>
      </c>
    </row>
    <row r="20" spans="1:5" ht="12.75" x14ac:dyDescent="0.35">
      <c r="A20" s="21" t="s">
        <v>310</v>
      </c>
      <c r="B20" s="22" t="s">
        <v>311</v>
      </c>
      <c r="C20" s="23" t="str">
        <f ca="1">IFERROR(__xludf.DUMMYFUNCTION("index(split(B20,"" ""),1,2)"),"assails")</f>
        <v>assails</v>
      </c>
      <c r="D20" s="24" t="str">
        <f t="shared" si="0"/>
        <v>assam</v>
      </c>
      <c r="E20" s="22" t="s">
        <v>312</v>
      </c>
    </row>
    <row r="21" spans="1:5" ht="12.75" x14ac:dyDescent="0.35">
      <c r="A21" s="21" t="s">
        <v>313</v>
      </c>
      <c r="B21" s="22" t="s">
        <v>314</v>
      </c>
      <c r="C21" s="23" t="str">
        <f ca="1">IFERROR(__xludf.DUMMYFUNCTION("index(split(B21,"" ""),1,2)"),"attacks")</f>
        <v>attacks</v>
      </c>
      <c r="D21" s="24" t="str">
        <f t="shared" si="0"/>
        <v>altar</v>
      </c>
      <c r="E21" s="22" t="s">
        <v>315</v>
      </c>
    </row>
    <row r="22" spans="1:5" ht="12.75" x14ac:dyDescent="0.35">
      <c r="A22" s="21" t="s">
        <v>316</v>
      </c>
      <c r="B22" s="22" t="s">
        <v>317</v>
      </c>
      <c r="C22" s="23" t="str">
        <f ca="1">IFERROR(__xludf.DUMMYFUNCTION("index(split(B22,"" ""),1,2)"),"augers")</f>
        <v>augers</v>
      </c>
      <c r="D22" s="24" t="str">
        <f t="shared" si="0"/>
        <v>Audi</v>
      </c>
      <c r="E22" s="25"/>
    </row>
    <row r="23" spans="1:5" ht="12.75" x14ac:dyDescent="0.35">
      <c r="A23" s="21" t="s">
        <v>318</v>
      </c>
      <c r="B23" s="22" t="s">
        <v>319</v>
      </c>
      <c r="C23" s="23" t="str">
        <f ca="1">IFERROR(__xludf.DUMMYFUNCTION("index(split(B23,"" ""),1,2)"),"aviates")</f>
        <v>aviates</v>
      </c>
      <c r="D23" s="24" t="str">
        <f t="shared" si="0"/>
        <v>anvil</v>
      </c>
      <c r="E23" s="22" t="s">
        <v>320</v>
      </c>
    </row>
    <row r="24" spans="1:5" ht="12.75" x14ac:dyDescent="0.35">
      <c r="A24" s="21" t="s">
        <v>321</v>
      </c>
      <c r="B24" s="22" t="s">
        <v>322</v>
      </c>
      <c r="C24" s="23" t="str">
        <f ca="1">IFERROR(__xludf.DUMMYFUNCTION("index(split(B24,"" ""),1,2)"),"awaits")</f>
        <v>awaits</v>
      </c>
      <c r="D24" s="24" t="str">
        <f t="shared" si="0"/>
        <v>award</v>
      </c>
      <c r="E24" s="22" t="s">
        <v>323</v>
      </c>
    </row>
    <row r="25" spans="1:5" ht="12.75" x14ac:dyDescent="0.35">
      <c r="A25" s="21" t="s">
        <v>324</v>
      </c>
      <c r="B25" s="22" t="s">
        <v>325</v>
      </c>
      <c r="C25" s="23" t="str">
        <f ca="1">IFERROR(__xludf.DUMMYFUNCTION("index(split(B25,"" ""),1,2)"),"axes")</f>
        <v>axes</v>
      </c>
      <c r="D25" s="24" t="str">
        <f t="shared" si="0"/>
        <v>axle</v>
      </c>
      <c r="E25" s="22" t="s">
        <v>326</v>
      </c>
    </row>
    <row r="26" spans="1:5" ht="12.75" x14ac:dyDescent="0.35">
      <c r="A26" s="21" t="s">
        <v>327</v>
      </c>
      <c r="B26" s="22" t="s">
        <v>328</v>
      </c>
      <c r="C26" s="23" t="str">
        <f ca="1">IFERROR(__xludf.DUMMYFUNCTION("index(split(B26,"" ""),1,2)"),"aye-aye's")</f>
        <v>aye-aye's</v>
      </c>
      <c r="D26" s="24" t="str">
        <f t="shared" si="0"/>
        <v>argyle</v>
      </c>
      <c r="E26" s="25"/>
    </row>
    <row r="27" spans="1:5" ht="12.75" x14ac:dyDescent="0.35">
      <c r="A27" s="26" t="s">
        <v>329</v>
      </c>
      <c r="B27" s="27" t="s">
        <v>330</v>
      </c>
      <c r="C27" s="23" t="str">
        <f ca="1">IFERROR(__xludf.DUMMYFUNCTION("index(split(B27,"" ""),1,2)"),"adzes")</f>
        <v>adzes</v>
      </c>
      <c r="D27" s="24" t="str">
        <f t="shared" si="0"/>
        <v>azalea</v>
      </c>
      <c r="E27" s="28"/>
    </row>
    <row r="28" spans="1:5" ht="12.75" x14ac:dyDescent="0.35">
      <c r="A28" s="21" t="s">
        <v>331</v>
      </c>
      <c r="B28" s="22" t="s">
        <v>332</v>
      </c>
      <c r="C28" s="23" t="str">
        <f ca="1">IFERROR(__xludf.DUMMYFUNCTION("index(split(B28,"" ""),1,2)"),"barbecues")</f>
        <v>barbecues</v>
      </c>
      <c r="D28" s="24" t="str">
        <f t="shared" si="0"/>
        <v>barbell</v>
      </c>
      <c r="E28" s="22"/>
    </row>
    <row r="29" spans="1:5" ht="12.75" x14ac:dyDescent="0.35">
      <c r="A29" s="21" t="s">
        <v>333</v>
      </c>
      <c r="B29" s="22" t="s">
        <v>334</v>
      </c>
      <c r="C29" s="23" t="str">
        <f ca="1">IFERROR(__xludf.DUMMYFUNCTION("index(split(B29,"" ""),1,2)"),"BB's")</f>
        <v>BB's</v>
      </c>
      <c r="D29" s="24" t="str">
        <f t="shared" si="0"/>
        <v>BB</v>
      </c>
      <c r="E29" s="22" t="s">
        <v>335</v>
      </c>
    </row>
    <row r="30" spans="1:5" ht="12.75" x14ac:dyDescent="0.35">
      <c r="A30" s="21" t="s">
        <v>336</v>
      </c>
      <c r="B30" s="22" t="s">
        <v>337</v>
      </c>
      <c r="C30" s="23" t="str">
        <f ca="1">IFERROR(__xludf.DUMMYFUNCTION("index(split(B30,"" ""),1,2)"),"bacardi's")</f>
        <v>bacardi's</v>
      </c>
      <c r="D30" s="24" t="str">
        <f t="shared" si="0"/>
        <v>bacon</v>
      </c>
      <c r="E30" s="22" t="s">
        <v>338</v>
      </c>
    </row>
    <row r="31" spans="1:5" ht="12.75" x14ac:dyDescent="0.35">
      <c r="A31" s="21" t="s">
        <v>339</v>
      </c>
      <c r="B31" s="22" t="s">
        <v>340</v>
      </c>
      <c r="C31" s="23" t="str">
        <f ca="1">IFERROR(__xludf.DUMMYFUNCTION("index(split(B31,"" ""),1,2)"),"birdies")</f>
        <v>birdies</v>
      </c>
      <c r="D31" s="24" t="str">
        <f t="shared" si="0"/>
        <v>bed</v>
      </c>
      <c r="E31" s="29" t="s">
        <v>341</v>
      </c>
    </row>
    <row r="32" spans="1:5" ht="12.75" x14ac:dyDescent="0.35">
      <c r="A32" s="21" t="s">
        <v>342</v>
      </c>
      <c r="B32" s="22" t="s">
        <v>343</v>
      </c>
      <c r="C32" s="23" t="str">
        <f ca="1">IFERROR(__xludf.DUMMYFUNCTION("index(split(B32,"" ""),1,2)"),"beers")</f>
        <v>beers</v>
      </c>
      <c r="D32" s="24" t="str">
        <f t="shared" si="0"/>
        <v>beef</v>
      </c>
      <c r="E32" s="22" t="s">
        <v>344</v>
      </c>
    </row>
    <row r="33" spans="1:5" ht="12.75" x14ac:dyDescent="0.35">
      <c r="A33" s="21" t="s">
        <v>345</v>
      </c>
      <c r="B33" s="22" t="s">
        <v>346</v>
      </c>
      <c r="C33" s="23" t="str">
        <f ca="1">IFERROR(__xludf.DUMMYFUNCTION("index(split(B33,"" ""),1,2)"),"buffs")</f>
        <v>buffs</v>
      </c>
      <c r="D33" s="24" t="str">
        <f t="shared" si="0"/>
        <v>buffalo</v>
      </c>
      <c r="E33" s="22" t="s">
        <v>347</v>
      </c>
    </row>
    <row r="34" spans="1:5" ht="12.75" x14ac:dyDescent="0.35">
      <c r="A34" s="21" t="s">
        <v>348</v>
      </c>
      <c r="B34" s="22" t="s">
        <v>349</v>
      </c>
      <c r="C34" s="23" t="str">
        <f ca="1">IFERROR(__xludf.DUMMYFUNCTION("index(split(B34,"" ""),1,2)"),"bags")</f>
        <v>bags</v>
      </c>
      <c r="D34" s="24" t="str">
        <f t="shared" si="0"/>
        <v>bug</v>
      </c>
      <c r="E34" s="22" t="s">
        <v>350</v>
      </c>
    </row>
    <row r="35" spans="1:5" ht="12.75" x14ac:dyDescent="0.35">
      <c r="A35" s="21" t="s">
        <v>351</v>
      </c>
      <c r="B35" s="22" t="s">
        <v>352</v>
      </c>
      <c r="C35" s="23" t="str">
        <f ca="1">IFERROR(__xludf.DUMMYFUNCTION("index(split(B35,"" ""),1,2)"),"brushes")</f>
        <v>brushes</v>
      </c>
      <c r="D35" s="24" t="str">
        <f t="shared" si="0"/>
        <v>bombshell</v>
      </c>
      <c r="E35" s="22" t="s">
        <v>353</v>
      </c>
    </row>
    <row r="36" spans="1:5" ht="12.75" x14ac:dyDescent="0.35">
      <c r="A36" s="21" t="s">
        <v>354</v>
      </c>
      <c r="B36" s="22" t="s">
        <v>355</v>
      </c>
      <c r="C36" s="23" t="str">
        <f ca="1">IFERROR(__xludf.DUMMYFUNCTION("index(split(B36,"" ""),1,2)"),"bibs")</f>
        <v>bibs</v>
      </c>
      <c r="D36" s="24" t="str">
        <f t="shared" si="0"/>
        <v>bible</v>
      </c>
      <c r="E36" s="22" t="s">
        <v>356</v>
      </c>
    </row>
    <row r="37" spans="1:5" ht="12.75" x14ac:dyDescent="0.35">
      <c r="A37" s="21" t="s">
        <v>357</v>
      </c>
      <c r="B37" s="22" t="s">
        <v>358</v>
      </c>
      <c r="C37" s="23" t="str">
        <f ca="1">IFERROR(__xludf.DUMMYFUNCTION("index(split(B37,"" ""),1,2)"),"buckjumps")</f>
        <v>buckjumps</v>
      </c>
      <c r="D37" s="24" t="str">
        <f t="shared" si="0"/>
        <v>banjo</v>
      </c>
      <c r="E37" s="22" t="s">
        <v>359</v>
      </c>
    </row>
    <row r="38" spans="1:5" ht="12.75" x14ac:dyDescent="0.35">
      <c r="A38" s="21" t="s">
        <v>360</v>
      </c>
      <c r="B38" s="22" t="s">
        <v>361</v>
      </c>
      <c r="C38" s="23" t="str">
        <f ca="1">IFERROR(__xludf.DUMMYFUNCTION("index(split(B38,"" ""),1,2)"),"bakes")</f>
        <v>bakes</v>
      </c>
      <c r="D38" s="24" t="str">
        <f t="shared" si="0"/>
        <v>bike</v>
      </c>
      <c r="E38" s="22" t="s">
        <v>362</v>
      </c>
    </row>
    <row r="39" spans="1:5" ht="12.75" x14ac:dyDescent="0.35">
      <c r="A39" s="21" t="s">
        <v>363</v>
      </c>
      <c r="B39" s="22" t="s">
        <v>364</v>
      </c>
      <c r="C39" s="23" t="str">
        <f ca="1">IFERROR(__xludf.DUMMYFUNCTION("index(split(B39,"" ""),1,2)"),"burlaps")</f>
        <v>burlaps</v>
      </c>
      <c r="D39" s="24" t="str">
        <f t="shared" si="0"/>
        <v>bullet</v>
      </c>
      <c r="E39" s="25"/>
    </row>
    <row r="40" spans="1:5" ht="12.75" x14ac:dyDescent="0.35">
      <c r="A40" s="21" t="s">
        <v>365</v>
      </c>
      <c r="B40" s="22" t="s">
        <v>366</v>
      </c>
      <c r="C40" s="23" t="str">
        <f ca="1">IFERROR(__xludf.DUMMYFUNCTION("index(split(B40,"" ""),1,2)"),"bams")</f>
        <v>bams</v>
      </c>
      <c r="D40" s="24" t="str">
        <f t="shared" si="0"/>
        <v>bum</v>
      </c>
      <c r="E40" s="22" t="s">
        <v>367</v>
      </c>
    </row>
    <row r="41" spans="1:5" ht="12.75" x14ac:dyDescent="0.35">
      <c r="A41" s="21" t="s">
        <v>368</v>
      </c>
      <c r="B41" s="22" t="s">
        <v>369</v>
      </c>
      <c r="C41" s="23" t="str">
        <f ca="1">IFERROR(__xludf.DUMMYFUNCTION("index(split(B41,"" ""),1,2)"),"burns")</f>
        <v>burns</v>
      </c>
      <c r="D41" s="24" t="str">
        <f t="shared" si="0"/>
        <v>banner</v>
      </c>
      <c r="E41" s="22" t="s">
        <v>370</v>
      </c>
    </row>
    <row r="42" spans="1:5" ht="12.75" x14ac:dyDescent="0.35">
      <c r="A42" s="21" t="s">
        <v>371</v>
      </c>
      <c r="B42" s="22" t="s">
        <v>372</v>
      </c>
      <c r="C42" s="23" t="str">
        <f ca="1">IFERROR(__xludf.DUMMYFUNCTION("index(split(B42,"" ""),1,2)"),"boots")</f>
        <v>boots</v>
      </c>
      <c r="D42" s="24" t="str">
        <f t="shared" si="0"/>
        <v>bong</v>
      </c>
      <c r="E42" s="22" t="s">
        <v>373</v>
      </c>
    </row>
    <row r="43" spans="1:5" ht="12.75" x14ac:dyDescent="0.35">
      <c r="A43" s="21" t="s">
        <v>374</v>
      </c>
      <c r="B43" s="22" t="s">
        <v>375</v>
      </c>
      <c r="C43" s="23" t="str">
        <f ca="1">IFERROR(__xludf.DUMMYFUNCTION("index(split(B43,"" ""),1,2)"),"bops")</f>
        <v>bops</v>
      </c>
      <c r="D43" s="24" t="str">
        <f t="shared" si="0"/>
        <v>biped</v>
      </c>
      <c r="E43" s="22" t="s">
        <v>376</v>
      </c>
    </row>
    <row r="44" spans="1:5" ht="12.75" x14ac:dyDescent="0.35">
      <c r="A44" s="21" t="s">
        <v>377</v>
      </c>
      <c r="B44" s="22" t="s">
        <v>378</v>
      </c>
      <c r="C44" s="23" t="str">
        <f ca="1">IFERROR(__xludf.DUMMYFUNCTION("index(split(B44,"" ""),1,2)"),"bouquets")</f>
        <v>bouquets</v>
      </c>
      <c r="D44" s="24" t="str">
        <f t="shared" si="0"/>
        <v>Basque</v>
      </c>
      <c r="E44" s="22" t="s">
        <v>379</v>
      </c>
    </row>
    <row r="45" spans="1:5" ht="12.75" x14ac:dyDescent="0.35">
      <c r="A45" s="21" t="s">
        <v>380</v>
      </c>
      <c r="B45" s="22" t="s">
        <v>381</v>
      </c>
      <c r="C45" s="23" t="str">
        <f ca="1">IFERROR(__xludf.DUMMYFUNCTION("index(split(B45,"" ""),1,2)"),"buries")</f>
        <v>buries</v>
      </c>
      <c r="D45" s="24" t="str">
        <f t="shared" si="0"/>
        <v>bear</v>
      </c>
      <c r="E45" s="25"/>
    </row>
    <row r="46" spans="1:5" ht="12.75" x14ac:dyDescent="0.35">
      <c r="A46" s="21" t="s">
        <v>382</v>
      </c>
      <c r="B46" s="22" t="s">
        <v>383</v>
      </c>
      <c r="C46" s="23" t="str">
        <f ca="1">IFERROR(__xludf.DUMMYFUNCTION("index(split(B46,"" ""),1,2)"),"blesses")</f>
        <v>blesses</v>
      </c>
      <c r="D46" s="24" t="str">
        <f t="shared" si="0"/>
        <v>bass</v>
      </c>
      <c r="E46" s="22" t="s">
        <v>384</v>
      </c>
    </row>
    <row r="47" spans="1:5" ht="12.75" x14ac:dyDescent="0.35">
      <c r="A47" s="21" t="s">
        <v>385</v>
      </c>
      <c r="B47" s="22" t="s">
        <v>386</v>
      </c>
      <c r="C47" s="23" t="str">
        <f ca="1">IFERROR(__xludf.DUMMYFUNCTION("index(split(B47,"" ""),1,2)"),"bats")</f>
        <v>bats</v>
      </c>
      <c r="D47" s="24" t="str">
        <f t="shared" si="0"/>
        <v>boat</v>
      </c>
      <c r="E47" s="25"/>
    </row>
    <row r="48" spans="1:5" ht="12.75" x14ac:dyDescent="0.35">
      <c r="A48" s="21" t="s">
        <v>387</v>
      </c>
      <c r="B48" s="29" t="s">
        <v>388</v>
      </c>
      <c r="C48" s="23" t="str">
        <f ca="1">IFERROR(__xludf.DUMMYFUNCTION("index(split(B48,"" ""),1,2)"),"bubblebaths")</f>
        <v>bubblebaths</v>
      </c>
      <c r="D48" s="24" t="str">
        <f t="shared" si="0"/>
        <v>bumbershoot</v>
      </c>
      <c r="E48" s="22" t="s">
        <v>389</v>
      </c>
    </row>
    <row r="49" spans="1:5" ht="12.75" x14ac:dyDescent="0.35">
      <c r="A49" s="21" t="s">
        <v>390</v>
      </c>
      <c r="B49" s="22" t="s">
        <v>391</v>
      </c>
      <c r="C49" s="23" t="str">
        <f ca="1">IFERROR(__xludf.DUMMYFUNCTION("index(split(B49,"" ""),1,2)"),"bravos")</f>
        <v>bravos</v>
      </c>
      <c r="D49" s="24" t="str">
        <f t="shared" si="0"/>
        <v>beaver</v>
      </c>
      <c r="E49" s="22" t="s">
        <v>392</v>
      </c>
    </row>
    <row r="50" spans="1:5" ht="12.75" x14ac:dyDescent="0.35">
      <c r="A50" s="21" t="s">
        <v>393</v>
      </c>
      <c r="B50" s="22" t="s">
        <v>394</v>
      </c>
      <c r="C50" s="23" t="str">
        <f ca="1">IFERROR(__xludf.DUMMYFUNCTION("index(split(B50,"" ""),1,2)"),"bewitches")</f>
        <v>bewitches</v>
      </c>
      <c r="D50" s="24" t="str">
        <f t="shared" si="0"/>
        <v>bow</v>
      </c>
      <c r="E50" s="22" t="s">
        <v>395</v>
      </c>
    </row>
    <row r="51" spans="1:5" ht="12.75" x14ac:dyDescent="0.35">
      <c r="A51" s="21" t="s">
        <v>396</v>
      </c>
      <c r="B51" s="22" t="s">
        <v>397</v>
      </c>
      <c r="C51" s="23" t="str">
        <f ca="1">IFERROR(__xludf.DUMMYFUNCTION("index(split(B51,"" ""),1,2)"),"boxes")</f>
        <v>boxes</v>
      </c>
      <c r="D51" s="24" t="str">
        <f t="shared" si="0"/>
        <v>borax</v>
      </c>
      <c r="E51" s="22" t="s">
        <v>398</v>
      </c>
    </row>
    <row r="52" spans="1:5" ht="12.75" x14ac:dyDescent="0.35">
      <c r="A52" s="21" t="s">
        <v>399</v>
      </c>
      <c r="B52" s="22" t="s">
        <v>400</v>
      </c>
      <c r="C52" s="23" t="str">
        <f ca="1">IFERROR(__xludf.DUMMYFUNCTION("index(split(B52,"" ""),1,2)"),"buys")</f>
        <v>buys</v>
      </c>
      <c r="D52" s="24" t="str">
        <f t="shared" si="0"/>
        <v>bay</v>
      </c>
      <c r="E52" s="25"/>
    </row>
    <row r="53" spans="1:5" ht="12.75" x14ac:dyDescent="0.35">
      <c r="A53" s="26" t="s">
        <v>401</v>
      </c>
      <c r="B53" s="27" t="s">
        <v>402</v>
      </c>
      <c r="C53" s="23" t="str">
        <f ca="1">IFERROR(__xludf.DUMMYFUNCTION("index(split(B53,"" ""),1,2)"),"bazookas")</f>
        <v>bazookas</v>
      </c>
      <c r="D53" s="24" t="str">
        <f t="shared" si="0"/>
        <v>buzzard</v>
      </c>
      <c r="E53" s="27" t="s">
        <v>403</v>
      </c>
    </row>
    <row r="54" spans="1:5" ht="12.75" x14ac:dyDescent="0.35">
      <c r="A54" s="21" t="s">
        <v>404</v>
      </c>
      <c r="B54" s="22" t="s">
        <v>405</v>
      </c>
      <c r="C54" s="23" t="str">
        <f ca="1">IFERROR(__xludf.DUMMYFUNCTION("index(split(B54,"" ""),1,2)"),"cascades")</f>
        <v>cascades</v>
      </c>
      <c r="D54" s="24" t="str">
        <f t="shared" si="0"/>
        <v>carcass</v>
      </c>
      <c r="E54" s="22" t="s">
        <v>406</v>
      </c>
    </row>
    <row r="55" spans="1:5" ht="12.75" x14ac:dyDescent="0.35">
      <c r="A55" s="21" t="s">
        <v>407</v>
      </c>
      <c r="B55" s="22" t="s">
        <v>408</v>
      </c>
      <c r="C55" s="23" t="str">
        <f ca="1">IFERROR(__xludf.DUMMYFUNCTION("index(split(B55,"" ""),1,2)"),"cables")</f>
        <v>cables</v>
      </c>
      <c r="D55" s="24" t="str">
        <f t="shared" si="0"/>
        <v>carbine</v>
      </c>
      <c r="E55" s="22" t="s">
        <v>409</v>
      </c>
    </row>
    <row r="56" spans="1:5" ht="12.75" x14ac:dyDescent="0.35">
      <c r="A56" s="21" t="s">
        <v>410</v>
      </c>
      <c r="B56" s="22" t="s">
        <v>411</v>
      </c>
      <c r="C56" s="23" t="str">
        <f ca="1">IFERROR(__xludf.DUMMYFUNCTION("index(split(B56,"" ""),1,2)"),"CC's")</f>
        <v>CC's</v>
      </c>
      <c r="D56" s="24" t="str">
        <f t="shared" si="0"/>
        <v>CC</v>
      </c>
      <c r="E56" s="22" t="s">
        <v>412</v>
      </c>
    </row>
    <row r="57" spans="1:5" ht="12.75" x14ac:dyDescent="0.35">
      <c r="A57" s="21" t="s">
        <v>413</v>
      </c>
      <c r="B57" s="22" t="s">
        <v>414</v>
      </c>
      <c r="C57" s="23" t="str">
        <f ca="1">IFERROR(__xludf.DUMMYFUNCTION("index(split(B57,"" ""),1,2)"),"caddies")</f>
        <v>caddies</v>
      </c>
      <c r="D57" s="24" t="str">
        <f t="shared" si="0"/>
        <v>cod</v>
      </c>
      <c r="E57" s="22" t="s">
        <v>415</v>
      </c>
    </row>
    <row r="58" spans="1:5" ht="12.75" x14ac:dyDescent="0.35">
      <c r="A58" s="21" t="s">
        <v>416</v>
      </c>
      <c r="B58" s="22" t="s">
        <v>417</v>
      </c>
      <c r="C58" s="23" t="str">
        <f ca="1">IFERROR(__xludf.DUMMYFUNCTION("index(split(B58,"" ""),1,2)"),"cecums")</f>
        <v>cecums</v>
      </c>
      <c r="D58" s="24" t="str">
        <f t="shared" si="0"/>
        <v>cephalopod</v>
      </c>
      <c r="E58" s="22" t="s">
        <v>418</v>
      </c>
    </row>
    <row r="59" spans="1:5" ht="12.75" x14ac:dyDescent="0.35">
      <c r="A59" s="21" t="s">
        <v>419</v>
      </c>
      <c r="B59" s="22" t="s">
        <v>420</v>
      </c>
      <c r="C59" s="23" t="str">
        <f ca="1">IFERROR(__xludf.DUMMYFUNCTION("index(split(B59,"" ""),1,2)"),"cuffs")</f>
        <v>cuffs</v>
      </c>
      <c r="D59" s="24" t="str">
        <f t="shared" si="0"/>
        <v>coffee</v>
      </c>
      <c r="E59" s="22" t="s">
        <v>421</v>
      </c>
    </row>
    <row r="60" spans="1:5" ht="12.75" x14ac:dyDescent="0.35">
      <c r="A60" s="21" t="s">
        <v>422</v>
      </c>
      <c r="B60" s="22" t="s">
        <v>423</v>
      </c>
      <c r="C60" s="23" t="str">
        <f ca="1">IFERROR(__xludf.DUMMYFUNCTION("index(split(B60,"" ""),1,2)"),"cargo's")</f>
        <v>cargo's</v>
      </c>
      <c r="D60" s="24" t="str">
        <f t="shared" si="0"/>
        <v>corgi</v>
      </c>
      <c r="E60" s="22" t="s">
        <v>424</v>
      </c>
    </row>
    <row r="61" spans="1:5" ht="12.75" x14ac:dyDescent="0.35">
      <c r="A61" s="21" t="s">
        <v>425</v>
      </c>
      <c r="B61" s="22" t="s">
        <v>426</v>
      </c>
      <c r="C61" s="23" t="str">
        <f ca="1">IFERROR(__xludf.DUMMYFUNCTION("index(split(B61,"" ""),1,2)"),"cushions")</f>
        <v>cushions</v>
      </c>
      <c r="D61" s="24" t="str">
        <f t="shared" si="0"/>
        <v>cashew</v>
      </c>
      <c r="E61" s="25"/>
    </row>
    <row r="62" spans="1:5" ht="12.75" x14ac:dyDescent="0.35">
      <c r="A62" s="21" t="s">
        <v>427</v>
      </c>
      <c r="B62" s="22" t="s">
        <v>428</v>
      </c>
      <c r="C62" s="23" t="str">
        <f ca="1">IFERROR(__xludf.DUMMYFUNCTION("index(split(B62,"" ""),1,2)"),"circles")</f>
        <v>circles</v>
      </c>
      <c r="D62" s="24" t="str">
        <f t="shared" si="0"/>
        <v>cicada</v>
      </c>
      <c r="E62" s="22" t="s">
        <v>429</v>
      </c>
    </row>
    <row r="63" spans="1:5" ht="12.75" x14ac:dyDescent="0.35">
      <c r="A63" s="21" t="s">
        <v>430</v>
      </c>
      <c r="B63" s="22" t="s">
        <v>431</v>
      </c>
      <c r="C63" s="23" t="str">
        <f ca="1">IFERROR(__xludf.DUMMYFUNCTION("index(split(B63,"" ""),1,2)"),"conjures")</f>
        <v>conjures</v>
      </c>
      <c r="D63" s="24" t="str">
        <f t="shared" si="0"/>
        <v>crossjack</v>
      </c>
      <c r="E63" s="22" t="s">
        <v>432</v>
      </c>
    </row>
    <row r="64" spans="1:5" ht="12.75" x14ac:dyDescent="0.35">
      <c r="A64" s="21" t="s">
        <v>433</v>
      </c>
      <c r="B64" s="22" t="s">
        <v>434</v>
      </c>
      <c r="C64" s="23" t="str">
        <f ca="1">IFERROR(__xludf.DUMMYFUNCTION("index(split(B64,"" ""),1,2)"),"caulks")</f>
        <v>caulks</v>
      </c>
      <c r="D64" s="24" t="str">
        <f t="shared" si="0"/>
        <v>cake</v>
      </c>
      <c r="E64" s="25"/>
    </row>
    <row r="65" spans="1:5" ht="12.75" x14ac:dyDescent="0.35">
      <c r="A65" s="21" t="s">
        <v>435</v>
      </c>
      <c r="B65" s="22" t="s">
        <v>436</v>
      </c>
      <c r="C65" s="23" t="str">
        <f ca="1">IFERROR(__xludf.DUMMYFUNCTION("index(split(B65,"" ""),1,2)"),"collages")</f>
        <v>collages</v>
      </c>
      <c r="D65" s="24" t="str">
        <f t="shared" si="0"/>
        <v>collie</v>
      </c>
      <c r="E65" s="22" t="s">
        <v>437</v>
      </c>
    </row>
    <row r="66" spans="1:5" ht="12.75" x14ac:dyDescent="0.35">
      <c r="A66" s="21" t="s">
        <v>438</v>
      </c>
      <c r="B66" s="22" t="s">
        <v>439</v>
      </c>
      <c r="C66" s="23" t="str">
        <f ca="1">IFERROR(__xludf.DUMMYFUNCTION("index(split(B66,"" ""),1,2)"),"camo's")</f>
        <v>camo's</v>
      </c>
      <c r="D66" s="24" t="str">
        <f t="shared" si="0"/>
        <v>camel</v>
      </c>
      <c r="E66" s="22" t="s">
        <v>440</v>
      </c>
    </row>
    <row r="67" spans="1:5" ht="12.75" x14ac:dyDescent="0.35">
      <c r="A67" s="21" t="s">
        <v>441</v>
      </c>
      <c r="B67" s="22" t="s">
        <v>442</v>
      </c>
      <c r="C67" s="23" t="str">
        <f ca="1">IFERROR(__xludf.DUMMYFUNCTION("index(split(B67,"" ""),1,2)"),"canes")</f>
        <v>canes</v>
      </c>
      <c r="D67" s="24" t="str">
        <f t="shared" si="0"/>
        <v>canon</v>
      </c>
      <c r="E67" s="25"/>
    </row>
    <row r="68" spans="1:5" ht="12.75" x14ac:dyDescent="0.35">
      <c r="A68" s="21" t="s">
        <v>443</v>
      </c>
      <c r="B68" s="22" t="s">
        <v>444</v>
      </c>
      <c r="C68" s="23" t="str">
        <f ca="1">IFERROR(__xludf.DUMMYFUNCTION("index(split(B68,"" ""),1,2)"),"cocoons")</f>
        <v>cocoons</v>
      </c>
      <c r="D68" s="24" t="str">
        <f t="shared" si="0"/>
        <v>coconut</v>
      </c>
      <c r="E68" s="22" t="s">
        <v>445</v>
      </c>
    </row>
    <row r="69" spans="1:5" ht="12.75" x14ac:dyDescent="0.35">
      <c r="A69" s="21" t="s">
        <v>446</v>
      </c>
      <c r="B69" s="22" t="s">
        <v>447</v>
      </c>
      <c r="C69" s="23" t="str">
        <f ca="1">IFERROR(__xludf.DUMMYFUNCTION("index(split(B69,"" ""),1,2)"),"composts")</f>
        <v>composts</v>
      </c>
      <c r="D69" s="24" t="str">
        <f t="shared" si="0"/>
        <v>cappuccino</v>
      </c>
      <c r="E69" s="22" t="s">
        <v>448</v>
      </c>
    </row>
    <row r="70" spans="1:5" ht="12.75" x14ac:dyDescent="0.35">
      <c r="A70" s="21" t="s">
        <v>449</v>
      </c>
      <c r="B70" s="22" t="s">
        <v>450</v>
      </c>
      <c r="C70" s="23" t="str">
        <f ca="1">IFERROR(__xludf.DUMMYFUNCTION("index(split(B70,"" ""),1,2)"),"conquers")</f>
        <v>conquers</v>
      </c>
      <c r="D70" s="24" t="str">
        <f t="shared" si="0"/>
        <v>croquet</v>
      </c>
      <c r="E70" s="22" t="s">
        <v>451</v>
      </c>
    </row>
    <row r="71" spans="1:5" ht="12.75" x14ac:dyDescent="0.35">
      <c r="A71" s="21" t="s">
        <v>452</v>
      </c>
      <c r="B71" s="22" t="s">
        <v>453</v>
      </c>
      <c r="C71" s="23" t="str">
        <f ca="1">IFERROR(__xludf.DUMMYFUNCTION("index(split(B71,"" ""),1,2)"),"corrodes")</f>
        <v>corrodes</v>
      </c>
      <c r="D71" s="24" t="str">
        <f t="shared" si="0"/>
        <v>car</v>
      </c>
      <c r="E71" s="22" t="s">
        <v>454</v>
      </c>
    </row>
    <row r="72" spans="1:5" ht="12.75" x14ac:dyDescent="0.35">
      <c r="A72" s="21" t="s">
        <v>455</v>
      </c>
      <c r="B72" s="22" t="s">
        <v>456</v>
      </c>
      <c r="C72" s="23" t="str">
        <f ca="1">IFERROR(__xludf.DUMMYFUNCTION("index(split(B72,"" ""),1,2)"),"cases")</f>
        <v>cases</v>
      </c>
      <c r="D72" s="24" t="str">
        <f t="shared" si="0"/>
        <v>casserole</v>
      </c>
      <c r="E72" s="22" t="s">
        <v>457</v>
      </c>
    </row>
    <row r="73" spans="1:5" ht="12.75" x14ac:dyDescent="0.35">
      <c r="A73" s="21" t="s">
        <v>458</v>
      </c>
      <c r="B73" s="22" t="s">
        <v>459</v>
      </c>
      <c r="C73" s="23" t="str">
        <f ca="1">IFERROR(__xludf.DUMMYFUNCTION("index(split(B73,"" ""),1,2)"),"cuts")</f>
        <v>cuts</v>
      </c>
      <c r="D73" s="24" t="str">
        <f t="shared" si="0"/>
        <v>cot</v>
      </c>
      <c r="E73" s="25"/>
    </row>
    <row r="74" spans="1:5" ht="12.75" x14ac:dyDescent="0.35">
      <c r="A74" s="21" t="s">
        <v>460</v>
      </c>
      <c r="B74" s="22" t="s">
        <v>461</v>
      </c>
      <c r="C74" s="23" t="str">
        <f ca="1">IFERROR(__xludf.DUMMYFUNCTION("index(split(B74,"" ""),1,2)"),"cues")</f>
        <v>cues</v>
      </c>
      <c r="D74" s="24" t="str">
        <f t="shared" si="0"/>
        <v>cucumber</v>
      </c>
      <c r="E74" s="22" t="s">
        <v>462</v>
      </c>
    </row>
    <row r="75" spans="1:5" ht="12.75" x14ac:dyDescent="0.35">
      <c r="A75" s="21" t="s">
        <v>463</v>
      </c>
      <c r="B75" s="22" t="s">
        <v>464</v>
      </c>
      <c r="C75" s="23" t="str">
        <f ca="1">IFERROR(__xludf.DUMMYFUNCTION("index(split(B75,"" ""),1,2)"),"covers")</f>
        <v>covers</v>
      </c>
      <c r="D75" s="24" t="str">
        <f t="shared" si="0"/>
        <v>caviar</v>
      </c>
      <c r="E75" s="22" t="s">
        <v>465</v>
      </c>
    </row>
    <row r="76" spans="1:5" ht="12.75" x14ac:dyDescent="0.35">
      <c r="A76" s="21" t="s">
        <v>466</v>
      </c>
      <c r="B76" s="22" t="s">
        <v>467</v>
      </c>
      <c r="C76" s="23" t="str">
        <f ca="1">IFERROR(__xludf.DUMMYFUNCTION("index(split(B76,"" ""),1,2)"),"claws")</f>
        <v>claws</v>
      </c>
      <c r="D76" s="24" t="str">
        <f t="shared" si="0"/>
        <v>cow</v>
      </c>
      <c r="E76" s="22" t="s">
        <v>468</v>
      </c>
    </row>
    <row r="77" spans="1:5" ht="12.75" x14ac:dyDescent="0.35">
      <c r="A77" s="21" t="s">
        <v>469</v>
      </c>
      <c r="B77" s="22" t="s">
        <v>470</v>
      </c>
      <c r="C77" s="23" t="str">
        <f ca="1">IFERROR(__xludf.DUMMYFUNCTION("index(split(B77,"" ""),1,2)"),"coxes")</f>
        <v>coxes</v>
      </c>
      <c r="D77" s="24" t="str">
        <f t="shared" si="0"/>
        <v>coxcomb</v>
      </c>
      <c r="E77" s="22" t="s">
        <v>471</v>
      </c>
    </row>
    <row r="78" spans="1:5" ht="12.75" x14ac:dyDescent="0.35">
      <c r="A78" s="21" t="s">
        <v>472</v>
      </c>
      <c r="B78" s="22" t="s">
        <v>473</v>
      </c>
      <c r="C78" s="23" t="str">
        <f ca="1">IFERROR(__xludf.DUMMYFUNCTION("index(split(B78,"" ""),1,2)"),"cyphers")</f>
        <v>cyphers</v>
      </c>
      <c r="D78" s="24" t="str">
        <f t="shared" si="0"/>
        <v>cyclops</v>
      </c>
      <c r="E78" s="22" t="s">
        <v>474</v>
      </c>
    </row>
    <row r="79" spans="1:5" ht="12.75" x14ac:dyDescent="0.35">
      <c r="A79" s="26" t="s">
        <v>475</v>
      </c>
      <c r="B79" s="27" t="s">
        <v>476</v>
      </c>
      <c r="C79" s="23" t="str">
        <f ca="1">IFERROR(__xludf.DUMMYFUNCTION("index(split(B79,"" ""),1,2)"),"cozies")</f>
        <v>cozies</v>
      </c>
      <c r="D79" s="24" t="str">
        <f t="shared" si="0"/>
        <v>calzone</v>
      </c>
      <c r="E79" s="27" t="s">
        <v>477</v>
      </c>
    </row>
    <row r="80" spans="1:5" ht="12.75" x14ac:dyDescent="0.35">
      <c r="A80" s="21" t="s">
        <v>478</v>
      </c>
      <c r="B80" s="22" t="s">
        <v>479</v>
      </c>
      <c r="C80" s="23" t="str">
        <f ca="1">IFERROR(__xludf.DUMMYFUNCTION("index(split(B80,"" ""),1,2)"),"dadoes")</f>
        <v>dadoes</v>
      </c>
      <c r="D80" s="24" t="str">
        <f t="shared" si="0"/>
        <v>daal</v>
      </c>
      <c r="E80" s="22" t="s">
        <v>480</v>
      </c>
    </row>
    <row r="81" spans="1:5" ht="12.75" x14ac:dyDescent="0.35">
      <c r="A81" s="21" t="s">
        <v>481</v>
      </c>
      <c r="B81" s="22" t="s">
        <v>482</v>
      </c>
      <c r="C81" s="23" t="str">
        <f ca="1">IFERROR(__xludf.DUMMYFUNCTION("index(split(B81,"" ""),1,2)"),"debriefs")</f>
        <v>debriefs</v>
      </c>
      <c r="D81" s="24" t="str">
        <f t="shared" si="0"/>
        <v>doberman</v>
      </c>
      <c r="E81" s="22" t="s">
        <v>483</v>
      </c>
    </row>
    <row r="82" spans="1:5" ht="12.75" x14ac:dyDescent="0.35">
      <c r="A82" s="21" t="s">
        <v>484</v>
      </c>
      <c r="B82" s="22" t="s">
        <v>485</v>
      </c>
      <c r="C82" s="23" t="str">
        <f ca="1">IFERROR(__xludf.DUMMYFUNCTION("index(split(B82,"" ""),1,2)"),"decorates")</f>
        <v>decorates</v>
      </c>
      <c r="D82" s="24" t="str">
        <f t="shared" si="0"/>
        <v>decaf</v>
      </c>
      <c r="E82" s="22" t="s">
        <v>486</v>
      </c>
    </row>
    <row r="83" spans="1:5" ht="12.75" x14ac:dyDescent="0.35">
      <c r="A83" s="21" t="s">
        <v>487</v>
      </c>
      <c r="B83" s="22" t="s">
        <v>488</v>
      </c>
      <c r="C83" s="23" t="str">
        <f ca="1">IFERROR(__xludf.DUMMYFUNCTION("index(split(B83,"" ""),1,2)"),"DD's")</f>
        <v>DD's</v>
      </c>
      <c r="D83" s="24" t="str">
        <f t="shared" si="0"/>
        <v>DD</v>
      </c>
      <c r="E83" s="22" t="s">
        <v>489</v>
      </c>
    </row>
    <row r="84" spans="1:5" ht="12.75" x14ac:dyDescent="0.35">
      <c r="A84" s="21" t="s">
        <v>490</v>
      </c>
      <c r="B84" s="22" t="s">
        <v>491</v>
      </c>
      <c r="C84" s="23" t="str">
        <f ca="1">IFERROR(__xludf.DUMMYFUNCTION("index(split(B84,"" ""),1,2)"),"deets")</f>
        <v>deets</v>
      </c>
      <c r="D84" s="24" t="str">
        <f t="shared" si="0"/>
        <v>Deere</v>
      </c>
      <c r="E84" s="22" t="s">
        <v>492</v>
      </c>
    </row>
    <row r="85" spans="1:5" ht="12.75" x14ac:dyDescent="0.35">
      <c r="A85" s="21" t="s">
        <v>493</v>
      </c>
      <c r="B85" s="22" t="s">
        <v>494</v>
      </c>
      <c r="C85" s="23" t="str">
        <f ca="1">IFERROR(__xludf.DUMMYFUNCTION("index(split(B85,"" ""),1,2)"),"diffs")</f>
        <v>diffs</v>
      </c>
      <c r="D85" s="24" t="str">
        <f t="shared" si="0"/>
        <v>duffle</v>
      </c>
      <c r="E85" s="25"/>
    </row>
    <row r="86" spans="1:5" ht="12.75" x14ac:dyDescent="0.35">
      <c r="A86" s="21" t="s">
        <v>495</v>
      </c>
      <c r="B86" s="22" t="s">
        <v>496</v>
      </c>
      <c r="C86" s="23" t="str">
        <f ca="1">IFERROR(__xludf.DUMMYFUNCTION("index(split(B86,"" ""),1,2)"),"digs")</f>
        <v>digs</v>
      </c>
      <c r="D86" s="24" t="str">
        <f t="shared" si="0"/>
        <v>dugout</v>
      </c>
      <c r="E86" s="22" t="s">
        <v>497</v>
      </c>
    </row>
    <row r="87" spans="1:5" ht="12.75" x14ac:dyDescent="0.35">
      <c r="A87" s="21" t="s">
        <v>498</v>
      </c>
      <c r="B87" s="22" t="s">
        <v>499</v>
      </c>
      <c r="C87" s="23" t="str">
        <f ca="1">IFERROR(__xludf.DUMMYFUNCTION("index(split(B87,"" ""),1,2)"),"dashes")</f>
        <v>dashes</v>
      </c>
      <c r="D87" s="24" t="str">
        <f t="shared" si="0"/>
        <v>dish</v>
      </c>
      <c r="E87" s="22" t="s">
        <v>500</v>
      </c>
    </row>
    <row r="88" spans="1:5" ht="12.75" x14ac:dyDescent="0.35">
      <c r="A88" s="21" t="s">
        <v>501</v>
      </c>
      <c r="B88" s="22" t="s">
        <v>502</v>
      </c>
      <c r="C88" s="23" t="str">
        <f ca="1">IFERROR(__xludf.DUMMYFUNCTION("index(split(B88,"" ""),1,2)"),"dings")</f>
        <v>dings</v>
      </c>
      <c r="D88" s="24" t="str">
        <f t="shared" si="0"/>
        <v>ding-dong</v>
      </c>
      <c r="E88" s="29" t="s">
        <v>503</v>
      </c>
    </row>
    <row r="89" spans="1:5" ht="12.75" x14ac:dyDescent="0.35">
      <c r="A89" s="21" t="s">
        <v>504</v>
      </c>
      <c r="B89" s="22" t="s">
        <v>505</v>
      </c>
      <c r="C89" s="23" t="str">
        <f ca="1">IFERROR(__xludf.DUMMYFUNCTION("index(split(B89,"" ""),1,2)"),"D.J.'s")</f>
        <v>D.J.'s</v>
      </c>
      <c r="D89" s="24" t="str">
        <f t="shared" si="0"/>
        <v>dijon</v>
      </c>
      <c r="E89" s="22" t="s">
        <v>506</v>
      </c>
    </row>
    <row r="90" spans="1:5" ht="12.75" x14ac:dyDescent="0.35">
      <c r="A90" s="21" t="s">
        <v>507</v>
      </c>
      <c r="B90" s="22" t="s">
        <v>508</v>
      </c>
      <c r="C90" s="23" t="str">
        <f ca="1">IFERROR(__xludf.DUMMYFUNCTION("index(split(B90,"" ""),1,2)"),"dunks")</f>
        <v>dunks</v>
      </c>
      <c r="D90" s="24" t="str">
        <f t="shared" si="0"/>
        <v>duck</v>
      </c>
      <c r="E90" s="22" t="s">
        <v>509</v>
      </c>
    </row>
    <row r="91" spans="1:5" ht="12.75" x14ac:dyDescent="0.35">
      <c r="A91" s="21" t="s">
        <v>510</v>
      </c>
      <c r="B91" s="22" t="s">
        <v>511</v>
      </c>
      <c r="C91" s="23" t="str">
        <f ca="1">IFERROR(__xludf.DUMMYFUNCTION("index(split(B91,"" ""),1,2)"),"dulls")</f>
        <v>dulls</v>
      </c>
      <c r="D91" s="24" t="str">
        <f t="shared" si="0"/>
        <v>dell</v>
      </c>
      <c r="E91" s="22" t="s">
        <v>512</v>
      </c>
    </row>
    <row r="92" spans="1:5" ht="12.75" x14ac:dyDescent="0.35">
      <c r="A92" s="21" t="s">
        <v>513</v>
      </c>
      <c r="B92" s="22" t="s">
        <v>514</v>
      </c>
      <c r="C92" s="23" t="str">
        <f ca="1">IFERROR(__xludf.DUMMYFUNCTION("index(split(B92,"" ""),1,2)"),"demos")</f>
        <v>demos</v>
      </c>
      <c r="D92" s="24" t="str">
        <f t="shared" si="0"/>
        <v>dime</v>
      </c>
      <c r="E92" s="22" t="s">
        <v>515</v>
      </c>
    </row>
    <row r="93" spans="1:5" ht="12.75" x14ac:dyDescent="0.35">
      <c r="A93" s="21" t="s">
        <v>516</v>
      </c>
      <c r="B93" s="22" t="s">
        <v>517</v>
      </c>
      <c r="C93" s="23" t="str">
        <f ca="1">IFERROR(__xludf.DUMMYFUNCTION("index(split(B93,"" ""),1,2)"),"dons")</f>
        <v>dons</v>
      </c>
      <c r="D93" s="24" t="str">
        <f t="shared" si="0"/>
        <v>denim</v>
      </c>
      <c r="E93" s="22" t="s">
        <v>518</v>
      </c>
    </row>
    <row r="94" spans="1:5" ht="12.75" x14ac:dyDescent="0.35">
      <c r="A94" s="21" t="s">
        <v>519</v>
      </c>
      <c r="B94" s="22" t="s">
        <v>520</v>
      </c>
      <c r="C94" s="23" t="str">
        <f ca="1">IFERROR(__xludf.DUMMYFUNCTION("index(split(B94,"" ""),1,2)"),"doodles")</f>
        <v>doodles</v>
      </c>
      <c r="D94" s="24" t="str">
        <f t="shared" si="0"/>
        <v>doe</v>
      </c>
      <c r="E94" s="22" t="s">
        <v>521</v>
      </c>
    </row>
    <row r="95" spans="1:5" ht="12.75" x14ac:dyDescent="0.35">
      <c r="A95" s="21" t="s">
        <v>522</v>
      </c>
      <c r="B95" s="22" t="s">
        <v>523</v>
      </c>
      <c r="C95" s="23" t="str">
        <f ca="1">IFERROR(__xludf.DUMMYFUNCTION("index(split(B95,"" ""),1,2)"),"dips")</f>
        <v>dips</v>
      </c>
      <c r="D95" s="24" t="str">
        <f t="shared" si="0"/>
        <v>dope</v>
      </c>
      <c r="E95" s="22" t="s">
        <v>524</v>
      </c>
    </row>
    <row r="96" spans="1:5" ht="12.75" x14ac:dyDescent="0.35">
      <c r="A96" s="21" t="s">
        <v>525</v>
      </c>
      <c r="B96" s="22" t="s">
        <v>526</v>
      </c>
      <c r="C96" s="23" t="str">
        <f ca="1">IFERROR(__xludf.DUMMYFUNCTION("index(split(B96,"" ""),1,2)"),"disqualifies")</f>
        <v>disqualifies</v>
      </c>
      <c r="D96" s="24" t="str">
        <f t="shared" si="0"/>
        <v>daiquiri</v>
      </c>
      <c r="E96" s="25"/>
    </row>
    <row r="97" spans="1:5" ht="12.75" x14ac:dyDescent="0.35">
      <c r="A97" s="21" t="s">
        <v>527</v>
      </c>
      <c r="B97" s="22" t="s">
        <v>528</v>
      </c>
      <c r="C97" s="23" t="str">
        <f ca="1">IFERROR(__xludf.DUMMYFUNCTION("index(split(B97,"" ""),1,2)"),"derries")</f>
        <v>derries</v>
      </c>
      <c r="D97" s="24" t="str">
        <f t="shared" si="0"/>
        <v>derailleur</v>
      </c>
      <c r="E97" s="22" t="s">
        <v>529</v>
      </c>
    </row>
    <row r="98" spans="1:5" ht="12.75" x14ac:dyDescent="0.35">
      <c r="A98" s="21" t="s">
        <v>530</v>
      </c>
      <c r="B98" s="22" t="s">
        <v>531</v>
      </c>
      <c r="C98" s="23" t="str">
        <f ca="1">IFERROR(__xludf.DUMMYFUNCTION("index(split(B98,"" ""),1,2)"),"dissolves")</f>
        <v>dissolves</v>
      </c>
      <c r="D98" s="24" t="str">
        <f t="shared" si="0"/>
        <v>dressing</v>
      </c>
      <c r="E98" s="22" t="s">
        <v>532</v>
      </c>
    </row>
    <row r="99" spans="1:5" ht="12.75" x14ac:dyDescent="0.35">
      <c r="A99" s="21" t="s">
        <v>533</v>
      </c>
      <c r="B99" s="22" t="s">
        <v>534</v>
      </c>
      <c r="C99" s="23" t="str">
        <f ca="1">IFERROR(__xludf.DUMMYFUNCTION("index(split(B99,"" ""),1,2)"),"details")</f>
        <v>details</v>
      </c>
      <c r="D99" s="24" t="str">
        <f t="shared" si="0"/>
        <v>date</v>
      </c>
      <c r="E99" s="25"/>
    </row>
    <row r="100" spans="1:5" ht="12.75" x14ac:dyDescent="0.35">
      <c r="A100" s="21" t="s">
        <v>535</v>
      </c>
      <c r="B100" s="22" t="s">
        <v>536</v>
      </c>
      <c r="C100" s="23" t="str">
        <f ca="1">IFERROR(__xludf.DUMMYFUNCTION("index(split(B100,"" ""),1,2)"),"dumdum's")</f>
        <v>dumdum's</v>
      </c>
      <c r="D100" s="24" t="str">
        <f t="shared" si="0"/>
        <v>dud</v>
      </c>
      <c r="E100" s="22" t="s">
        <v>537</v>
      </c>
    </row>
    <row r="101" spans="1:5" ht="12.75" x14ac:dyDescent="0.35">
      <c r="A101" s="21" t="s">
        <v>538</v>
      </c>
      <c r="B101" s="22" t="s">
        <v>539</v>
      </c>
      <c r="C101" s="23" t="str">
        <f ca="1">IFERROR(__xludf.DUMMYFUNCTION("index(split(B101,"" ""),1,2)"),"devours")</f>
        <v>devours</v>
      </c>
      <c r="D101" s="24" t="str">
        <f t="shared" si="0"/>
        <v>dove</v>
      </c>
      <c r="E101" s="25"/>
    </row>
    <row r="102" spans="1:5" ht="12.75" x14ac:dyDescent="0.35">
      <c r="A102" s="21" t="s">
        <v>540</v>
      </c>
      <c r="B102" s="22" t="s">
        <v>541</v>
      </c>
      <c r="C102" s="23" t="str">
        <f ca="1">IFERROR(__xludf.DUMMYFUNCTION("index(split(B102,"" ""),1,2)"),"draws")</f>
        <v>draws</v>
      </c>
      <c r="D102" s="24" t="str">
        <f t="shared" si="0"/>
        <v>dew</v>
      </c>
      <c r="E102" s="22" t="s">
        <v>542</v>
      </c>
    </row>
    <row r="103" spans="1:5" ht="12.75" x14ac:dyDescent="0.35">
      <c r="A103" s="21" t="s">
        <v>543</v>
      </c>
      <c r="B103" s="22" t="s">
        <v>544</v>
      </c>
      <c r="C103" s="23" t="str">
        <f ca="1">IFERROR(__xludf.DUMMYFUNCTION("index(split(B103,"" ""),1,2)"),"detoxifies")</f>
        <v>detoxifies</v>
      </c>
      <c r="D103" s="24" t="str">
        <f t="shared" si="0"/>
        <v>doxie</v>
      </c>
      <c r="E103" s="22" t="s">
        <v>545</v>
      </c>
    </row>
    <row r="104" spans="1:5" ht="12.75" x14ac:dyDescent="0.35">
      <c r="A104" s="21" t="s">
        <v>546</v>
      </c>
      <c r="B104" s="22" t="s">
        <v>547</v>
      </c>
      <c r="C104" s="23" t="str">
        <f ca="1">IFERROR(__xludf.DUMMYFUNCTION("index(split(B104,"" ""),1,2)"),"dyes")</f>
        <v>dyes</v>
      </c>
      <c r="D104" s="24" t="str">
        <f t="shared" si="0"/>
        <v>dyson</v>
      </c>
      <c r="E104" s="22" t="s">
        <v>548</v>
      </c>
    </row>
    <row r="105" spans="1:5" ht="12.75" x14ac:dyDescent="0.35">
      <c r="A105" s="26" t="s">
        <v>549</v>
      </c>
      <c r="B105" s="27" t="s">
        <v>550</v>
      </c>
      <c r="C105" s="23" t="str">
        <f ca="1">IFERROR(__xludf.DUMMYFUNCTION("index(split(B105,"" ""),1,2)"),"drizzles")</f>
        <v>drizzles</v>
      </c>
      <c r="D105" s="24" t="str">
        <f t="shared" si="0"/>
        <v>dozen</v>
      </c>
      <c r="E105" s="27" t="s">
        <v>551</v>
      </c>
    </row>
    <row r="106" spans="1:5" ht="12.75" x14ac:dyDescent="0.35">
      <c r="A106" s="21" t="s">
        <v>552</v>
      </c>
      <c r="B106" s="22" t="s">
        <v>553</v>
      </c>
      <c r="C106" s="23" t="str">
        <f ca="1">IFERROR(__xludf.DUMMYFUNCTION("index(split(B106,"" ""),1,2)"),"eats")</f>
        <v>eats</v>
      </c>
      <c r="D106" s="24" t="str">
        <f t="shared" si="0"/>
        <v>ear</v>
      </c>
      <c r="E106" s="22" t="s">
        <v>554</v>
      </c>
    </row>
    <row r="107" spans="1:5" ht="12.75" x14ac:dyDescent="0.35">
      <c r="A107" s="21" t="s">
        <v>555</v>
      </c>
      <c r="B107" s="22" t="s">
        <v>556</v>
      </c>
      <c r="C107" s="23" t="str">
        <f ca="1">IFERROR(__xludf.DUMMYFUNCTION("index(split(B107,"" ""),1,2)"),"embraces")</f>
        <v>embraces</v>
      </c>
      <c r="D107" s="24" t="str">
        <f t="shared" si="0"/>
        <v>elbow</v>
      </c>
      <c r="E107" s="22" t="s">
        <v>557</v>
      </c>
    </row>
    <row r="108" spans="1:5" ht="12.75" x14ac:dyDescent="0.35">
      <c r="A108" s="21" t="s">
        <v>558</v>
      </c>
      <c r="B108" s="29" t="s">
        <v>559</v>
      </c>
      <c r="C108" s="23" t="str">
        <f ca="1">IFERROR(__xludf.DUMMYFUNCTION("index(split(B108,"" ""),1,2)"),"eclipses")</f>
        <v>eclipses</v>
      </c>
      <c r="D108" s="24" t="str">
        <f t="shared" si="0"/>
        <v>eclair</v>
      </c>
      <c r="E108" s="29" t="s">
        <v>560</v>
      </c>
    </row>
    <row r="109" spans="1:5" ht="12.75" x14ac:dyDescent="0.35">
      <c r="A109" s="21" t="s">
        <v>561</v>
      </c>
      <c r="B109" s="22" t="s">
        <v>562</v>
      </c>
      <c r="C109" s="23" t="str">
        <f ca="1">IFERROR(__xludf.DUMMYFUNCTION("index(split(B109,"" ""),1,2)"),"endangers")</f>
        <v>endangers</v>
      </c>
      <c r="D109" s="24" t="str">
        <f t="shared" si="0"/>
        <v>edible</v>
      </c>
      <c r="E109" s="22" t="s">
        <v>563</v>
      </c>
    </row>
    <row r="110" spans="1:5" ht="12.75" x14ac:dyDescent="0.35">
      <c r="A110" s="21" t="s">
        <v>564</v>
      </c>
      <c r="B110" s="22" t="s">
        <v>565</v>
      </c>
      <c r="C110" s="23" t="str">
        <f ca="1">IFERROR(__xludf.DUMMYFUNCTION("index(split(B110,"" ""),1,2)"),"EE's")</f>
        <v>EE's</v>
      </c>
      <c r="D110" s="24" t="str">
        <f t="shared" si="0"/>
        <v>EE</v>
      </c>
      <c r="E110" s="22" t="s">
        <v>566</v>
      </c>
    </row>
    <row r="111" spans="1:5" ht="12.75" x14ac:dyDescent="0.35">
      <c r="A111" s="21" t="s">
        <v>567</v>
      </c>
      <c r="B111" s="22" t="s">
        <v>568</v>
      </c>
      <c r="C111" s="23" t="str">
        <f ca="1">IFERROR(__xludf.DUMMYFUNCTION("index(split(B111,"" ""),1,2)"),"effigies")</f>
        <v>effigies</v>
      </c>
      <c r="D111" s="24" t="str">
        <f t="shared" si="0"/>
        <v>elf</v>
      </c>
      <c r="E111" s="22" t="s">
        <v>569</v>
      </c>
    </row>
    <row r="112" spans="1:5" ht="12.75" x14ac:dyDescent="0.35">
      <c r="A112" s="21" t="s">
        <v>570</v>
      </c>
      <c r="B112" s="22" t="s">
        <v>571</v>
      </c>
      <c r="C112" s="23" t="str">
        <f ca="1">IFERROR(__xludf.DUMMYFUNCTION("index(split(B112,"" ""),1,2)"),"eggs")</f>
        <v>eggs</v>
      </c>
      <c r="D112" s="24" t="str">
        <f t="shared" si="0"/>
        <v>eggo</v>
      </c>
      <c r="E112" s="22" t="s">
        <v>572</v>
      </c>
    </row>
    <row r="113" spans="1:5" ht="12.75" x14ac:dyDescent="0.35">
      <c r="A113" s="21" t="s">
        <v>573</v>
      </c>
      <c r="B113" s="22" t="s">
        <v>574</v>
      </c>
      <c r="C113" s="23" t="str">
        <f ca="1">IFERROR(__xludf.DUMMYFUNCTION("index(split(B113,"" ""),1,2)"),"enshrines")</f>
        <v>enshrines</v>
      </c>
      <c r="D113" s="24" t="str">
        <f t="shared" si="0"/>
        <v>elshin</v>
      </c>
      <c r="E113" s="22" t="s">
        <v>575</v>
      </c>
    </row>
    <row r="114" spans="1:5" ht="12.75" x14ac:dyDescent="0.35">
      <c r="A114" s="21" t="s">
        <v>576</v>
      </c>
      <c r="B114" s="22" t="s">
        <v>577</v>
      </c>
      <c r="C114" s="23" t="str">
        <f ca="1">IFERROR(__xludf.DUMMYFUNCTION("index(split(B114,"" ""),1,2)"),"eiderdowns")</f>
        <v>eiderdowns</v>
      </c>
      <c r="D114" s="24" t="str">
        <f t="shared" si="0"/>
        <v>eightball</v>
      </c>
      <c r="E114" s="22" t="s">
        <v>578</v>
      </c>
    </row>
    <row r="115" spans="1:5" ht="12.75" x14ac:dyDescent="0.35">
      <c r="A115" s="21" t="s">
        <v>579</v>
      </c>
      <c r="B115" s="22" t="s">
        <v>580</v>
      </c>
      <c r="C115" s="23" t="str">
        <f ca="1">IFERROR(__xludf.DUMMYFUNCTION("index(split(B115,"" ""),1,2)"),"ejects")</f>
        <v>ejects</v>
      </c>
      <c r="D115" s="24" t="str">
        <f t="shared" si="0"/>
        <v>eljer</v>
      </c>
      <c r="E115" s="22" t="s">
        <v>581</v>
      </c>
    </row>
    <row r="116" spans="1:5" ht="12.75" x14ac:dyDescent="0.35">
      <c r="A116" s="21" t="s">
        <v>582</v>
      </c>
      <c r="B116" s="22" t="s">
        <v>583</v>
      </c>
      <c r="C116" s="23" t="str">
        <f ca="1">IFERROR(__xludf.DUMMYFUNCTION("index(split(B116,"" ""),1,2)"),"ekes")</f>
        <v>ekes</v>
      </c>
      <c r="D116" s="24" t="str">
        <f t="shared" si="0"/>
        <v>elk</v>
      </c>
      <c r="E116" s="22" t="s">
        <v>584</v>
      </c>
    </row>
    <row r="117" spans="1:5" ht="12.75" x14ac:dyDescent="0.35">
      <c r="A117" s="21" t="s">
        <v>585</v>
      </c>
      <c r="B117" s="22" t="s">
        <v>586</v>
      </c>
      <c r="C117" s="23" t="str">
        <f ca="1">IFERROR(__xludf.DUMMYFUNCTION("index(split(B117,"" ""),1,2)"),"elevates")</f>
        <v>elevates</v>
      </c>
      <c r="D117" s="24" t="str">
        <f t="shared" si="0"/>
        <v>electric</v>
      </c>
      <c r="E117" s="22" t="s">
        <v>587</v>
      </c>
    </row>
    <row r="118" spans="1:5" ht="12.75" x14ac:dyDescent="0.35">
      <c r="A118" s="21" t="s">
        <v>588</v>
      </c>
      <c r="B118" s="22" t="s">
        <v>589</v>
      </c>
      <c r="C118" s="23" t="str">
        <f ca="1">IFERROR(__xludf.DUMMYFUNCTION("index(split(B118,"" ""),1,2)"),"emeries")</f>
        <v>emeries</v>
      </c>
      <c r="D118" s="24" t="str">
        <f t="shared" si="0"/>
        <v>emu</v>
      </c>
      <c r="E118" s="22" t="s">
        <v>590</v>
      </c>
    </row>
    <row r="119" spans="1:5" ht="12.75" x14ac:dyDescent="0.35">
      <c r="A119" s="21" t="s">
        <v>591</v>
      </c>
      <c r="B119" s="22" t="s">
        <v>592</v>
      </c>
      <c r="C119" s="23" t="str">
        <f ca="1">IFERROR(__xludf.DUMMYFUNCTION("index(split(B119,"" ""),1,2)"),"enamels")</f>
        <v>enamels</v>
      </c>
      <c r="D119" s="24" t="str">
        <f t="shared" si="0"/>
        <v>enigma</v>
      </c>
      <c r="E119" s="22" t="s">
        <v>593</v>
      </c>
    </row>
    <row r="120" spans="1:5" ht="12.75" x14ac:dyDescent="0.35">
      <c r="A120" s="21" t="s">
        <v>594</v>
      </c>
      <c r="B120" s="22" t="s">
        <v>595</v>
      </c>
      <c r="C120" s="23" t="str">
        <f ca="1">IFERROR(__xludf.DUMMYFUNCTION("index(split(B120,"" ""),1,2)"),"eosins")</f>
        <v>eosins</v>
      </c>
      <c r="D120" s="24" t="str">
        <f t="shared" si="0"/>
        <v>eohippus</v>
      </c>
      <c r="E120" s="22" t="s">
        <v>596</v>
      </c>
    </row>
    <row r="121" spans="1:5" ht="12.75" x14ac:dyDescent="0.35">
      <c r="A121" s="21" t="s">
        <v>597</v>
      </c>
      <c r="B121" s="22" t="s">
        <v>598</v>
      </c>
      <c r="C121" s="23" t="str">
        <f ca="1">IFERROR(__xludf.DUMMYFUNCTION("index(split(B121,"" ""),1,2)"),"epipens")</f>
        <v>epipens</v>
      </c>
      <c r="D121" s="24" t="str">
        <f t="shared" si="0"/>
        <v>epaulet</v>
      </c>
      <c r="E121" s="22" t="s">
        <v>599</v>
      </c>
    </row>
    <row r="122" spans="1:5" ht="12.75" x14ac:dyDescent="0.35">
      <c r="A122" s="21" t="s">
        <v>600</v>
      </c>
      <c r="B122" s="22" t="s">
        <v>601</v>
      </c>
      <c r="C122" s="23" t="str">
        <f ca="1">IFERROR(__xludf.DUMMYFUNCTION("index(split(B122,"" ""),1,2)"),"equalizes")</f>
        <v>equalizes</v>
      </c>
      <c r="D122" s="24" t="str">
        <f t="shared" si="0"/>
        <v>equine</v>
      </c>
      <c r="E122" s="22" t="s">
        <v>602</v>
      </c>
    </row>
    <row r="123" spans="1:5" ht="12.75" x14ac:dyDescent="0.35">
      <c r="A123" s="21" t="s">
        <v>603</v>
      </c>
      <c r="B123" s="22" t="s">
        <v>604</v>
      </c>
      <c r="C123" s="23" t="str">
        <f ca="1">IFERROR(__xludf.DUMMYFUNCTION("index(split(B123,"" ""),1,2)"),"erodes")</f>
        <v>erodes</v>
      </c>
      <c r="D123" s="24" t="str">
        <f t="shared" si="0"/>
        <v>eraser</v>
      </c>
      <c r="E123" s="22" t="s">
        <v>605</v>
      </c>
    </row>
    <row r="124" spans="1:5" ht="12.75" x14ac:dyDescent="0.35">
      <c r="A124" s="21" t="s">
        <v>606</v>
      </c>
      <c r="B124" s="22" t="s">
        <v>607</v>
      </c>
      <c r="C124" s="23" t="str">
        <f ca="1">IFERROR(__xludf.DUMMYFUNCTION("index(split(B124,"" ""),1,2)"),"ensembles")</f>
        <v>ensembles</v>
      </c>
      <c r="D124" s="24" t="str">
        <f t="shared" si="0"/>
        <v>essence</v>
      </c>
      <c r="E124" s="22" t="s">
        <v>608</v>
      </c>
    </row>
    <row r="125" spans="1:5" ht="12.75" x14ac:dyDescent="0.35">
      <c r="A125" s="21" t="s">
        <v>609</v>
      </c>
      <c r="B125" s="22" t="s">
        <v>610</v>
      </c>
      <c r="C125" s="23" t="str">
        <f ca="1">IFERROR(__xludf.DUMMYFUNCTION("index(split(B125,"" ""),1,2)"),"enters")</f>
        <v>enters</v>
      </c>
      <c r="D125" s="24" t="str">
        <f t="shared" si="0"/>
        <v>etude</v>
      </c>
      <c r="E125" s="22" t="s">
        <v>611</v>
      </c>
    </row>
    <row r="126" spans="1:5" ht="12.75" x14ac:dyDescent="0.35">
      <c r="A126" s="21" t="s">
        <v>612</v>
      </c>
      <c r="B126" s="22" t="s">
        <v>613</v>
      </c>
      <c r="C126" s="23" t="str">
        <f ca="1">IFERROR(__xludf.DUMMYFUNCTION("index(split(B126,"" ""),1,2)"),"eulogizes")</f>
        <v>eulogizes</v>
      </c>
      <c r="D126" s="24" t="str">
        <f t="shared" si="0"/>
        <v>euphonium</v>
      </c>
      <c r="E126" s="22" t="s">
        <v>614</v>
      </c>
    </row>
    <row r="127" spans="1:5" ht="12.75" x14ac:dyDescent="0.35">
      <c r="A127" s="21" t="s">
        <v>615</v>
      </c>
      <c r="B127" s="22" t="s">
        <v>616</v>
      </c>
      <c r="C127" s="23" t="str">
        <f ca="1">IFERROR(__xludf.DUMMYFUNCTION("index(split(B127,"" ""),1,2)"),"evicts")</f>
        <v>evicts</v>
      </c>
      <c r="D127" s="24" t="str">
        <f t="shared" si="0"/>
        <v>evergreen</v>
      </c>
      <c r="E127" s="22" t="s">
        <v>617</v>
      </c>
    </row>
    <row r="128" spans="1:5" ht="12.75" x14ac:dyDescent="0.35">
      <c r="A128" s="21" t="s">
        <v>618</v>
      </c>
      <c r="B128" s="22" t="s">
        <v>619</v>
      </c>
      <c r="C128" s="23" t="str">
        <f ca="1">IFERROR(__xludf.DUMMYFUNCTION("index(split(B128,"" ""),1,2)"),"ewers")</f>
        <v>ewers</v>
      </c>
      <c r="D128" s="24" t="str">
        <f t="shared" si="0"/>
        <v>ewe</v>
      </c>
      <c r="E128" s="22" t="s">
        <v>620</v>
      </c>
    </row>
    <row r="129" spans="1:5" ht="12.75" x14ac:dyDescent="0.35">
      <c r="A129" s="21" t="s">
        <v>621</v>
      </c>
      <c r="B129" s="22" t="s">
        <v>622</v>
      </c>
      <c r="C129" s="23" t="str">
        <f ca="1">IFERROR(__xludf.DUMMYFUNCTION("index(split(B129,"" ""),1,2)"),"exhumes")</f>
        <v>exhumes</v>
      </c>
      <c r="D129" s="24" t="str">
        <f t="shared" si="0"/>
        <v>exotic</v>
      </c>
      <c r="E129" s="22" t="s">
        <v>623</v>
      </c>
    </row>
    <row r="130" spans="1:5" ht="12.75" x14ac:dyDescent="0.35">
      <c r="A130" s="21" t="s">
        <v>624</v>
      </c>
      <c r="B130" s="22" t="s">
        <v>625</v>
      </c>
      <c r="C130" s="23" t="str">
        <f ca="1">IFERROR(__xludf.DUMMYFUNCTION("index(split(B130,"" ""),1,2)"),"eyes")</f>
        <v>eyes</v>
      </c>
      <c r="D130" s="24" t="str">
        <f t="shared" si="0"/>
        <v>eyrie</v>
      </c>
      <c r="E130" s="22" t="s">
        <v>626</v>
      </c>
    </row>
    <row r="131" spans="1:5" ht="12.75" x14ac:dyDescent="0.35">
      <c r="A131" s="26" t="s">
        <v>627</v>
      </c>
      <c r="B131" s="27" t="s">
        <v>628</v>
      </c>
      <c r="C131" s="23" t="str">
        <f ca="1">IFERROR(__xludf.DUMMYFUNCTION("index(split(B131,"" ""),1,2)"),"end_zones")</f>
        <v>end_zones</v>
      </c>
      <c r="D131" s="24" t="str">
        <f t="shared" si="0"/>
        <v>enzo</v>
      </c>
      <c r="E131" s="27" t="s">
        <v>629</v>
      </c>
    </row>
    <row r="132" spans="1:5" ht="12.75" x14ac:dyDescent="0.35">
      <c r="A132" s="21" t="s">
        <v>630</v>
      </c>
      <c r="B132" s="22" t="s">
        <v>631</v>
      </c>
      <c r="C132" s="23" t="str">
        <f ca="1">IFERROR(__xludf.DUMMYFUNCTION("index(split(B132,"" ""),1,2)"),"fanfares")</f>
        <v>fanfares</v>
      </c>
      <c r="D132" s="24" t="str">
        <f t="shared" si="0"/>
        <v>farfalle</v>
      </c>
      <c r="E132" s="22" t="s">
        <v>632</v>
      </c>
    </row>
    <row r="133" spans="1:5" ht="12.75" x14ac:dyDescent="0.35">
      <c r="A133" s="21" t="s">
        <v>633</v>
      </c>
      <c r="B133" s="22" t="s">
        <v>634</v>
      </c>
      <c r="C133" s="23" t="str">
        <f ca="1">IFERROR(__xludf.DUMMYFUNCTION("index(split(B133,"" ""),1,2)"),"flambe's")</f>
        <v>flambe's</v>
      </c>
      <c r="D133" s="24" t="str">
        <f t="shared" si="0"/>
        <v>fishbowl</v>
      </c>
      <c r="E133" s="22" t="s">
        <v>635</v>
      </c>
    </row>
    <row r="134" spans="1:5" ht="12.75" x14ac:dyDescent="0.35">
      <c r="A134" s="21" t="s">
        <v>636</v>
      </c>
      <c r="B134" s="22" t="s">
        <v>637</v>
      </c>
      <c r="C134" s="23" t="str">
        <f ca="1">IFERROR(__xludf.DUMMYFUNCTION("index(split(B134,"" ""),1,2)"),"focuses")</f>
        <v>focuses</v>
      </c>
      <c r="D134" s="24" t="str">
        <f t="shared" si="0"/>
        <v>focaccia</v>
      </c>
      <c r="E134" s="22" t="s">
        <v>638</v>
      </c>
    </row>
    <row r="135" spans="1:5" ht="12.75" x14ac:dyDescent="0.35">
      <c r="A135" s="21" t="s">
        <v>639</v>
      </c>
      <c r="B135" s="22" t="s">
        <v>640</v>
      </c>
      <c r="C135" s="23" t="str">
        <f ca="1">IFERROR(__xludf.DUMMYFUNCTION("index(split(B135,"" ""),1,2)"),"fondles")</f>
        <v>fondles</v>
      </c>
      <c r="D135" s="24" t="str">
        <f t="shared" si="0"/>
        <v>fiddle</v>
      </c>
      <c r="E135" s="25"/>
    </row>
    <row r="136" spans="1:5" ht="12.75" x14ac:dyDescent="0.35">
      <c r="A136" s="21" t="s">
        <v>641</v>
      </c>
      <c r="B136" s="22" t="s">
        <v>642</v>
      </c>
      <c r="C136" s="23" t="str">
        <f ca="1">IFERROR(__xludf.DUMMYFUNCTION("index(split(B136,"" ""),1,2)"),"feels")</f>
        <v>feels</v>
      </c>
      <c r="D136" s="24" t="str">
        <f t="shared" si="0"/>
        <v>feeder</v>
      </c>
      <c r="E136" s="22" t="s">
        <v>643</v>
      </c>
    </row>
    <row r="137" spans="1:5" ht="12.75" x14ac:dyDescent="0.35">
      <c r="A137" s="21" t="s">
        <v>644</v>
      </c>
      <c r="B137" s="22" t="s">
        <v>645</v>
      </c>
      <c r="C137" s="23" t="str">
        <f ca="1">IFERROR(__xludf.DUMMYFUNCTION("index(split(B137,"" ""),1,2)"),"FF's")</f>
        <v>FF's</v>
      </c>
      <c r="D137" s="24" t="str">
        <f t="shared" si="0"/>
        <v>FF</v>
      </c>
      <c r="E137" s="22" t="s">
        <v>646</v>
      </c>
    </row>
    <row r="138" spans="1:5" ht="12.75" x14ac:dyDescent="0.35">
      <c r="A138" s="21" t="s">
        <v>647</v>
      </c>
      <c r="B138" s="22" t="s">
        <v>648</v>
      </c>
      <c r="C138" s="23" t="str">
        <f ca="1">IFERROR(__xludf.DUMMYFUNCTION("index(split(B138,"" ""),1,2)"),"fogs")</f>
        <v>fogs</v>
      </c>
      <c r="D138" s="24" t="str">
        <f t="shared" si="0"/>
        <v>fig</v>
      </c>
      <c r="E138" s="22" t="s">
        <v>649</v>
      </c>
    </row>
    <row r="139" spans="1:5" ht="12.75" x14ac:dyDescent="0.35">
      <c r="A139" s="21" t="s">
        <v>650</v>
      </c>
      <c r="B139" s="22" t="s">
        <v>651</v>
      </c>
      <c r="C139" s="23" t="str">
        <f ca="1">IFERROR(__xludf.DUMMYFUNCTION("index(split(B139,"" ""),1,2)"),"freshens")</f>
        <v>freshens</v>
      </c>
      <c r="D139" s="24" t="str">
        <f t="shared" si="0"/>
        <v>fish</v>
      </c>
      <c r="E139" s="22" t="s">
        <v>652</v>
      </c>
    </row>
    <row r="140" spans="1:5" ht="12.75" x14ac:dyDescent="0.35">
      <c r="A140" s="21" t="s">
        <v>653</v>
      </c>
      <c r="B140" s="22" t="s">
        <v>654</v>
      </c>
      <c r="C140" s="23" t="str">
        <f ca="1">IFERROR(__xludf.DUMMYFUNCTION("index(split(B140,"" ""),1,2)"),"fistfights")</f>
        <v>fistfights</v>
      </c>
      <c r="D140" s="24" t="str">
        <f t="shared" si="0"/>
        <v>fife</v>
      </c>
      <c r="E140" s="25"/>
    </row>
    <row r="141" spans="1:5" ht="12.75" x14ac:dyDescent="0.35">
      <c r="A141" s="21" t="s">
        <v>655</v>
      </c>
      <c r="B141" s="22" t="s">
        <v>656</v>
      </c>
      <c r="C141" s="23" t="str">
        <f ca="1">IFERROR(__xludf.DUMMYFUNCTION("index(split(B141,"" ""),1,2)"),"fuji's")</f>
        <v>fuji's</v>
      </c>
      <c r="D141" s="24" t="str">
        <f t="shared" si="0"/>
        <v>flapjack</v>
      </c>
      <c r="E141" s="22" t="s">
        <v>657</v>
      </c>
    </row>
    <row r="142" spans="1:5" ht="12.75" x14ac:dyDescent="0.35">
      <c r="A142" s="21" t="s">
        <v>658</v>
      </c>
      <c r="B142" s="22" t="s">
        <v>659</v>
      </c>
      <c r="C142" s="23" t="str">
        <f ca="1">IFERROR(__xludf.DUMMYFUNCTION("index(split(B142,"" ""),1,2)"),"flicks")</f>
        <v>flicks</v>
      </c>
      <c r="D142" s="24" t="str">
        <f t="shared" si="0"/>
        <v>fork</v>
      </c>
      <c r="E142" s="22" t="s">
        <v>660</v>
      </c>
    </row>
    <row r="143" spans="1:5" ht="12.75" x14ac:dyDescent="0.35">
      <c r="A143" s="21" t="s">
        <v>661</v>
      </c>
      <c r="B143" s="22" t="s">
        <v>662</v>
      </c>
      <c r="C143" s="23" t="str">
        <f ca="1">IFERROR(__xludf.DUMMYFUNCTION("index(split(B143,"" ""),1,2)"),"fells")</f>
        <v>fells</v>
      </c>
      <c r="D143" s="24" t="str">
        <f t="shared" si="0"/>
        <v>feline</v>
      </c>
      <c r="E143" s="22" t="s">
        <v>663</v>
      </c>
    </row>
    <row r="144" spans="1:5" ht="12.75" x14ac:dyDescent="0.35">
      <c r="A144" s="21" t="s">
        <v>664</v>
      </c>
      <c r="B144" s="22" t="s">
        <v>665</v>
      </c>
      <c r="C144" s="23" t="str">
        <f ca="1">IFERROR(__xludf.DUMMYFUNCTION("index(split(B144,"" ""),1,2)"),"frames")</f>
        <v>frames</v>
      </c>
      <c r="D144" s="24" t="str">
        <f t="shared" si="0"/>
        <v>femur</v>
      </c>
      <c r="E144" s="22" t="s">
        <v>666</v>
      </c>
    </row>
    <row r="145" spans="1:5" ht="12.75" x14ac:dyDescent="0.35">
      <c r="A145" s="21" t="s">
        <v>667</v>
      </c>
      <c r="B145" s="22" t="s">
        <v>668</v>
      </c>
      <c r="C145" s="23" t="str">
        <f ca="1">IFERROR(__xludf.DUMMYFUNCTION("index(split(B145,"" ""),1,2)"),"fans")</f>
        <v>fans</v>
      </c>
      <c r="D145" s="24" t="str">
        <f t="shared" si="0"/>
        <v>fan</v>
      </c>
      <c r="E145" s="22" t="s">
        <v>669</v>
      </c>
    </row>
    <row r="146" spans="1:5" ht="12.75" x14ac:dyDescent="0.35">
      <c r="A146" s="21" t="s">
        <v>670</v>
      </c>
      <c r="B146" s="22" t="s">
        <v>671</v>
      </c>
      <c r="C146" s="23" t="str">
        <f ca="1">IFERROR(__xludf.DUMMYFUNCTION("index(split(B146,"" ""),1,2)"),"foots")</f>
        <v>foots</v>
      </c>
      <c r="D146" s="24" t="str">
        <f t="shared" si="0"/>
        <v>food</v>
      </c>
      <c r="E146" s="22" t="s">
        <v>672</v>
      </c>
    </row>
    <row r="147" spans="1:5" ht="12.75" x14ac:dyDescent="0.35">
      <c r="A147" s="21" t="s">
        <v>673</v>
      </c>
      <c r="B147" s="22" t="s">
        <v>674</v>
      </c>
      <c r="C147" s="23" t="str">
        <f ca="1">IFERROR(__xludf.DUMMYFUNCTION("index(split(B147,"" ""),1,2)"),"flips")</f>
        <v>flips</v>
      </c>
      <c r="D147" s="24" t="str">
        <f t="shared" si="0"/>
        <v>frap</v>
      </c>
      <c r="E147" s="25"/>
    </row>
    <row r="148" spans="1:5" ht="12.75" x14ac:dyDescent="0.35">
      <c r="A148" s="21" t="s">
        <v>675</v>
      </c>
      <c r="B148" s="22" t="s">
        <v>676</v>
      </c>
      <c r="C148" s="23" t="str">
        <f ca="1">IFERROR(__xludf.DUMMYFUNCTION("index(split(B148,"" ""),1,2)"),"fiques")</f>
        <v>fiques</v>
      </c>
      <c r="D148" s="24" t="str">
        <f t="shared" si="0"/>
        <v>forequarter</v>
      </c>
      <c r="E148" s="22" t="s">
        <v>677</v>
      </c>
    </row>
    <row r="149" spans="1:5" ht="12.75" x14ac:dyDescent="0.35">
      <c r="A149" s="21" t="s">
        <v>678</v>
      </c>
      <c r="B149" s="22" t="s">
        <v>679</v>
      </c>
      <c r="C149" s="23" t="str">
        <f ca="1">IFERROR(__xludf.DUMMYFUNCTION("index(split(B149,"" ""),1,2)"),"fires")</f>
        <v>fires</v>
      </c>
      <c r="D149" s="24" t="str">
        <f t="shared" si="0"/>
        <v>fir</v>
      </c>
      <c r="E149" s="22" t="s">
        <v>680</v>
      </c>
    </row>
    <row r="150" spans="1:5" ht="12.75" x14ac:dyDescent="0.35">
      <c r="A150" s="21" t="s">
        <v>681</v>
      </c>
      <c r="B150" s="22" t="s">
        <v>682</v>
      </c>
      <c r="C150" s="23" t="str">
        <f ca="1">IFERROR(__xludf.DUMMYFUNCTION("index(split(B150,"" ""),1,2)"),"fresses")</f>
        <v>fresses</v>
      </c>
      <c r="D150" s="24" t="str">
        <f t="shared" si="0"/>
        <v>fossil</v>
      </c>
      <c r="E150" s="22" t="s">
        <v>683</v>
      </c>
    </row>
    <row r="151" spans="1:5" ht="12.75" x14ac:dyDescent="0.35">
      <c r="A151" s="21" t="s">
        <v>684</v>
      </c>
      <c r="B151" s="22" t="s">
        <v>685</v>
      </c>
      <c r="C151" s="23" t="str">
        <f ca="1">IFERROR(__xludf.DUMMYFUNCTION("index(split(B151,"" ""),1,2)"),"fights")</f>
        <v>fights</v>
      </c>
      <c r="D151" s="24" t="str">
        <f t="shared" si="0"/>
        <v>feta</v>
      </c>
      <c r="E151" s="22" t="s">
        <v>686</v>
      </c>
    </row>
    <row r="152" spans="1:5" ht="12.75" x14ac:dyDescent="0.35">
      <c r="A152" s="21" t="s">
        <v>687</v>
      </c>
      <c r="B152" s="29" t="s">
        <v>688</v>
      </c>
      <c r="C152" s="23" t="str">
        <f ca="1">IFERROR(__xludf.DUMMYFUNCTION("index(split(B152,"" ""),1,2)"),"funfetti's")</f>
        <v>funfetti's</v>
      </c>
      <c r="D152" s="24" t="str">
        <f t="shared" si="0"/>
        <v>furfur</v>
      </c>
      <c r="E152" s="22" t="s">
        <v>689</v>
      </c>
    </row>
    <row r="153" spans="1:5" ht="12.75" x14ac:dyDescent="0.35">
      <c r="A153" s="21" t="s">
        <v>690</v>
      </c>
      <c r="B153" s="22" t="s">
        <v>691</v>
      </c>
      <c r="C153" s="23" t="str">
        <f ca="1">IFERROR(__xludf.DUMMYFUNCTION("index(split(B153,"" ""),1,2)"),"fivers")</f>
        <v>fivers</v>
      </c>
      <c r="D153" s="24" t="str">
        <f t="shared" si="0"/>
        <v>favor</v>
      </c>
      <c r="E153" s="22" t="s">
        <v>692</v>
      </c>
    </row>
    <row r="154" spans="1:5" ht="12.75" x14ac:dyDescent="0.35">
      <c r="A154" s="21" t="s">
        <v>693</v>
      </c>
      <c r="B154" s="22" t="s">
        <v>694</v>
      </c>
      <c r="C154" s="23" t="str">
        <f ca="1">IFERROR(__xludf.DUMMYFUNCTION("index(split(B154,"" ""),1,2)"),"firewalls")</f>
        <v>firewalls</v>
      </c>
      <c r="D154" s="24" t="str">
        <f t="shared" si="0"/>
        <v>firewood</v>
      </c>
      <c r="E154" s="22" t="s">
        <v>695</v>
      </c>
    </row>
    <row r="155" spans="1:5" ht="12.75" x14ac:dyDescent="0.35">
      <c r="A155" s="21" t="s">
        <v>696</v>
      </c>
      <c r="B155" s="22" t="s">
        <v>697</v>
      </c>
      <c r="C155" s="23" t="str">
        <f ca="1">IFERROR(__xludf.DUMMYFUNCTION("index(split(B155,"" ""),1,2)"),"faxes")</f>
        <v>faxes</v>
      </c>
      <c r="D155" s="24" t="str">
        <f t="shared" si="0"/>
        <v>fox</v>
      </c>
      <c r="E155" s="22" t="s">
        <v>698</v>
      </c>
    </row>
    <row r="156" spans="1:5" ht="12.75" x14ac:dyDescent="0.35">
      <c r="A156" s="21" t="s">
        <v>699</v>
      </c>
      <c r="B156" s="22" t="s">
        <v>700</v>
      </c>
      <c r="C156" s="23" t="str">
        <f ca="1">IFERROR(__xludf.DUMMYFUNCTION("index(split(B156,"" ""),1,2)"),"fykes")</f>
        <v>fykes</v>
      </c>
      <c r="D156" s="24" t="str">
        <f t="shared" si="0"/>
        <v>fryer</v>
      </c>
      <c r="E156" s="22" t="s">
        <v>701</v>
      </c>
    </row>
    <row r="157" spans="1:5" ht="12.75" x14ac:dyDescent="0.35">
      <c r="A157" s="26" t="s">
        <v>702</v>
      </c>
      <c r="B157" s="27" t="s">
        <v>703</v>
      </c>
      <c r="C157" s="23" t="str">
        <f ca="1">IFERROR(__xludf.DUMMYFUNCTION("index(split(B157,"" ""),1,2)"),"fuzzes")</f>
        <v>fuzzes</v>
      </c>
      <c r="D157" s="24" t="str">
        <f t="shared" si="0"/>
        <v>fez</v>
      </c>
      <c r="E157" s="27" t="s">
        <v>704</v>
      </c>
    </row>
    <row r="158" spans="1:5" ht="12.75" x14ac:dyDescent="0.35">
      <c r="A158" s="21" t="s">
        <v>705</v>
      </c>
      <c r="B158" s="22" t="s">
        <v>706</v>
      </c>
      <c r="C158" s="23" t="str">
        <f ca="1">IFERROR(__xludf.DUMMYFUNCTION("index(split(B158,"" ""),1,2)"),"gauges")</f>
        <v>gauges</v>
      </c>
      <c r="D158" s="24" t="str">
        <f t="shared" si="0"/>
        <v>gaggle</v>
      </c>
      <c r="E158" s="22" t="s">
        <v>707</v>
      </c>
    </row>
    <row r="159" spans="1:5" ht="12.75" x14ac:dyDescent="0.35">
      <c r="A159" s="21" t="s">
        <v>708</v>
      </c>
      <c r="B159" s="22" t="s">
        <v>709</v>
      </c>
      <c r="C159" s="23" t="str">
        <f ca="1">IFERROR(__xludf.DUMMYFUNCTION("index(split(B159,"" ""),1,2)"),"gobbles")</f>
        <v>gobbles</v>
      </c>
      <c r="D159" s="24" t="str">
        <f t="shared" si="0"/>
        <v>garbage</v>
      </c>
      <c r="E159" s="22" t="s">
        <v>710</v>
      </c>
    </row>
    <row r="160" spans="1:5" ht="12.75" x14ac:dyDescent="0.35">
      <c r="A160" s="21" t="s">
        <v>711</v>
      </c>
      <c r="B160" s="22" t="s">
        <v>712</v>
      </c>
      <c r="C160" s="23" t="str">
        <f ca="1">IFERROR(__xludf.DUMMYFUNCTION("index(split(B160,"" ""),1,2)"),"guncottons")</f>
        <v>guncottons</v>
      </c>
      <c r="D160" s="24" t="str">
        <f t="shared" si="0"/>
        <v>gorcrow</v>
      </c>
      <c r="E160" s="22" t="s">
        <v>713</v>
      </c>
    </row>
    <row r="161" spans="1:5" ht="12.75" x14ac:dyDescent="0.35">
      <c r="A161" s="21" t="s">
        <v>714</v>
      </c>
      <c r="B161" s="22" t="s">
        <v>715</v>
      </c>
      <c r="C161" s="23" t="str">
        <f ca="1">IFERROR(__xludf.DUMMYFUNCTION("index(split(B161,"" ""),1,2)"),"gilds")</f>
        <v>gilds</v>
      </c>
      <c r="D161" s="24" t="str">
        <f t="shared" si="0"/>
        <v>Godiva</v>
      </c>
      <c r="E161" s="22" t="s">
        <v>716</v>
      </c>
    </row>
    <row r="162" spans="1:5" ht="12.75" x14ac:dyDescent="0.35">
      <c r="A162" s="21" t="s">
        <v>717</v>
      </c>
      <c r="B162" s="22" t="s">
        <v>718</v>
      </c>
      <c r="C162" s="23" t="str">
        <f ca="1">IFERROR(__xludf.DUMMYFUNCTION("index(split(B162,"" ""),1,2)"),"geeks")</f>
        <v>geeks</v>
      </c>
      <c r="D162" s="24" t="str">
        <f t="shared" si="0"/>
        <v>ghee</v>
      </c>
      <c r="E162" s="22" t="s">
        <v>719</v>
      </c>
    </row>
    <row r="163" spans="1:5" ht="12.75" x14ac:dyDescent="0.35">
      <c r="A163" s="21" t="s">
        <v>720</v>
      </c>
      <c r="B163" s="22" t="s">
        <v>721</v>
      </c>
      <c r="C163" s="23" t="str">
        <f ca="1">IFERROR(__xludf.DUMMYFUNCTION("index(split(B163,"" ""),1,2)"),"gaffs")</f>
        <v>gaffs</v>
      </c>
      <c r="D163" s="24" t="str">
        <f t="shared" si="0"/>
        <v>griffin</v>
      </c>
      <c r="E163" s="25"/>
    </row>
    <row r="164" spans="1:5" ht="12.75" x14ac:dyDescent="0.35">
      <c r="A164" s="21" t="s">
        <v>722</v>
      </c>
      <c r="B164" s="22" t="s">
        <v>723</v>
      </c>
      <c r="C164" s="23" t="str">
        <f ca="1">IFERROR(__xludf.DUMMYFUNCTION("index(split(B164,"" ""),1,2)"),"GG's")</f>
        <v>GG's</v>
      </c>
      <c r="D164" s="24" t="str">
        <f t="shared" si="0"/>
        <v>GG</v>
      </c>
      <c r="E164" s="22" t="s">
        <v>724</v>
      </c>
    </row>
    <row r="165" spans="1:5" ht="12.75" x14ac:dyDescent="0.35">
      <c r="A165" s="21" t="s">
        <v>725</v>
      </c>
      <c r="B165" s="22" t="s">
        <v>726</v>
      </c>
      <c r="C165" s="23" t="str">
        <f ca="1">IFERROR(__xludf.DUMMYFUNCTION("index(split(B165,"" ""),1,2)"),"gashes")</f>
        <v>gashes</v>
      </c>
      <c r="D165" s="24" t="str">
        <f t="shared" si="0"/>
        <v>gumshoe</v>
      </c>
      <c r="E165" s="22" t="s">
        <v>727</v>
      </c>
    </row>
    <row r="166" spans="1:5" ht="12.75" x14ac:dyDescent="0.35">
      <c r="A166" s="21" t="s">
        <v>728</v>
      </c>
      <c r="B166" s="22" t="s">
        <v>729</v>
      </c>
      <c r="C166" s="23" t="str">
        <f ca="1">IFERROR(__xludf.DUMMYFUNCTION("index(split(B166,"" ""),1,2)"),"gingham's")</f>
        <v>gingham's</v>
      </c>
      <c r="D166" s="24" t="str">
        <f t="shared" si="0"/>
        <v>giga</v>
      </c>
      <c r="E166" s="22" t="s">
        <v>730</v>
      </c>
    </row>
    <row r="167" spans="1:5" ht="12.75" x14ac:dyDescent="0.35">
      <c r="A167" s="21" t="s">
        <v>731</v>
      </c>
      <c r="B167" s="22" t="s">
        <v>732</v>
      </c>
      <c r="C167" s="23" t="str">
        <f ca="1">IFERROR(__xludf.DUMMYFUNCTION("index(split(B167,"" ""),1,2)"),"goujons")</f>
        <v>goujons</v>
      </c>
      <c r="D167" s="24" t="str">
        <f t="shared" si="0"/>
        <v>ganja</v>
      </c>
      <c r="E167" s="22" t="s">
        <v>733</v>
      </c>
    </row>
    <row r="168" spans="1:5" ht="12.75" x14ac:dyDescent="0.35">
      <c r="A168" s="21" t="s">
        <v>734</v>
      </c>
      <c r="B168" s="22" t="s">
        <v>735</v>
      </c>
      <c r="C168" s="23" t="str">
        <f ca="1">IFERROR(__xludf.DUMMYFUNCTION("index(split(B168,"" ""),1,2)"),"gunks")</f>
        <v>gunks</v>
      </c>
      <c r="D168" s="24" t="str">
        <f t="shared" si="0"/>
        <v>gecko</v>
      </c>
      <c r="E168" s="22" t="s">
        <v>736</v>
      </c>
    </row>
    <row r="169" spans="1:5" ht="12.75" x14ac:dyDescent="0.35">
      <c r="A169" s="21" t="s">
        <v>737</v>
      </c>
      <c r="B169" s="22" t="s">
        <v>738</v>
      </c>
      <c r="C169" s="23" t="str">
        <f ca="1">IFERROR(__xludf.DUMMYFUNCTION("index(split(B169,"" ""),1,2)"),"gallops")</f>
        <v>gallops</v>
      </c>
      <c r="D169" s="24" t="str">
        <f t="shared" si="0"/>
        <v>gallon</v>
      </c>
      <c r="E169" s="22" t="s">
        <v>739</v>
      </c>
    </row>
    <row r="170" spans="1:5" ht="12.75" x14ac:dyDescent="0.35">
      <c r="A170" s="21" t="s">
        <v>740</v>
      </c>
      <c r="B170" s="22" t="s">
        <v>741</v>
      </c>
      <c r="C170" s="23" t="str">
        <f ca="1">IFERROR(__xludf.DUMMYFUNCTION("index(split(B170,"" ""),1,2)"),"gums")</f>
        <v>gums</v>
      </c>
      <c r="D170" s="24" t="str">
        <f t="shared" si="0"/>
        <v>gummi</v>
      </c>
      <c r="E170" s="22" t="s">
        <v>742</v>
      </c>
    </row>
    <row r="171" spans="1:5" ht="12.75" x14ac:dyDescent="0.35">
      <c r="A171" s="21" t="s">
        <v>743</v>
      </c>
      <c r="B171" s="22" t="s">
        <v>744</v>
      </c>
      <c r="C171" s="23" t="str">
        <f ca="1">IFERROR(__xludf.DUMMYFUNCTION("index(split(B171,"" ""),1,2)"),"garnishes")</f>
        <v>garnishes</v>
      </c>
      <c r="D171" s="24" t="str">
        <f t="shared" si="0"/>
        <v>gun</v>
      </c>
      <c r="E171" s="22" t="s">
        <v>745</v>
      </c>
    </row>
    <row r="172" spans="1:5" ht="12.75" x14ac:dyDescent="0.35">
      <c r="A172" s="21" t="s">
        <v>746</v>
      </c>
      <c r="B172" s="22" t="s">
        <v>747</v>
      </c>
      <c r="C172" s="23" t="str">
        <f ca="1">IFERROR(__xludf.DUMMYFUNCTION("index(split(B172,"" ""),1,2)"),"googles")</f>
        <v>googles</v>
      </c>
      <c r="D172" s="24" t="str">
        <f t="shared" si="0"/>
        <v>goose</v>
      </c>
      <c r="E172" s="25"/>
    </row>
    <row r="173" spans="1:5" ht="12.75" x14ac:dyDescent="0.35">
      <c r="A173" s="21" t="s">
        <v>748</v>
      </c>
      <c r="B173" s="22" t="s">
        <v>749</v>
      </c>
      <c r="C173" s="23" t="str">
        <f ca="1">IFERROR(__xludf.DUMMYFUNCTION("index(split(B173,"" ""),1,2)"),"grips")</f>
        <v>grips</v>
      </c>
      <c r="D173" s="24" t="str">
        <f t="shared" si="0"/>
        <v>grape</v>
      </c>
      <c r="E173" s="22" t="s">
        <v>750</v>
      </c>
    </row>
    <row r="174" spans="1:5" ht="12.75" x14ac:dyDescent="0.35">
      <c r="A174" s="21" t="s">
        <v>751</v>
      </c>
      <c r="B174" s="22" t="s">
        <v>752</v>
      </c>
      <c r="C174" s="23" t="str">
        <f ca="1">IFERROR(__xludf.DUMMYFUNCTION("index(split(B174,"" ""),1,2)"),"greques")</f>
        <v>greques</v>
      </c>
      <c r="D174" s="24" t="str">
        <f t="shared" si="0"/>
        <v>grecque</v>
      </c>
      <c r="E174" s="22" t="s">
        <v>753</v>
      </c>
    </row>
    <row r="175" spans="1:5" ht="12.75" x14ac:dyDescent="0.35">
      <c r="A175" s="21" t="s">
        <v>754</v>
      </c>
      <c r="B175" s="22" t="s">
        <v>755</v>
      </c>
      <c r="C175" s="23" t="str">
        <f ca="1">IFERROR(__xludf.DUMMYFUNCTION("index(split(B175,"" ""),1,2)"),"gores")</f>
        <v>gores</v>
      </c>
      <c r="D175" s="24" t="str">
        <f t="shared" si="0"/>
        <v>gar</v>
      </c>
      <c r="E175" s="22" t="s">
        <v>756</v>
      </c>
    </row>
    <row r="176" spans="1:5" ht="12.75" x14ac:dyDescent="0.35">
      <c r="A176" s="21" t="s">
        <v>757</v>
      </c>
      <c r="B176" s="22" t="s">
        <v>758</v>
      </c>
      <c r="C176" s="23" t="str">
        <f ca="1">IFERROR(__xludf.DUMMYFUNCTION("index(split(B176,"" ""),1,2)"),"guesses")</f>
        <v>guesses</v>
      </c>
      <c r="D176" s="24" t="str">
        <f t="shared" si="0"/>
        <v>gas</v>
      </c>
      <c r="E176" s="22" t="s">
        <v>759</v>
      </c>
    </row>
    <row r="177" spans="1:5" ht="12.75" x14ac:dyDescent="0.35">
      <c r="A177" s="21" t="s">
        <v>760</v>
      </c>
      <c r="B177" s="22" t="s">
        <v>761</v>
      </c>
      <c r="C177" s="23" t="str">
        <f ca="1">IFERROR(__xludf.DUMMYFUNCTION("index(split(B177,"" ""),1,2)"),"gats")</f>
        <v>gats</v>
      </c>
      <c r="D177" s="24" t="str">
        <f t="shared" si="0"/>
        <v>goat</v>
      </c>
      <c r="E177" s="22" t="s">
        <v>762</v>
      </c>
    </row>
    <row r="178" spans="1:5" ht="12.75" x14ac:dyDescent="0.35">
      <c r="A178" s="21" t="s">
        <v>763</v>
      </c>
      <c r="B178" s="29" t="s">
        <v>764</v>
      </c>
      <c r="C178" s="23" t="str">
        <f ca="1">IFERROR(__xludf.DUMMYFUNCTION("index(split(B178,"" ""),1,2)"),"gurgitates")</f>
        <v>gurgitates</v>
      </c>
      <c r="D178" s="24" t="str">
        <f t="shared" si="0"/>
        <v>gudgeon</v>
      </c>
      <c r="E178" s="29" t="s">
        <v>765</v>
      </c>
    </row>
    <row r="179" spans="1:5" ht="12.75" x14ac:dyDescent="0.35">
      <c r="A179" s="21" t="s">
        <v>766</v>
      </c>
      <c r="B179" s="22" t="s">
        <v>767</v>
      </c>
      <c r="C179" s="23" t="str">
        <f ca="1">IFERROR(__xludf.DUMMYFUNCTION("index(split(B179,"" ""),1,2)"),"gavels")</f>
        <v>gavels</v>
      </c>
      <c r="D179" s="24" t="str">
        <f t="shared" si="0"/>
        <v>glove</v>
      </c>
      <c r="E179" s="22" t="s">
        <v>768</v>
      </c>
    </row>
    <row r="180" spans="1:5" ht="12.75" x14ac:dyDescent="0.35">
      <c r="A180" s="21" t="s">
        <v>769</v>
      </c>
      <c r="B180" s="22" t="s">
        <v>770</v>
      </c>
      <c r="C180" s="23" t="str">
        <f ca="1">IFERROR(__xludf.DUMMYFUNCTION("index(split(B180,"" ""),1,2)"),"glows")</f>
        <v>glows</v>
      </c>
      <c r="D180" s="24" t="str">
        <f t="shared" si="0"/>
        <v>gearwheel</v>
      </c>
      <c r="E180" s="22" t="s">
        <v>771</v>
      </c>
    </row>
    <row r="181" spans="1:5" ht="12.75" x14ac:dyDescent="0.35">
      <c r="A181" s="21" t="s">
        <v>772</v>
      </c>
      <c r="B181" s="22" t="s">
        <v>773</v>
      </c>
      <c r="C181" s="23" t="str">
        <f ca="1">IFERROR(__xludf.DUMMYFUNCTION("index(split(B181,"" ""),1,2)"),"goxes")</f>
        <v>goxes</v>
      </c>
      <c r="D181" s="24" t="str">
        <f t="shared" si="0"/>
        <v>gloxinias</v>
      </c>
      <c r="E181" s="22" t="s">
        <v>774</v>
      </c>
    </row>
    <row r="182" spans="1:5" ht="12.75" x14ac:dyDescent="0.35">
      <c r="A182" s="21" t="s">
        <v>775</v>
      </c>
      <c r="B182" s="22" t="s">
        <v>776</v>
      </c>
      <c r="C182" s="23" t="str">
        <f ca="1">IFERROR(__xludf.DUMMYFUNCTION("index(split(B182,"" ""),1,2)"),"glycerines")</f>
        <v>glycerines</v>
      </c>
      <c r="D182" s="24" t="str">
        <f t="shared" si="0"/>
        <v>gargoyle</v>
      </c>
      <c r="E182" s="22" t="s">
        <v>777</v>
      </c>
    </row>
    <row r="183" spans="1:5" ht="12.75" x14ac:dyDescent="0.35">
      <c r="A183" s="26" t="s">
        <v>778</v>
      </c>
      <c r="B183" s="27" t="s">
        <v>779</v>
      </c>
      <c r="C183" s="23" t="str">
        <f ca="1">IFERROR(__xludf.DUMMYFUNCTION("index(split(B183,"" ""),1,2)"),"glazes")</f>
        <v>glazes</v>
      </c>
      <c r="D183" s="24" t="str">
        <f t="shared" si="0"/>
        <v>gazebo</v>
      </c>
      <c r="E183" s="27" t="s">
        <v>780</v>
      </c>
    </row>
    <row r="184" spans="1:5" ht="12.75" x14ac:dyDescent="0.35">
      <c r="A184" s="21" t="s">
        <v>781</v>
      </c>
      <c r="B184" s="22" t="s">
        <v>782</v>
      </c>
      <c r="C184" s="23" t="str">
        <f ca="1">IFERROR(__xludf.DUMMYFUNCTION("index(split(B184,"" ""),1,2)"),"hangs")</f>
        <v>hangs</v>
      </c>
      <c r="D184" s="24" t="str">
        <f t="shared" si="0"/>
        <v>hardhat</v>
      </c>
      <c r="E184" s="22" t="s">
        <v>783</v>
      </c>
    </row>
    <row r="185" spans="1:5" ht="13.15" x14ac:dyDescent="0.4">
      <c r="A185" s="21" t="s">
        <v>784</v>
      </c>
      <c r="B185" s="22" t="s">
        <v>785</v>
      </c>
      <c r="C185" s="23" t="str">
        <f ca="1">IFERROR(__xludf.DUMMYFUNCTION("index(split(B185,"" ""),1,2)"),"hibachis")</f>
        <v>hibachis</v>
      </c>
      <c r="D185" s="24" t="str">
        <f t="shared" si="0"/>
        <v>hamburger</v>
      </c>
      <c r="E185" s="22" t="s">
        <v>786</v>
      </c>
    </row>
    <row r="186" spans="1:5" ht="12.75" x14ac:dyDescent="0.35">
      <c r="A186" s="21" t="s">
        <v>787</v>
      </c>
      <c r="B186" s="22" t="s">
        <v>788</v>
      </c>
      <c r="C186" s="23" t="str">
        <f ca="1">IFERROR(__xludf.DUMMYFUNCTION("index(split(B186,"" ""),1,2)"),"hocusses")</f>
        <v>hocusses</v>
      </c>
      <c r="D186" s="24" t="str">
        <f t="shared" si="0"/>
        <v>hotcake</v>
      </c>
      <c r="E186" s="25"/>
    </row>
    <row r="187" spans="1:5" ht="12.75" x14ac:dyDescent="0.35">
      <c r="A187" s="21" t="s">
        <v>789</v>
      </c>
      <c r="B187" s="22" t="s">
        <v>790</v>
      </c>
      <c r="C187" s="23" t="str">
        <f ca="1">IFERROR(__xludf.DUMMYFUNCTION("index(split(B187,"" ""),1,2)"),"hides")</f>
        <v>hides</v>
      </c>
      <c r="D187" s="24" t="str">
        <f t="shared" si="0"/>
        <v>hod</v>
      </c>
      <c r="E187" s="22" t="s">
        <v>791</v>
      </c>
    </row>
    <row r="188" spans="1:5" ht="12.75" x14ac:dyDescent="0.35">
      <c r="A188" s="21" t="s">
        <v>792</v>
      </c>
      <c r="B188" s="22" t="s">
        <v>793</v>
      </c>
      <c r="C188" s="23" t="str">
        <f ca="1">IFERROR(__xludf.DUMMYFUNCTION("index(split(B188,"" ""),1,2)"),"hee-hee's")</f>
        <v>hee-hee's</v>
      </c>
      <c r="D188" s="24" t="str">
        <f t="shared" si="0"/>
        <v>heels</v>
      </c>
      <c r="E188" s="22" t="s">
        <v>794</v>
      </c>
    </row>
    <row r="189" spans="1:5" ht="12.75" x14ac:dyDescent="0.35">
      <c r="A189" s="21" t="s">
        <v>795</v>
      </c>
      <c r="B189" s="22" t="s">
        <v>796</v>
      </c>
      <c r="C189" s="23" t="str">
        <f ca="1">IFERROR(__xludf.DUMMYFUNCTION("index(split(B189,"" ""),1,2)"),"huffs")</f>
        <v>huffs</v>
      </c>
      <c r="D189" s="24" t="str">
        <f t="shared" si="0"/>
        <v>heifer</v>
      </c>
      <c r="E189" s="22" t="s">
        <v>797</v>
      </c>
    </row>
    <row r="190" spans="1:5" ht="12.75" x14ac:dyDescent="0.35">
      <c r="A190" s="21" t="s">
        <v>798</v>
      </c>
      <c r="B190" s="22" t="s">
        <v>799</v>
      </c>
      <c r="C190" s="23" t="str">
        <f ca="1">IFERROR(__xludf.DUMMYFUNCTION("index(split(B190,"" ""),1,2)"),"hugs")</f>
        <v>hugs</v>
      </c>
      <c r="D190" s="24" t="str">
        <f t="shared" si="0"/>
        <v>hog</v>
      </c>
      <c r="E190" s="25"/>
    </row>
    <row r="191" spans="1:5" ht="12.75" x14ac:dyDescent="0.35">
      <c r="A191" s="21" t="s">
        <v>800</v>
      </c>
      <c r="B191" s="22" t="s">
        <v>801</v>
      </c>
      <c r="C191" s="23" t="str">
        <f ca="1">IFERROR(__xludf.DUMMYFUNCTION("index(split(B191,"" ""),1,2)"),"HH's")</f>
        <v>HH's</v>
      </c>
      <c r="D191" s="24" t="str">
        <f t="shared" si="0"/>
        <v>HH</v>
      </c>
      <c r="E191" s="22" t="s">
        <v>802</v>
      </c>
    </row>
    <row r="192" spans="1:5" ht="12.75" x14ac:dyDescent="0.35">
      <c r="A192" s="21" t="s">
        <v>803</v>
      </c>
      <c r="B192" s="22" t="s">
        <v>804</v>
      </c>
      <c r="C192" s="23" t="str">
        <f ca="1">IFERROR(__xludf.DUMMYFUNCTION("index(split(B192,"" ""),1,2)"),"hipshots")</f>
        <v>hipshots</v>
      </c>
      <c r="D192" s="24" t="str">
        <f t="shared" si="0"/>
        <v>high-hat</v>
      </c>
      <c r="E192" s="22" t="s">
        <v>805</v>
      </c>
    </row>
    <row r="193" spans="1:5" ht="12.75" x14ac:dyDescent="0.35">
      <c r="A193" s="21" t="s">
        <v>806</v>
      </c>
      <c r="B193" s="22" t="s">
        <v>807</v>
      </c>
      <c r="C193" s="23" t="str">
        <f ca="1">IFERROR(__xludf.DUMMYFUNCTION("index(split(B193,"" ""),1,2)"),"hijacks")</f>
        <v>hijacks</v>
      </c>
      <c r="D193" s="24" t="str">
        <f t="shared" si="0"/>
        <v>hijab</v>
      </c>
      <c r="E193" s="22" t="s">
        <v>808</v>
      </c>
    </row>
    <row r="194" spans="1:5" ht="12.75" x14ac:dyDescent="0.35">
      <c r="A194" s="21" t="s">
        <v>809</v>
      </c>
      <c r="B194" s="22" t="s">
        <v>810</v>
      </c>
      <c r="C194" s="23" t="str">
        <f ca="1">IFERROR(__xludf.DUMMYFUNCTION("index(split(B194,"" ""),1,2)"),"hucks")</f>
        <v>hucks</v>
      </c>
      <c r="D194" s="24" t="str">
        <f t="shared" si="0"/>
        <v>hankie</v>
      </c>
      <c r="E194" s="22" t="s">
        <v>811</v>
      </c>
    </row>
    <row r="195" spans="1:5" ht="12.75" x14ac:dyDescent="0.35">
      <c r="A195" s="21" t="s">
        <v>812</v>
      </c>
      <c r="B195" s="22" t="s">
        <v>813</v>
      </c>
      <c r="C195" s="23" t="str">
        <f ca="1">IFERROR(__xludf.DUMMYFUNCTION("index(split(B195,"" ""),1,2)"),"heals")</f>
        <v>heals</v>
      </c>
      <c r="D195" s="24" t="str">
        <f t="shared" si="0"/>
        <v>helicopter</v>
      </c>
      <c r="E195" s="22" t="s">
        <v>814</v>
      </c>
    </row>
    <row r="196" spans="1:5" ht="12.75" x14ac:dyDescent="0.35">
      <c r="A196" s="21" t="s">
        <v>815</v>
      </c>
      <c r="B196" s="22" t="s">
        <v>816</v>
      </c>
      <c r="C196" s="23" t="str">
        <f ca="1">IFERROR(__xludf.DUMMYFUNCTION("index(split(B196,"" ""),1,2)"),"hammers")</f>
        <v>hammers</v>
      </c>
      <c r="D196" s="24" t="str">
        <f t="shared" si="0"/>
        <v>ham</v>
      </c>
      <c r="E196" s="25"/>
    </row>
    <row r="197" spans="1:5" ht="12.75" x14ac:dyDescent="0.35">
      <c r="A197" s="21" t="s">
        <v>817</v>
      </c>
      <c r="B197" s="22" t="s">
        <v>818</v>
      </c>
      <c r="C197" s="23" t="str">
        <f ca="1">IFERROR(__xludf.DUMMYFUNCTION("index(split(B197,"" ""),1,2)"),"hennas")</f>
        <v>hennas</v>
      </c>
      <c r="D197" s="24" t="str">
        <f t="shared" si="0"/>
        <v>hen</v>
      </c>
      <c r="E197" s="25"/>
    </row>
    <row r="198" spans="1:5" ht="12.75" x14ac:dyDescent="0.35">
      <c r="A198" s="21" t="s">
        <v>819</v>
      </c>
      <c r="B198" s="22" t="s">
        <v>820</v>
      </c>
      <c r="C198" s="23" t="str">
        <f ca="1">IFERROR(__xludf.DUMMYFUNCTION("index(split(B198,"" ""),1,2)"),"hoofs")</f>
        <v>hoofs</v>
      </c>
      <c r="D198" s="24" t="str">
        <f t="shared" si="0"/>
        <v>hoodie</v>
      </c>
      <c r="E198" s="22" t="s">
        <v>821</v>
      </c>
    </row>
    <row r="199" spans="1:5" ht="12.75" x14ac:dyDescent="0.35">
      <c r="A199" s="21" t="s">
        <v>822</v>
      </c>
      <c r="B199" s="22" t="s">
        <v>823</v>
      </c>
      <c r="C199" s="23" t="str">
        <f ca="1">IFERROR(__xludf.DUMMYFUNCTION("index(split(B199,"" ""),1,2)"),"hops")</f>
        <v>hops</v>
      </c>
      <c r="D199" s="24" t="str">
        <f t="shared" si="0"/>
        <v>hippo</v>
      </c>
      <c r="E199" s="22" t="s">
        <v>824</v>
      </c>
    </row>
    <row r="200" spans="1:5" ht="12.75" x14ac:dyDescent="0.35">
      <c r="A200" s="21" t="s">
        <v>825</v>
      </c>
      <c r="B200" s="22" t="s">
        <v>826</v>
      </c>
      <c r="C200" s="23" t="str">
        <f ca="1">IFERROR(__xludf.DUMMYFUNCTION("index(split(B200,"" ""),1,2)"),"hindquarters")</f>
        <v>hindquarters</v>
      </c>
      <c r="D200" s="24" t="str">
        <f t="shared" si="0"/>
        <v>harlequin</v>
      </c>
      <c r="E200" s="22" t="s">
        <v>827</v>
      </c>
    </row>
    <row r="201" spans="1:5" ht="12.75" x14ac:dyDescent="0.35">
      <c r="A201" s="21" t="s">
        <v>828</v>
      </c>
      <c r="B201" s="22" t="s">
        <v>829</v>
      </c>
      <c r="C201" s="23" t="str">
        <f ca="1">IFERROR(__xludf.DUMMYFUNCTION("index(split(B201,"" ""),1,2)"),"hurricanes")</f>
        <v>hurricanes</v>
      </c>
      <c r="D201" s="24" t="str">
        <f t="shared" si="0"/>
        <v>hare</v>
      </c>
      <c r="E201" s="22" t="s">
        <v>830</v>
      </c>
    </row>
    <row r="202" spans="1:5" ht="12.75" x14ac:dyDescent="0.35">
      <c r="A202" s="21" t="s">
        <v>831</v>
      </c>
      <c r="B202" s="22" t="s">
        <v>832</v>
      </c>
      <c r="C202" s="23" t="str">
        <f ca="1">IFERROR(__xludf.DUMMYFUNCTION("index(split(B202,"" ""),1,2)"),"hoses")</f>
        <v>hoses</v>
      </c>
      <c r="D202" s="24" t="str">
        <f t="shared" si="0"/>
        <v>horse</v>
      </c>
      <c r="E202" s="25"/>
    </row>
    <row r="203" spans="1:5" ht="12.75" x14ac:dyDescent="0.35">
      <c r="A203" s="21" t="s">
        <v>833</v>
      </c>
      <c r="B203" s="22" t="s">
        <v>834</v>
      </c>
      <c r="C203" s="23" t="str">
        <f ca="1">IFERROR(__xludf.DUMMYFUNCTION("index(split(B203,"" ""),1,2)"),"hits")</f>
        <v>hits</v>
      </c>
      <c r="D203" s="24" t="str">
        <f t="shared" si="0"/>
        <v>hat</v>
      </c>
      <c r="E203" s="22" t="s">
        <v>835</v>
      </c>
    </row>
    <row r="204" spans="1:5" ht="12.75" x14ac:dyDescent="0.35">
      <c r="A204" s="21" t="s">
        <v>836</v>
      </c>
      <c r="B204" s="22" t="s">
        <v>837</v>
      </c>
      <c r="C204" s="23" t="str">
        <f ca="1">IFERROR(__xludf.DUMMYFUNCTION("index(split(B204,"" ""),1,2)"),"hues")</f>
        <v>hues</v>
      </c>
      <c r="D204" s="24" t="str">
        <f t="shared" si="0"/>
        <v>hue</v>
      </c>
      <c r="E204" s="22" t="s">
        <v>838</v>
      </c>
    </row>
    <row r="205" spans="1:5" ht="12.75" x14ac:dyDescent="0.35">
      <c r="A205" s="21" t="s">
        <v>839</v>
      </c>
      <c r="B205" s="22" t="s">
        <v>840</v>
      </c>
      <c r="C205" s="23" t="str">
        <f ca="1">IFERROR(__xludf.DUMMYFUNCTION("index(split(B205,"" ""),1,2)"),"heaves")</f>
        <v>heaves</v>
      </c>
      <c r="D205" s="24" t="str">
        <f t="shared" si="0"/>
        <v>hive</v>
      </c>
      <c r="E205" s="22" t="s">
        <v>841</v>
      </c>
    </row>
    <row r="206" spans="1:5" ht="12.75" x14ac:dyDescent="0.35">
      <c r="A206" s="21" t="s">
        <v>842</v>
      </c>
      <c r="B206" s="22" t="s">
        <v>843</v>
      </c>
      <c r="C206" s="23" t="str">
        <f ca="1">IFERROR(__xludf.DUMMYFUNCTION("index(split(B206,"" ""),1,2)"),"hews")</f>
        <v>hews</v>
      </c>
      <c r="D206" s="24" t="str">
        <f t="shared" si="0"/>
        <v>howitzer</v>
      </c>
      <c r="E206" s="22" t="s">
        <v>844</v>
      </c>
    </row>
    <row r="207" spans="1:5" ht="12.75" x14ac:dyDescent="0.35">
      <c r="A207" s="21" t="s">
        <v>845</v>
      </c>
      <c r="B207" s="22" t="s">
        <v>846</v>
      </c>
      <c r="C207" s="23" t="str">
        <f ca="1">IFERROR(__xludf.DUMMYFUNCTION("index(split(B207,"" ""),1,2)"),"hatboxes")</f>
        <v>hatboxes</v>
      </c>
      <c r="D207" s="24" t="str">
        <f t="shared" si="0"/>
        <v>helix</v>
      </c>
      <c r="E207" s="22" t="s">
        <v>847</v>
      </c>
    </row>
    <row r="208" spans="1:5" ht="12.75" x14ac:dyDescent="0.35">
      <c r="A208" s="21" t="s">
        <v>848</v>
      </c>
      <c r="B208" s="22" t="s">
        <v>849</v>
      </c>
      <c r="C208" s="23" t="str">
        <f ca="1">IFERROR(__xludf.DUMMYFUNCTION("index(split(B208,"" ""),1,2)"),"hydroplanes")</f>
        <v>hydroplanes</v>
      </c>
      <c r="D208" s="24" t="str">
        <f t="shared" si="0"/>
        <v>hymnal</v>
      </c>
      <c r="E208" s="22" t="s">
        <v>850</v>
      </c>
    </row>
    <row r="209" spans="1:5" ht="12.75" x14ac:dyDescent="0.35">
      <c r="A209" s="26" t="s">
        <v>851</v>
      </c>
      <c r="B209" s="27" t="s">
        <v>852</v>
      </c>
      <c r="C209" s="23" t="str">
        <f ca="1">IFERROR(__xludf.DUMMYFUNCTION("index(split(B209,"" ""),1,2)"),"hazes")</f>
        <v>hazes</v>
      </c>
      <c r="D209" s="24" t="str">
        <f t="shared" si="0"/>
        <v>hazard</v>
      </c>
      <c r="E209" s="27" t="s">
        <v>853</v>
      </c>
    </row>
    <row r="210" spans="1:5" ht="12.75" x14ac:dyDescent="0.35">
      <c r="A210" s="21" t="s">
        <v>854</v>
      </c>
      <c r="B210" s="22" t="s">
        <v>855</v>
      </c>
      <c r="C210" s="23" t="str">
        <f ca="1">IFERROR(__xludf.DUMMYFUNCTION("index(split(B210,"" ""),1,2)"),"iambs")</f>
        <v>iambs</v>
      </c>
      <c r="D210" s="24" t="str">
        <f t="shared" si="0"/>
        <v>iacocca</v>
      </c>
      <c r="E210" s="22" t="s">
        <v>856</v>
      </c>
    </row>
    <row r="211" spans="1:5" ht="12.75" x14ac:dyDescent="0.35">
      <c r="A211" s="21" t="s">
        <v>857</v>
      </c>
      <c r="B211" s="22" t="s">
        <v>858</v>
      </c>
      <c r="C211" s="23" t="str">
        <f ca="1">IFERROR(__xludf.DUMMYFUNCTION("index(split(B211,"" ""),1,2)"),"iceballs")</f>
        <v>iceballs</v>
      </c>
      <c r="D211" s="24" t="str">
        <f t="shared" si="0"/>
        <v>ibis</v>
      </c>
      <c r="E211" s="22" t="s">
        <v>859</v>
      </c>
    </row>
    <row r="212" spans="1:5" ht="12.75" x14ac:dyDescent="0.35">
      <c r="A212" s="21" t="s">
        <v>860</v>
      </c>
      <c r="B212" s="29" t="s">
        <v>861</v>
      </c>
      <c r="C212" s="23" t="str">
        <f ca="1">IFERROR(__xludf.DUMMYFUNCTION("index(split(B212,"" ""),1,2)"),"iconifies")</f>
        <v>iconifies</v>
      </c>
      <c r="D212" s="24" t="str">
        <f t="shared" si="0"/>
        <v>icon</v>
      </c>
      <c r="E212" s="29" t="s">
        <v>862</v>
      </c>
    </row>
    <row r="213" spans="1:5" ht="12.75" x14ac:dyDescent="0.35">
      <c r="A213" s="21" t="s">
        <v>863</v>
      </c>
      <c r="B213" s="22" t="s">
        <v>864</v>
      </c>
      <c r="C213" s="23" t="str">
        <f ca="1">IFERROR(__xludf.DUMMYFUNCTION("index(split(B213,"" ""),1,2)"),"idles")</f>
        <v>idles</v>
      </c>
      <c r="D213" s="24" t="str">
        <f t="shared" si="0"/>
        <v>idol</v>
      </c>
      <c r="E213" s="22" t="s">
        <v>865</v>
      </c>
    </row>
    <row r="214" spans="1:5" ht="12.75" x14ac:dyDescent="0.35">
      <c r="A214" s="21" t="s">
        <v>866</v>
      </c>
      <c r="B214" s="22" t="s">
        <v>867</v>
      </c>
      <c r="C214" s="23" t="str">
        <f ca="1">IFERROR(__xludf.DUMMYFUNCTION("index(split(B214,"" ""),1,2)"),"iena's")</f>
        <v>iena's</v>
      </c>
      <c r="D214" s="24" t="str">
        <f t="shared" si="0"/>
        <v>iena</v>
      </c>
      <c r="E214" s="22" t="s">
        <v>868</v>
      </c>
    </row>
    <row r="215" spans="1:5" ht="12.75" x14ac:dyDescent="0.35">
      <c r="A215" s="21" t="s">
        <v>869</v>
      </c>
      <c r="B215" s="22" t="s">
        <v>870</v>
      </c>
      <c r="C215" s="23" t="str">
        <f ca="1">IFERROR(__xludf.DUMMYFUNCTION("index(split(B215,"" ""),1,2)"),"infrareds")</f>
        <v>infrareds</v>
      </c>
      <c r="D215" s="24" t="str">
        <f t="shared" si="0"/>
        <v>inflatable</v>
      </c>
      <c r="E215" s="22" t="s">
        <v>871</v>
      </c>
    </row>
    <row r="216" spans="1:5" ht="12.75" x14ac:dyDescent="0.35">
      <c r="A216" s="21" t="s">
        <v>872</v>
      </c>
      <c r="B216" s="22" t="s">
        <v>873</v>
      </c>
      <c r="C216" s="23" t="str">
        <f ca="1">IFERROR(__xludf.DUMMYFUNCTION("index(split(B216,"" ""),1,2)"),"iggs")</f>
        <v>iggs</v>
      </c>
      <c r="D216" s="24" t="str">
        <f t="shared" si="0"/>
        <v>iguana</v>
      </c>
      <c r="E216" s="22" t="s">
        <v>874</v>
      </c>
    </row>
    <row r="217" spans="1:5" ht="12.75" x14ac:dyDescent="0.35">
      <c r="A217" s="21" t="s">
        <v>875</v>
      </c>
      <c r="B217" s="22" t="s">
        <v>876</v>
      </c>
      <c r="C217" s="23" t="str">
        <f ca="1">IFERROR(__xludf.DUMMYFUNCTION("index(split(B217,"" ""),1,2)"),"ish's")</f>
        <v>ish's</v>
      </c>
      <c r="D217" s="24" t="str">
        <f t="shared" si="0"/>
        <v>inshore</v>
      </c>
      <c r="E217" s="22" t="s">
        <v>877</v>
      </c>
    </row>
    <row r="218" spans="1:5" ht="12.75" x14ac:dyDescent="0.35">
      <c r="A218" s="21" t="s">
        <v>878</v>
      </c>
      <c r="B218" s="22" t="s">
        <v>879</v>
      </c>
      <c r="C218" s="23" t="str">
        <f ca="1">IFERROR(__xludf.DUMMYFUNCTION("index(split(B218,"" ""),1,2)"),"II's")</f>
        <v>II's</v>
      </c>
      <c r="D218" s="24" t="str">
        <f t="shared" si="0"/>
        <v>II</v>
      </c>
      <c r="E218" s="22" t="s">
        <v>880</v>
      </c>
    </row>
    <row r="219" spans="1:5" ht="12.75" x14ac:dyDescent="0.35">
      <c r="A219" s="21" t="s">
        <v>881</v>
      </c>
      <c r="B219" s="22" t="s">
        <v>882</v>
      </c>
      <c r="C219" s="23" t="str">
        <f ca="1">IFERROR(__xludf.DUMMYFUNCTION("index(split(B219,"" ""),1,2)"),"injects")</f>
        <v>injects</v>
      </c>
      <c r="D219" s="24" t="str">
        <f t="shared" si="0"/>
        <v>injunction</v>
      </c>
      <c r="E219" s="22" t="s">
        <v>883</v>
      </c>
    </row>
    <row r="220" spans="1:5" ht="12.75" x14ac:dyDescent="0.35">
      <c r="A220" s="21" t="s">
        <v>884</v>
      </c>
      <c r="B220" s="22" t="s">
        <v>885</v>
      </c>
      <c r="C220" s="23" t="str">
        <f ca="1">IFERROR(__xludf.DUMMYFUNCTION("index(split(B220,"" ""),1,2)"),"inks")</f>
        <v>inks</v>
      </c>
      <c r="D220" s="24" t="str">
        <f t="shared" si="0"/>
        <v>ink</v>
      </c>
      <c r="E220" s="22" t="s">
        <v>886</v>
      </c>
    </row>
    <row r="221" spans="1:5" ht="12.75" x14ac:dyDescent="0.35">
      <c r="A221" s="21" t="s">
        <v>887</v>
      </c>
      <c r="B221" s="22" t="s">
        <v>888</v>
      </c>
      <c r="C221" s="23" t="str">
        <f ca="1">IFERROR(__xludf.DUMMYFUNCTION("index(split(B221,"" ""),1,2)"),"illuminates")</f>
        <v>illuminates</v>
      </c>
      <c r="D221" s="24" t="str">
        <f t="shared" si="0"/>
        <v>island</v>
      </c>
      <c r="E221" s="22" t="s">
        <v>889</v>
      </c>
    </row>
    <row r="222" spans="1:5" ht="12.75" x14ac:dyDescent="0.35">
      <c r="A222" s="21" t="s">
        <v>890</v>
      </c>
      <c r="B222" s="22" t="s">
        <v>891</v>
      </c>
      <c r="C222" s="23" t="str">
        <f ca="1">IFERROR(__xludf.DUMMYFUNCTION("index(split(B222,"" ""),1,2)"),"immerses")</f>
        <v>immerses</v>
      </c>
      <c r="D222" s="24" t="str">
        <f t="shared" si="0"/>
        <v>image</v>
      </c>
      <c r="E222" s="22" t="s">
        <v>892</v>
      </c>
    </row>
    <row r="223" spans="1:5" ht="12.75" x14ac:dyDescent="0.35">
      <c r="A223" s="21" t="s">
        <v>893</v>
      </c>
      <c r="B223" s="22" t="s">
        <v>894</v>
      </c>
      <c r="C223" s="23" t="str">
        <f ca="1">IFERROR(__xludf.DUMMYFUNCTION("index(split(B223,"" ""),1,2)"),"inns")</f>
        <v>inns</v>
      </c>
      <c r="D223" s="24" t="str">
        <f t="shared" si="0"/>
        <v>innie</v>
      </c>
      <c r="E223" s="22" t="s">
        <v>895</v>
      </c>
    </row>
    <row r="224" spans="1:5" ht="12.75" x14ac:dyDescent="0.35">
      <c r="A224" s="21" t="s">
        <v>896</v>
      </c>
      <c r="B224" s="22" t="s">
        <v>897</v>
      </c>
      <c r="C224" s="23" t="str">
        <f ca="1">IFERROR(__xludf.DUMMYFUNCTION("index(split(B224,"" ""),1,2)"),"ionizes")</f>
        <v>ionizes</v>
      </c>
      <c r="D224" s="24" t="str">
        <f t="shared" si="0"/>
        <v>iodine</v>
      </c>
      <c r="E224" s="22" t="s">
        <v>898</v>
      </c>
    </row>
    <row r="225" spans="1:5" ht="12.75" x14ac:dyDescent="0.35">
      <c r="A225" s="21" t="s">
        <v>899</v>
      </c>
      <c r="B225" s="22" t="s">
        <v>900</v>
      </c>
      <c r="C225" s="23" t="str">
        <f ca="1">IFERROR(__xludf.DUMMYFUNCTION("index(split(B225,"" ""),1,2)"),"ippons")</f>
        <v>ippons</v>
      </c>
      <c r="D225" s="24" t="str">
        <f t="shared" si="0"/>
        <v>iPad</v>
      </c>
      <c r="E225" s="22" t="s">
        <v>901</v>
      </c>
    </row>
    <row r="226" spans="1:5" ht="12.75" x14ac:dyDescent="0.35">
      <c r="A226" s="21" t="s">
        <v>902</v>
      </c>
      <c r="B226" s="22" t="s">
        <v>903</v>
      </c>
      <c r="C226" s="23" t="str">
        <f ca="1">IFERROR(__xludf.DUMMYFUNCTION("index(split(B226,"" ""),1,2)"),"inquests")</f>
        <v>inquests</v>
      </c>
      <c r="D226" s="24" t="str">
        <f t="shared" si="0"/>
        <v>inquisitor</v>
      </c>
      <c r="E226" s="22" t="s">
        <v>904</v>
      </c>
    </row>
    <row r="227" spans="1:5" ht="12.75" x14ac:dyDescent="0.35">
      <c r="A227" s="21" t="s">
        <v>905</v>
      </c>
      <c r="B227" s="22" t="s">
        <v>906</v>
      </c>
      <c r="C227" s="23" t="str">
        <f ca="1">IFERROR(__xludf.DUMMYFUNCTION("index(split(B227,"" ""),1,2)"),"irrigates")</f>
        <v>irrigates</v>
      </c>
      <c r="D227" s="24" t="str">
        <f t="shared" si="0"/>
        <v>iris</v>
      </c>
      <c r="E227" s="25"/>
    </row>
    <row r="228" spans="1:5" ht="12.75" x14ac:dyDescent="0.35">
      <c r="A228" s="21" t="s">
        <v>907</v>
      </c>
      <c r="B228" s="22" t="s">
        <v>908</v>
      </c>
      <c r="C228" s="23" t="str">
        <f ca="1">IFERROR(__xludf.DUMMYFUNCTION("index(split(B228,"" ""),1,2)"),"insulates")</f>
        <v>insulates</v>
      </c>
      <c r="D228" s="24" t="str">
        <f t="shared" si="0"/>
        <v>insect</v>
      </c>
      <c r="E228" s="22" t="s">
        <v>909</v>
      </c>
    </row>
    <row r="229" spans="1:5" ht="12.75" x14ac:dyDescent="0.35">
      <c r="A229" s="21" t="s">
        <v>910</v>
      </c>
      <c r="B229" s="22" t="s">
        <v>911</v>
      </c>
      <c r="C229" s="23" t="str">
        <f ca="1">IFERROR(__xludf.DUMMYFUNCTION("index(split(B229,"" ""),1,2)"),"inters")</f>
        <v>inters</v>
      </c>
      <c r="D229" s="24" t="str">
        <f t="shared" si="0"/>
        <v>intestines</v>
      </c>
      <c r="E229" s="22" t="s">
        <v>912</v>
      </c>
    </row>
    <row r="230" spans="1:5" ht="12.75" x14ac:dyDescent="0.35">
      <c r="A230" s="21" t="s">
        <v>913</v>
      </c>
      <c r="B230" s="22" t="s">
        <v>914</v>
      </c>
      <c r="C230" s="23" t="str">
        <f ca="1">IFERROR(__xludf.DUMMYFUNCTION("index(split(B230,"" ""),1,2)"),"iugo's")</f>
        <v>iugo's</v>
      </c>
      <c r="D230" s="24" t="str">
        <f t="shared" si="0"/>
        <v>iulock</v>
      </c>
      <c r="E230" s="22" t="s">
        <v>915</v>
      </c>
    </row>
    <row r="231" spans="1:5" ht="12.75" x14ac:dyDescent="0.35">
      <c r="A231" s="21" t="s">
        <v>916</v>
      </c>
      <c r="B231" s="22" t="s">
        <v>917</v>
      </c>
      <c r="C231" s="23" t="str">
        <f ca="1">IFERROR(__xludf.DUMMYFUNCTION("index(split(B231,"" ""),1,2)"),"inverts")</f>
        <v>inverts</v>
      </c>
      <c r="D231" s="24" t="str">
        <f t="shared" si="0"/>
        <v>invertebrate</v>
      </c>
      <c r="E231" s="22" t="s">
        <v>918</v>
      </c>
    </row>
    <row r="232" spans="1:5" ht="12.75" x14ac:dyDescent="0.35">
      <c r="A232" s="21" t="s">
        <v>919</v>
      </c>
      <c r="B232" s="22" t="s">
        <v>920</v>
      </c>
      <c r="C232" s="23" t="str">
        <f ca="1">IFERROR(__xludf.DUMMYFUNCTION("index(split(B232,"" ""),1,2)"),"inwalls")</f>
        <v>inwalls</v>
      </c>
      <c r="D232" s="24" t="str">
        <f t="shared" si="0"/>
        <v>iwi</v>
      </c>
      <c r="E232" s="22" t="s">
        <v>921</v>
      </c>
    </row>
    <row r="233" spans="1:5" ht="12.75" x14ac:dyDescent="0.35">
      <c r="A233" s="21" t="s">
        <v>922</v>
      </c>
      <c r="B233" s="22" t="s">
        <v>923</v>
      </c>
      <c r="C233" s="23" t="str">
        <f ca="1">IFERROR(__xludf.DUMMYFUNCTION("index(split(B233,"" ""),1,2)"),"indexes")</f>
        <v>indexes</v>
      </c>
      <c r="D233" s="24" t="str">
        <f t="shared" si="0"/>
        <v>IMAX</v>
      </c>
      <c r="E233" s="22" t="s">
        <v>924</v>
      </c>
    </row>
    <row r="234" spans="1:5" ht="12.75" x14ac:dyDescent="0.35">
      <c r="A234" s="21" t="s">
        <v>925</v>
      </c>
      <c r="B234" s="22" t="s">
        <v>926</v>
      </c>
      <c r="C234" s="23" t="str">
        <f ca="1">IFERROR(__xludf.DUMMYFUNCTION("index(split(B234,"" ""),1,2)"),"isopropyls")</f>
        <v>isopropyls</v>
      </c>
      <c r="D234" s="24" t="str">
        <f t="shared" si="0"/>
        <v>ichthyoid</v>
      </c>
      <c r="E234" s="22" t="s">
        <v>927</v>
      </c>
    </row>
    <row r="235" spans="1:5" ht="12.75" x14ac:dyDescent="0.35">
      <c r="A235" s="26" t="s">
        <v>928</v>
      </c>
      <c r="B235" s="27" t="s">
        <v>929</v>
      </c>
      <c r="C235" s="23" t="str">
        <f ca="1">IFERROR(__xludf.DUMMYFUNCTION("index(split(B235,"" ""),1,2)"),"izods")</f>
        <v>izods</v>
      </c>
      <c r="D235" s="24" t="str">
        <f t="shared" si="0"/>
        <v>izar</v>
      </c>
      <c r="E235" s="27" t="s">
        <v>930</v>
      </c>
    </row>
    <row r="236" spans="1:5" ht="12.75" x14ac:dyDescent="0.35">
      <c r="A236" s="21" t="s">
        <v>931</v>
      </c>
      <c r="B236" s="22" t="s">
        <v>932</v>
      </c>
      <c r="C236" s="23" t="str">
        <f ca="1">IFERROR(__xludf.DUMMYFUNCTION("index(split(B236,"" ""),1,2)"),"jamjars")</f>
        <v>jamjars</v>
      </c>
      <c r="D236" s="24" t="str">
        <f t="shared" si="0"/>
        <v>jaase</v>
      </c>
      <c r="E236" s="22" t="s">
        <v>933</v>
      </c>
    </row>
    <row r="237" spans="1:5" ht="12.75" x14ac:dyDescent="0.35">
      <c r="A237" s="21" t="s">
        <v>934</v>
      </c>
      <c r="B237" s="22" t="s">
        <v>935</v>
      </c>
      <c r="C237" s="23" t="str">
        <f ca="1">IFERROR(__xludf.DUMMYFUNCTION("index(split(B237,"" ""),1,2)"),"jabs")</f>
        <v>jabs</v>
      </c>
      <c r="D237" s="24" t="str">
        <f t="shared" si="0"/>
        <v>Jumbo</v>
      </c>
      <c r="E237" s="22" t="s">
        <v>936</v>
      </c>
    </row>
    <row r="238" spans="1:5" ht="12.75" x14ac:dyDescent="0.35">
      <c r="A238" s="21" t="s">
        <v>937</v>
      </c>
      <c r="B238" s="22" t="s">
        <v>938</v>
      </c>
      <c r="C238" s="23" t="str">
        <f ca="1">IFERROR(__xludf.DUMMYFUNCTION("index(split(B238,"" ""),1,2)"),"jacuzzis")</f>
        <v>jacuzzis</v>
      </c>
      <c r="D238" s="24" t="str">
        <f t="shared" si="0"/>
        <v>junco</v>
      </c>
      <c r="E238" s="22" t="s">
        <v>939</v>
      </c>
    </row>
    <row r="239" spans="1:5" ht="12.75" x14ac:dyDescent="0.35">
      <c r="A239" s="21" t="s">
        <v>940</v>
      </c>
      <c r="B239" s="22" t="s">
        <v>941</v>
      </c>
      <c r="C239" s="23" t="str">
        <f ca="1">IFERROR(__xludf.DUMMYFUNCTION("index(split(B239,"" ""),1,2)"),"jeers")</f>
        <v>jeers</v>
      </c>
      <c r="D239" s="24" t="str">
        <f t="shared" si="0"/>
        <v>jejune</v>
      </c>
      <c r="E239" s="22" t="s">
        <v>942</v>
      </c>
    </row>
    <row r="240" spans="1:5" ht="13.5" customHeight="1" x14ac:dyDescent="0.35">
      <c r="A240" s="21" t="s">
        <v>943</v>
      </c>
      <c r="B240" s="22" t="s">
        <v>944</v>
      </c>
      <c r="C240" s="23" t="str">
        <f ca="1">IFERROR(__xludf.DUMMYFUNCTION("index(split(B240,"" ""),1,2)"),"judases")</f>
        <v>judases</v>
      </c>
      <c r="D240" s="24" t="str">
        <f t="shared" si="0"/>
        <v>jade</v>
      </c>
      <c r="E240" s="22" t="s">
        <v>945</v>
      </c>
    </row>
    <row r="241" spans="1:5" ht="12.75" x14ac:dyDescent="0.35">
      <c r="A241" s="21" t="s">
        <v>946</v>
      </c>
      <c r="B241" s="22" t="s">
        <v>947</v>
      </c>
      <c r="C241" s="23" t="str">
        <f ca="1">IFERROR(__xludf.DUMMYFUNCTION("index(split(B241,"" ""),1,2)"),"jerf's")</f>
        <v>jerf's</v>
      </c>
      <c r="D241" s="24" t="str">
        <f t="shared" si="0"/>
        <v>jif</v>
      </c>
      <c r="E241" s="22" t="s">
        <v>948</v>
      </c>
    </row>
    <row r="242" spans="1:5" ht="12.75" x14ac:dyDescent="0.35">
      <c r="A242" s="21" t="s">
        <v>949</v>
      </c>
      <c r="B242" s="22" t="s">
        <v>950</v>
      </c>
      <c r="C242" s="23" t="str">
        <f ca="1">IFERROR(__xludf.DUMMYFUNCTION("index(split(B242,"" ""),1,2)"),"juggles")</f>
        <v>juggles</v>
      </c>
      <c r="D242" s="24" t="str">
        <f t="shared" si="0"/>
        <v>jugs</v>
      </c>
      <c r="E242" s="22"/>
    </row>
    <row r="243" spans="1:5" ht="12.75" x14ac:dyDescent="0.35">
      <c r="A243" s="21" t="s">
        <v>951</v>
      </c>
      <c r="B243" s="22" t="s">
        <v>952</v>
      </c>
      <c r="C243" s="23" t="str">
        <f ca="1">IFERROR(__xludf.DUMMYFUNCTION("index(split(B243,"" ""),1,2)"),"joshes")</f>
        <v>joshes</v>
      </c>
      <c r="D243" s="24" t="str">
        <f t="shared" si="0"/>
        <v>jackshaft</v>
      </c>
      <c r="E243" s="22" t="s">
        <v>953</v>
      </c>
    </row>
    <row r="244" spans="1:5" ht="12.75" x14ac:dyDescent="0.35">
      <c r="A244" s="21" t="s">
        <v>954</v>
      </c>
      <c r="B244" s="22" t="s">
        <v>955</v>
      </c>
      <c r="C244" s="23" t="str">
        <f ca="1">IFERROR(__xludf.DUMMYFUNCTION("index(split(B244,"" ""),1,2)"),"jii's")</f>
        <v>jii's</v>
      </c>
      <c r="D244" s="24" t="str">
        <f t="shared" si="0"/>
        <v>jiljil</v>
      </c>
      <c r="E244" s="22" t="s">
        <v>956</v>
      </c>
    </row>
    <row r="245" spans="1:5" ht="12.75" x14ac:dyDescent="0.35">
      <c r="A245" s="21" t="s">
        <v>957</v>
      </c>
      <c r="B245" s="22" t="s">
        <v>958</v>
      </c>
      <c r="C245" s="23" t="str">
        <f ca="1">IFERROR(__xludf.DUMMYFUNCTION("index(split(B245,"" ""),1,2)"),"JJ's")</f>
        <v>JJ's</v>
      </c>
      <c r="D245" s="24" t="str">
        <f t="shared" si="0"/>
        <v>JJ</v>
      </c>
      <c r="E245" s="22" t="s">
        <v>959</v>
      </c>
    </row>
    <row r="246" spans="1:5" ht="12.75" x14ac:dyDescent="0.35">
      <c r="A246" s="21" t="s">
        <v>960</v>
      </c>
      <c r="B246" s="22" t="s">
        <v>961</v>
      </c>
      <c r="C246" s="23" t="str">
        <f ca="1">IFERROR(__xludf.DUMMYFUNCTION("index(split(B246,"" ""),1,2)"),"jacks")</f>
        <v>jacks</v>
      </c>
      <c r="D246" s="24" t="str">
        <f t="shared" si="0"/>
        <v>jackal</v>
      </c>
      <c r="E246" s="22" t="s">
        <v>962</v>
      </c>
    </row>
    <row r="247" spans="1:5" ht="12.75" x14ac:dyDescent="0.35">
      <c r="A247" s="21" t="s">
        <v>963</v>
      </c>
      <c r="B247" s="22" t="s">
        <v>964</v>
      </c>
      <c r="C247" s="23" t="str">
        <f ca="1">IFERROR(__xludf.DUMMYFUNCTION("index(split(B247,"" ""),1,2)"),"jails")</f>
        <v>jails</v>
      </c>
      <c r="D247" s="24" t="str">
        <f t="shared" si="0"/>
        <v>jello</v>
      </c>
      <c r="E247" s="22" t="s">
        <v>965</v>
      </c>
    </row>
    <row r="248" spans="1:5" ht="12.75" x14ac:dyDescent="0.35">
      <c r="A248" s="21" t="s">
        <v>966</v>
      </c>
      <c r="B248" s="29" t="s">
        <v>967</v>
      </c>
      <c r="C248" s="23" t="str">
        <f ca="1">IFERROR(__xludf.DUMMYFUNCTION("index(split(B248,"" ""),1,2)"),"jomo's")</f>
        <v>jomo's</v>
      </c>
      <c r="D248" s="24" t="str">
        <f t="shared" si="0"/>
        <v>jimmies</v>
      </c>
      <c r="E248" s="22" t="s">
        <v>968</v>
      </c>
    </row>
    <row r="249" spans="1:5" ht="12.75" x14ac:dyDescent="0.35">
      <c r="A249" s="21" t="s">
        <v>969</v>
      </c>
      <c r="B249" s="22" t="s">
        <v>970</v>
      </c>
      <c r="C249" s="23" t="str">
        <f ca="1">IFERROR(__xludf.DUMMYFUNCTION("index(split(B249,"" ""),1,2)"),"journals")</f>
        <v>journals</v>
      </c>
      <c r="D249" s="24" t="str">
        <f t="shared" si="0"/>
        <v>jeans</v>
      </c>
      <c r="E249" s="22" t="s">
        <v>971</v>
      </c>
    </row>
    <row r="250" spans="1:5" ht="12.75" x14ac:dyDescent="0.35">
      <c r="A250" s="21" t="s">
        <v>972</v>
      </c>
      <c r="B250" s="22" t="s">
        <v>973</v>
      </c>
      <c r="C250" s="23" t="str">
        <f ca="1">IFERROR(__xludf.DUMMYFUNCTION("index(split(B250,"" ""),1,2)"),"jojo's")</f>
        <v>jojo's</v>
      </c>
      <c r="D250" s="24" t="str">
        <f t="shared" si="0"/>
        <v>joe</v>
      </c>
      <c r="E250" s="22" t="s">
        <v>974</v>
      </c>
    </row>
    <row r="251" spans="1:5" ht="12.75" x14ac:dyDescent="0.35">
      <c r="A251" s="21" t="s">
        <v>975</v>
      </c>
      <c r="B251" s="22" t="s">
        <v>976</v>
      </c>
      <c r="C251" s="23" t="str">
        <f ca="1">IFERROR(__xludf.DUMMYFUNCTION("index(split(B251,"" ""),1,2)"),"jumps")</f>
        <v>jumps</v>
      </c>
      <c r="D251" s="24" t="str">
        <f t="shared" si="0"/>
        <v>jumper</v>
      </c>
      <c r="E251" s="22" t="s">
        <v>977</v>
      </c>
    </row>
    <row r="252" spans="1:5" ht="12.75" x14ac:dyDescent="0.35">
      <c r="A252" s="21" t="s">
        <v>978</v>
      </c>
      <c r="B252" s="22" t="s">
        <v>979</v>
      </c>
      <c r="C252" s="23" t="str">
        <f ca="1">IFERROR(__xludf.DUMMYFUNCTION("index(split(B252,"" ""),1,2)"),"jerques")</f>
        <v>jerques</v>
      </c>
      <c r="D252" s="24" t="str">
        <f t="shared" si="0"/>
        <v>jonquil</v>
      </c>
      <c r="E252" s="22" t="s">
        <v>980</v>
      </c>
    </row>
    <row r="253" spans="1:5" ht="12.75" x14ac:dyDescent="0.35">
      <c r="A253" s="21" t="s">
        <v>981</v>
      </c>
      <c r="B253" s="22" t="s">
        <v>982</v>
      </c>
      <c r="C253" s="23" t="str">
        <f ca="1">IFERROR(__xludf.DUMMYFUNCTION("index(split(B253,"" ""),1,2)"),"juries")</f>
        <v>juries</v>
      </c>
      <c r="D253" s="24" t="str">
        <f t="shared" si="0"/>
        <v>jorum</v>
      </c>
      <c r="E253" s="22" t="s">
        <v>983</v>
      </c>
    </row>
    <row r="254" spans="1:5" ht="12.75" x14ac:dyDescent="0.35">
      <c r="A254" s="21" t="s">
        <v>984</v>
      </c>
      <c r="B254" s="22" t="s">
        <v>985</v>
      </c>
      <c r="C254" s="23" t="str">
        <f ca="1">IFERROR(__xludf.DUMMYFUNCTION("index(split(B254,"" ""),1,2)"),"jigsaws")</f>
        <v>jigsaws</v>
      </c>
      <c r="D254" s="24" t="str">
        <f t="shared" si="0"/>
        <v>jockstrap</v>
      </c>
      <c r="E254" s="22" t="s">
        <v>986</v>
      </c>
    </row>
    <row r="255" spans="1:5" ht="12.75" x14ac:dyDescent="0.35">
      <c r="A255" s="21" t="s">
        <v>987</v>
      </c>
      <c r="B255" s="22" t="s">
        <v>988</v>
      </c>
      <c r="C255" s="23" t="str">
        <f ca="1">IFERROR(__xludf.DUMMYFUNCTION("index(split(B255,"" ""),1,2)"),"jettisons")</f>
        <v>jettisons</v>
      </c>
      <c r="D255" s="24" t="str">
        <f t="shared" si="0"/>
        <v>jet</v>
      </c>
      <c r="E255" s="22" t="s">
        <v>989</v>
      </c>
    </row>
    <row r="256" spans="1:5" ht="12.75" x14ac:dyDescent="0.35">
      <c r="A256" s="21" t="s">
        <v>990</v>
      </c>
      <c r="B256" s="22" t="s">
        <v>991</v>
      </c>
      <c r="C256" s="23" t="str">
        <f ca="1">IFERROR(__xludf.DUMMYFUNCTION("index(split(B256,"" ""),1,2)"),"jujitsu's")</f>
        <v>jujitsu's</v>
      </c>
      <c r="D256" s="24" t="str">
        <f t="shared" si="0"/>
        <v>jujubes</v>
      </c>
      <c r="E256" s="22" t="s">
        <v>992</v>
      </c>
    </row>
    <row r="257" spans="1:5" ht="12.75" x14ac:dyDescent="0.35">
      <c r="A257" s="21" t="s">
        <v>993</v>
      </c>
      <c r="B257" s="22" t="s">
        <v>994</v>
      </c>
      <c r="C257" s="23" t="str">
        <f ca="1">IFERROR(__xludf.DUMMYFUNCTION("index(split(B257,"" ""),1,2)"),"javelins")</f>
        <v>javelins</v>
      </c>
      <c r="D257" s="24" t="str">
        <f t="shared" ref="D257:D511" si="1">TRIM(RIGHT(SUBSTITUTE(B257," ",REPT(" ",LEN(B257))),LEN(B257)))</f>
        <v>juvenile</v>
      </c>
      <c r="E257" s="22" t="s">
        <v>995</v>
      </c>
    </row>
    <row r="258" spans="1:5" ht="12.75" x14ac:dyDescent="0.35">
      <c r="A258" s="21" t="s">
        <v>996</v>
      </c>
      <c r="B258" s="22" t="s">
        <v>997</v>
      </c>
      <c r="C258" s="23" t="str">
        <f ca="1">IFERROR(__xludf.DUMMYFUNCTION("index(split(B258,"" ""),1,2)"),"jows")</f>
        <v>jows</v>
      </c>
      <c r="D258" s="24" t="str">
        <f t="shared" si="1"/>
        <v>jawa</v>
      </c>
      <c r="E258" s="22" t="s">
        <v>998</v>
      </c>
    </row>
    <row r="259" spans="1:5" ht="12.75" x14ac:dyDescent="0.35">
      <c r="A259" s="21" t="s">
        <v>999</v>
      </c>
      <c r="B259" s="22" t="s">
        <v>1000</v>
      </c>
      <c r="C259" s="23" t="str">
        <f ca="1">IFERROR(__xludf.DUMMYFUNCTION("index(split(B259,"" ""),1,2)"),"jinxes")</f>
        <v>jinxes</v>
      </c>
      <c r="D259" s="24" t="str">
        <f t="shared" si="1"/>
        <v>jukebox</v>
      </c>
      <c r="E259" s="22" t="s">
        <v>1001</v>
      </c>
    </row>
    <row r="260" spans="1:5" ht="12.75" x14ac:dyDescent="0.35">
      <c r="A260" s="21" t="s">
        <v>1002</v>
      </c>
      <c r="B260" s="22" t="s">
        <v>1003</v>
      </c>
      <c r="C260" s="23" t="str">
        <f ca="1">IFERROR(__xludf.DUMMYFUNCTION("index(split(B260,"" ""),1,2)"),"joysticks")</f>
        <v>joysticks</v>
      </c>
      <c r="D260" s="24" t="str">
        <f t="shared" si="1"/>
        <v>jellyfish</v>
      </c>
      <c r="E260" s="22" t="s">
        <v>1004</v>
      </c>
    </row>
    <row r="261" spans="1:5" ht="12.75" x14ac:dyDescent="0.35">
      <c r="A261" s="26" t="s">
        <v>1005</v>
      </c>
      <c r="B261" s="27" t="s">
        <v>1006</v>
      </c>
      <c r="C261" s="23" t="str">
        <f ca="1">IFERROR(__xludf.DUMMYFUNCTION("index(split(B261,"" ""),1,2)"),"jazzes")</f>
        <v>jazzes</v>
      </c>
      <c r="D261" s="24" t="str">
        <f t="shared" si="1"/>
        <v>jazz</v>
      </c>
      <c r="E261" s="27" t="s">
        <v>1007</v>
      </c>
    </row>
    <row r="262" spans="1:5" ht="12.75" x14ac:dyDescent="0.35">
      <c r="A262" s="21" t="s">
        <v>1008</v>
      </c>
      <c r="B262" s="22" t="s">
        <v>1009</v>
      </c>
      <c r="C262" s="23" t="str">
        <f ca="1">IFERROR(__xludf.DUMMYFUNCTION("index(split(B262,"" ""),1,2)"),"kaka's")</f>
        <v>kaka's</v>
      </c>
      <c r="D262" s="24" t="str">
        <f t="shared" si="1"/>
        <v>khakis</v>
      </c>
      <c r="E262" s="22" t="s">
        <v>1010</v>
      </c>
    </row>
    <row r="263" spans="1:5" ht="12.75" x14ac:dyDescent="0.35">
      <c r="A263" s="21" t="s">
        <v>1011</v>
      </c>
      <c r="B263" s="22" t="s">
        <v>1012</v>
      </c>
      <c r="C263" s="23" t="str">
        <f ca="1">IFERROR(__xludf.DUMMYFUNCTION("index(split(B263,"" ""),1,2)"),"kebabs")</f>
        <v>kebabs</v>
      </c>
      <c r="D263" s="24" t="str">
        <f t="shared" si="1"/>
        <v>kickball</v>
      </c>
      <c r="E263" s="25"/>
    </row>
    <row r="264" spans="1:5" ht="12.75" x14ac:dyDescent="0.35">
      <c r="A264" s="21" t="s">
        <v>1013</v>
      </c>
      <c r="B264" s="22" t="s">
        <v>1014</v>
      </c>
      <c r="C264" s="23" t="str">
        <f ca="1">IFERROR(__xludf.DUMMYFUNCTION("index(split(B264,"" ""),1,2)"),"kingcrafts")</f>
        <v>kingcrafts</v>
      </c>
      <c r="D264" s="24" t="str">
        <f t="shared" si="1"/>
        <v>kincob</v>
      </c>
      <c r="E264" s="22" t="s">
        <v>1015</v>
      </c>
    </row>
    <row r="265" spans="1:5" ht="12.75" x14ac:dyDescent="0.35">
      <c r="A265" s="21" t="s">
        <v>1016</v>
      </c>
      <c r="B265" s="22" t="s">
        <v>1017</v>
      </c>
      <c r="C265" s="23" t="str">
        <f ca="1">IFERROR(__xludf.DUMMYFUNCTION("index(split(B265,"" ""),1,2)"),"keds")</f>
        <v>keds</v>
      </c>
      <c r="D265" s="24" t="str">
        <f t="shared" si="1"/>
        <v>kid</v>
      </c>
      <c r="E265" s="22" t="s">
        <v>1018</v>
      </c>
    </row>
    <row r="266" spans="1:5" ht="12.75" x14ac:dyDescent="0.35">
      <c r="A266" s="21" t="s">
        <v>1019</v>
      </c>
      <c r="B266" s="22" t="s">
        <v>1020</v>
      </c>
      <c r="C266" s="23" t="str">
        <f ca="1">IFERROR(__xludf.DUMMYFUNCTION("index(split(B266,"" ""),1,2)"),"keels")</f>
        <v>keels</v>
      </c>
      <c r="D266" s="24" t="str">
        <f t="shared" si="1"/>
        <v>keeper</v>
      </c>
      <c r="E266" s="22" t="s">
        <v>1021</v>
      </c>
    </row>
    <row r="267" spans="1:5" ht="12.75" x14ac:dyDescent="0.35">
      <c r="A267" s="21" t="s">
        <v>1022</v>
      </c>
      <c r="B267" s="22" t="s">
        <v>1023</v>
      </c>
      <c r="C267" s="23" t="str">
        <f ca="1">IFERROR(__xludf.DUMMYFUNCTION("index(split(B267,"" ""),1,2)"),"kerfs")</f>
        <v>kerfs</v>
      </c>
      <c r="D267" s="24" t="str">
        <f t="shared" si="1"/>
        <v>kingfisher</v>
      </c>
      <c r="E267" s="25"/>
    </row>
    <row r="268" spans="1:5" ht="12.75" x14ac:dyDescent="0.35">
      <c r="A268" s="21" t="s">
        <v>1024</v>
      </c>
      <c r="B268" s="22" t="s">
        <v>1025</v>
      </c>
      <c r="C268" s="23" t="str">
        <f ca="1">IFERROR(__xludf.DUMMYFUNCTION("index(split(B268,"" ""),1,2)"),"kegs")</f>
        <v>kegs</v>
      </c>
      <c r="D268" s="24" t="str">
        <f t="shared" si="1"/>
        <v>kanga</v>
      </c>
      <c r="E268" s="22" t="s">
        <v>1026</v>
      </c>
    </row>
    <row r="269" spans="1:5" ht="12.75" x14ac:dyDescent="0.35">
      <c r="A269" s="21" t="s">
        <v>1027</v>
      </c>
      <c r="B269" s="22" t="s">
        <v>1028</v>
      </c>
      <c r="C269" s="23" t="str">
        <f ca="1">IFERROR(__xludf.DUMMYFUNCTION("index(split(B269,"" ""),1,2)"),"kashas")</f>
        <v>kashas</v>
      </c>
      <c r="D269" s="24" t="str">
        <f t="shared" si="1"/>
        <v>kosher</v>
      </c>
      <c r="E269" s="22" t="s">
        <v>1029</v>
      </c>
    </row>
    <row r="270" spans="1:5" ht="12.75" x14ac:dyDescent="0.35">
      <c r="A270" s="21" t="s">
        <v>1030</v>
      </c>
      <c r="B270" s="22" t="s">
        <v>1031</v>
      </c>
      <c r="C270" s="23" t="str">
        <f ca="1">IFERROR(__xludf.DUMMYFUNCTION("index(split(B270,"" ""),1,2)"),"kikkomans")</f>
        <v>kikkomans</v>
      </c>
      <c r="D270" s="24" t="str">
        <f t="shared" si="1"/>
        <v>kingklip</v>
      </c>
      <c r="E270" s="22" t="s">
        <v>1032</v>
      </c>
    </row>
    <row r="271" spans="1:5" ht="12.75" x14ac:dyDescent="0.35">
      <c r="A271" s="21" t="s">
        <v>1033</v>
      </c>
      <c r="B271" s="22" t="s">
        <v>1034</v>
      </c>
      <c r="C271" s="23" t="str">
        <f ca="1">IFERROR(__xludf.DUMMYFUNCTION("index(split(B271,"" ""),1,2)"),"khanjars")</f>
        <v>khanjars</v>
      </c>
      <c r="D271" s="24" t="str">
        <f t="shared" si="1"/>
        <v>koji</v>
      </c>
      <c r="E271" s="22" t="s">
        <v>1035</v>
      </c>
    </row>
    <row r="272" spans="1:5" ht="12.75" x14ac:dyDescent="0.35">
      <c r="A272" s="21" t="s">
        <v>1036</v>
      </c>
      <c r="B272" s="22" t="s">
        <v>1037</v>
      </c>
      <c r="C272" s="23" t="str">
        <f ca="1">IFERROR(__xludf.DUMMYFUNCTION("index(split(B272,"" ""),1,2)"),"KK's")</f>
        <v>KK's</v>
      </c>
      <c r="D272" s="24" t="str">
        <f t="shared" si="1"/>
        <v>KK</v>
      </c>
      <c r="E272" s="22" t="s">
        <v>1038</v>
      </c>
    </row>
    <row r="273" spans="1:5" ht="12.75" x14ac:dyDescent="0.35">
      <c r="A273" s="21" t="s">
        <v>1039</v>
      </c>
      <c r="B273" s="22" t="s">
        <v>1040</v>
      </c>
      <c r="C273" s="23" t="str">
        <f ca="1">IFERROR(__xludf.DUMMYFUNCTION("index(split(B273,"" ""),1,2)"),"kills")</f>
        <v>kills</v>
      </c>
      <c r="D273" s="24" t="str">
        <f t="shared" si="1"/>
        <v>kilo</v>
      </c>
      <c r="E273" s="25"/>
    </row>
    <row r="274" spans="1:5" ht="12.75" x14ac:dyDescent="0.35">
      <c r="A274" s="21" t="s">
        <v>1041</v>
      </c>
      <c r="B274" s="22" t="s">
        <v>1042</v>
      </c>
      <c r="C274" s="23" t="str">
        <f ca="1">IFERROR(__xludf.DUMMYFUNCTION("index(split(B274,"" ""),1,2)"),"kamiks")</f>
        <v>kamiks</v>
      </c>
      <c r="D274" s="24" t="str">
        <f t="shared" si="1"/>
        <v>kimono</v>
      </c>
      <c r="E274" s="22" t="s">
        <v>1043</v>
      </c>
    </row>
    <row r="275" spans="1:5" ht="12.75" x14ac:dyDescent="0.35">
      <c r="A275" s="21" t="s">
        <v>1044</v>
      </c>
      <c r="B275" s="22" t="s">
        <v>1045</v>
      </c>
      <c r="C275" s="23" t="str">
        <f ca="1">IFERROR(__xludf.DUMMYFUNCTION("index(split(B275,"" ""),1,2)"),"kennels")</f>
        <v>kennels</v>
      </c>
      <c r="D275" s="24" t="str">
        <f t="shared" si="1"/>
        <v>kine</v>
      </c>
      <c r="E275" s="22" t="s">
        <v>1046</v>
      </c>
    </row>
    <row r="276" spans="1:5" ht="12.75" x14ac:dyDescent="0.35">
      <c r="A276" s="21" t="s">
        <v>1047</v>
      </c>
      <c r="B276" s="22" t="s">
        <v>1048</v>
      </c>
      <c r="C276" s="23" t="str">
        <f ca="1">IFERROR(__xludf.DUMMYFUNCTION("index(split(B276,"" ""),1,2)"),"kool-aids")</f>
        <v>kool-aids</v>
      </c>
      <c r="D276" s="24" t="str">
        <f t="shared" si="1"/>
        <v>kookaburra</v>
      </c>
      <c r="E276" s="22" t="s">
        <v>1049</v>
      </c>
    </row>
    <row r="277" spans="1:5" ht="12.75" x14ac:dyDescent="0.35">
      <c r="A277" s="21" t="s">
        <v>1050</v>
      </c>
      <c r="B277" s="22" t="s">
        <v>1051</v>
      </c>
      <c r="C277" s="23" t="str">
        <f ca="1">IFERROR(__xludf.DUMMYFUNCTION("index(split(B277,"" ""),1,2)"),"kopeks")</f>
        <v>kopeks</v>
      </c>
      <c r="D277" s="24" t="str">
        <f t="shared" si="1"/>
        <v>kelp</v>
      </c>
      <c r="E277" s="25"/>
    </row>
    <row r="278" spans="1:5" ht="12.75" x14ac:dyDescent="0.35">
      <c r="A278" s="21" t="s">
        <v>1052</v>
      </c>
      <c r="B278" s="22" t="s">
        <v>1053</v>
      </c>
      <c r="C278" s="23" t="str">
        <f ca="1">IFERROR(__xludf.DUMMYFUNCTION("index(split(B278,"" ""),1,2)"),"kumquats")</f>
        <v>kumquats</v>
      </c>
      <c r="D278" s="24" t="str">
        <f t="shared" si="1"/>
        <v>kumquat</v>
      </c>
      <c r="E278" s="25"/>
    </row>
    <row r="279" spans="1:5" ht="12.75" x14ac:dyDescent="0.35">
      <c r="A279" s="21" t="s">
        <v>1054</v>
      </c>
      <c r="B279" s="22" t="s">
        <v>1055</v>
      </c>
      <c r="C279" s="23" t="str">
        <f ca="1">IFERROR(__xludf.DUMMYFUNCTION("index(split(B279,"" ""),1,2)"),"kerosenes")</f>
        <v>kerosenes</v>
      </c>
      <c r="D279" s="24" t="str">
        <f t="shared" si="1"/>
        <v>kerr</v>
      </c>
      <c r="E279" s="25"/>
    </row>
    <row r="280" spans="1:5" ht="12.75" x14ac:dyDescent="0.35">
      <c r="A280" s="21" t="s">
        <v>1056</v>
      </c>
      <c r="B280" s="22" t="s">
        <v>1057</v>
      </c>
      <c r="C280" s="23" t="str">
        <f ca="1">IFERROR(__xludf.DUMMYFUNCTION("index(split(B280,"" ""),1,2)"),"kisses")</f>
        <v>kisses</v>
      </c>
      <c r="D280" s="24" t="str">
        <f t="shared" si="1"/>
        <v>kaiser</v>
      </c>
      <c r="E280" s="25"/>
    </row>
    <row r="281" spans="1:5" ht="12.75" x14ac:dyDescent="0.35">
      <c r="A281" s="21" t="s">
        <v>1058</v>
      </c>
      <c r="B281" s="22" t="s">
        <v>1059</v>
      </c>
      <c r="C281" s="23" t="str">
        <f ca="1">IFERROR(__xludf.DUMMYFUNCTION("index(split(B281,"" ""),1,2)"),"kites")</f>
        <v>kites</v>
      </c>
      <c r="D281" s="24" t="str">
        <f t="shared" si="1"/>
        <v>kitten</v>
      </c>
      <c r="E281" s="22" t="s">
        <v>1060</v>
      </c>
    </row>
    <row r="282" spans="1:5" ht="12.75" x14ac:dyDescent="0.35">
      <c r="A282" s="21" t="s">
        <v>1061</v>
      </c>
      <c r="B282" s="29" t="s">
        <v>1062</v>
      </c>
      <c r="C282" s="23" t="str">
        <f ca="1">IFERROR(__xludf.DUMMYFUNCTION("index(split(B282,"" ""),1,2)"),"kukri's")</f>
        <v>kukri's</v>
      </c>
      <c r="D282" s="24" t="str">
        <f t="shared" si="1"/>
        <v>kunkur</v>
      </c>
      <c r="E282" s="30"/>
    </row>
    <row r="283" spans="1:5" ht="12.75" x14ac:dyDescent="0.35">
      <c r="A283" s="21" t="s">
        <v>1063</v>
      </c>
      <c r="B283" s="22" t="s">
        <v>1064</v>
      </c>
      <c r="C283" s="23" t="str">
        <f ca="1">IFERROR(__xludf.DUMMYFUNCTION("index(split(B283,"" ""),1,2)"),"kelvins")</f>
        <v>kelvins</v>
      </c>
      <c r="D283" s="24" t="str">
        <f t="shared" si="1"/>
        <v>kava</v>
      </c>
      <c r="E283" s="22" t="s">
        <v>1065</v>
      </c>
    </row>
    <row r="284" spans="1:5" ht="12.75" x14ac:dyDescent="0.35">
      <c r="A284" s="21" t="s">
        <v>1066</v>
      </c>
      <c r="B284" s="22" t="s">
        <v>1067</v>
      </c>
      <c r="C284" s="23" t="str">
        <f ca="1">IFERROR(__xludf.DUMMYFUNCTION("index(split(B284,"" ""),1,2)"),"kalewifes")</f>
        <v>kalewifes</v>
      </c>
      <c r="D284" s="24" t="str">
        <f t="shared" si="1"/>
        <v>kingwood</v>
      </c>
      <c r="E284" s="22" t="s">
        <v>1068</v>
      </c>
    </row>
    <row r="285" spans="1:5" ht="12.75" x14ac:dyDescent="0.35">
      <c r="A285" s="21" t="s">
        <v>1069</v>
      </c>
      <c r="B285" s="22" t="s">
        <v>1070</v>
      </c>
      <c r="C285" s="23" t="str">
        <f ca="1">IFERROR(__xludf.DUMMYFUNCTION("index(split(B285,"" ""),1,2)"),"kickboxes")</f>
        <v>kickboxes</v>
      </c>
      <c r="D285" s="24" t="str">
        <f t="shared" si="1"/>
        <v>kix</v>
      </c>
      <c r="E285" s="22" t="s">
        <v>1071</v>
      </c>
    </row>
    <row r="286" spans="1:5" ht="12.75" x14ac:dyDescent="0.35">
      <c r="A286" s="21" t="s">
        <v>1072</v>
      </c>
      <c r="B286" s="22" t="s">
        <v>1073</v>
      </c>
      <c r="C286" s="23" t="str">
        <f ca="1">IFERROR(__xludf.DUMMYFUNCTION("index(split(B286,"" ""),1,2)"),"keys")</f>
        <v>keys</v>
      </c>
      <c r="D286" s="24" t="str">
        <f t="shared" si="1"/>
        <v>kayak</v>
      </c>
      <c r="E286" s="22" t="s">
        <v>1074</v>
      </c>
    </row>
    <row r="287" spans="1:5" ht="12.75" x14ac:dyDescent="0.35">
      <c r="A287" s="26" t="s">
        <v>1075</v>
      </c>
      <c r="B287" s="27" t="s">
        <v>1076</v>
      </c>
      <c r="C287" s="23" t="str">
        <f ca="1">IFERROR(__xludf.DUMMYFUNCTION("index(split(B287,"" ""),1,2)"),"klutzes")</f>
        <v>klutzes</v>
      </c>
      <c r="D287" s="24" t="str">
        <f t="shared" si="1"/>
        <v>kazoo</v>
      </c>
      <c r="E287" s="27" t="s">
        <v>1077</v>
      </c>
    </row>
    <row r="288" spans="1:5" ht="12.75" x14ac:dyDescent="0.35">
      <c r="A288" s="21" t="s">
        <v>1078</v>
      </c>
      <c r="B288" s="29" t="s">
        <v>1079</v>
      </c>
      <c r="C288" s="23" t="str">
        <f ca="1">IFERROR(__xludf.DUMMYFUNCTION("index(split(B288,"" ""),1,2)"),"lalala's")</f>
        <v>lalala's</v>
      </c>
      <c r="D288" s="24" t="str">
        <f t="shared" si="1"/>
        <v>landline</v>
      </c>
      <c r="E288" s="22" t="s">
        <v>1080</v>
      </c>
    </row>
    <row r="289" spans="1:5" ht="12.75" x14ac:dyDescent="0.35">
      <c r="A289" s="21" t="s">
        <v>1081</v>
      </c>
      <c r="B289" s="22" t="s">
        <v>1082</v>
      </c>
      <c r="C289" s="23" t="str">
        <f ca="1">IFERROR(__xludf.DUMMYFUNCTION("index(split(B289,"" ""),1,2)"),"lobs")</f>
        <v>lobs</v>
      </c>
      <c r="D289" s="24" t="str">
        <f t="shared" si="1"/>
        <v>lab</v>
      </c>
      <c r="E289" s="25"/>
    </row>
    <row r="290" spans="1:5" ht="12.75" x14ac:dyDescent="0.35">
      <c r="A290" s="21" t="s">
        <v>1083</v>
      </c>
      <c r="B290" s="22" t="s">
        <v>1084</v>
      </c>
      <c r="C290" s="23" t="str">
        <f ca="1">IFERROR(__xludf.DUMMYFUNCTION("index(split(B290,"" ""),1,2)"),"locates")</f>
        <v>locates</v>
      </c>
      <c r="D290" s="24" t="str">
        <f t="shared" si="1"/>
        <v>locust</v>
      </c>
      <c r="E290" s="22" t="s">
        <v>1085</v>
      </c>
    </row>
    <row r="291" spans="1:5" ht="12.75" x14ac:dyDescent="0.35">
      <c r="A291" s="21" t="s">
        <v>1086</v>
      </c>
      <c r="B291" s="22" t="s">
        <v>1087</v>
      </c>
      <c r="C291" s="23" t="str">
        <f ca="1">IFERROR(__xludf.DUMMYFUNCTION("index(split(B291,"" ""),1,2)"),"lards")</f>
        <v>lards</v>
      </c>
      <c r="D291" s="24" t="str">
        <f t="shared" si="1"/>
        <v>ladder</v>
      </c>
      <c r="E291" s="22" t="s">
        <v>1088</v>
      </c>
    </row>
    <row r="292" spans="1:5" ht="12.75" x14ac:dyDescent="0.35">
      <c r="A292" s="21" t="s">
        <v>1089</v>
      </c>
      <c r="B292" s="29" t="s">
        <v>1090</v>
      </c>
      <c r="C292" s="23" t="str">
        <f ca="1">IFERROR(__xludf.DUMMYFUNCTION("index(split(B292,"" ""),1,2)"),"leaflets")</f>
        <v>leaflets</v>
      </c>
      <c r="D292" s="24" t="str">
        <f t="shared" si="1"/>
        <v>leek</v>
      </c>
      <c r="E292" s="22" t="s">
        <v>1091</v>
      </c>
    </row>
    <row r="293" spans="1:5" ht="12.75" x14ac:dyDescent="0.35">
      <c r="A293" s="21" t="s">
        <v>1092</v>
      </c>
      <c r="B293" s="22" t="s">
        <v>1093</v>
      </c>
      <c r="C293" s="23" t="str">
        <f ca="1">IFERROR(__xludf.DUMMYFUNCTION("index(split(B293,"" ""),1,2)"),"luffs")</f>
        <v>luffs</v>
      </c>
      <c r="D293" s="24" t="str">
        <f t="shared" si="1"/>
        <v>loafers</v>
      </c>
      <c r="E293" s="22" t="s">
        <v>1094</v>
      </c>
    </row>
    <row r="294" spans="1:5" ht="12.75" x14ac:dyDescent="0.35">
      <c r="A294" s="21" t="s">
        <v>1095</v>
      </c>
      <c r="B294" s="22" t="s">
        <v>1096</v>
      </c>
      <c r="C294" s="23" t="str">
        <f ca="1">IFERROR(__xludf.DUMMYFUNCTION("index(split(B294,"" ""),1,2)"),"lugs")</f>
        <v>lugs</v>
      </c>
      <c r="D294" s="24" t="str">
        <f t="shared" si="1"/>
        <v>log</v>
      </c>
      <c r="E294" s="25"/>
    </row>
    <row r="295" spans="1:5" ht="12.75" x14ac:dyDescent="0.35">
      <c r="A295" s="21" t="s">
        <v>1097</v>
      </c>
      <c r="B295" s="29" t="s">
        <v>1098</v>
      </c>
      <c r="C295" s="23" t="str">
        <f ca="1">IFERROR(__xludf.DUMMYFUNCTION("index(split(B295,"" ""),1,2)"),"longships")</f>
        <v>longships</v>
      </c>
      <c r="D295" s="24" t="str">
        <f t="shared" si="1"/>
        <v>lampshade</v>
      </c>
      <c r="E295" s="29" t="s">
        <v>1099</v>
      </c>
    </row>
    <row r="296" spans="1:5" ht="12.75" x14ac:dyDescent="0.35">
      <c r="A296" s="21" t="s">
        <v>1100</v>
      </c>
      <c r="B296" s="22" t="s">
        <v>1101</v>
      </c>
      <c r="C296" s="23" t="str">
        <f ca="1">IFERROR(__xludf.DUMMYFUNCTION("index(split(B296,"" ""),1,2)"),"lifelines")</f>
        <v>lifelines</v>
      </c>
      <c r="D296" s="24" t="str">
        <f t="shared" si="1"/>
        <v>lilac</v>
      </c>
      <c r="E296" s="22" t="s">
        <v>1102</v>
      </c>
    </row>
    <row r="297" spans="1:5" ht="12.75" x14ac:dyDescent="0.35">
      <c r="A297" s="21" t="s">
        <v>1103</v>
      </c>
      <c r="B297" s="22" t="s">
        <v>1104</v>
      </c>
      <c r="C297" s="23" t="str">
        <f ca="1">IFERROR(__xludf.DUMMYFUNCTION("index(split(B297,"" ""),1,2)"),"longjumps")</f>
        <v>longjumps</v>
      </c>
      <c r="D297" s="24" t="str">
        <f t="shared" si="1"/>
        <v>learjet</v>
      </c>
      <c r="E297" s="25"/>
    </row>
    <row r="298" spans="1:5" ht="12.75" x14ac:dyDescent="0.35">
      <c r="A298" s="21" t="s">
        <v>1105</v>
      </c>
      <c r="B298" s="22" t="s">
        <v>1106</v>
      </c>
      <c r="C298" s="23" t="str">
        <f ca="1">IFERROR(__xludf.DUMMYFUNCTION("index(split(B298,"" ""),1,2)"),"licks")</f>
        <v>licks</v>
      </c>
      <c r="D298" s="24" t="str">
        <f t="shared" si="1"/>
        <v>lock</v>
      </c>
      <c r="E298" s="22" t="s">
        <v>1107</v>
      </c>
    </row>
    <row r="299" spans="1:5" ht="12.75" x14ac:dyDescent="0.35">
      <c r="A299" s="21" t="s">
        <v>1108</v>
      </c>
      <c r="B299" s="22" t="s">
        <v>1109</v>
      </c>
      <c r="C299" s="23" t="str">
        <f ca="1">IFERROR(__xludf.DUMMYFUNCTION("index(split(B299,"" ""),1,2)"),"LL's")</f>
        <v>LL's</v>
      </c>
      <c r="D299" s="24" t="str">
        <f t="shared" si="1"/>
        <v>LL</v>
      </c>
      <c r="E299" s="22" t="s">
        <v>1110</v>
      </c>
    </row>
    <row r="300" spans="1:5" ht="12.75" x14ac:dyDescent="0.35">
      <c r="A300" s="21" t="s">
        <v>1111</v>
      </c>
      <c r="B300" s="22" t="s">
        <v>1112</v>
      </c>
      <c r="C300" s="23" t="str">
        <f ca="1">IFERROR(__xludf.DUMMYFUNCTION("index(split(B300,"" ""),1,2)"),"laments")</f>
        <v>laments</v>
      </c>
      <c r="D300" s="24" t="str">
        <f t="shared" si="1"/>
        <v>lemon</v>
      </c>
      <c r="E300" s="22" t="s">
        <v>1113</v>
      </c>
    </row>
    <row r="301" spans="1:5" ht="12.75" x14ac:dyDescent="0.35">
      <c r="A301" s="21" t="s">
        <v>1114</v>
      </c>
      <c r="B301" s="22" t="s">
        <v>1115</v>
      </c>
      <c r="C301" s="23" t="str">
        <f ca="1">IFERROR(__xludf.DUMMYFUNCTION("index(split(B301,"" ""),1,2)"),"lines")</f>
        <v>lines</v>
      </c>
      <c r="D301" s="24" t="str">
        <f t="shared" si="1"/>
        <v>loaner</v>
      </c>
      <c r="E301" s="22" t="s">
        <v>1116</v>
      </c>
    </row>
    <row r="302" spans="1:5" ht="12.75" x14ac:dyDescent="0.35">
      <c r="A302" s="21" t="s">
        <v>1117</v>
      </c>
      <c r="B302" s="22" t="s">
        <v>1118</v>
      </c>
      <c r="C302" s="23" t="str">
        <f ca="1">IFERROR(__xludf.DUMMYFUNCTION("index(split(B302,"" ""),1,2)"),"loots")</f>
        <v>loots</v>
      </c>
      <c r="D302" s="24" t="str">
        <f t="shared" si="1"/>
        <v>loo</v>
      </c>
      <c r="E302" s="22" t="s">
        <v>1119</v>
      </c>
    </row>
    <row r="303" spans="1:5" ht="12.75" x14ac:dyDescent="0.35">
      <c r="A303" s="21" t="s">
        <v>1120</v>
      </c>
      <c r="B303" s="22" t="s">
        <v>1121</v>
      </c>
      <c r="C303" s="23" t="str">
        <f ca="1">IFERROR(__xludf.DUMMYFUNCTION("index(split(B303,"" ""),1,2)"),"lops")</f>
        <v>lops</v>
      </c>
      <c r="D303" s="24" t="str">
        <f t="shared" si="1"/>
        <v>leopard</v>
      </c>
      <c r="E303" s="25"/>
    </row>
    <row r="304" spans="1:5" ht="12.75" x14ac:dyDescent="0.35">
      <c r="A304" s="21" t="s">
        <v>1122</v>
      </c>
      <c r="B304" s="22" t="s">
        <v>1123</v>
      </c>
      <c r="C304" s="23" t="str">
        <f ca="1">IFERROR(__xludf.DUMMYFUNCTION("index(split(B304,"" ""),1,2)"),"liquifies")</f>
        <v>liquifies</v>
      </c>
      <c r="D304" s="24" t="str">
        <f t="shared" si="1"/>
        <v>liquor</v>
      </c>
      <c r="E304" s="22" t="s">
        <v>1124</v>
      </c>
    </row>
    <row r="305" spans="1:5" ht="12.75" x14ac:dyDescent="0.35">
      <c r="A305" s="21" t="s">
        <v>1125</v>
      </c>
      <c r="B305" s="22" t="s">
        <v>1126</v>
      </c>
      <c r="C305" s="23" t="str">
        <f ca="1">IFERROR(__xludf.DUMMYFUNCTION("index(split(B305,"" ""),1,2)"),"lorries")</f>
        <v>lorries</v>
      </c>
      <c r="D305" s="24" t="str">
        <f t="shared" si="1"/>
        <v>laurel</v>
      </c>
      <c r="E305" s="22" t="s">
        <v>1127</v>
      </c>
    </row>
    <row r="306" spans="1:5" ht="12.75" x14ac:dyDescent="0.35">
      <c r="A306" s="21" t="s">
        <v>1128</v>
      </c>
      <c r="B306" s="22" t="s">
        <v>1129</v>
      </c>
      <c r="C306" s="23" t="str">
        <f ca="1">IFERROR(__xludf.DUMMYFUNCTION("index(split(B306,"" ""),1,2)"),"lasso's")</f>
        <v>lasso's</v>
      </c>
      <c r="D306" s="24" t="str">
        <f t="shared" si="1"/>
        <v>lasagne</v>
      </c>
      <c r="E306" s="25"/>
    </row>
    <row r="307" spans="1:5" ht="12.75" x14ac:dyDescent="0.35">
      <c r="A307" s="21" t="s">
        <v>1130</v>
      </c>
      <c r="B307" s="22" t="s">
        <v>1131</v>
      </c>
      <c r="C307" s="23" t="str">
        <f ca="1">IFERROR(__xludf.DUMMYFUNCTION("index(split(B307,"" ""),1,2)"),"litters")</f>
        <v>litters</v>
      </c>
      <c r="D307" s="24" t="str">
        <f t="shared" si="1"/>
        <v>lettuce</v>
      </c>
      <c r="E307" s="22" t="s">
        <v>1132</v>
      </c>
    </row>
    <row r="308" spans="1:5" ht="12.75" x14ac:dyDescent="0.35">
      <c r="A308" s="21" t="s">
        <v>1133</v>
      </c>
      <c r="B308" s="22" t="s">
        <v>1134</v>
      </c>
      <c r="C308" s="23" t="str">
        <f ca="1">IFERROR(__xludf.DUMMYFUNCTION("index(split(B308,"" ""),1,2)"),"lullabies")</f>
        <v>lullabies</v>
      </c>
      <c r="D308" s="24" t="str">
        <f t="shared" si="1"/>
        <v>lulu</v>
      </c>
      <c r="E308" s="22" t="s">
        <v>1135</v>
      </c>
    </row>
    <row r="309" spans="1:5" ht="12.75" x14ac:dyDescent="0.35">
      <c r="A309" s="21" t="s">
        <v>1136</v>
      </c>
      <c r="B309" s="22" t="s">
        <v>1137</v>
      </c>
      <c r="C309" s="23" t="str">
        <f ca="1">IFERROR(__xludf.DUMMYFUNCTION("index(split(B309,"" ""),1,2)"),"levers")</f>
        <v>levers</v>
      </c>
      <c r="D309" s="24" t="str">
        <f t="shared" si="1"/>
        <v>lave</v>
      </c>
      <c r="E309" s="22" t="s">
        <v>1138</v>
      </c>
    </row>
    <row r="310" spans="1:5" ht="12.75" x14ac:dyDescent="0.35">
      <c r="A310" s="21" t="s">
        <v>1139</v>
      </c>
      <c r="B310" s="22" t="s">
        <v>1140</v>
      </c>
      <c r="C310" s="23" t="str">
        <f ca="1">IFERROR(__xludf.DUMMYFUNCTION("index(split(B310,"" ""),1,2)"),"lowers")</f>
        <v>lowers</v>
      </c>
      <c r="D310" s="24" t="str">
        <f t="shared" si="1"/>
        <v>lungwort</v>
      </c>
      <c r="E310" s="22" t="s">
        <v>1141</v>
      </c>
    </row>
    <row r="311" spans="1:5" ht="12.75" x14ac:dyDescent="0.35">
      <c r="A311" s="21" t="s">
        <v>1142</v>
      </c>
      <c r="B311" s="22" t="s">
        <v>1143</v>
      </c>
      <c r="C311" s="23" t="str">
        <f ca="1">IFERROR(__xludf.DUMMYFUNCTION("index(split(B311,"" ""),1,2)"),"luxates")</f>
        <v>luxates</v>
      </c>
      <c r="D311" s="24" t="str">
        <f t="shared" si="1"/>
        <v>Lox</v>
      </c>
      <c r="E311" s="22" t="s">
        <v>1144</v>
      </c>
    </row>
    <row r="312" spans="1:5" ht="12.75" x14ac:dyDescent="0.35">
      <c r="A312" s="21" t="s">
        <v>1145</v>
      </c>
      <c r="B312" s="22" t="s">
        <v>1146</v>
      </c>
      <c r="C312" s="23" t="str">
        <f ca="1">IFERROR(__xludf.DUMMYFUNCTION("index(split(B312,"" ""),1,2)"),"lysols")</f>
        <v>lysols</v>
      </c>
      <c r="D312" s="24" t="str">
        <f t="shared" si="1"/>
        <v>lye</v>
      </c>
      <c r="E312" s="22" t="s">
        <v>1147</v>
      </c>
    </row>
    <row r="313" spans="1:5" ht="12.75" x14ac:dyDescent="0.35">
      <c r="A313" s="26" t="s">
        <v>1148</v>
      </c>
      <c r="B313" s="27" t="s">
        <v>1149</v>
      </c>
      <c r="C313" s="23" t="str">
        <f ca="1">IFERROR(__xludf.DUMMYFUNCTION("index(split(B313,"" ""),1,2)"),"lozenges")</f>
        <v>lozenges</v>
      </c>
      <c r="D313" s="24" t="str">
        <f t="shared" si="1"/>
        <v>lizard</v>
      </c>
      <c r="E313" s="27" t="s">
        <v>1150</v>
      </c>
    </row>
    <row r="314" spans="1:5" ht="12.75" x14ac:dyDescent="0.35">
      <c r="A314" s="21" t="s">
        <v>1151</v>
      </c>
      <c r="B314" s="22" t="s">
        <v>1152</v>
      </c>
      <c r="C314" s="23" t="str">
        <f ca="1">IFERROR(__xludf.DUMMYFUNCTION("index(split(B314,"" ""),1,2)"),"mammograms")</f>
        <v>mammograms</v>
      </c>
      <c r="D314" s="24" t="str">
        <f t="shared" si="1"/>
        <v>mammoth</v>
      </c>
      <c r="E314" s="22" t="s">
        <v>1153</v>
      </c>
    </row>
    <row r="315" spans="1:5" ht="12.75" x14ac:dyDescent="0.35">
      <c r="A315" s="21" t="s">
        <v>1154</v>
      </c>
      <c r="B315" s="22" t="s">
        <v>1155</v>
      </c>
      <c r="C315" s="23" t="str">
        <f ca="1">IFERROR(__xludf.DUMMYFUNCTION("index(split(B315,"" ""),1,2)"),"mothballs")</f>
        <v>mothballs</v>
      </c>
      <c r="D315" s="24" t="str">
        <f t="shared" si="1"/>
        <v>mambo</v>
      </c>
      <c r="E315" s="22" t="s">
        <v>1156</v>
      </c>
    </row>
    <row r="316" spans="1:5" ht="12.75" x14ac:dyDescent="0.35">
      <c r="A316" s="21" t="s">
        <v>1157</v>
      </c>
      <c r="B316" s="22" t="s">
        <v>1158</v>
      </c>
      <c r="C316" s="23" t="str">
        <f ca="1">IFERROR(__xludf.DUMMYFUNCTION("index(split(B316,"" ""),1,2)"),"mercs")</f>
        <v>mercs</v>
      </c>
      <c r="D316" s="24" t="str">
        <f t="shared" si="1"/>
        <v>mic</v>
      </c>
      <c r="E316" s="22" t="s">
        <v>1159</v>
      </c>
    </row>
    <row r="317" spans="1:5" ht="12.75" x14ac:dyDescent="0.35">
      <c r="A317" s="21" t="s">
        <v>1160</v>
      </c>
      <c r="B317" s="22" t="s">
        <v>1161</v>
      </c>
      <c r="C317" s="23" t="str">
        <f ca="1">IFERROR(__xludf.DUMMYFUNCTION("index(split(B317,"" ""),1,2)"),"muddies")</f>
        <v>muddies</v>
      </c>
      <c r="D317" s="24" t="str">
        <f t="shared" si="1"/>
        <v>medal</v>
      </c>
      <c r="E317" s="22" t="s">
        <v>1162</v>
      </c>
    </row>
    <row r="318" spans="1:5" ht="12.75" x14ac:dyDescent="0.35">
      <c r="A318" s="21" t="s">
        <v>1163</v>
      </c>
      <c r="B318" s="22" t="s">
        <v>1164</v>
      </c>
      <c r="C318" s="23" t="str">
        <f ca="1">IFERROR(__xludf.DUMMYFUNCTION("index(split(B318,"" ""),1,2)"),"meets")</f>
        <v>meets</v>
      </c>
      <c r="D318" s="24" t="str">
        <f t="shared" si="1"/>
        <v>meercat</v>
      </c>
      <c r="E318" s="25"/>
    </row>
    <row r="319" spans="1:5" ht="12.75" x14ac:dyDescent="0.35">
      <c r="A319" s="21" t="s">
        <v>1165</v>
      </c>
      <c r="B319" s="22" t="s">
        <v>1166</v>
      </c>
      <c r="C319" s="23" t="str">
        <f ca="1">IFERROR(__xludf.DUMMYFUNCTION("index(split(B319,"" ""),1,2)"),"muffles")</f>
        <v>muffles</v>
      </c>
      <c r="D319" s="24" t="str">
        <f t="shared" si="1"/>
        <v>mafia</v>
      </c>
      <c r="E319" s="22" t="s">
        <v>1167</v>
      </c>
    </row>
    <row r="320" spans="1:5" ht="12.75" x14ac:dyDescent="0.35">
      <c r="A320" s="21" t="s">
        <v>1168</v>
      </c>
      <c r="B320" s="22" t="s">
        <v>1169</v>
      </c>
      <c r="C320" s="23" t="str">
        <f ca="1">IFERROR(__xludf.DUMMYFUNCTION("index(split(B320,"" ""),1,2)"),"migs")</f>
        <v>migs</v>
      </c>
      <c r="D320" s="24" t="str">
        <f t="shared" si="1"/>
        <v>mug</v>
      </c>
      <c r="E320" s="22" t="s">
        <v>1170</v>
      </c>
    </row>
    <row r="321" spans="1:5" ht="12.75" x14ac:dyDescent="0.35">
      <c r="A321" s="21" t="s">
        <v>1171</v>
      </c>
      <c r="B321" s="22" t="s">
        <v>1172</v>
      </c>
      <c r="C321" s="23" t="str">
        <f ca="1">IFERROR(__xludf.DUMMYFUNCTION("index(split(B321,"" ""),1,2)"),"meshes")</f>
        <v>meshes</v>
      </c>
      <c r="D321" s="24" t="str">
        <f t="shared" si="1"/>
        <v>mash</v>
      </c>
      <c r="E321" s="22" t="s">
        <v>1173</v>
      </c>
    </row>
    <row r="322" spans="1:5" ht="12.75" x14ac:dyDescent="0.35">
      <c r="A322" s="21" t="s">
        <v>1174</v>
      </c>
      <c r="B322" s="22" t="s">
        <v>1175</v>
      </c>
      <c r="C322" s="23" t="str">
        <f ca="1">IFERROR(__xludf.DUMMYFUNCTION("index(split(B322,"" ""),1,2)"),"mimosas")</f>
        <v>mimosas</v>
      </c>
      <c r="D322" s="24" t="str">
        <f t="shared" si="1"/>
        <v>ming</v>
      </c>
      <c r="E322" s="22" t="s">
        <v>1176</v>
      </c>
    </row>
    <row r="323" spans="1:5" ht="12.75" x14ac:dyDescent="0.35">
      <c r="A323" s="21" t="s">
        <v>1177</v>
      </c>
      <c r="B323" s="22" t="s">
        <v>1178</v>
      </c>
      <c r="C323" s="23" t="str">
        <f ca="1">IFERROR(__xludf.DUMMYFUNCTION("index(split(B323,"" ""),1,2)"),"misjudges")</f>
        <v>misjudges</v>
      </c>
      <c r="D323" s="24" t="str">
        <f t="shared" si="1"/>
        <v>marjoram</v>
      </c>
      <c r="E323" s="22" t="s">
        <v>1179</v>
      </c>
    </row>
    <row r="324" spans="1:5" ht="12.75" x14ac:dyDescent="0.35">
      <c r="A324" s="21" t="s">
        <v>1180</v>
      </c>
      <c r="B324" s="22" t="s">
        <v>1181</v>
      </c>
      <c r="C324" s="23" t="str">
        <f ca="1">IFERROR(__xludf.DUMMYFUNCTION("index(split(B324,"" ""),1,2)"),"marks")</f>
        <v>marks</v>
      </c>
      <c r="D324" s="24" t="str">
        <f t="shared" si="1"/>
        <v>milk</v>
      </c>
      <c r="E324" s="22" t="s">
        <v>1182</v>
      </c>
    </row>
    <row r="325" spans="1:5" ht="12.75" x14ac:dyDescent="0.35">
      <c r="A325" s="21" t="s">
        <v>1183</v>
      </c>
      <c r="B325" s="22" t="s">
        <v>1184</v>
      </c>
      <c r="C325" s="23" t="str">
        <f ca="1">IFERROR(__xludf.DUMMYFUNCTION("index(split(B325,"" ""),1,2)"),"mails")</f>
        <v>mails</v>
      </c>
      <c r="D325" s="24" t="str">
        <f t="shared" si="1"/>
        <v>melon</v>
      </c>
      <c r="E325" s="22" t="s">
        <v>1185</v>
      </c>
    </row>
    <row r="326" spans="1:5" ht="12.75" x14ac:dyDescent="0.35">
      <c r="A326" s="21" t="s">
        <v>1186</v>
      </c>
      <c r="B326" s="22" t="s">
        <v>1187</v>
      </c>
      <c r="C326" s="23" t="str">
        <f ca="1">IFERROR(__xludf.DUMMYFUNCTION("index(split(B326,"" ""),1,2)"),"MM's")</f>
        <v>MM's</v>
      </c>
      <c r="D326" s="24" t="str">
        <f t="shared" si="1"/>
        <v>MM</v>
      </c>
      <c r="E326" s="22" t="s">
        <v>1188</v>
      </c>
    </row>
    <row r="327" spans="1:5" ht="12.75" x14ac:dyDescent="0.35">
      <c r="A327" s="21" t="s">
        <v>1189</v>
      </c>
      <c r="B327" s="22" t="s">
        <v>1190</v>
      </c>
      <c r="C327" s="23" t="str">
        <f ca="1">IFERROR(__xludf.DUMMYFUNCTION("index(split(B327,"" ""),1,2)"),"manacles")</f>
        <v>manacles</v>
      </c>
      <c r="D327" s="24" t="str">
        <f t="shared" si="1"/>
        <v>menu</v>
      </c>
      <c r="E327" s="22" t="s">
        <v>1191</v>
      </c>
    </row>
    <row r="328" spans="1:5" ht="12.75" x14ac:dyDescent="0.35">
      <c r="A328" s="21" t="s">
        <v>1192</v>
      </c>
      <c r="B328" s="22" t="s">
        <v>1193</v>
      </c>
      <c r="C328" s="23" t="str">
        <f ca="1">IFERROR(__xludf.DUMMYFUNCTION("index(split(B328,"" ""),1,2)"),"moons")</f>
        <v>moons</v>
      </c>
      <c r="D328" s="24" t="str">
        <f t="shared" si="1"/>
        <v>moose</v>
      </c>
      <c r="E328" s="25"/>
    </row>
    <row r="329" spans="1:5" ht="12.75" x14ac:dyDescent="0.35">
      <c r="A329" s="21" t="s">
        <v>1194</v>
      </c>
      <c r="B329" s="22" t="s">
        <v>1195</v>
      </c>
      <c r="C329" s="23" t="str">
        <f ca="1">IFERROR(__xludf.DUMMYFUNCTION("index(split(B329,"" ""),1,2)"),"mops")</f>
        <v>mops</v>
      </c>
      <c r="D329" s="24" t="str">
        <f t="shared" si="1"/>
        <v>map</v>
      </c>
      <c r="E329" s="22" t="s">
        <v>1196</v>
      </c>
    </row>
    <row r="330" spans="1:5" ht="12.75" x14ac:dyDescent="0.35">
      <c r="A330" s="21" t="s">
        <v>1197</v>
      </c>
      <c r="B330" s="22" t="s">
        <v>1198</v>
      </c>
      <c r="C330" s="23" t="str">
        <f ca="1">IFERROR(__xludf.DUMMYFUNCTION("index(split(B330,"" ""),1,2)"),"marquees")</f>
        <v>marquees</v>
      </c>
      <c r="D330" s="24" t="str">
        <f t="shared" si="1"/>
        <v>mesquite</v>
      </c>
      <c r="E330" s="22" t="s">
        <v>1199</v>
      </c>
    </row>
    <row r="331" spans="1:5" ht="12.75" x14ac:dyDescent="0.35">
      <c r="A331" s="21" t="s">
        <v>1200</v>
      </c>
      <c r="B331" s="22" t="s">
        <v>1201</v>
      </c>
      <c r="C331" s="23" t="str">
        <f ca="1">IFERROR(__xludf.DUMMYFUNCTION("index(split(B331,"" ""),1,2)"),"mars")</f>
        <v>mars</v>
      </c>
      <c r="D331" s="24" t="str">
        <f t="shared" si="1"/>
        <v>mirror</v>
      </c>
      <c r="E331" s="25"/>
    </row>
    <row r="332" spans="1:5" ht="12.75" x14ac:dyDescent="0.35">
      <c r="A332" s="21" t="s">
        <v>1202</v>
      </c>
      <c r="B332" s="22" t="s">
        <v>1203</v>
      </c>
      <c r="C332" s="23" t="str">
        <f ca="1">IFERROR(__xludf.DUMMYFUNCTION("index(split(B332,"" ""),1,2)"),"misses")</f>
        <v>misses</v>
      </c>
      <c r="D332" s="24" t="str">
        <f t="shared" si="1"/>
        <v>moss</v>
      </c>
      <c r="E332" s="22" t="s">
        <v>1204</v>
      </c>
    </row>
    <row r="333" spans="1:5" ht="12.75" x14ac:dyDescent="0.35">
      <c r="A333" s="21" t="s">
        <v>1205</v>
      </c>
      <c r="B333" s="22" t="s">
        <v>1206</v>
      </c>
      <c r="C333" s="23" t="str">
        <f ca="1">IFERROR(__xludf.DUMMYFUNCTION("index(split(B333,"" ""),1,2)"),"mitts")</f>
        <v>mitts</v>
      </c>
      <c r="D333" s="24" t="str">
        <f t="shared" si="1"/>
        <v>mutt</v>
      </c>
      <c r="E333" s="22" t="s">
        <v>1207</v>
      </c>
    </row>
    <row r="334" spans="1:5" ht="12.75" x14ac:dyDescent="0.35">
      <c r="A334" s="21" t="s">
        <v>1208</v>
      </c>
      <c r="B334" s="29" t="s">
        <v>1209</v>
      </c>
      <c r="C334" s="23" t="str">
        <f ca="1">IFERROR(__xludf.DUMMYFUNCTION("index(split(B334,"" ""),1,2)"),"mummifies")</f>
        <v>mummifies</v>
      </c>
      <c r="D334" s="24" t="str">
        <f t="shared" si="1"/>
        <v>muumuu</v>
      </c>
      <c r="E334" s="29" t="s">
        <v>1210</v>
      </c>
    </row>
    <row r="335" spans="1:5" ht="12.75" x14ac:dyDescent="0.35">
      <c r="A335" s="21" t="s">
        <v>1211</v>
      </c>
      <c r="B335" s="22" t="s">
        <v>1212</v>
      </c>
      <c r="C335" s="23" t="str">
        <f ca="1">IFERROR(__xludf.DUMMYFUNCTION("index(split(B335,"" ""),1,2)"),"moves")</f>
        <v>moves</v>
      </c>
      <c r="D335" s="24" t="str">
        <f t="shared" si="1"/>
        <v>movie</v>
      </c>
      <c r="E335" s="22" t="s">
        <v>1213</v>
      </c>
    </row>
    <row r="336" spans="1:5" ht="12.75" x14ac:dyDescent="0.35">
      <c r="A336" s="21" t="s">
        <v>1214</v>
      </c>
      <c r="B336" s="22" t="s">
        <v>1215</v>
      </c>
      <c r="C336" s="23" t="str">
        <f ca="1">IFERROR(__xludf.DUMMYFUNCTION("index(split(B336,"" ""),1,2)"),"mows")</f>
        <v>mows</v>
      </c>
      <c r="D336" s="24" t="str">
        <f t="shared" si="1"/>
        <v>milkweed</v>
      </c>
      <c r="E336" s="22" t="s">
        <v>1216</v>
      </c>
    </row>
    <row r="337" spans="1:5" ht="12.75" x14ac:dyDescent="0.35">
      <c r="A337" s="21" t="s">
        <v>1217</v>
      </c>
      <c r="B337" s="22" t="s">
        <v>1218</v>
      </c>
      <c r="C337" s="23" t="str">
        <f ca="1">IFERROR(__xludf.DUMMYFUNCTION("index(split(B337,"" ""),1,2)"),"maximizes")</f>
        <v>maximizes</v>
      </c>
      <c r="D337" s="24" t="str">
        <f t="shared" si="1"/>
        <v>mixture</v>
      </c>
      <c r="E337" s="22" t="s">
        <v>1219</v>
      </c>
    </row>
    <row r="338" spans="1:5" ht="12.75" x14ac:dyDescent="0.35">
      <c r="A338" s="21" t="s">
        <v>1220</v>
      </c>
      <c r="B338" s="22" t="s">
        <v>1221</v>
      </c>
      <c r="C338" s="23" t="str">
        <f ca="1">IFERROR(__xludf.DUMMYFUNCTION("index(split(B338,"" ""),1,2)"),"myrrhs")</f>
        <v>myrrhs</v>
      </c>
      <c r="D338" s="24" t="str">
        <f t="shared" si="1"/>
        <v>mynah</v>
      </c>
      <c r="E338" s="22" t="s">
        <v>1222</v>
      </c>
    </row>
    <row r="339" spans="1:5" ht="12.75" x14ac:dyDescent="0.35">
      <c r="A339" s="26" t="s">
        <v>1223</v>
      </c>
      <c r="B339" s="27" t="s">
        <v>1224</v>
      </c>
      <c r="C339" s="23" t="str">
        <f ca="1">IFERROR(__xludf.DUMMYFUNCTION("index(split(B339,"" ""),1,2)"),"muzzles")</f>
        <v>muzzles</v>
      </c>
      <c r="D339" s="24" t="str">
        <f t="shared" si="1"/>
        <v>mozzarella</v>
      </c>
      <c r="E339" s="27" t="s">
        <v>1225</v>
      </c>
    </row>
    <row r="340" spans="1:5" ht="12.75" x14ac:dyDescent="0.35">
      <c r="A340" s="21" t="s">
        <v>1226</v>
      </c>
      <c r="B340" s="22" t="s">
        <v>1227</v>
      </c>
      <c r="C340" s="23" t="str">
        <f ca="1">IFERROR(__xludf.DUMMYFUNCTION("index(split(B340,"" ""),1,2)"),"nannies")</f>
        <v>nannies</v>
      </c>
      <c r="D340" s="24" t="str">
        <f t="shared" si="1"/>
        <v>naan</v>
      </c>
      <c r="E340" s="22" t="s">
        <v>1228</v>
      </c>
    </row>
    <row r="341" spans="1:5" ht="12.75" x14ac:dyDescent="0.35">
      <c r="A341" s="21" t="s">
        <v>1229</v>
      </c>
      <c r="B341" s="22" t="s">
        <v>1230</v>
      </c>
      <c r="C341" s="23" t="str">
        <f ca="1">IFERROR(__xludf.DUMMYFUNCTION("index(split(B341,"" ""),1,2)"),"nibbles")</f>
        <v>nibbles</v>
      </c>
      <c r="D341" s="24" t="str">
        <f t="shared" si="1"/>
        <v>nib</v>
      </c>
      <c r="E341" s="22" t="s">
        <v>1231</v>
      </c>
    </row>
    <row r="342" spans="1:5" ht="12.75" x14ac:dyDescent="0.35">
      <c r="A342" s="21" t="s">
        <v>1232</v>
      </c>
      <c r="B342" s="22" t="s">
        <v>1233</v>
      </c>
      <c r="C342" s="23" t="str">
        <f ca="1">IFERROR(__xludf.DUMMYFUNCTION("index(split(B342,"" ""),1,2)"),"nicotines")</f>
        <v>nicotines</v>
      </c>
      <c r="D342" s="24" t="str">
        <f t="shared" si="1"/>
        <v>narcotics</v>
      </c>
      <c r="E342" s="22" t="s">
        <v>1234</v>
      </c>
    </row>
    <row r="343" spans="1:5" ht="12.75" x14ac:dyDescent="0.35">
      <c r="A343" s="21" t="s">
        <v>1235</v>
      </c>
      <c r="B343" s="22" t="s">
        <v>1236</v>
      </c>
      <c r="C343" s="23" t="str">
        <f ca="1">IFERROR(__xludf.DUMMYFUNCTION("index(split(B343,"" ""),1,2)"),"neddies")</f>
        <v>neddies</v>
      </c>
      <c r="D343" s="24" t="str">
        <f t="shared" si="1"/>
        <v>nudist</v>
      </c>
      <c r="E343" s="22" t="s">
        <v>1237</v>
      </c>
    </row>
    <row r="344" spans="1:5" ht="12.75" x14ac:dyDescent="0.35">
      <c r="A344" s="21" t="s">
        <v>1238</v>
      </c>
      <c r="B344" s="22" t="s">
        <v>1239</v>
      </c>
      <c r="C344" s="23" t="str">
        <f ca="1">IFERROR(__xludf.DUMMYFUNCTION("index(split(B344,"" ""),1,2)"),"needles")</f>
        <v>needles</v>
      </c>
      <c r="D344" s="24" t="str">
        <f t="shared" si="1"/>
        <v>nene</v>
      </c>
      <c r="E344" s="22" t="s">
        <v>1240</v>
      </c>
    </row>
    <row r="345" spans="1:5" ht="12.75" x14ac:dyDescent="0.35">
      <c r="A345" s="21" t="s">
        <v>1241</v>
      </c>
      <c r="B345" s="22" t="s">
        <v>1242</v>
      </c>
      <c r="C345" s="23" t="str">
        <f ca="1">IFERROR(__xludf.DUMMYFUNCTION("index(split(B345,"" ""),1,2)"),"nerfs")</f>
        <v>nerfs</v>
      </c>
      <c r="D345" s="24" t="str">
        <f t="shared" si="1"/>
        <v>numbfish</v>
      </c>
      <c r="E345" s="22" t="s">
        <v>1243</v>
      </c>
    </row>
    <row r="346" spans="1:5" ht="12.75" x14ac:dyDescent="0.35">
      <c r="A346" s="21" t="s">
        <v>1244</v>
      </c>
      <c r="B346" s="22" t="s">
        <v>1245</v>
      </c>
      <c r="C346" s="23" t="str">
        <f ca="1">IFERROR(__xludf.DUMMYFUNCTION("index(split(B346,"" ""),1,2)"),"nougats")</f>
        <v>nougats</v>
      </c>
      <c r="D346" s="24" t="str">
        <f t="shared" si="1"/>
        <v>nugget</v>
      </c>
      <c r="E346" s="22" t="s">
        <v>1246</v>
      </c>
    </row>
    <row r="347" spans="1:5" ht="12.75" x14ac:dyDescent="0.35">
      <c r="A347" s="21" t="s">
        <v>1247</v>
      </c>
      <c r="B347" s="22" t="s">
        <v>1248</v>
      </c>
      <c r="C347" s="23" t="str">
        <f ca="1">IFERROR(__xludf.DUMMYFUNCTION("index(split(B347,"" ""),1,2)"),"noshes")</f>
        <v>noshes</v>
      </c>
      <c r="D347" s="24" t="str">
        <f t="shared" si="1"/>
        <v>nutshell</v>
      </c>
      <c r="E347" s="22" t="s">
        <v>1249</v>
      </c>
    </row>
    <row r="348" spans="1:5" ht="12.75" x14ac:dyDescent="0.35">
      <c r="A348" s="21" t="s">
        <v>1250</v>
      </c>
      <c r="B348" s="22" t="s">
        <v>1251</v>
      </c>
      <c r="C348" s="23" t="str">
        <f ca="1">IFERROR(__xludf.DUMMYFUNCTION("index(split(B348,"" ""),1,2)"),"nines")</f>
        <v>nines</v>
      </c>
      <c r="D348" s="24" t="str">
        <f t="shared" si="1"/>
        <v>niner</v>
      </c>
      <c r="E348" s="22" t="s">
        <v>1252</v>
      </c>
    </row>
    <row r="349" spans="1:5" ht="12.75" x14ac:dyDescent="0.35">
      <c r="A349" s="21" t="s">
        <v>1253</v>
      </c>
      <c r="B349" s="22" t="s">
        <v>1254</v>
      </c>
      <c r="C349" s="23" t="str">
        <f ca="1">IFERROR(__xludf.DUMMYFUNCTION("index(split(B349,"" ""),1,2)"),"ninjas")</f>
        <v>ninjas</v>
      </c>
      <c r="D349" s="24" t="str">
        <f t="shared" si="1"/>
        <v>naja</v>
      </c>
      <c r="E349" s="22" t="s">
        <v>1255</v>
      </c>
    </row>
    <row r="350" spans="1:5" ht="12.75" x14ac:dyDescent="0.35">
      <c r="A350" s="21" t="s">
        <v>1256</v>
      </c>
      <c r="B350" s="22" t="s">
        <v>1257</v>
      </c>
      <c r="C350" s="23" t="str">
        <f ca="1">IFERROR(__xludf.DUMMYFUNCTION("index(split(B350,"" ""),1,2)"),"nukes")</f>
        <v>nukes</v>
      </c>
      <c r="D350" s="24" t="str">
        <f t="shared" si="1"/>
        <v>nickel</v>
      </c>
      <c r="E350" s="25"/>
    </row>
    <row r="351" spans="1:5" ht="12.75" x14ac:dyDescent="0.35">
      <c r="A351" s="21" t="s">
        <v>1258</v>
      </c>
      <c r="B351" s="22" t="s">
        <v>1259</v>
      </c>
      <c r="C351" s="23" t="str">
        <f ca="1">IFERROR(__xludf.DUMMYFUNCTION("index(split(B351,"" ""),1,2)"),"nails")</f>
        <v>nails</v>
      </c>
      <c r="D351" s="24" t="str">
        <f t="shared" si="1"/>
        <v>nilla</v>
      </c>
      <c r="E351" s="22" t="s">
        <v>1260</v>
      </c>
    </row>
    <row r="352" spans="1:5" ht="12.75" x14ac:dyDescent="0.35">
      <c r="A352" s="21" t="s">
        <v>1261</v>
      </c>
      <c r="B352" s="22" t="s">
        <v>1262</v>
      </c>
      <c r="C352" s="23" t="str">
        <f ca="1">IFERROR(__xludf.DUMMYFUNCTION("index(split(B352,"" ""),1,2)"),"names")</f>
        <v>names</v>
      </c>
      <c r="D352" s="24" t="str">
        <f t="shared" si="1"/>
        <v>nomad</v>
      </c>
      <c r="E352" s="22" t="s">
        <v>1263</v>
      </c>
    </row>
    <row r="353" spans="1:5" ht="12.75" x14ac:dyDescent="0.35">
      <c r="A353" s="21" t="s">
        <v>1264</v>
      </c>
      <c r="B353" s="22" t="s">
        <v>1265</v>
      </c>
      <c r="C353" s="23" t="str">
        <f ca="1">IFERROR(__xludf.DUMMYFUNCTION("index(split(B353,"" ""),1,2)"),"NN's")</f>
        <v>NN's</v>
      </c>
      <c r="D353" s="24" t="str">
        <f t="shared" si="1"/>
        <v>NN</v>
      </c>
      <c r="E353" s="22" t="s">
        <v>1266</v>
      </c>
    </row>
    <row r="354" spans="1:5" ht="12.75" x14ac:dyDescent="0.35">
      <c r="A354" s="21" t="s">
        <v>1267</v>
      </c>
      <c r="B354" s="22" t="s">
        <v>1268</v>
      </c>
      <c r="C354" s="23" t="str">
        <f ca="1">IFERROR(__xludf.DUMMYFUNCTION("index(split(B354,"" ""),1,2)"),"nooses")</f>
        <v>nooses</v>
      </c>
      <c r="D354" s="24" t="str">
        <f t="shared" si="1"/>
        <v>noodle</v>
      </c>
      <c r="E354" s="11" t="s">
        <v>1269</v>
      </c>
    </row>
    <row r="355" spans="1:5" ht="12.75" x14ac:dyDescent="0.35">
      <c r="A355" s="21" t="s">
        <v>1270</v>
      </c>
      <c r="B355" s="22" t="s">
        <v>1271</v>
      </c>
      <c r="C355" s="23" t="str">
        <f ca="1">IFERROR(__xludf.DUMMYFUNCTION("index(split(B355,"" ""),1,2)"),"nips")</f>
        <v>nips</v>
      </c>
      <c r="D355" s="24" t="str">
        <f t="shared" si="1"/>
        <v>newspaper</v>
      </c>
      <c r="E355" s="22" t="s">
        <v>1272</v>
      </c>
    </row>
    <row r="356" spans="1:5" ht="12.75" x14ac:dyDescent="0.35">
      <c r="A356" s="21" t="s">
        <v>1273</v>
      </c>
      <c r="B356" s="22" t="s">
        <v>1274</v>
      </c>
      <c r="C356" s="23" t="str">
        <f ca="1">IFERROR(__xludf.DUMMYFUNCTION("index(split(B356,"" ""),1,2)"),"naqqali's")</f>
        <v>naqqali's</v>
      </c>
      <c r="D356" s="24" t="str">
        <f t="shared" si="1"/>
        <v>nonliquid</v>
      </c>
      <c r="E356" s="22" t="s">
        <v>1275</v>
      </c>
    </row>
    <row r="357" spans="1:5" ht="12.75" x14ac:dyDescent="0.35">
      <c r="A357" s="21" t="s">
        <v>1276</v>
      </c>
      <c r="B357" s="22" t="s">
        <v>1277</v>
      </c>
      <c r="C357" s="23" t="str">
        <f ca="1">IFERROR(__xludf.DUMMYFUNCTION("index(split(B357,"" ""),1,2)"),"nears")</f>
        <v>nears</v>
      </c>
      <c r="D357" s="24" t="str">
        <f t="shared" si="1"/>
        <v>neuron</v>
      </c>
      <c r="E357" s="22" t="s">
        <v>1278</v>
      </c>
    </row>
    <row r="358" spans="1:5" ht="12.75" x14ac:dyDescent="0.35">
      <c r="A358" s="21" t="s">
        <v>1279</v>
      </c>
      <c r="B358" s="22" t="s">
        <v>1280</v>
      </c>
      <c r="C358" s="23" t="str">
        <f ca="1">IFERROR(__xludf.DUMMYFUNCTION("index(split(B358,"" ""),1,2)"),"nelsons")</f>
        <v>nelsons</v>
      </c>
      <c r="D358" s="24" t="str">
        <f t="shared" si="1"/>
        <v>Nissan</v>
      </c>
      <c r="E358" s="25"/>
    </row>
    <row r="359" spans="1:5" ht="12.75" x14ac:dyDescent="0.35">
      <c r="A359" s="21" t="s">
        <v>1281</v>
      </c>
      <c r="B359" s="22" t="s">
        <v>1282</v>
      </c>
      <c r="C359" s="23" t="str">
        <f ca="1">IFERROR(__xludf.DUMMYFUNCTION("index(split(B359,"" ""),1,2)"),"nets")</f>
        <v>nets</v>
      </c>
      <c r="D359" s="24" t="str">
        <f t="shared" si="1"/>
        <v>nest</v>
      </c>
      <c r="E359" s="22" t="s">
        <v>1283</v>
      </c>
    </row>
    <row r="360" spans="1:5" ht="12.75" x14ac:dyDescent="0.35">
      <c r="A360" s="21" t="s">
        <v>1284</v>
      </c>
      <c r="B360" s="22" t="s">
        <v>1285</v>
      </c>
      <c r="C360" s="23" t="str">
        <f ca="1">IFERROR(__xludf.DUMMYFUNCTION("index(split(B360,"" ""),1,2)"),"num-num's")</f>
        <v>num-num's</v>
      </c>
      <c r="D360" s="24" t="str">
        <f t="shared" si="1"/>
        <v>nun</v>
      </c>
      <c r="E360" s="22" t="s">
        <v>6103</v>
      </c>
    </row>
    <row r="361" spans="1:5" ht="12.75" x14ac:dyDescent="0.35">
      <c r="A361" s="21" t="s">
        <v>1287</v>
      </c>
      <c r="B361" s="22" t="s">
        <v>1288</v>
      </c>
      <c r="C361" s="23" t="str">
        <f ca="1">IFERROR(__xludf.DUMMYFUNCTION("index(split(B361,"" ""),1,2)"),"novas")</f>
        <v>novas</v>
      </c>
      <c r="D361" s="24" t="str">
        <f t="shared" si="1"/>
        <v>navel</v>
      </c>
      <c r="E361" s="25"/>
    </row>
    <row r="362" spans="1:5" ht="12.75" x14ac:dyDescent="0.35">
      <c r="A362" s="21" t="s">
        <v>1289</v>
      </c>
      <c r="B362" s="22" t="s">
        <v>1290</v>
      </c>
      <c r="C362" s="23" t="str">
        <f ca="1">IFERROR(__xludf.DUMMYFUNCTION("index(split(B362,"" ""),1,2)"),"newels")</f>
        <v>newels</v>
      </c>
      <c r="D362" s="24" t="str">
        <f t="shared" si="1"/>
        <v>Narwhal</v>
      </c>
      <c r="E362" s="22" t="s">
        <v>1291</v>
      </c>
    </row>
    <row r="363" spans="1:5" ht="12.75" x14ac:dyDescent="0.35">
      <c r="A363" s="21" t="s">
        <v>1292</v>
      </c>
      <c r="B363" s="22" t="s">
        <v>1293</v>
      </c>
      <c r="C363" s="23" t="str">
        <f ca="1">IFERROR(__xludf.DUMMYFUNCTION("index(split(B363,"" ""),1,2)"),"nixes")</f>
        <v>nixes</v>
      </c>
      <c r="D363" s="24" t="str">
        <f t="shared" si="1"/>
        <v>nexus</v>
      </c>
      <c r="E363" s="11" t="s">
        <v>1294</v>
      </c>
    </row>
    <row r="364" spans="1:5" ht="12.75" x14ac:dyDescent="0.35">
      <c r="A364" s="21" t="s">
        <v>1295</v>
      </c>
      <c r="B364" s="22" t="s">
        <v>1296</v>
      </c>
      <c r="C364" s="23" t="str">
        <f ca="1">IFERROR(__xludf.DUMMYFUNCTION("index(split(B364,"" ""),1,2)"),"nylons")</f>
        <v>nylons</v>
      </c>
      <c r="D364" s="24" t="str">
        <f t="shared" si="1"/>
        <v>nymph</v>
      </c>
      <c r="E364" s="22" t="s">
        <v>1297</v>
      </c>
    </row>
    <row r="365" spans="1:5" ht="12.75" x14ac:dyDescent="0.35">
      <c r="A365" s="26" t="s">
        <v>1298</v>
      </c>
      <c r="B365" s="27" t="s">
        <v>1299</v>
      </c>
      <c r="C365" s="23" t="str">
        <f ca="1">IFERROR(__xludf.DUMMYFUNCTION("index(split(B365,"" ""),1,2)"),"nuzzles")</f>
        <v>nuzzles</v>
      </c>
      <c r="D365" s="24" t="str">
        <f t="shared" si="1"/>
        <v>nozzle</v>
      </c>
      <c r="E365" s="27" t="s">
        <v>1300</v>
      </c>
    </row>
    <row r="366" spans="1:5" ht="12.75" x14ac:dyDescent="0.35">
      <c r="A366" s="21" t="s">
        <v>1301</v>
      </c>
      <c r="B366" s="22" t="s">
        <v>1302</v>
      </c>
      <c r="C366" s="23" t="str">
        <f ca="1">IFERROR(__xludf.DUMMYFUNCTION("index(split(B366,"" ""),1,2)"),"oars")</f>
        <v>oars</v>
      </c>
      <c r="D366" s="24" t="str">
        <f t="shared" si="1"/>
        <v>oatmeal</v>
      </c>
      <c r="E366" s="22" t="s">
        <v>1303</v>
      </c>
    </row>
    <row r="367" spans="1:5" ht="12.75" x14ac:dyDescent="0.35">
      <c r="A367" s="21" t="s">
        <v>1304</v>
      </c>
      <c r="B367" s="22" t="s">
        <v>1305</v>
      </c>
      <c r="C367" s="23" t="str">
        <f ca="1">IFERROR(__xludf.DUMMYFUNCTION("index(split(B367,"" ""),1,2)"),"obliterates")</f>
        <v>obliterates</v>
      </c>
      <c r="D367" s="24" t="str">
        <f t="shared" si="1"/>
        <v>oboe</v>
      </c>
      <c r="E367" s="22" t="s">
        <v>1306</v>
      </c>
    </row>
    <row r="368" spans="1:5" ht="12.75" x14ac:dyDescent="0.35">
      <c r="A368" s="21" t="s">
        <v>1307</v>
      </c>
      <c r="B368" s="22" t="s">
        <v>1308</v>
      </c>
      <c r="C368" s="23" t="str">
        <f ca="1">IFERROR(__xludf.DUMMYFUNCTION("index(split(B368,"" ""),1,2)"),"ocarinas")</f>
        <v>ocarinas</v>
      </c>
      <c r="D368" s="24" t="str">
        <f t="shared" si="1"/>
        <v>occiput</v>
      </c>
      <c r="E368" s="22" t="s">
        <v>1309</v>
      </c>
    </row>
    <row r="369" spans="1:5" ht="12.75" x14ac:dyDescent="0.35">
      <c r="A369" s="21" t="s">
        <v>1310</v>
      </c>
      <c r="B369" s="22" t="s">
        <v>1311</v>
      </c>
      <c r="C369" s="23" t="str">
        <f ca="1">IFERROR(__xludf.DUMMYFUNCTION("index(split(B369,"" ""),1,2)"),"orders")</f>
        <v>orders</v>
      </c>
      <c r="D369" s="24" t="str">
        <f t="shared" si="1"/>
        <v>odor</v>
      </c>
      <c r="E369" s="22" t="s">
        <v>1312</v>
      </c>
    </row>
    <row r="370" spans="1:5" ht="12.75" x14ac:dyDescent="0.35">
      <c r="A370" s="21" t="s">
        <v>1313</v>
      </c>
      <c r="B370" s="22" t="s">
        <v>1314</v>
      </c>
      <c r="C370" s="23" t="str">
        <f ca="1">IFERROR(__xludf.DUMMYFUNCTION("index(split(B370,"" ""),1,2)"),"oenomels")</f>
        <v>oenomels</v>
      </c>
      <c r="D370" s="24" t="str">
        <f t="shared" si="1"/>
        <v>Oedipus</v>
      </c>
      <c r="E370" s="22" t="s">
        <v>1315</v>
      </c>
    </row>
    <row r="371" spans="1:5" ht="12.75" x14ac:dyDescent="0.35">
      <c r="A371" s="21" t="s">
        <v>1316</v>
      </c>
      <c r="B371" s="22" t="s">
        <v>1317</v>
      </c>
      <c r="C371" s="23" t="str">
        <f ca="1">IFERROR(__xludf.DUMMYFUNCTION("index(split(B371,"" ""),1,2)"),"offs")</f>
        <v>offs</v>
      </c>
      <c r="D371" s="24" t="str">
        <f t="shared" si="1"/>
        <v>orff</v>
      </c>
      <c r="E371" s="22" t="s">
        <v>1318</v>
      </c>
    </row>
    <row r="372" spans="1:5" ht="12.75" x14ac:dyDescent="0.35">
      <c r="A372" s="21" t="s">
        <v>1319</v>
      </c>
      <c r="B372" s="22" t="s">
        <v>1320</v>
      </c>
      <c r="C372" s="23" t="str">
        <f ca="1">IFERROR(__xludf.DUMMYFUNCTION("index(split(B372,"" ""),1,2)"),"ogles")</f>
        <v>ogles</v>
      </c>
      <c r="D372" s="24" t="str">
        <f t="shared" si="1"/>
        <v>ogre</v>
      </c>
      <c r="E372" s="22" t="s">
        <v>1321</v>
      </c>
    </row>
    <row r="373" spans="1:5" ht="12.75" x14ac:dyDescent="0.35">
      <c r="A373" s="21" t="s">
        <v>1322</v>
      </c>
      <c r="B373" s="29" t="s">
        <v>1323</v>
      </c>
      <c r="C373" s="23" t="str">
        <f ca="1">IFERROR(__xludf.DUMMYFUNCTION("index(split(B373,"" ""),1,2)"),"oshacs")</f>
        <v>oshacs</v>
      </c>
      <c r="D373" s="24" t="str">
        <f t="shared" si="1"/>
        <v>oshac</v>
      </c>
      <c r="E373" s="29" t="s">
        <v>1324</v>
      </c>
    </row>
    <row r="374" spans="1:5" ht="12.75" x14ac:dyDescent="0.35">
      <c r="A374" s="21" t="s">
        <v>1325</v>
      </c>
      <c r="B374" s="22" t="s">
        <v>1326</v>
      </c>
      <c r="C374" s="23" t="str">
        <f ca="1">IFERROR(__xludf.DUMMYFUNCTION("index(split(B374,"" ""),1,2)"),"oils")</f>
        <v>oils</v>
      </c>
      <c r="D374" s="24" t="str">
        <f t="shared" si="1"/>
        <v>oilskin</v>
      </c>
      <c r="E374" s="22" t="s">
        <v>1327</v>
      </c>
    </row>
    <row r="375" spans="1:5" ht="12.75" x14ac:dyDescent="0.35">
      <c r="A375" s="21" t="s">
        <v>1328</v>
      </c>
      <c r="B375" s="22" t="s">
        <v>1329</v>
      </c>
      <c r="C375" s="23" t="str">
        <f ca="1">IFERROR(__xludf.DUMMYFUNCTION("index(split(B375,"" ""),1,2)"),"objurgates")</f>
        <v>objurgates</v>
      </c>
      <c r="D375" s="24" t="str">
        <f t="shared" si="1"/>
        <v>ojime</v>
      </c>
      <c r="E375" s="22" t="s">
        <v>1330</v>
      </c>
    </row>
    <row r="376" spans="1:5" ht="12.75" x14ac:dyDescent="0.35">
      <c r="A376" s="21" t="s">
        <v>1331</v>
      </c>
      <c r="B376" s="22" t="s">
        <v>1332</v>
      </c>
      <c r="C376" s="23" t="str">
        <f ca="1">IFERROR(__xludf.DUMMYFUNCTION("index(split(B376,"" ""),1,2)"),"okapi's")</f>
        <v>okapi's</v>
      </c>
      <c r="D376" s="24" t="str">
        <f t="shared" si="1"/>
        <v>okra</v>
      </c>
      <c r="E376" s="22" t="s">
        <v>1333</v>
      </c>
    </row>
    <row r="377" spans="1:5" ht="12.75" x14ac:dyDescent="0.35">
      <c r="A377" s="21" t="s">
        <v>1334</v>
      </c>
      <c r="B377" s="22" t="s">
        <v>1335</v>
      </c>
      <c r="C377" s="23" t="str">
        <f ca="1">IFERROR(__xludf.DUMMYFUNCTION("index(split(B377,"" ""),1,2)"),"oleums")</f>
        <v>oleums</v>
      </c>
      <c r="D377" s="24" t="str">
        <f t="shared" si="1"/>
        <v>olive</v>
      </c>
      <c r="E377" s="22" t="s">
        <v>1336</v>
      </c>
    </row>
    <row r="378" spans="1:5" ht="12.75" x14ac:dyDescent="0.35">
      <c r="A378" s="21" t="s">
        <v>1337</v>
      </c>
      <c r="B378" s="22" t="s">
        <v>1338</v>
      </c>
      <c r="C378" s="23" t="str">
        <f ca="1">IFERROR(__xludf.DUMMYFUNCTION("index(split(B378,"" ""),1,2)"),"omits")</f>
        <v>omits</v>
      </c>
      <c r="D378" s="24" t="str">
        <f t="shared" si="1"/>
        <v>omen</v>
      </c>
      <c r="E378" s="22" t="s">
        <v>1339</v>
      </c>
    </row>
    <row r="379" spans="1:5" ht="12.75" x14ac:dyDescent="0.35">
      <c r="A379" s="21" t="s">
        <v>1340</v>
      </c>
      <c r="B379" s="22" t="s">
        <v>1341</v>
      </c>
      <c r="C379" s="23" t="str">
        <f ca="1">IFERROR(__xludf.DUMMYFUNCTION("index(split(B379,"" ""),1,2)"),"onions*")</f>
        <v>onions*</v>
      </c>
      <c r="D379" s="24" t="str">
        <f t="shared" si="1"/>
        <v>onion*</v>
      </c>
      <c r="E379" s="25"/>
    </row>
    <row r="380" spans="1:5" ht="12.75" x14ac:dyDescent="0.35">
      <c r="A380" s="21" t="s">
        <v>1342</v>
      </c>
      <c r="B380" s="22" t="s">
        <v>1343</v>
      </c>
      <c r="C380" s="23" t="str">
        <f ca="1">IFERROR(__xludf.DUMMYFUNCTION("index(split(B380,"" ""),1,2)"),"OO's")</f>
        <v>OO's</v>
      </c>
      <c r="D380" s="24" t="str">
        <f t="shared" si="1"/>
        <v>OO</v>
      </c>
      <c r="E380" s="22" t="s">
        <v>1344</v>
      </c>
    </row>
    <row r="381" spans="1:5" ht="12.75" x14ac:dyDescent="0.35">
      <c r="A381" s="21" t="s">
        <v>1345</v>
      </c>
      <c r="B381" s="22" t="s">
        <v>1346</v>
      </c>
      <c r="C381" s="23" t="str">
        <f ca="1">IFERROR(__xludf.DUMMYFUNCTION("index(split(B381,"" ""),1,2)"),"opens")</f>
        <v>opens</v>
      </c>
      <c r="D381" s="24" t="str">
        <f t="shared" si="1"/>
        <v>opossum</v>
      </c>
      <c r="E381" s="22" t="s">
        <v>1347</v>
      </c>
    </row>
    <row r="382" spans="1:5" ht="12.75" x14ac:dyDescent="0.35">
      <c r="A382" s="21" t="s">
        <v>1348</v>
      </c>
      <c r="B382" s="22" t="s">
        <v>1349</v>
      </c>
      <c r="C382" s="23" t="str">
        <f ca="1">IFERROR(__xludf.DUMMYFUNCTION("index(split(B382,"" ""),1,2)"),"overequips")</f>
        <v>overequips</v>
      </c>
      <c r="D382" s="24" t="str">
        <f t="shared" si="1"/>
        <v>oquawka</v>
      </c>
      <c r="E382" s="22" t="s">
        <v>1350</v>
      </c>
    </row>
    <row r="383" spans="1:5" ht="12.75" x14ac:dyDescent="0.35">
      <c r="A383" s="21" t="s">
        <v>1351</v>
      </c>
      <c r="B383" s="22" t="s">
        <v>1352</v>
      </c>
      <c r="C383" s="23" t="str">
        <f ca="1">IFERROR(__xludf.DUMMYFUNCTION("index(split(B383,"" ""),1,2)"),"origami's")</f>
        <v>origami's</v>
      </c>
      <c r="D383" s="24" t="str">
        <f t="shared" si="1"/>
        <v>orange</v>
      </c>
      <c r="E383" s="22" t="s">
        <v>1353</v>
      </c>
    </row>
    <row r="384" spans="1:5" ht="12.75" x14ac:dyDescent="0.35">
      <c r="A384" s="21" t="s">
        <v>1354</v>
      </c>
      <c r="B384" s="22" t="s">
        <v>1355</v>
      </c>
      <c r="C384" s="23" t="str">
        <f ca="1">IFERROR(__xludf.DUMMYFUNCTION("index(split(B384,"" ""),1,2)"),"ossifies")</f>
        <v>ossifies</v>
      </c>
      <c r="D384" s="24" t="str">
        <f t="shared" si="1"/>
        <v>ossetra</v>
      </c>
      <c r="E384" s="22" t="s">
        <v>1356</v>
      </c>
    </row>
    <row r="385" spans="1:5" ht="12.75" x14ac:dyDescent="0.35">
      <c r="A385" s="21" t="s">
        <v>1357</v>
      </c>
      <c r="B385" s="22" t="s">
        <v>1358</v>
      </c>
      <c r="C385" s="23" t="str">
        <f ca="1">IFERROR(__xludf.DUMMYFUNCTION("index(split(B385,"" ""),1,2)"),"otoscopes")</f>
        <v>otoscopes</v>
      </c>
      <c r="D385" s="24" t="str">
        <f t="shared" si="1"/>
        <v>otter</v>
      </c>
      <c r="E385" s="25"/>
    </row>
    <row r="386" spans="1:5" ht="12.75" x14ac:dyDescent="0.35">
      <c r="A386" s="21" t="s">
        <v>1359</v>
      </c>
      <c r="B386" s="22" t="s">
        <v>1360</v>
      </c>
      <c r="C386" s="23" t="str">
        <f ca="1">IFERROR(__xludf.DUMMYFUNCTION("index(split(B386,"" ""),1,2)"),"ouzos")</f>
        <v>ouzos</v>
      </c>
      <c r="D386" s="24" t="str">
        <f t="shared" si="1"/>
        <v>oud</v>
      </c>
      <c r="E386" s="22" t="s">
        <v>1361</v>
      </c>
    </row>
    <row r="387" spans="1:5" ht="12.75" x14ac:dyDescent="0.35">
      <c r="A387" s="21" t="s">
        <v>1362</v>
      </c>
      <c r="B387" s="22" t="s">
        <v>1363</v>
      </c>
      <c r="C387" s="23" t="str">
        <f ca="1">IFERROR(__xludf.DUMMYFUNCTION("index(split(B387,"" ""),1,2)"),"ovens")</f>
        <v>ovens</v>
      </c>
      <c r="D387" s="24" t="str">
        <f t="shared" si="1"/>
        <v>ovum</v>
      </c>
      <c r="E387" s="22" t="s">
        <v>1364</v>
      </c>
    </row>
    <row r="388" spans="1:5" ht="12.75" x14ac:dyDescent="0.35">
      <c r="A388" s="21" t="s">
        <v>1365</v>
      </c>
      <c r="B388" s="22" t="s">
        <v>1366</v>
      </c>
      <c r="C388" s="23" t="str">
        <f ca="1">IFERROR(__xludf.DUMMYFUNCTION("index(split(B388,"" ""),1,2)"),"owes")</f>
        <v>owes</v>
      </c>
      <c r="D388" s="24" t="str">
        <f t="shared" si="1"/>
        <v>owie</v>
      </c>
      <c r="E388" s="22" t="s">
        <v>1367</v>
      </c>
    </row>
    <row r="389" spans="1:5" ht="12.75" x14ac:dyDescent="0.35">
      <c r="A389" s="21" t="s">
        <v>1368</v>
      </c>
      <c r="B389" s="29" t="s">
        <v>1369</v>
      </c>
      <c r="C389" s="23" t="str">
        <f ca="1">IFERROR(__xludf.DUMMYFUNCTION("index(split(B389,"" ""),1,2)"),"oxidizes")</f>
        <v>oxidizes</v>
      </c>
      <c r="D389" s="24" t="str">
        <f t="shared" si="1"/>
        <v>ox</v>
      </c>
      <c r="E389" s="29" t="s">
        <v>1370</v>
      </c>
    </row>
    <row r="390" spans="1:5" ht="12.75" x14ac:dyDescent="0.35">
      <c r="A390" s="21" t="s">
        <v>1371</v>
      </c>
      <c r="B390" s="22" t="s">
        <v>1372</v>
      </c>
      <c r="C390" s="23" t="str">
        <f ca="1">IFERROR(__xludf.DUMMYFUNCTION("index(split(B390,"" ""),1,2)"),"oysters")</f>
        <v>oysters</v>
      </c>
      <c r="D390" s="24" t="str">
        <f t="shared" si="1"/>
        <v>oysterman</v>
      </c>
      <c r="E390" s="22" t="s">
        <v>1373</v>
      </c>
    </row>
    <row r="391" spans="1:5" ht="12.75" x14ac:dyDescent="0.35">
      <c r="A391" s="26" t="s">
        <v>1374</v>
      </c>
      <c r="B391" s="27" t="s">
        <v>1375</v>
      </c>
      <c r="C391" s="31" t="str">
        <f ca="1">IFERROR(__xludf.DUMMYFUNCTION("index(split(B391,"" ""),1,2)"),"ozones")</f>
        <v>ozones</v>
      </c>
      <c r="D391" s="24" t="str">
        <f t="shared" si="1"/>
        <v>orzo</v>
      </c>
      <c r="E391" s="27" t="s">
        <v>1376</v>
      </c>
    </row>
    <row r="392" spans="1:5" ht="12.75" x14ac:dyDescent="0.35">
      <c r="A392" s="21" t="s">
        <v>1377</v>
      </c>
      <c r="B392" s="22" t="s">
        <v>1378</v>
      </c>
      <c r="C392" s="23" t="str">
        <f ca="1">IFERROR(__xludf.DUMMYFUNCTION("index(split(B392,"" ""),1,2)"),"paperbags")</f>
        <v>paperbags</v>
      </c>
      <c r="D392" s="24" t="str">
        <f t="shared" si="1"/>
        <v>pampers</v>
      </c>
      <c r="E392" s="22" t="s">
        <v>1379</v>
      </c>
    </row>
    <row r="393" spans="1:5" ht="12.75" x14ac:dyDescent="0.35">
      <c r="A393" s="21" t="s">
        <v>1380</v>
      </c>
      <c r="B393" s="22" t="s">
        <v>1381</v>
      </c>
      <c r="C393" s="23" t="str">
        <f ca="1">IFERROR(__xludf.DUMMYFUNCTION("index(split(B393,"" ""),1,2)"),"parboils")</f>
        <v>parboils</v>
      </c>
      <c r="D393" s="24" t="str">
        <f t="shared" si="1"/>
        <v>pebble</v>
      </c>
      <c r="E393" s="22" t="s">
        <v>1382</v>
      </c>
    </row>
    <row r="394" spans="1:5" ht="12.75" x14ac:dyDescent="0.35">
      <c r="A394" s="21" t="s">
        <v>1383</v>
      </c>
      <c r="B394" s="22" t="s">
        <v>1384</v>
      </c>
      <c r="C394" s="23" t="str">
        <f ca="1">IFERROR(__xludf.DUMMYFUNCTION("index(split(B394,"" ""),1,2)"),"procures")</f>
        <v>procures</v>
      </c>
      <c r="D394" s="24" t="str">
        <f t="shared" si="1"/>
        <v>Picasso</v>
      </c>
      <c r="E394" s="22" t="s">
        <v>1385</v>
      </c>
    </row>
    <row r="395" spans="1:5" ht="12.75" x14ac:dyDescent="0.35">
      <c r="A395" s="21" t="s">
        <v>1386</v>
      </c>
      <c r="B395" s="22" t="s">
        <v>1387</v>
      </c>
      <c r="C395" s="23" t="str">
        <f ca="1">IFERROR(__xludf.DUMMYFUNCTION("index(split(B395,"" ""),1,2)"),"peddles")</f>
        <v>peddles</v>
      </c>
      <c r="D395" s="24" t="str">
        <f t="shared" si="1"/>
        <v>paddle</v>
      </c>
      <c r="E395" s="22" t="s">
        <v>1388</v>
      </c>
    </row>
    <row r="396" spans="1:5" ht="12.75" x14ac:dyDescent="0.35">
      <c r="A396" s="21" t="s">
        <v>1389</v>
      </c>
      <c r="B396" s="22" t="s">
        <v>1390</v>
      </c>
      <c r="C396" s="23" t="str">
        <f ca="1">IFERROR(__xludf.DUMMYFUNCTION("index(split(B396,"" ""),1,2)"),"peppers")</f>
        <v>peppers</v>
      </c>
      <c r="D396" s="24" t="str">
        <f t="shared" si="1"/>
        <v>peel</v>
      </c>
      <c r="E396" s="22" t="s">
        <v>1391</v>
      </c>
    </row>
    <row r="397" spans="1:5" ht="12.75" x14ac:dyDescent="0.35">
      <c r="A397" s="21" t="s">
        <v>1392</v>
      </c>
      <c r="B397" s="22" t="s">
        <v>1393</v>
      </c>
      <c r="C397" s="23" t="str">
        <f ca="1">IFERROR(__xludf.DUMMYFUNCTION("index(split(B397,"" ""),1,2)"),"perfumes")</f>
        <v>perfumes</v>
      </c>
      <c r="D397" s="24" t="str">
        <f t="shared" si="1"/>
        <v>puffin</v>
      </c>
      <c r="E397" s="22" t="s">
        <v>1394</v>
      </c>
    </row>
    <row r="398" spans="1:5" ht="12.75" x14ac:dyDescent="0.35">
      <c r="A398" s="21" t="s">
        <v>1395</v>
      </c>
      <c r="B398" s="22" t="s">
        <v>1396</v>
      </c>
      <c r="C398" s="23" t="str">
        <f ca="1">IFERROR(__xludf.DUMMYFUNCTION("index(split(B398,"" ""),1,2)"),"pugs")</f>
        <v>pugs</v>
      </c>
      <c r="D398" s="24" t="str">
        <f t="shared" si="1"/>
        <v>pig</v>
      </c>
      <c r="E398" s="22" t="s">
        <v>1397</v>
      </c>
    </row>
    <row r="399" spans="1:5" ht="12.75" x14ac:dyDescent="0.35">
      <c r="A399" s="21" t="s">
        <v>1398</v>
      </c>
      <c r="B399" s="22" t="s">
        <v>1399</v>
      </c>
      <c r="C399" s="23" t="str">
        <f ca="1">IFERROR(__xludf.DUMMYFUNCTION("index(split(B399,"" ""),1,2)"),"pushes")</f>
        <v>pushes</v>
      </c>
      <c r="D399" s="24" t="str">
        <f t="shared" si="1"/>
        <v>pushup</v>
      </c>
      <c r="E399" s="25"/>
    </row>
    <row r="400" spans="1:5" ht="12.75" x14ac:dyDescent="0.35">
      <c r="A400" s="21" t="s">
        <v>1400</v>
      </c>
      <c r="B400" s="22" t="s">
        <v>1401</v>
      </c>
      <c r="C400" s="23" t="str">
        <f ca="1">IFERROR(__xludf.DUMMYFUNCTION("index(split(B400,"" ""),1,2)"),"pinpricks")</f>
        <v>pinpricks</v>
      </c>
      <c r="D400" s="24" t="str">
        <f t="shared" si="1"/>
        <v>pie</v>
      </c>
      <c r="E400" s="22" t="s">
        <v>1402</v>
      </c>
    </row>
    <row r="401" spans="1:5" ht="12.75" x14ac:dyDescent="0.35">
      <c r="A401" s="21" t="s">
        <v>1403</v>
      </c>
      <c r="B401" s="22" t="s">
        <v>1404</v>
      </c>
      <c r="C401" s="23" t="str">
        <f ca="1">IFERROR(__xludf.DUMMYFUNCTION("index(split(B401,"" ""),1,2)"),"projects")</f>
        <v>projects</v>
      </c>
      <c r="D401" s="24" t="str">
        <f t="shared" si="1"/>
        <v>pajamas</v>
      </c>
      <c r="E401" s="22" t="s">
        <v>1405</v>
      </c>
    </row>
    <row r="402" spans="1:5" ht="12.75" x14ac:dyDescent="0.35">
      <c r="A402" s="21" t="s">
        <v>1406</v>
      </c>
      <c r="B402" s="22" t="s">
        <v>1407</v>
      </c>
      <c r="C402" s="23" t="str">
        <f ca="1">IFERROR(__xludf.DUMMYFUNCTION("index(split(B402,"" ""),1,2)"),"packs")</f>
        <v>packs</v>
      </c>
      <c r="D402" s="24" t="str">
        <f t="shared" si="1"/>
        <v>puck</v>
      </c>
      <c r="E402" s="22" t="s">
        <v>1408</v>
      </c>
    </row>
    <row r="403" spans="1:5" ht="12.75" x14ac:dyDescent="0.35">
      <c r="A403" s="21" t="s">
        <v>1409</v>
      </c>
      <c r="B403" s="22" t="s">
        <v>1410</v>
      </c>
      <c r="C403" s="23" t="str">
        <f ca="1">IFERROR(__xludf.DUMMYFUNCTION("index(split(B403,"" ""),1,2)"),"pallets")</f>
        <v>pallets</v>
      </c>
      <c r="D403" s="24" t="str">
        <f t="shared" si="1"/>
        <v>pillow</v>
      </c>
      <c r="E403" s="22" t="s">
        <v>1411</v>
      </c>
    </row>
    <row r="404" spans="1:5" ht="12.75" x14ac:dyDescent="0.35">
      <c r="A404" s="21" t="s">
        <v>1412</v>
      </c>
      <c r="B404" s="22" t="s">
        <v>1413</v>
      </c>
      <c r="C404" s="23" t="str">
        <f ca="1">IFERROR(__xludf.DUMMYFUNCTION("index(split(B404,"" ""),1,2)"),"palms")</f>
        <v>palms</v>
      </c>
      <c r="D404" s="24" t="str">
        <f t="shared" si="1"/>
        <v>palm</v>
      </c>
      <c r="E404" s="22" t="s">
        <v>1414</v>
      </c>
    </row>
    <row r="405" spans="1:5" ht="12.75" x14ac:dyDescent="0.35">
      <c r="A405" s="21" t="s">
        <v>1415</v>
      </c>
      <c r="B405" s="22" t="s">
        <v>1416</v>
      </c>
      <c r="C405" s="23" t="str">
        <f ca="1">IFERROR(__xludf.DUMMYFUNCTION("index(split(B405,"" ""),1,2)"),"pans")</f>
        <v>pans</v>
      </c>
      <c r="D405" s="24" t="str">
        <f t="shared" si="1"/>
        <v>penne</v>
      </c>
      <c r="E405" s="22" t="s">
        <v>1417</v>
      </c>
    </row>
    <row r="406" spans="1:5" ht="12.75" x14ac:dyDescent="0.35">
      <c r="A406" s="21" t="s">
        <v>1418</v>
      </c>
      <c r="B406" s="22" t="s">
        <v>1419</v>
      </c>
      <c r="C406" s="23" t="str">
        <f ca="1">IFERROR(__xludf.DUMMYFUNCTION("index(split(B406,"" ""),1,2)"),"poofs")</f>
        <v>poofs</v>
      </c>
      <c r="D406" s="24" t="str">
        <f t="shared" si="1"/>
        <v>poodle</v>
      </c>
      <c r="E406" s="22" t="s">
        <v>1420</v>
      </c>
    </row>
    <row r="407" spans="1:5" ht="12.75" x14ac:dyDescent="0.35">
      <c r="A407" s="21" t="s">
        <v>1421</v>
      </c>
      <c r="B407" s="22" t="s">
        <v>1422</v>
      </c>
      <c r="C407" s="23" t="str">
        <f ca="1">IFERROR(__xludf.DUMMYFUNCTION("index(split(B407,"" ""),1,2)"),"PP's")</f>
        <v>PP's</v>
      </c>
      <c r="D407" s="24" t="str">
        <f t="shared" si="1"/>
        <v>PP</v>
      </c>
      <c r="E407" s="22" t="s">
        <v>1423</v>
      </c>
    </row>
    <row r="408" spans="1:5" ht="12.75" x14ac:dyDescent="0.35">
      <c r="A408" s="21" t="s">
        <v>1424</v>
      </c>
      <c r="B408" s="22" t="s">
        <v>1425</v>
      </c>
      <c r="C408" s="23" t="str">
        <f ca="1">IFERROR(__xludf.DUMMYFUNCTION("index(split(B408,"" ""),1,2)"),"plastiques")</f>
        <v>plastiques</v>
      </c>
      <c r="D408" s="24" t="str">
        <f t="shared" si="1"/>
        <v>plaque</v>
      </c>
      <c r="E408" s="22" t="s">
        <v>1426</v>
      </c>
    </row>
    <row r="409" spans="1:5" ht="12.75" x14ac:dyDescent="0.35">
      <c r="A409" s="21" t="s">
        <v>1427</v>
      </c>
      <c r="B409" s="22" t="s">
        <v>1428</v>
      </c>
      <c r="C409" s="23" t="str">
        <f ca="1">IFERROR(__xludf.DUMMYFUNCTION("index(split(B409,"" ""),1,2)"),"pares")</f>
        <v>pares</v>
      </c>
      <c r="D409" s="24" t="str">
        <f t="shared" si="1"/>
        <v>pear</v>
      </c>
      <c r="E409" s="22"/>
    </row>
    <row r="410" spans="1:5" ht="12.75" x14ac:dyDescent="0.35">
      <c r="A410" s="21" t="s">
        <v>1430</v>
      </c>
      <c r="B410" s="22" t="s">
        <v>1431</v>
      </c>
      <c r="C410" s="23" t="str">
        <f ca="1">IFERROR(__xludf.DUMMYFUNCTION("index(split(B410,"" ""),1,2)"),"presoaks")</f>
        <v>presoaks</v>
      </c>
      <c r="D410" s="24" t="str">
        <f t="shared" si="1"/>
        <v>pesse</v>
      </c>
      <c r="E410" s="22" t="s">
        <v>1432</v>
      </c>
    </row>
    <row r="411" spans="1:5" ht="12.75" x14ac:dyDescent="0.35">
      <c r="A411" s="21" t="s">
        <v>1433</v>
      </c>
      <c r="B411" s="22" t="s">
        <v>1434</v>
      </c>
      <c r="C411" s="23" t="str">
        <f ca="1">IFERROR(__xludf.DUMMYFUNCTION("index(split(B411,"" ""),1,2)"),"pets")</f>
        <v>pets</v>
      </c>
      <c r="D411" s="24" t="str">
        <f t="shared" si="1"/>
        <v>pot</v>
      </c>
      <c r="E411" s="22" t="s">
        <v>1435</v>
      </c>
    </row>
    <row r="412" spans="1:5" ht="12.75" x14ac:dyDescent="0.35">
      <c r="A412" s="21" t="s">
        <v>1436</v>
      </c>
      <c r="B412" s="29" t="s">
        <v>1437</v>
      </c>
      <c r="C412" s="23" t="str">
        <f ca="1">IFERROR(__xludf.DUMMYFUNCTION("index(split(B412,"" ""),1,2)"),"pulps")</f>
        <v>pulps</v>
      </c>
      <c r="D412" s="24" t="str">
        <f t="shared" si="1"/>
        <v>puppet</v>
      </c>
      <c r="E412" s="22" t="s">
        <v>1438</v>
      </c>
    </row>
    <row r="413" spans="1:5" ht="12.75" x14ac:dyDescent="0.35">
      <c r="A413" s="21" t="s">
        <v>1439</v>
      </c>
      <c r="B413" s="22" t="s">
        <v>1440</v>
      </c>
      <c r="C413" s="23" t="str">
        <f ca="1">IFERROR(__xludf.DUMMYFUNCTION("index(split(B413,"" ""),1,2)"),"pulverizes")</f>
        <v>pulverizes</v>
      </c>
      <c r="D413" s="24" t="str">
        <f t="shared" si="1"/>
        <v>paver</v>
      </c>
      <c r="E413" s="22" t="s">
        <v>1441</v>
      </c>
    </row>
    <row r="414" spans="1:5" ht="12.75" x14ac:dyDescent="0.35">
      <c r="A414" s="21" t="s">
        <v>1442</v>
      </c>
      <c r="B414" s="22" t="s">
        <v>1443</v>
      </c>
      <c r="C414" s="23" t="str">
        <f ca="1">IFERROR(__xludf.DUMMYFUNCTION("index(split(B414,"" ""),1,2)"),"paws")</f>
        <v>paws</v>
      </c>
      <c r="D414" s="24" t="str">
        <f t="shared" si="1"/>
        <v>pew</v>
      </c>
      <c r="E414" s="22" t="s">
        <v>1444</v>
      </c>
    </row>
    <row r="415" spans="1:5" ht="12.75" x14ac:dyDescent="0.35">
      <c r="A415" s="21" t="s">
        <v>1445</v>
      </c>
      <c r="B415" s="22" t="s">
        <v>1446</v>
      </c>
      <c r="C415" s="23" t="str">
        <f ca="1">IFERROR(__xludf.DUMMYFUNCTION("index(split(B415,"" ""),1,2)"),"peroxides")</f>
        <v>peroxides</v>
      </c>
      <c r="D415" s="24" t="str">
        <f t="shared" si="1"/>
        <v>pixie</v>
      </c>
      <c r="E415" s="22" t="s">
        <v>1447</v>
      </c>
    </row>
    <row r="416" spans="1:5" ht="12.75" x14ac:dyDescent="0.35">
      <c r="A416" s="21" t="s">
        <v>1448</v>
      </c>
      <c r="B416" s="22" t="s">
        <v>1449</v>
      </c>
      <c r="C416" s="23" t="str">
        <f ca="1">IFERROR(__xludf.DUMMYFUNCTION("index(split(B416,"" ""),1,2)"),"pyros")</f>
        <v>pyros</v>
      </c>
      <c r="D416" s="24" t="str">
        <f t="shared" si="1"/>
        <v>pylon</v>
      </c>
      <c r="E416" s="25"/>
    </row>
    <row r="417" spans="1:5" ht="12.75" x14ac:dyDescent="0.35">
      <c r="A417" s="26" t="s">
        <v>1450</v>
      </c>
      <c r="B417" s="27" t="s">
        <v>1451</v>
      </c>
      <c r="C417" s="23" t="str">
        <f ca="1">IFERROR(__xludf.DUMMYFUNCTION("index(split(B417,"" ""),1,2)"),"prizes")</f>
        <v>prizes</v>
      </c>
      <c r="D417" s="32" t="str">
        <f t="shared" si="1"/>
        <v>pizza</v>
      </c>
      <c r="E417" s="27" t="s">
        <v>1452</v>
      </c>
    </row>
    <row r="418" spans="1:5" ht="12.75" x14ac:dyDescent="0.35">
      <c r="A418" s="21" t="s">
        <v>1453</v>
      </c>
      <c r="B418" s="22" t="s">
        <v>1454</v>
      </c>
      <c r="C418" s="23" t="str">
        <f ca="1">IFERROR(__xludf.DUMMYFUNCTION("index(split(B418,"" ""),1,2)"),"quaaludes")</f>
        <v>quaaludes</v>
      </c>
      <c r="D418" s="24" t="str">
        <f t="shared" si="1"/>
        <v>quaqua</v>
      </c>
      <c r="E418" s="22" t="s">
        <v>1455</v>
      </c>
    </row>
    <row r="419" spans="1:5" ht="12.75" x14ac:dyDescent="0.35">
      <c r="A419" s="21" t="s">
        <v>1456</v>
      </c>
      <c r="B419" s="22" t="s">
        <v>1457</v>
      </c>
      <c r="C419" s="23" t="str">
        <f ca="1">IFERROR(__xludf.DUMMYFUNCTION("index(split(B419,"" ""),1,2)"),"quillbacks")</f>
        <v>quillbacks</v>
      </c>
      <c r="D419" s="24" t="str">
        <f t="shared" si="1"/>
        <v>quibbler</v>
      </c>
      <c r="E419" s="22" t="s">
        <v>1458</v>
      </c>
    </row>
    <row r="420" spans="1:5" ht="12.75" x14ac:dyDescent="0.35">
      <c r="A420" s="21" t="s">
        <v>1459</v>
      </c>
      <c r="B420" s="22" t="s">
        <v>1460</v>
      </c>
      <c r="C420" s="23" t="str">
        <f ca="1">IFERROR(__xludf.DUMMYFUNCTION("index(split(B420,"" ""),1,2)"),"quitclaims")</f>
        <v>quitclaims</v>
      </c>
      <c r="D420" s="24" t="str">
        <f t="shared" si="1"/>
        <v>quincuncial</v>
      </c>
      <c r="E420" s="22" t="s">
        <v>1461</v>
      </c>
    </row>
    <row r="421" spans="1:5" ht="12.75" x14ac:dyDescent="0.35">
      <c r="A421" s="21" t="s">
        <v>1462</v>
      </c>
      <c r="B421" s="22" t="s">
        <v>1463</v>
      </c>
      <c r="C421" s="23" t="str">
        <f ca="1">IFERROR(__xludf.DUMMYFUNCTION("index(split(B421,"" ""),1,2)"),"quids")</f>
        <v>quids</v>
      </c>
      <c r="D421" s="24" t="str">
        <f t="shared" si="1"/>
        <v>quidditch_stick</v>
      </c>
      <c r="E421" s="22" t="s">
        <v>1464</v>
      </c>
    </row>
    <row r="422" spans="1:5" ht="12.75" x14ac:dyDescent="0.35">
      <c r="A422" s="21" t="s">
        <v>1465</v>
      </c>
      <c r="B422" s="22" t="s">
        <v>1466</v>
      </c>
      <c r="C422" s="23" t="str">
        <f ca="1">IFERROR(__xludf.DUMMYFUNCTION("index(split(B422,"" ""),1,2)"),"queens")</f>
        <v>queens</v>
      </c>
      <c r="D422" s="24" t="str">
        <f t="shared" si="1"/>
        <v>queen</v>
      </c>
      <c r="E422" s="22" t="s">
        <v>1467</v>
      </c>
    </row>
    <row r="423" spans="1:5" ht="12.75" x14ac:dyDescent="0.35">
      <c r="A423" s="21" t="s">
        <v>1468</v>
      </c>
      <c r="B423" s="22" t="s">
        <v>1469</v>
      </c>
      <c r="C423" s="23" t="str">
        <f ca="1">IFERROR(__xludf.DUMMYFUNCTION("index(split(B423,"" ""),1,2)"),"quaffs")</f>
        <v>quaffs</v>
      </c>
      <c r="D423" s="24" t="str">
        <f t="shared" si="1"/>
        <v>quaffer</v>
      </c>
      <c r="E423" s="22" t="s">
        <v>1470</v>
      </c>
    </row>
    <row r="424" spans="1:5" ht="12.75" x14ac:dyDescent="0.35">
      <c r="A424" s="21" t="s">
        <v>1471</v>
      </c>
      <c r="B424" s="22" t="s">
        <v>1472</v>
      </c>
      <c r="C424" s="23" t="str">
        <f ca="1">IFERROR(__xludf.DUMMYFUNCTION("index(split(B424,"" ""),1,2)"),"quags")</f>
        <v>quags</v>
      </c>
      <c r="D424" s="24" t="str">
        <f t="shared" si="1"/>
        <v>quagga</v>
      </c>
      <c r="E424" s="22" t="s">
        <v>1473</v>
      </c>
    </row>
    <row r="425" spans="1:5" ht="12.75" x14ac:dyDescent="0.35">
      <c r="A425" s="21" t="s">
        <v>1474</v>
      </c>
      <c r="B425" s="29" t="s">
        <v>1475</v>
      </c>
      <c r="C425" s="23" t="str">
        <f ca="1">IFERROR(__xludf.DUMMYFUNCTION("index(split(B425,"" ""),1,2)"),"quashes")</f>
        <v>quashes</v>
      </c>
      <c r="D425" s="24" t="str">
        <f t="shared" si="1"/>
        <v>quasher</v>
      </c>
      <c r="E425" s="22" t="s">
        <v>1476</v>
      </c>
    </row>
    <row r="426" spans="1:5" ht="12.75" x14ac:dyDescent="0.35">
      <c r="A426" s="21" t="s">
        <v>1477</v>
      </c>
      <c r="B426" s="22" t="s">
        <v>1478</v>
      </c>
      <c r="C426" s="23" t="str">
        <f ca="1">IFERROR(__xludf.DUMMYFUNCTION("index(split(B426,"" ""),1,2)"),"quinquina's")</f>
        <v>quinquina's</v>
      </c>
      <c r="D426" s="24" t="str">
        <f t="shared" si="1"/>
        <v>quinqua</v>
      </c>
      <c r="E426" s="22" t="s">
        <v>1479</v>
      </c>
    </row>
    <row r="427" spans="1:5" ht="12.75" x14ac:dyDescent="0.35">
      <c r="A427" s="21" t="s">
        <v>1480</v>
      </c>
      <c r="B427" s="22" t="s">
        <v>1481</v>
      </c>
      <c r="C427" s="23" t="str">
        <f ca="1">IFERROR(__xludf.DUMMYFUNCTION("index(split(B427,"" ""),1,2)"),"quikjoints")</f>
        <v>quikjoints</v>
      </c>
      <c r="D427" s="24" t="str">
        <f t="shared" si="1"/>
        <v>quinjet</v>
      </c>
      <c r="E427" s="22" t="s">
        <v>1482</v>
      </c>
    </row>
    <row r="428" spans="1:5" ht="12.75" x14ac:dyDescent="0.35">
      <c r="A428" s="21" t="s">
        <v>1483</v>
      </c>
      <c r="B428" s="22" t="s">
        <v>1484</v>
      </c>
      <c r="C428" s="23" t="str">
        <f ca="1">IFERROR(__xludf.DUMMYFUNCTION("index(split(B428,"" ""),1,2)"),"quakes")</f>
        <v>quakes</v>
      </c>
      <c r="D428" s="24" t="str">
        <f t="shared" si="1"/>
        <v>quacker</v>
      </c>
      <c r="E428" s="22" t="s">
        <v>1485</v>
      </c>
    </row>
    <row r="429" spans="1:5" ht="12.75" x14ac:dyDescent="0.35">
      <c r="A429" s="21" t="s">
        <v>1486</v>
      </c>
      <c r="B429" s="22" t="s">
        <v>1487</v>
      </c>
      <c r="C429" s="23" t="str">
        <f ca="1">IFERROR(__xludf.DUMMYFUNCTION("index(split(B429,"" ""),1,2)"),"quells")</f>
        <v>quells</v>
      </c>
      <c r="D429" s="24" t="str">
        <f t="shared" si="1"/>
        <v>quoll</v>
      </c>
      <c r="E429" s="22" t="s">
        <v>1488</v>
      </c>
    </row>
    <row r="430" spans="1:5" ht="12.75" x14ac:dyDescent="0.35">
      <c r="A430" s="21" t="s">
        <v>1489</v>
      </c>
      <c r="B430" s="22" t="s">
        <v>1490</v>
      </c>
      <c r="C430" s="23" t="str">
        <f ca="1">IFERROR(__xludf.DUMMYFUNCTION("index(split(B430,"" ""),1,2)"),"quemes")</f>
        <v>quemes</v>
      </c>
      <c r="D430" s="24" t="str">
        <f t="shared" si="1"/>
        <v>qualmond</v>
      </c>
      <c r="E430" s="22" t="s">
        <v>1491</v>
      </c>
    </row>
    <row r="431" spans="1:5" ht="12.75" x14ac:dyDescent="0.35">
      <c r="A431" s="21" t="s">
        <v>1492</v>
      </c>
      <c r="B431" s="22" t="s">
        <v>1493</v>
      </c>
      <c r="C431" s="23" t="str">
        <f ca="1">IFERROR(__xludf.DUMMYFUNCTION("index(split(B431,"" ""),1,2)"),"quinines")</f>
        <v>quinines</v>
      </c>
      <c r="D431" s="24" t="str">
        <f t="shared" si="1"/>
        <v>quinnat</v>
      </c>
      <c r="E431" s="22" t="s">
        <v>1494</v>
      </c>
    </row>
    <row r="432" spans="1:5" ht="12.75" x14ac:dyDescent="0.35">
      <c r="A432" s="21" t="s">
        <v>1495</v>
      </c>
      <c r="B432" s="22" t="s">
        <v>1496</v>
      </c>
      <c r="C432" s="23" t="str">
        <f ca="1">IFERROR(__xludf.DUMMYFUNCTION("index(split(B432,"" ""),1,2)"),"quo's")</f>
        <v>quo's</v>
      </c>
      <c r="D432" s="24" t="str">
        <f t="shared" si="1"/>
        <v>quooker</v>
      </c>
      <c r="E432" s="22" t="s">
        <v>6104</v>
      </c>
    </row>
    <row r="433" spans="1:5" ht="12.75" x14ac:dyDescent="0.35">
      <c r="A433" s="21" t="s">
        <v>1498</v>
      </c>
      <c r="B433" s="22" t="s">
        <v>1499</v>
      </c>
      <c r="C433" s="23" t="str">
        <f ca="1">IFERROR(__xludf.DUMMYFUNCTION("index(split(B433,"" ""),1,2)"),"quarpels")</f>
        <v>quarpels</v>
      </c>
      <c r="D433" s="24" t="str">
        <f t="shared" si="1"/>
        <v>quip</v>
      </c>
      <c r="E433" s="22" t="s">
        <v>1500</v>
      </c>
    </row>
    <row r="434" spans="1:5" ht="12.75" x14ac:dyDescent="0.35">
      <c r="A434" s="21" t="s">
        <v>1501</v>
      </c>
      <c r="B434" s="22" t="s">
        <v>1502</v>
      </c>
      <c r="C434" s="23" t="str">
        <f ca="1">IFERROR(__xludf.DUMMYFUNCTION("index(split(B434,"" ""),1,2)"),"QQ's")</f>
        <v>QQ's</v>
      </c>
      <c r="D434" s="24" t="str">
        <f t="shared" si="1"/>
        <v>QQ</v>
      </c>
      <c r="E434" s="22" t="s">
        <v>1503</v>
      </c>
    </row>
    <row r="435" spans="1:5" ht="12.75" x14ac:dyDescent="0.35">
      <c r="A435" s="21" t="s">
        <v>1504</v>
      </c>
      <c r="B435" s="22" t="s">
        <v>1505</v>
      </c>
      <c r="C435" s="23" t="str">
        <f ca="1">IFERROR(__xludf.DUMMYFUNCTION("index(split(B435,"" ""),1,2)"),"quarantines")</f>
        <v>quarantines</v>
      </c>
      <c r="D435" s="24" t="str">
        <f t="shared" si="1"/>
        <v>quire</v>
      </c>
      <c r="E435" s="22" t="s">
        <v>1506</v>
      </c>
    </row>
    <row r="436" spans="1:5" ht="12.75" x14ac:dyDescent="0.35">
      <c r="A436" s="21" t="s">
        <v>1507</v>
      </c>
      <c r="B436" s="22" t="s">
        <v>1508</v>
      </c>
      <c r="C436" s="23" t="str">
        <f ca="1">IFERROR(__xludf.DUMMYFUNCTION("index(split(B436,"" ""),1,2)"),"quisses")</f>
        <v>quisses</v>
      </c>
      <c r="D436" s="24" t="str">
        <f t="shared" si="1"/>
        <v>quassia</v>
      </c>
      <c r="E436" s="22" t="s">
        <v>1509</v>
      </c>
    </row>
    <row r="437" spans="1:5" ht="12.75" x14ac:dyDescent="0.35">
      <c r="A437" s="21" t="s">
        <v>1510</v>
      </c>
      <c r="B437" s="22" t="s">
        <v>1511</v>
      </c>
      <c r="C437" s="23" t="str">
        <f ca="1">IFERROR(__xludf.DUMMYFUNCTION("index(split(B437,"" ""),1,2)"),"quilts")</f>
        <v>quilts</v>
      </c>
      <c r="D437" s="24" t="str">
        <f t="shared" si="1"/>
        <v>quart</v>
      </c>
      <c r="E437" s="22" t="s">
        <v>1512</v>
      </c>
    </row>
    <row r="438" spans="1:5" ht="12.75" x14ac:dyDescent="0.35">
      <c r="A438" s="21" t="s">
        <v>1513</v>
      </c>
      <c r="B438" s="22" t="s">
        <v>1514</v>
      </c>
      <c r="C438" s="23" t="str">
        <f ca="1">IFERROR(__xludf.DUMMYFUNCTION("index(split(B438,"" ""),1,2)"),"queues")</f>
        <v>queues</v>
      </c>
      <c r="D438" s="24" t="str">
        <f t="shared" si="1"/>
        <v>queue</v>
      </c>
      <c r="E438" s="22" t="s">
        <v>1515</v>
      </c>
    </row>
    <row r="439" spans="1:5" ht="12.75" x14ac:dyDescent="0.35">
      <c r="A439" s="21" t="s">
        <v>1516</v>
      </c>
      <c r="B439" s="22" t="s">
        <v>1517</v>
      </c>
      <c r="C439" s="23" t="str">
        <f ca="1">IFERROR(__xludf.DUMMYFUNCTION("index(split(B439,"" ""),1,2)"),"quivers")</f>
        <v>quivers</v>
      </c>
      <c r="D439" s="24" t="str">
        <f t="shared" si="1"/>
        <v>quaver</v>
      </c>
      <c r="E439" s="22" t="s">
        <v>1518</v>
      </c>
    </row>
    <row r="440" spans="1:5" ht="12.75" x14ac:dyDescent="0.35">
      <c r="A440" s="21" t="s">
        <v>1519</v>
      </c>
      <c r="B440" s="22" t="s">
        <v>1520</v>
      </c>
      <c r="C440" s="23" t="str">
        <f ca="1">IFERROR(__xludf.DUMMYFUNCTION("index(split(B440,"" ""),1,2)"),"quillworks")</f>
        <v>quillworks</v>
      </c>
      <c r="D440" s="24" t="str">
        <f t="shared" si="1"/>
        <v>quikwall</v>
      </c>
      <c r="E440" s="22" t="s">
        <v>1521</v>
      </c>
    </row>
    <row r="441" spans="1:5" ht="12.75" x14ac:dyDescent="0.35">
      <c r="A441" s="21" t="s">
        <v>1522</v>
      </c>
      <c r="B441" s="22" t="s">
        <v>1523</v>
      </c>
      <c r="C441" s="23" t="str">
        <f ca="1">IFERROR(__xludf.DUMMYFUNCTION("index(split(B441,"" ""),1,2)"),"quixxes")</f>
        <v>quixxes</v>
      </c>
      <c r="D441" s="24" t="str">
        <f t="shared" si="1"/>
        <v>quoxwood</v>
      </c>
      <c r="E441" s="22" t="s">
        <v>1524</v>
      </c>
    </row>
    <row r="442" spans="1:5" ht="12.75" x14ac:dyDescent="0.35">
      <c r="A442" s="21" t="s">
        <v>1525</v>
      </c>
      <c r="B442" s="22" t="s">
        <v>1526</v>
      </c>
      <c r="C442" s="23" t="str">
        <f ca="1">IFERROR(__xludf.DUMMYFUNCTION("index(split(B442,"" ""),1,2)"),"quaycrafts")</f>
        <v>quaycrafts</v>
      </c>
      <c r="D442" s="24" t="str">
        <f t="shared" si="1"/>
        <v>quoy</v>
      </c>
      <c r="E442" s="22" t="s">
        <v>1527</v>
      </c>
    </row>
    <row r="443" spans="1:5" ht="12.75" x14ac:dyDescent="0.35">
      <c r="A443" s="26" t="s">
        <v>1528</v>
      </c>
      <c r="B443" s="27" t="s">
        <v>1529</v>
      </c>
      <c r="C443" s="23" t="str">
        <f ca="1">IFERROR(__xludf.DUMMYFUNCTION("index(split(B443,"" ""),1,2)"),"quizzes")</f>
        <v>quizzes</v>
      </c>
      <c r="D443" s="24" t="str">
        <f t="shared" si="1"/>
        <v>quartz</v>
      </c>
      <c r="E443" s="27" t="s">
        <v>1530</v>
      </c>
    </row>
    <row r="444" spans="1:5" ht="12.75" x14ac:dyDescent="0.35">
      <c r="A444" s="21" t="s">
        <v>1531</v>
      </c>
      <c r="B444" s="22" t="s">
        <v>1532</v>
      </c>
      <c r="C444" s="23" t="str">
        <f ca="1">IFERROR(__xludf.DUMMYFUNCTION("index(split(B444,"" ""),1,2)"),"ralphs")</f>
        <v>ralphs</v>
      </c>
      <c r="D444" s="24" t="str">
        <f t="shared" si="1"/>
        <v>ramrod</v>
      </c>
      <c r="E444" s="22" t="s">
        <v>1533</v>
      </c>
    </row>
    <row r="445" spans="1:5" ht="12.75" x14ac:dyDescent="0.35">
      <c r="A445" s="21" t="s">
        <v>1534</v>
      </c>
      <c r="B445" s="22" t="s">
        <v>1535</v>
      </c>
      <c r="C445" s="23" t="str">
        <f ca="1">IFERROR(__xludf.DUMMYFUNCTION("index(split(B445,"" ""),1,2)"),"robs")</f>
        <v>robs</v>
      </c>
      <c r="D445" s="24" t="str">
        <f t="shared" si="1"/>
        <v>rubber</v>
      </c>
      <c r="E445" s="25"/>
    </row>
    <row r="446" spans="1:5" ht="12.75" x14ac:dyDescent="0.35">
      <c r="A446" s="21" t="s">
        <v>1536</v>
      </c>
      <c r="B446" s="22" t="s">
        <v>1537</v>
      </c>
      <c r="C446" s="23" t="str">
        <f ca="1">IFERROR(__xludf.DUMMYFUNCTION("index(split(B446,"" ""),1,2)"),"recovers")</f>
        <v>recovers</v>
      </c>
      <c r="D446" s="24" t="str">
        <f t="shared" si="1"/>
        <v>recorder</v>
      </c>
      <c r="E446" s="22" t="s">
        <v>1538</v>
      </c>
    </row>
    <row r="447" spans="1:5" ht="12.75" x14ac:dyDescent="0.35">
      <c r="A447" s="21" t="s">
        <v>1539</v>
      </c>
      <c r="B447" s="22" t="s">
        <v>1540</v>
      </c>
      <c r="C447" s="23" t="str">
        <f ca="1">IFERROR(__xludf.DUMMYFUNCTION("index(split(B447,"" ""),1,2)"),"reddens")</f>
        <v>reddens</v>
      </c>
      <c r="D447" s="24" t="str">
        <f t="shared" si="1"/>
        <v>rudder</v>
      </c>
      <c r="E447" s="22" t="s">
        <v>1541</v>
      </c>
    </row>
    <row r="448" spans="1:5" ht="12.75" x14ac:dyDescent="0.35">
      <c r="A448" s="21" t="s">
        <v>1542</v>
      </c>
      <c r="B448" s="22" t="s">
        <v>1543</v>
      </c>
      <c r="C448" s="23" t="str">
        <f ca="1">IFERROR(__xludf.DUMMYFUNCTION("index(split(B448,"" ""),1,2)"),"reels")</f>
        <v>reels</v>
      </c>
      <c r="D448" s="24" t="str">
        <f t="shared" si="1"/>
        <v>reed</v>
      </c>
      <c r="E448" s="22" t="s">
        <v>1544</v>
      </c>
    </row>
    <row r="449" spans="1:5" ht="12.75" x14ac:dyDescent="0.35">
      <c r="A449" s="21" t="s">
        <v>1545</v>
      </c>
      <c r="B449" s="22" t="s">
        <v>1546</v>
      </c>
      <c r="C449" s="23" t="str">
        <f ca="1">IFERROR(__xludf.DUMMYFUNCTION("index(split(B449,"" ""),1,2)"),"raffles")</f>
        <v>raffles</v>
      </c>
      <c r="D449" s="24" t="str">
        <f t="shared" si="1"/>
        <v>ruffles</v>
      </c>
      <c r="E449" s="22" t="s">
        <v>1547</v>
      </c>
    </row>
    <row r="450" spans="1:5" ht="12.75" x14ac:dyDescent="0.35">
      <c r="A450" s="21" t="s">
        <v>1548</v>
      </c>
      <c r="B450" s="22" t="s">
        <v>1549</v>
      </c>
      <c r="C450" s="23" t="str">
        <f ca="1">IFERROR(__xludf.DUMMYFUNCTION("index(split(B450,"" ""),1,2)"),"ragu's")</f>
        <v>ragu's</v>
      </c>
      <c r="D450" s="24" t="str">
        <f t="shared" si="1"/>
        <v>rug</v>
      </c>
      <c r="E450" s="22" t="s">
        <v>1550</v>
      </c>
    </row>
    <row r="451" spans="1:5" ht="12.75" x14ac:dyDescent="0.35">
      <c r="A451" s="21" t="s">
        <v>1551</v>
      </c>
      <c r="B451" s="22" t="s">
        <v>1552</v>
      </c>
      <c r="C451" s="23" t="str">
        <f ca="1">IFERROR(__xludf.DUMMYFUNCTION("index(split(B451,"" ""),1,2)"),"rickshaws")</f>
        <v>rickshaws</v>
      </c>
      <c r="D451" s="24" t="str">
        <f t="shared" si="1"/>
        <v>rush</v>
      </c>
      <c r="E451" s="22" t="s">
        <v>1553</v>
      </c>
    </row>
    <row r="452" spans="1:5" ht="12.75" x14ac:dyDescent="0.35">
      <c r="A452" s="21" t="s">
        <v>1554</v>
      </c>
      <c r="B452" s="22" t="s">
        <v>1555</v>
      </c>
      <c r="C452" s="23" t="str">
        <f ca="1">IFERROR(__xludf.DUMMYFUNCTION("index(split(B452,"" ""),1,2)"),"rings")</f>
        <v>rings</v>
      </c>
      <c r="D452" s="24" t="str">
        <f t="shared" si="1"/>
        <v>ring</v>
      </c>
      <c r="E452" s="22" t="s">
        <v>1556</v>
      </c>
    </row>
    <row r="453" spans="1:5" ht="12.75" x14ac:dyDescent="0.35">
      <c r="A453" s="21" t="s">
        <v>1557</v>
      </c>
      <c r="B453" s="22" t="s">
        <v>1558</v>
      </c>
      <c r="C453" s="23" t="str">
        <f ca="1">IFERROR(__xludf.DUMMYFUNCTION("index(split(B453,"" ""),1,2)"),"rejects")</f>
        <v>rejects</v>
      </c>
      <c r="D453" s="24" t="str">
        <f t="shared" si="1"/>
        <v>ramjet</v>
      </c>
      <c r="E453" s="22" t="s">
        <v>1559</v>
      </c>
    </row>
    <row r="454" spans="1:5" ht="12.75" x14ac:dyDescent="0.35">
      <c r="A454" s="21" t="s">
        <v>1560</v>
      </c>
      <c r="B454" s="29" t="s">
        <v>1561</v>
      </c>
      <c r="C454" s="23" t="str">
        <f ca="1">IFERROR(__xludf.DUMMYFUNCTION("index(split(B454,"" ""),1,2)"),"rocks")</f>
        <v>rocks</v>
      </c>
      <c r="D454" s="24" t="str">
        <f t="shared" si="1"/>
        <v>rake</v>
      </c>
      <c r="E454" s="22" t="s">
        <v>1562</v>
      </c>
    </row>
    <row r="455" spans="1:5" ht="12.75" x14ac:dyDescent="0.35">
      <c r="A455" s="21" t="s">
        <v>1563</v>
      </c>
      <c r="B455" s="22" t="s">
        <v>1564</v>
      </c>
      <c r="C455" s="23" t="str">
        <f ca="1">IFERROR(__xludf.DUMMYFUNCTION("index(split(B455,"" ""),1,2)"),"rolls")</f>
        <v>rolls</v>
      </c>
      <c r="D455" s="24" t="str">
        <f t="shared" si="1"/>
        <v>rollie</v>
      </c>
      <c r="E455" s="22" t="s">
        <v>1565</v>
      </c>
    </row>
    <row r="456" spans="1:5" ht="12.75" x14ac:dyDescent="0.35">
      <c r="A456" s="21" t="s">
        <v>1566</v>
      </c>
      <c r="B456" s="22" t="s">
        <v>1567</v>
      </c>
      <c r="C456" s="23" t="str">
        <f ca="1">IFERROR(__xludf.DUMMYFUNCTION("index(split(B456,"" ""),1,2)"),"rims")</f>
        <v>rims</v>
      </c>
      <c r="D456" s="24" t="str">
        <f t="shared" si="1"/>
        <v>roma</v>
      </c>
      <c r="E456" s="22" t="s">
        <v>1568</v>
      </c>
    </row>
    <row r="457" spans="1:5" ht="12.75" x14ac:dyDescent="0.35">
      <c r="A457" s="21" t="s">
        <v>1569</v>
      </c>
      <c r="B457" s="22" t="s">
        <v>1570</v>
      </c>
      <c r="C457" s="23" t="str">
        <f ca="1">IFERROR(__xludf.DUMMYFUNCTION("index(split(B457,"" ""),1,2)"),"reins")</f>
        <v>reins</v>
      </c>
      <c r="D457" s="24" t="str">
        <f t="shared" si="1"/>
        <v>roan</v>
      </c>
      <c r="E457" s="22" t="s">
        <v>1571</v>
      </c>
    </row>
    <row r="458" spans="1:5" ht="12.75" x14ac:dyDescent="0.35">
      <c r="A458" s="21" t="s">
        <v>1572</v>
      </c>
      <c r="B458" s="22" t="s">
        <v>1573</v>
      </c>
      <c r="C458" s="23" t="str">
        <f ca="1">IFERROR(__xludf.DUMMYFUNCTION("index(split(B458,"" ""),1,2)"),"roots")</f>
        <v>roots</v>
      </c>
      <c r="D458" s="24" t="str">
        <f t="shared" si="1"/>
        <v>roo</v>
      </c>
      <c r="E458" s="22" t="s">
        <v>1574</v>
      </c>
    </row>
    <row r="459" spans="1:5" ht="12.75" x14ac:dyDescent="0.35">
      <c r="A459" s="21" t="s">
        <v>1575</v>
      </c>
      <c r="B459" s="22" t="s">
        <v>1576</v>
      </c>
      <c r="C459" s="23" t="str">
        <f ca="1">IFERROR(__xludf.DUMMYFUNCTION("index(split(B459,"" ""),1,2)"),"rips")</f>
        <v>rips</v>
      </c>
      <c r="D459" s="24" t="str">
        <f t="shared" si="1"/>
        <v>rope</v>
      </c>
      <c r="E459" s="22" t="s">
        <v>1577</v>
      </c>
    </row>
    <row r="460" spans="1:5" ht="12.75" x14ac:dyDescent="0.35">
      <c r="A460" s="21" t="s">
        <v>1578</v>
      </c>
      <c r="B460" s="22" t="s">
        <v>1579</v>
      </c>
      <c r="C460" s="23" t="str">
        <f ca="1">IFERROR(__xludf.DUMMYFUNCTION("index(split(B460,"" ""),1,2)"),"racquets")</f>
        <v>racquets</v>
      </c>
      <c r="D460" s="24" t="str">
        <f t="shared" si="1"/>
        <v>racquetball</v>
      </c>
      <c r="E460" s="25"/>
    </row>
    <row r="461" spans="1:5" ht="12.75" x14ac:dyDescent="0.35">
      <c r="A461" s="21" t="s">
        <v>1580</v>
      </c>
      <c r="B461" s="22" t="s">
        <v>1581</v>
      </c>
      <c r="C461" s="23" t="str">
        <f ca="1">IFERROR(__xludf.DUMMYFUNCTION("index(split(B461,"" ""),1,2)"),"RR's")</f>
        <v>RR's</v>
      </c>
      <c r="D461" s="24" t="str">
        <f t="shared" si="1"/>
        <v>RR</v>
      </c>
      <c r="E461" s="22" t="s">
        <v>1582</v>
      </c>
    </row>
    <row r="462" spans="1:5" ht="12.75" x14ac:dyDescent="0.35">
      <c r="A462" s="21" t="s">
        <v>1583</v>
      </c>
      <c r="B462" s="22" t="s">
        <v>1584</v>
      </c>
      <c r="C462" s="23" t="str">
        <f ca="1">IFERROR(__xludf.DUMMYFUNCTION("index(split(B462,"" ""),1,2)"),"raises")</f>
        <v>raises</v>
      </c>
      <c r="D462" s="24" t="str">
        <f t="shared" si="1"/>
        <v>rosé</v>
      </c>
      <c r="E462" s="25"/>
    </row>
    <row r="463" spans="1:5" ht="12.75" x14ac:dyDescent="0.35">
      <c r="A463" s="21" t="s">
        <v>1585</v>
      </c>
      <c r="B463" s="22" t="s">
        <v>1586</v>
      </c>
      <c r="C463" s="23" t="str">
        <f ca="1">IFERROR(__xludf.DUMMYFUNCTION("index(split(B463,"" ""),1,2)"),"returns")</f>
        <v>returns</v>
      </c>
      <c r="D463" s="24" t="str">
        <f t="shared" si="1"/>
        <v>rat</v>
      </c>
      <c r="E463" s="22" t="s">
        <v>1587</v>
      </c>
    </row>
    <row r="464" spans="1:5" ht="12.75" x14ac:dyDescent="0.35">
      <c r="A464" s="21" t="s">
        <v>1588</v>
      </c>
      <c r="B464" s="22" t="s">
        <v>1589</v>
      </c>
      <c r="C464" s="23" t="str">
        <f ca="1">IFERROR(__xludf.DUMMYFUNCTION("index(split(B464,"" ""),1,2)"),"rungs")</f>
        <v>rungs</v>
      </c>
      <c r="D464" s="24" t="str">
        <f t="shared" si="1"/>
        <v>ruru</v>
      </c>
      <c r="E464" s="22" t="s">
        <v>1590</v>
      </c>
    </row>
    <row r="465" spans="1:5" ht="12.75" x14ac:dyDescent="0.35">
      <c r="A465" s="21" t="s">
        <v>1591</v>
      </c>
      <c r="B465" s="22" t="s">
        <v>1592</v>
      </c>
      <c r="C465" s="23" t="str">
        <f ca="1">IFERROR(__xludf.DUMMYFUNCTION("index(split(B465,"" ""),1,2)"),"reveals")</f>
        <v>reveals</v>
      </c>
      <c r="D465" s="24" t="str">
        <f t="shared" si="1"/>
        <v>raven</v>
      </c>
      <c r="E465" s="22" t="s">
        <v>1593</v>
      </c>
    </row>
    <row r="466" spans="1:5" ht="12.75" x14ac:dyDescent="0.35">
      <c r="A466" s="21" t="s">
        <v>1594</v>
      </c>
      <c r="B466" s="22" t="s">
        <v>1595</v>
      </c>
      <c r="C466" s="23" t="str">
        <f ca="1">IFERROR(__xludf.DUMMYFUNCTION("index(split(B466,"" ""),1,2)"),"rows")</f>
        <v>rows</v>
      </c>
      <c r="D466" s="24" t="str">
        <f t="shared" si="1"/>
        <v>rottweiler</v>
      </c>
      <c r="E466" s="22" t="s">
        <v>1596</v>
      </c>
    </row>
    <row r="467" spans="1:5" ht="12.75" x14ac:dyDescent="0.35">
      <c r="A467" s="21" t="s">
        <v>1597</v>
      </c>
      <c r="B467" s="22" t="s">
        <v>1598</v>
      </c>
      <c r="C467" s="23" t="str">
        <f ca="1">IFERROR(__xludf.DUMMYFUNCTION("index(split(B467,"" ""),1,2)"),"refluxes")</f>
        <v>refluxes</v>
      </c>
      <c r="D467" s="24" t="str">
        <f t="shared" si="1"/>
        <v>rax</v>
      </c>
      <c r="E467" s="22" t="s">
        <v>1599</v>
      </c>
    </row>
    <row r="468" spans="1:5" ht="12.75" x14ac:dyDescent="0.35">
      <c r="A468" s="21" t="s">
        <v>1600</v>
      </c>
      <c r="B468" s="22" t="s">
        <v>1601</v>
      </c>
      <c r="C468" s="23" t="str">
        <f ca="1">IFERROR(__xludf.DUMMYFUNCTION("index(split(B468,"" ""),1,2)"),"rayguns")</f>
        <v>rayguns</v>
      </c>
      <c r="D468" s="24" t="str">
        <f t="shared" si="1"/>
        <v>rye</v>
      </c>
      <c r="E468" s="22" t="s">
        <v>1602</v>
      </c>
    </row>
    <row r="469" spans="1:5" ht="12.75" x14ac:dyDescent="0.35">
      <c r="A469" s="26" t="s">
        <v>1603</v>
      </c>
      <c r="B469" s="27" t="s">
        <v>1604</v>
      </c>
      <c r="C469" s="23" t="str">
        <f ca="1">IFERROR(__xludf.DUMMYFUNCTION("index(split(B469,"" ""),1,2)"),"razorblades")</f>
        <v>razorblades</v>
      </c>
      <c r="D469" s="24" t="str">
        <f t="shared" si="1"/>
        <v>ritz</v>
      </c>
      <c r="E469" s="27" t="s">
        <v>1605</v>
      </c>
    </row>
    <row r="470" spans="1:5" ht="12.75" x14ac:dyDescent="0.35">
      <c r="A470" s="21" t="s">
        <v>1606</v>
      </c>
      <c r="B470" s="22" t="s">
        <v>1607</v>
      </c>
      <c r="C470" s="23" t="str">
        <f ca="1">IFERROR(__xludf.DUMMYFUNCTION("index(split(B470,"" ""),1,2)"),"Saabs")</f>
        <v>Saabs</v>
      </c>
      <c r="D470" s="24" t="str">
        <f t="shared" si="1"/>
        <v>salsa</v>
      </c>
      <c r="E470" s="22" t="s">
        <v>1608</v>
      </c>
    </row>
    <row r="471" spans="1:5" ht="12.75" x14ac:dyDescent="0.35">
      <c r="A471" s="21" t="s">
        <v>1609</v>
      </c>
      <c r="B471" s="22" t="s">
        <v>1610</v>
      </c>
      <c r="C471" s="23" t="str">
        <f ca="1">IFERROR(__xludf.DUMMYFUNCTION("index(split(B471,"" ""),1,2)"),"sabres")</f>
        <v>sabres</v>
      </c>
      <c r="D471" s="24" t="str">
        <f t="shared" si="1"/>
        <v>sub</v>
      </c>
      <c r="E471" s="22" t="s">
        <v>1611</v>
      </c>
    </row>
    <row r="472" spans="1:5" ht="12.75" x14ac:dyDescent="0.35">
      <c r="A472" s="21" t="s">
        <v>1612</v>
      </c>
      <c r="B472" s="22" t="s">
        <v>1613</v>
      </c>
      <c r="C472" s="23" t="str">
        <f ca="1">IFERROR(__xludf.DUMMYFUNCTION("index(split(B472,"" ""),1,2)"),"secures")</f>
        <v>secures</v>
      </c>
      <c r="D472" s="24" t="str">
        <f t="shared" si="1"/>
        <v>soccerball</v>
      </c>
      <c r="E472" s="22" t="s">
        <v>1614</v>
      </c>
    </row>
    <row r="473" spans="1:5" ht="12.75" x14ac:dyDescent="0.35">
      <c r="A473" s="21" t="s">
        <v>1615</v>
      </c>
      <c r="B473" s="22" t="s">
        <v>1616</v>
      </c>
      <c r="C473" s="23" t="str">
        <f ca="1">IFERROR(__xludf.DUMMYFUNCTION("index(split(B473,"" ""),1,2)"),"suds")</f>
        <v>suds</v>
      </c>
      <c r="D473" s="24" t="str">
        <f t="shared" si="1"/>
        <v>saddle</v>
      </c>
      <c r="E473" s="25"/>
    </row>
    <row r="474" spans="1:5" ht="12.75" x14ac:dyDescent="0.35">
      <c r="A474" s="21" t="s">
        <v>1617</v>
      </c>
      <c r="B474" s="22" t="s">
        <v>1618</v>
      </c>
      <c r="C474" s="23" t="str">
        <f ca="1">IFERROR(__xludf.DUMMYFUNCTION("index(split(B474,"" ""),1,2)"),"seesaws")</f>
        <v>seesaws</v>
      </c>
      <c r="D474" s="24" t="str">
        <f t="shared" si="1"/>
        <v>seed</v>
      </c>
      <c r="E474" s="22" t="s">
        <v>1619</v>
      </c>
    </row>
    <row r="475" spans="1:5" ht="12.75" x14ac:dyDescent="0.35">
      <c r="A475" s="21" t="s">
        <v>1620</v>
      </c>
      <c r="B475" s="22" t="s">
        <v>1621</v>
      </c>
      <c r="C475" s="23" t="str">
        <f ca="1">IFERROR(__xludf.DUMMYFUNCTION("index(split(B475,"" ""),1,2)"),"souffles")</f>
        <v>souffles</v>
      </c>
      <c r="D475" s="24" t="str">
        <f t="shared" si="1"/>
        <v>surface</v>
      </c>
      <c r="E475" s="22" t="s">
        <v>1622</v>
      </c>
    </row>
    <row r="476" spans="1:5" ht="12.75" x14ac:dyDescent="0.35">
      <c r="A476" s="21" t="s">
        <v>1623</v>
      </c>
      <c r="B476" s="22" t="s">
        <v>1624</v>
      </c>
      <c r="C476" s="23" t="str">
        <f ca="1">IFERROR(__xludf.DUMMYFUNCTION("index(split(B476,"" ""),1,2)"),"smuggles")</f>
        <v>smuggles</v>
      </c>
      <c r="D476" s="24" t="str">
        <f t="shared" si="1"/>
        <v>siggi</v>
      </c>
      <c r="E476" s="22" t="s">
        <v>1625</v>
      </c>
    </row>
    <row r="477" spans="1:5" ht="12.75" x14ac:dyDescent="0.35">
      <c r="A477" s="21" t="s">
        <v>1626</v>
      </c>
      <c r="B477" s="22" t="s">
        <v>1627</v>
      </c>
      <c r="C477" s="23" t="str">
        <f ca="1">IFERROR(__xludf.DUMMYFUNCTION("index(split(B477,"" ""),1,2)"),"smashes")</f>
        <v>smashes</v>
      </c>
      <c r="D477" s="24" t="str">
        <f t="shared" si="1"/>
        <v>sushi</v>
      </c>
      <c r="E477" s="25"/>
    </row>
    <row r="478" spans="1:5" ht="12.75" x14ac:dyDescent="0.35">
      <c r="A478" s="21" t="s">
        <v>1628</v>
      </c>
      <c r="B478" s="29" t="s">
        <v>1629</v>
      </c>
      <c r="C478" s="23" t="str">
        <f ca="1">IFERROR(__xludf.DUMMYFUNCTION("index(split(B478,"" ""),1,2)"),"sidesteps")</f>
        <v>sidesteps</v>
      </c>
      <c r="D478" s="24" t="str">
        <f t="shared" si="1"/>
        <v>scissors</v>
      </c>
      <c r="E478" s="22" t="s">
        <v>1630</v>
      </c>
    </row>
    <row r="479" spans="1:5" ht="12.75" x14ac:dyDescent="0.35">
      <c r="A479" s="21" t="s">
        <v>1631</v>
      </c>
      <c r="B479" s="22" t="s">
        <v>1632</v>
      </c>
      <c r="C479" s="23" t="str">
        <f ca="1">IFERROR(__xludf.DUMMYFUNCTION("index(split(B479,"" ""),1,2)"),"straitjackets")</f>
        <v>straitjackets</v>
      </c>
      <c r="D479" s="24" t="str">
        <f t="shared" si="1"/>
        <v>scramjet</v>
      </c>
      <c r="E479" s="22" t="s">
        <v>1633</v>
      </c>
    </row>
    <row r="480" spans="1:5" ht="12.75" x14ac:dyDescent="0.35">
      <c r="A480" s="21" t="s">
        <v>1634</v>
      </c>
      <c r="B480" s="22" t="s">
        <v>1635</v>
      </c>
      <c r="C480" s="23" t="str">
        <f ca="1">IFERROR(__xludf.DUMMYFUNCTION("index(split(B480,"" ""),1,2)"),"sinks")</f>
        <v>sinks</v>
      </c>
      <c r="D480" s="24" t="str">
        <f t="shared" si="1"/>
        <v>sack</v>
      </c>
      <c r="E480" s="22" t="s">
        <v>1636</v>
      </c>
    </row>
    <row r="481" spans="1:5" ht="12.75" x14ac:dyDescent="0.35">
      <c r="A481" s="21" t="s">
        <v>1637</v>
      </c>
      <c r="B481" s="22" t="s">
        <v>1638</v>
      </c>
      <c r="C481" s="23" t="str">
        <f ca="1">IFERROR(__xludf.DUMMYFUNCTION("index(split(B481,"" ""),1,2)"),"sells")</f>
        <v>sells</v>
      </c>
      <c r="D481" s="24" t="str">
        <f t="shared" si="1"/>
        <v>sail</v>
      </c>
      <c r="E481" s="22" t="s">
        <v>1639</v>
      </c>
    </row>
    <row r="482" spans="1:5" ht="12.75" x14ac:dyDescent="0.35">
      <c r="A482" s="21" t="s">
        <v>1640</v>
      </c>
      <c r="B482" s="22" t="s">
        <v>1641</v>
      </c>
      <c r="C482" s="23" t="str">
        <f ca="1">IFERROR(__xludf.DUMMYFUNCTION("index(split(B482,"" ""),1,2)"),"semis")</f>
        <v>semis</v>
      </c>
      <c r="D482" s="24" t="str">
        <f t="shared" si="1"/>
        <v>salmon</v>
      </c>
      <c r="E482" s="22" t="s">
        <v>1642</v>
      </c>
    </row>
    <row r="483" spans="1:5" ht="12.75" x14ac:dyDescent="0.35">
      <c r="A483" s="21" t="s">
        <v>1643</v>
      </c>
      <c r="B483" s="22" t="s">
        <v>1644</v>
      </c>
      <c r="C483" s="23" t="str">
        <f ca="1">IFERROR(__xludf.DUMMYFUNCTION("index(split(B483,"" ""),1,2)"),"sani's")</f>
        <v>sani's</v>
      </c>
      <c r="D483" s="24" t="str">
        <f t="shared" si="1"/>
        <v>sign</v>
      </c>
      <c r="E483" s="22" t="s">
        <v>1645</v>
      </c>
    </row>
    <row r="484" spans="1:5" ht="12.75" x14ac:dyDescent="0.35">
      <c r="A484" s="21" t="s">
        <v>1646</v>
      </c>
      <c r="B484" s="22" t="s">
        <v>1647</v>
      </c>
      <c r="C484" s="23" t="str">
        <f ca="1">IFERROR(__xludf.DUMMYFUNCTION("index(split(B484,"" ""),1,2)"),"soots")</f>
        <v>soots</v>
      </c>
      <c r="D484" s="24" t="str">
        <f t="shared" si="1"/>
        <v>sooner</v>
      </c>
      <c r="E484" s="22" t="s">
        <v>1648</v>
      </c>
    </row>
    <row r="485" spans="1:5" ht="12.75" x14ac:dyDescent="0.35">
      <c r="A485" s="21" t="s">
        <v>1649</v>
      </c>
      <c r="B485" s="22" t="s">
        <v>1650</v>
      </c>
      <c r="C485" s="23" t="str">
        <f ca="1">IFERROR(__xludf.DUMMYFUNCTION("index(split(B485,"" ""),1,2)"),"supplies")</f>
        <v>supplies</v>
      </c>
      <c r="D485" s="24" t="str">
        <f t="shared" si="1"/>
        <v>supper</v>
      </c>
      <c r="E485" s="22" t="s">
        <v>1651</v>
      </c>
    </row>
    <row r="486" spans="1:5" ht="12.75" x14ac:dyDescent="0.35">
      <c r="A486" s="21" t="s">
        <v>1652</v>
      </c>
      <c r="B486" s="22" t="s">
        <v>1653</v>
      </c>
      <c r="C486" s="23" t="str">
        <f ca="1">IFERROR(__xludf.DUMMYFUNCTION("index(split(B486,"" ""),1,2)"),"sequesters")</f>
        <v>sequesters</v>
      </c>
      <c r="D486" s="24" t="str">
        <f t="shared" si="1"/>
        <v>sequin</v>
      </c>
      <c r="E486" s="22"/>
    </row>
    <row r="487" spans="1:5" ht="12.75" x14ac:dyDescent="0.35">
      <c r="A487" s="21" t="s">
        <v>1654</v>
      </c>
      <c r="B487" s="22" t="s">
        <v>1655</v>
      </c>
      <c r="C487" s="23" t="str">
        <f ca="1">IFERROR(__xludf.DUMMYFUNCTION("index(split(B487,"" ""),1,2)"),"saran-wraps")</f>
        <v>saran-wraps</v>
      </c>
      <c r="D487" s="24" t="str">
        <f t="shared" si="1"/>
        <v>sorels</v>
      </c>
      <c r="E487" s="22"/>
    </row>
    <row r="488" spans="1:5" ht="12.75" x14ac:dyDescent="0.35">
      <c r="A488" s="21" t="s">
        <v>1656</v>
      </c>
      <c r="B488" s="22" t="s">
        <v>1657</v>
      </c>
      <c r="C488" s="23" t="str">
        <f ca="1">IFERROR(__xludf.DUMMYFUNCTION("index(split(B488,"" ""),1,2)"),"SS's")</f>
        <v>SS's</v>
      </c>
      <c r="D488" s="24" t="str">
        <f t="shared" si="1"/>
        <v>SS</v>
      </c>
      <c r="E488" s="22" t="s">
        <v>1658</v>
      </c>
    </row>
    <row r="489" spans="1:5" ht="12.75" x14ac:dyDescent="0.35">
      <c r="A489" s="21" t="s">
        <v>1659</v>
      </c>
      <c r="B489" s="22" t="s">
        <v>1660</v>
      </c>
      <c r="C489" s="23" t="str">
        <f ca="1">IFERROR(__xludf.DUMMYFUNCTION("index(split(B489,"" ""),1,2)"),"sautees")</f>
        <v>sautees</v>
      </c>
      <c r="D489" s="24" t="str">
        <f t="shared" si="1"/>
        <v>setter</v>
      </c>
      <c r="E489" s="25"/>
    </row>
    <row r="490" spans="1:5" ht="12.75" x14ac:dyDescent="0.35">
      <c r="A490" s="21" t="s">
        <v>1661</v>
      </c>
      <c r="B490" s="22" t="s">
        <v>1662</v>
      </c>
      <c r="C490" s="23" t="str">
        <f ca="1">IFERROR(__xludf.DUMMYFUNCTION("index(split(B490,"" ""),1,2)"),"sunsets")</f>
        <v>sunsets</v>
      </c>
      <c r="D490" s="24" t="str">
        <f t="shared" si="1"/>
        <v>suss</v>
      </c>
      <c r="E490" s="22" t="s">
        <v>1663</v>
      </c>
    </row>
    <row r="491" spans="1:5" ht="12.75" x14ac:dyDescent="0.35">
      <c r="A491" s="21" t="s">
        <v>1664</v>
      </c>
      <c r="B491" s="22" t="s">
        <v>1665</v>
      </c>
      <c r="C491" s="23" t="str">
        <f ca="1">IFERROR(__xludf.DUMMYFUNCTION("index(split(B491,"" ""),1,2)"),"saves")</f>
        <v>saves</v>
      </c>
      <c r="D491" s="24" t="str">
        <f t="shared" si="1"/>
        <v>silver</v>
      </c>
      <c r="E491" s="22" t="s">
        <v>1666</v>
      </c>
    </row>
    <row r="492" spans="1:5" ht="12.75" x14ac:dyDescent="0.35">
      <c r="A492" s="21" t="s">
        <v>1667</v>
      </c>
      <c r="B492" s="22" t="s">
        <v>1668</v>
      </c>
      <c r="C492" s="23" t="str">
        <f ca="1">IFERROR(__xludf.DUMMYFUNCTION("index(split(B492,"" ""),1,2)"),"saws")</f>
        <v>saws</v>
      </c>
      <c r="D492" s="24" t="str">
        <f t="shared" si="1"/>
        <v>sow</v>
      </c>
      <c r="E492" s="22" t="s">
        <v>1669</v>
      </c>
    </row>
    <row r="493" spans="1:5" ht="12.75" x14ac:dyDescent="0.35">
      <c r="A493" s="21" t="s">
        <v>1670</v>
      </c>
      <c r="B493" s="22" t="s">
        <v>1671</v>
      </c>
      <c r="C493" s="23" t="str">
        <f ca="1">IFERROR(__xludf.DUMMYFUNCTION("index(split(B493,"" ""),1,2)"),"sixes")</f>
        <v>sixes</v>
      </c>
      <c r="D493" s="24" t="str">
        <f t="shared" si="1"/>
        <v>sax</v>
      </c>
      <c r="E493" s="22" t="s">
        <v>1672</v>
      </c>
    </row>
    <row r="494" spans="1:5" ht="12.75" x14ac:dyDescent="0.35">
      <c r="A494" s="21" t="s">
        <v>1673</v>
      </c>
      <c r="B494" s="22" t="s">
        <v>1674</v>
      </c>
      <c r="C494" s="23" t="str">
        <f ca="1">IFERROR(__xludf.DUMMYFUNCTION("index(split(B494,"" ""),1,2)"),"skyhooks")</f>
        <v>skyhooks</v>
      </c>
      <c r="D494" s="24" t="str">
        <f t="shared" si="1"/>
        <v>scythe</v>
      </c>
      <c r="E494" s="22" t="s">
        <v>1675</v>
      </c>
    </row>
    <row r="495" spans="1:5" ht="12.75" x14ac:dyDescent="0.35">
      <c r="A495" s="26" t="s">
        <v>1676</v>
      </c>
      <c r="B495" s="27" t="s">
        <v>1677</v>
      </c>
      <c r="C495" s="23" t="str">
        <f ca="1">IFERROR(__xludf.DUMMYFUNCTION("index(split(B495,"" ""),1,2)"),"sawzalls")</f>
        <v>sawzalls</v>
      </c>
      <c r="D495" s="24" t="str">
        <f t="shared" si="1"/>
        <v>seltzer</v>
      </c>
      <c r="E495" s="27" t="s">
        <v>1678</v>
      </c>
    </row>
    <row r="496" spans="1:5" ht="12.75" x14ac:dyDescent="0.35">
      <c r="A496" s="21" t="s">
        <v>1679</v>
      </c>
      <c r="B496" s="22" t="s">
        <v>1680</v>
      </c>
      <c r="C496" s="23" t="str">
        <f ca="1">IFERROR(__xludf.DUMMYFUNCTION("index(split(B496,"" ""),1,2)"),"tattoos")</f>
        <v>tattoos</v>
      </c>
      <c r="D496" s="24" t="str">
        <f t="shared" si="1"/>
        <v>tang</v>
      </c>
      <c r="E496" s="22" t="s">
        <v>1681</v>
      </c>
    </row>
    <row r="497" spans="1:5" ht="12.75" x14ac:dyDescent="0.35">
      <c r="A497" s="21" t="s">
        <v>1682</v>
      </c>
      <c r="B497" s="22" t="s">
        <v>1683</v>
      </c>
      <c r="C497" s="23" t="str">
        <f ca="1">IFERROR(__xludf.DUMMYFUNCTION("index(split(B497,"" ""),1,2)"),"tubs")</f>
        <v>tubs</v>
      </c>
      <c r="D497" s="24" t="str">
        <f t="shared" si="1"/>
        <v>tuber</v>
      </c>
      <c r="E497" s="22" t="s">
        <v>1684</v>
      </c>
    </row>
    <row r="498" spans="1:5" ht="12.75" x14ac:dyDescent="0.35">
      <c r="A498" s="21" t="s">
        <v>1685</v>
      </c>
      <c r="B498" s="22" t="s">
        <v>1686</v>
      </c>
      <c r="C498" s="23" t="str">
        <f ca="1">IFERROR(__xludf.DUMMYFUNCTION("index(split(B498,"" ""),1,2)"),"talcums")</f>
        <v>talcums</v>
      </c>
      <c r="D498" s="24" t="str">
        <f t="shared" si="1"/>
        <v>tomcat</v>
      </c>
      <c r="E498" s="25"/>
    </row>
    <row r="499" spans="1:5" ht="12.75" x14ac:dyDescent="0.35">
      <c r="A499" s="21" t="s">
        <v>1687</v>
      </c>
      <c r="B499" s="22" t="s">
        <v>1688</v>
      </c>
      <c r="C499" s="23" t="str">
        <f ca="1">IFERROR(__xludf.DUMMYFUNCTION("index(split(B499,"" ""),1,2)"),"tidies")</f>
        <v>tidies</v>
      </c>
      <c r="D499" s="24" t="str">
        <f t="shared" si="1"/>
        <v>toddler</v>
      </c>
      <c r="E499" s="22" t="s">
        <v>1689</v>
      </c>
    </row>
    <row r="500" spans="1:5" ht="12.75" x14ac:dyDescent="0.35">
      <c r="A500" s="21" t="s">
        <v>1690</v>
      </c>
      <c r="B500" s="22" t="s">
        <v>1691</v>
      </c>
      <c r="C500" s="23" t="str">
        <f ca="1">IFERROR(__xludf.DUMMYFUNCTION("index(split(B500,"" ""),1,2)"),"teeter-totters")</f>
        <v>teeter-totters</v>
      </c>
      <c r="D500" s="24" t="str">
        <f t="shared" si="1"/>
        <v>tent</v>
      </c>
      <c r="E500" s="22" t="s">
        <v>1692</v>
      </c>
    </row>
    <row r="501" spans="1:5" ht="12.75" x14ac:dyDescent="0.35">
      <c r="A501" s="21" t="s">
        <v>1693</v>
      </c>
      <c r="B501" s="22" t="s">
        <v>1694</v>
      </c>
      <c r="C501" s="23" t="str">
        <f ca="1">IFERROR(__xludf.DUMMYFUNCTION("index(split(B501,"" ""),1,2)"),"teffs")</f>
        <v>teffs</v>
      </c>
      <c r="D501" s="24" t="str">
        <f t="shared" si="1"/>
        <v>truffle</v>
      </c>
      <c r="E501" s="22" t="s">
        <v>1695</v>
      </c>
    </row>
    <row r="502" spans="1:5" ht="12.75" x14ac:dyDescent="0.35">
      <c r="A502" s="21" t="s">
        <v>1696</v>
      </c>
      <c r="B502" s="22" t="s">
        <v>1697</v>
      </c>
      <c r="C502" s="23" t="str">
        <f ca="1">IFERROR(__xludf.DUMMYFUNCTION("index(split(B502,"" ""),1,2)"),"tags")</f>
        <v>tags</v>
      </c>
      <c r="D502" s="24" t="str">
        <f t="shared" si="1"/>
        <v>tiger</v>
      </c>
      <c r="E502" s="22" t="s">
        <v>1698</v>
      </c>
    </row>
    <row r="503" spans="1:5" ht="12.75" x14ac:dyDescent="0.35">
      <c r="A503" s="21" t="s">
        <v>1699</v>
      </c>
      <c r="B503" s="22" t="s">
        <v>1700</v>
      </c>
      <c r="C503" s="23" t="str">
        <f ca="1">IFERROR(__xludf.DUMMYFUNCTION("index(split(B503,"" ""),1,2)"),"trashes")</f>
        <v>trashes</v>
      </c>
      <c r="D503" s="24" t="str">
        <f t="shared" si="1"/>
        <v>tush</v>
      </c>
      <c r="E503" s="22" t="s">
        <v>1701</v>
      </c>
    </row>
    <row r="504" spans="1:5" ht="12.75" x14ac:dyDescent="0.35">
      <c r="A504" s="21" t="s">
        <v>1702</v>
      </c>
      <c r="B504" s="22" t="s">
        <v>1703</v>
      </c>
      <c r="C504" s="23" t="str">
        <f ca="1">IFERROR(__xludf.DUMMYFUNCTION("index(split(B504,"" ""),1,2)"),"tightens")</f>
        <v>tightens</v>
      </c>
      <c r="D504" s="24" t="str">
        <f t="shared" si="1"/>
        <v>tie</v>
      </c>
      <c r="E504" s="22" t="s">
        <v>1704</v>
      </c>
    </row>
    <row r="505" spans="1:5" ht="12.75" x14ac:dyDescent="0.35">
      <c r="A505" s="21" t="s">
        <v>1705</v>
      </c>
      <c r="B505" s="22" t="s">
        <v>1706</v>
      </c>
      <c r="C505" s="23" t="str">
        <f ca="1">IFERROR(__xludf.DUMMYFUNCTION("index(split(B505,"" ""),1,2)"),"twinjets")</f>
        <v>twinjets</v>
      </c>
      <c r="D505" s="24" t="str">
        <f t="shared" si="1"/>
        <v>tearjerker</v>
      </c>
      <c r="E505" s="22" t="s">
        <v>1707</v>
      </c>
    </row>
    <row r="506" spans="1:5" ht="12.75" x14ac:dyDescent="0.35">
      <c r="A506" s="21" t="s">
        <v>1708</v>
      </c>
      <c r="B506" s="22" t="s">
        <v>1709</v>
      </c>
      <c r="C506" s="23" t="str">
        <f ca="1">IFERROR(__xludf.DUMMYFUNCTION("index(split(B506,"" ""),1,2)"),"tackles")</f>
        <v>tackles</v>
      </c>
      <c r="D506" s="24" t="str">
        <f t="shared" si="1"/>
        <v>tack</v>
      </c>
      <c r="E506" s="22" t="s">
        <v>1710</v>
      </c>
    </row>
    <row r="507" spans="1:5" ht="12.75" x14ac:dyDescent="0.35">
      <c r="A507" s="21" t="s">
        <v>1711</v>
      </c>
      <c r="B507" s="22" t="s">
        <v>1712</v>
      </c>
      <c r="C507" s="23" t="str">
        <f ca="1">IFERROR(__xludf.DUMMYFUNCTION("index(split(B507,"" ""),1,2)"),"tallies")</f>
        <v>tallies</v>
      </c>
      <c r="D507" s="24" t="str">
        <f t="shared" si="1"/>
        <v>tiller</v>
      </c>
      <c r="E507" s="22" t="s">
        <v>1713</v>
      </c>
    </row>
    <row r="508" spans="1:5" ht="12.75" x14ac:dyDescent="0.35">
      <c r="A508" s="21" t="s">
        <v>1714</v>
      </c>
      <c r="B508" s="22" t="s">
        <v>1715</v>
      </c>
      <c r="C508" s="23" t="str">
        <f ca="1">IFERROR(__xludf.DUMMYFUNCTION("index(split(B508,"" ""),1,2)"),"terminates")</f>
        <v>terminates</v>
      </c>
      <c r="D508" s="24" t="str">
        <f t="shared" si="1"/>
        <v>team</v>
      </c>
      <c r="E508" s="22" t="s">
        <v>1716</v>
      </c>
    </row>
    <row r="509" spans="1:5" ht="12.75" x14ac:dyDescent="0.35">
      <c r="A509" s="21" t="s">
        <v>1717</v>
      </c>
      <c r="B509" s="22" t="s">
        <v>1718</v>
      </c>
      <c r="C509" s="23" t="str">
        <f ca="1">IFERROR(__xludf.DUMMYFUNCTION("index(split(B509,"" ""),1,2)"),"tines")</f>
        <v>tines</v>
      </c>
      <c r="D509" s="24" t="str">
        <f t="shared" si="1"/>
        <v>tuna</v>
      </c>
      <c r="E509" s="22" t="s">
        <v>1719</v>
      </c>
    </row>
    <row r="510" spans="1:5" ht="12.75" x14ac:dyDescent="0.35">
      <c r="A510" s="21" t="s">
        <v>1720</v>
      </c>
      <c r="B510" s="22" t="s">
        <v>1721</v>
      </c>
      <c r="C510" s="23" t="str">
        <f ca="1">IFERROR(__xludf.DUMMYFUNCTION("index(split(B510,"" ""),1,2)"),"totes")</f>
        <v>totes</v>
      </c>
      <c r="D510" s="24" t="str">
        <f t="shared" si="1"/>
        <v>tool</v>
      </c>
      <c r="E510" s="22" t="s">
        <v>1722</v>
      </c>
    </row>
    <row r="511" spans="1:5" ht="12.75" x14ac:dyDescent="0.35">
      <c r="A511" s="21" t="s">
        <v>1723</v>
      </c>
      <c r="B511" s="22" t="s">
        <v>1724</v>
      </c>
      <c r="C511" s="23" t="str">
        <f ca="1">IFERROR(__xludf.DUMMYFUNCTION("index(split(B511,"" ""),1,2)"),"tips")</f>
        <v>tips</v>
      </c>
      <c r="D511" s="24" t="str">
        <f t="shared" si="1"/>
        <v>tupperware</v>
      </c>
      <c r="E511" s="25"/>
    </row>
    <row r="512" spans="1:5" ht="12.75" x14ac:dyDescent="0.35">
      <c r="A512" s="21" t="s">
        <v>1725</v>
      </c>
      <c r="B512" s="22" t="s">
        <v>1726</v>
      </c>
      <c r="C512" s="23" t="str">
        <f ca="1">IFERROR(__xludf.DUMMYFUNCTION("index(split(B512,"" ""),1,2)"),"tequilas")</f>
        <v>tequilas</v>
      </c>
      <c r="D512" s="24" t="str">
        <f t="shared" ref="D512:D677" si="2">TRIM(RIGHT(SUBSTITUTE(B512," ",REPT(" ",LEN(B512))),LEN(B512)))</f>
        <v>turquoise</v>
      </c>
      <c r="E512" s="25"/>
    </row>
    <row r="513" spans="1:5" ht="12.75" x14ac:dyDescent="0.35">
      <c r="A513" s="21" t="s">
        <v>1727</v>
      </c>
      <c r="B513" s="22" t="s">
        <v>1728</v>
      </c>
      <c r="C513" s="23" t="str">
        <f ca="1">IFERROR(__xludf.DUMMYFUNCTION("index(split(B513,"" ""),1,2)"),"tars")</f>
        <v>tars</v>
      </c>
      <c r="D513" s="24" t="str">
        <f t="shared" si="2"/>
        <v>terrier</v>
      </c>
      <c r="E513" s="22" t="s">
        <v>1729</v>
      </c>
    </row>
    <row r="514" spans="1:5" ht="12.75" x14ac:dyDescent="0.35">
      <c r="A514" s="21" t="s">
        <v>1730</v>
      </c>
      <c r="B514" s="22" t="s">
        <v>1731</v>
      </c>
      <c r="C514" s="23" t="str">
        <f ca="1">IFERROR(__xludf.DUMMYFUNCTION("index(split(B514,"" ""),1,2)"),"tosses")</f>
        <v>tosses</v>
      </c>
      <c r="D514" s="24" t="str">
        <f t="shared" si="2"/>
        <v>tassel</v>
      </c>
      <c r="E514" s="22" t="s">
        <v>1732</v>
      </c>
    </row>
    <row r="515" spans="1:5" ht="12.75" x14ac:dyDescent="0.35">
      <c r="A515" s="21" t="s">
        <v>1733</v>
      </c>
      <c r="B515" s="22"/>
      <c r="C515" s="23" t="str">
        <f ca="1">IFERROR(__xludf.DUMMYFUNCTION("index(split(B515,"" ""),1,2)"),"#VALUE!")</f>
        <v>#VALUE!</v>
      </c>
      <c r="D515" s="24" t="str">
        <f t="shared" si="2"/>
        <v/>
      </c>
      <c r="E515" s="22"/>
    </row>
    <row r="516" spans="1:5" ht="12.75" x14ac:dyDescent="0.35">
      <c r="A516" s="21" t="s">
        <v>1734</v>
      </c>
      <c r="B516" s="22" t="s">
        <v>1735</v>
      </c>
      <c r="C516" s="23" t="str">
        <f ca="1">IFERROR(__xludf.DUMMYFUNCTION("index(split(B516,"" ""),1,2)"),"turtles")</f>
        <v>turtles</v>
      </c>
      <c r="D516" s="24" t="str">
        <f t="shared" si="2"/>
        <v>tutu</v>
      </c>
      <c r="E516" s="22" t="s">
        <v>1736</v>
      </c>
    </row>
    <row r="517" spans="1:5" ht="12.75" x14ac:dyDescent="0.35">
      <c r="A517" s="21" t="s">
        <v>1737</v>
      </c>
      <c r="B517" s="22" t="s">
        <v>1738</v>
      </c>
      <c r="C517" s="23" t="str">
        <f ca="1">IFERROR(__xludf.DUMMYFUNCTION("index(split(B517,"" ""),1,2)"),"teva's")</f>
        <v>teva's</v>
      </c>
      <c r="D517" s="24" t="str">
        <f t="shared" si="2"/>
        <v>tava</v>
      </c>
      <c r="E517" s="22" t="s">
        <v>1739</v>
      </c>
    </row>
    <row r="518" spans="1:5" ht="12.75" x14ac:dyDescent="0.35">
      <c r="A518" s="21" t="s">
        <v>1740</v>
      </c>
      <c r="B518" s="22" t="s">
        <v>1741</v>
      </c>
      <c r="C518" s="23" t="str">
        <f ca="1">IFERROR(__xludf.DUMMYFUNCTION("index(split(B518,"" ""),1,2)"),"tows")</f>
        <v>tows</v>
      </c>
      <c r="D518" s="24" t="str">
        <f t="shared" si="2"/>
        <v>towel</v>
      </c>
      <c r="E518" s="22" t="s">
        <v>1742</v>
      </c>
    </row>
    <row r="519" spans="1:5" ht="12.75" x14ac:dyDescent="0.35">
      <c r="A519" s="21" t="s">
        <v>1743</v>
      </c>
      <c r="B519" s="22" t="s">
        <v>1744</v>
      </c>
      <c r="C519" s="23" t="str">
        <f ca="1">IFERROR(__xludf.DUMMYFUNCTION("index(split(B519,"" ""),1,2)"),"taxies")</f>
        <v>taxies</v>
      </c>
      <c r="D519" s="24" t="str">
        <f t="shared" si="2"/>
        <v>tux</v>
      </c>
      <c r="E519" s="22" t="s">
        <v>1745</v>
      </c>
    </row>
    <row r="520" spans="1:5" ht="12.75" x14ac:dyDescent="0.35">
      <c r="A520" s="21" t="s">
        <v>1746</v>
      </c>
      <c r="B520" s="22" t="s">
        <v>1747</v>
      </c>
      <c r="C520" s="23" t="str">
        <f ca="1">IFERROR(__xludf.DUMMYFUNCTION("index(split(B520,"" ""),1,2)"),"types")</f>
        <v>types</v>
      </c>
      <c r="D520" s="24" t="str">
        <f t="shared" si="2"/>
        <v>typewriter</v>
      </c>
      <c r="E520" s="22" t="s">
        <v>1748</v>
      </c>
    </row>
    <row r="521" spans="1:5" ht="12.75" x14ac:dyDescent="0.35">
      <c r="A521" s="26" t="s">
        <v>1749</v>
      </c>
      <c r="B521" s="27" t="s">
        <v>1750</v>
      </c>
      <c r="C521" s="23" t="str">
        <f ca="1">IFERROR(__xludf.DUMMYFUNCTION("index(split(B521,"" ""),1,2)"),"twizzles")</f>
        <v>twizzles</v>
      </c>
      <c r="D521" s="24" t="str">
        <f t="shared" si="2"/>
        <v>tanzanite</v>
      </c>
      <c r="E521" s="27" t="s">
        <v>1751</v>
      </c>
    </row>
    <row r="522" spans="1:5" ht="12.75" x14ac:dyDescent="0.35">
      <c r="A522" s="21" t="s">
        <v>1752</v>
      </c>
      <c r="B522" s="22" t="s">
        <v>1753</v>
      </c>
      <c r="C522" s="23" t="str">
        <f ca="1">IFERROR(__xludf.DUMMYFUNCTION("index(split(B522,"" ""),1,2)"),"uada's")</f>
        <v>uada's</v>
      </c>
      <c r="D522" s="24" t="str">
        <f t="shared" si="2"/>
        <v>uakari</v>
      </c>
      <c r="E522" s="22" t="s">
        <v>1754</v>
      </c>
    </row>
    <row r="523" spans="1:5" ht="12.75" x14ac:dyDescent="0.35">
      <c r="A523" s="21" t="s">
        <v>1755</v>
      </c>
      <c r="B523" s="22" t="s">
        <v>1756</v>
      </c>
      <c r="C523" s="23" t="str">
        <f ca="1">IFERROR(__xludf.DUMMYFUNCTION("index(split(B523,"" ""),1,2)"),"ubers")</f>
        <v>ubers</v>
      </c>
      <c r="D523" s="24" t="str">
        <f t="shared" si="2"/>
        <v>umbrella</v>
      </c>
      <c r="E523" s="25"/>
    </row>
    <row r="524" spans="1:5" ht="12.75" x14ac:dyDescent="0.35">
      <c r="A524" s="21" t="s">
        <v>1757</v>
      </c>
      <c r="B524" s="22" t="s">
        <v>1758</v>
      </c>
      <c r="C524" s="23" t="str">
        <f ca="1">IFERROR(__xludf.DUMMYFUNCTION("index(split(B524,"" ""),1,2)"),"uncrates")</f>
        <v>uncrates</v>
      </c>
      <c r="D524" s="24" t="str">
        <f t="shared" si="2"/>
        <v>upcourts</v>
      </c>
      <c r="E524" s="25"/>
    </row>
    <row r="525" spans="1:5" ht="12.75" x14ac:dyDescent="0.35">
      <c r="A525" s="21" t="s">
        <v>1759</v>
      </c>
      <c r="B525" s="22" t="s">
        <v>1760</v>
      </c>
      <c r="C525" s="23" t="str">
        <f ca="1">IFERROR(__xludf.DUMMYFUNCTION("index(split(B525,"" ""),1,2)"),"underlinens")</f>
        <v>underlinens</v>
      </c>
      <c r="D525" s="24" t="str">
        <f t="shared" si="2"/>
        <v>udder</v>
      </c>
      <c r="E525" s="22" t="s">
        <v>1761</v>
      </c>
    </row>
    <row r="526" spans="1:5" ht="12.75" x14ac:dyDescent="0.35">
      <c r="A526" s="21" t="s">
        <v>1762</v>
      </c>
      <c r="B526" s="22" t="s">
        <v>1763</v>
      </c>
      <c r="C526" s="23" t="str">
        <f ca="1">IFERROR(__xludf.DUMMYFUNCTION("index(split(B526,"" ""),1,2)"),"uego's")</f>
        <v>uego's</v>
      </c>
      <c r="D526" s="24" t="str">
        <f t="shared" si="2"/>
        <v>uelibloom</v>
      </c>
      <c r="E526" s="22" t="s">
        <v>1764</v>
      </c>
    </row>
    <row r="527" spans="1:5" ht="12.75" x14ac:dyDescent="0.35">
      <c r="A527" s="21" t="s">
        <v>1765</v>
      </c>
      <c r="B527" s="22" t="s">
        <v>1766</v>
      </c>
      <c r="C527" s="23" t="str">
        <f ca="1">IFERROR(__xludf.DUMMYFUNCTION("index(split(B527,"" ""),1,2)"),"unfreezes")</f>
        <v>unfreezes</v>
      </c>
      <c r="D527" s="24" t="str">
        <f t="shared" si="2"/>
        <v>urfabutter</v>
      </c>
      <c r="E527" s="22" t="s">
        <v>1767</v>
      </c>
    </row>
    <row r="528" spans="1:5" ht="12.75" x14ac:dyDescent="0.35">
      <c r="A528" s="21" t="s">
        <v>1768</v>
      </c>
      <c r="B528" s="22" t="s">
        <v>1769</v>
      </c>
      <c r="C528" s="23" t="str">
        <f ca="1">IFERROR(__xludf.DUMMYFUNCTION("index(split(B528,"" ""),1,2)"),"upgrades")</f>
        <v>upgrades</v>
      </c>
      <c r="D528" s="24" t="str">
        <f t="shared" si="2"/>
        <v>uggs</v>
      </c>
      <c r="E528" s="22" t="s">
        <v>1770</v>
      </c>
    </row>
    <row r="529" spans="1:5" ht="12.75" x14ac:dyDescent="0.35">
      <c r="A529" s="21" t="s">
        <v>1771</v>
      </c>
      <c r="B529" s="22" t="s">
        <v>1772</v>
      </c>
      <c r="C529" s="23" t="str">
        <f ca="1">IFERROR(__xludf.DUMMYFUNCTION("index(split(B529,"" ""),1,2)"),"ushers")</f>
        <v>ushers</v>
      </c>
      <c r="D529" s="24" t="str">
        <f t="shared" si="2"/>
        <v>usher</v>
      </c>
      <c r="E529" s="22" t="s">
        <v>1773</v>
      </c>
    </row>
    <row r="530" spans="1:5" ht="12.75" x14ac:dyDescent="0.35">
      <c r="A530" s="21" t="s">
        <v>1774</v>
      </c>
      <c r="B530" s="22" t="s">
        <v>1775</v>
      </c>
      <c r="C530" s="23" t="str">
        <f ca="1">IFERROR(__xludf.DUMMYFUNCTION("index(split(B530,"" ""),1,2)"),"uintates")</f>
        <v>uintates</v>
      </c>
      <c r="D530" s="24" t="str">
        <f t="shared" si="2"/>
        <v>uintathere</v>
      </c>
      <c r="E530" s="22" t="s">
        <v>1776</v>
      </c>
    </row>
    <row r="531" spans="1:5" ht="12.75" x14ac:dyDescent="0.35">
      <c r="A531" s="21" t="s">
        <v>1777</v>
      </c>
      <c r="B531" s="22" t="s">
        <v>1778</v>
      </c>
      <c r="C531" s="23" t="str">
        <f ca="1">IFERROR(__xludf.DUMMYFUNCTION("index(split(B531,"" ""),1,2)"),"unjams")</f>
        <v>unjams</v>
      </c>
      <c r="D531" s="24" t="str">
        <f t="shared" si="2"/>
        <v>unjointed</v>
      </c>
      <c r="E531" s="22" t="s">
        <v>1779</v>
      </c>
    </row>
    <row r="532" spans="1:5" ht="12.75" x14ac:dyDescent="0.35">
      <c r="A532" s="21" t="s">
        <v>1780</v>
      </c>
      <c r="B532" s="22" t="s">
        <v>1781</v>
      </c>
      <c r="C532" s="23" t="str">
        <f ca="1">IFERROR(__xludf.DUMMYFUNCTION("index(split(B532,"" ""),1,2)"),"ukes")</f>
        <v>ukes</v>
      </c>
      <c r="D532" s="24" t="str">
        <f t="shared" si="2"/>
        <v>ukulele</v>
      </c>
      <c r="E532" s="22" t="s">
        <v>1782</v>
      </c>
    </row>
    <row r="533" spans="1:5" ht="12.75" x14ac:dyDescent="0.35">
      <c r="A533" s="21" t="s">
        <v>1783</v>
      </c>
      <c r="B533" s="22" t="s">
        <v>1784</v>
      </c>
      <c r="C533" s="23" t="str">
        <f ca="1">IFERROR(__xludf.DUMMYFUNCTION("index(split(B533,"" ""),1,2)"),"ulu's")</f>
        <v>ulu's</v>
      </c>
      <c r="D533" s="24" t="str">
        <f t="shared" si="2"/>
        <v>ulua</v>
      </c>
      <c r="E533" s="25"/>
    </row>
    <row r="534" spans="1:5" ht="12.75" x14ac:dyDescent="0.35">
      <c r="A534" s="21" t="s">
        <v>1785</v>
      </c>
      <c r="B534" s="22" t="s">
        <v>1786</v>
      </c>
      <c r="C534" s="23" t="str">
        <f ca="1">IFERROR(__xludf.DUMMYFUNCTION("index(split(B534,"" ""),1,2)"),"umami's")</f>
        <v>umami's</v>
      </c>
      <c r="D534" s="24" t="str">
        <f t="shared" si="2"/>
        <v>ume</v>
      </c>
      <c r="E534" s="22" t="s">
        <v>1787</v>
      </c>
    </row>
    <row r="535" spans="1:5" ht="12.75" x14ac:dyDescent="0.35">
      <c r="A535" s="21" t="s">
        <v>1788</v>
      </c>
      <c r="B535" s="22" t="s">
        <v>1789</v>
      </c>
      <c r="C535" s="23" t="str">
        <f ca="1">IFERROR(__xludf.DUMMYFUNCTION("index(split(B535,"" ""),1,2)"),"unnets")</f>
        <v>unnets</v>
      </c>
      <c r="D535" s="24" t="str">
        <f t="shared" si="2"/>
        <v>Uno</v>
      </c>
      <c r="E535" s="22" t="s">
        <v>1790</v>
      </c>
    </row>
    <row r="536" spans="1:5" ht="12.75" x14ac:dyDescent="0.35">
      <c r="A536" s="21" t="s">
        <v>1791</v>
      </c>
      <c r="B536" s="22" t="s">
        <v>1792</v>
      </c>
      <c r="C536" s="23" t="str">
        <f ca="1">IFERROR(__xludf.DUMMYFUNCTION("index(split(B536,"" ""),1,2)"),"uoma's")</f>
        <v>uoma's</v>
      </c>
      <c r="D536" s="24" t="str">
        <f t="shared" si="2"/>
        <v>uomo</v>
      </c>
      <c r="E536" s="22" t="s">
        <v>1793</v>
      </c>
    </row>
    <row r="537" spans="1:5" ht="12.75" x14ac:dyDescent="0.35">
      <c r="A537" s="21" t="s">
        <v>1794</v>
      </c>
      <c r="B537" s="22" t="s">
        <v>1795</v>
      </c>
      <c r="C537" s="23" t="str">
        <f ca="1">IFERROR(__xludf.DUMMYFUNCTION("index(split(B537,"" ""),1,2)"),"unpacks")</f>
        <v>unpacks</v>
      </c>
      <c r="D537" s="24" t="str">
        <f t="shared" si="2"/>
        <v>unpainted</v>
      </c>
      <c r="E537" s="22" t="s">
        <v>1796</v>
      </c>
    </row>
    <row r="538" spans="1:5" ht="12.75" x14ac:dyDescent="0.35">
      <c r="A538" s="21" t="s">
        <v>1797</v>
      </c>
      <c r="B538" s="22" t="s">
        <v>1798</v>
      </c>
      <c r="C538" s="23" t="str">
        <f ca="1">IFERROR(__xludf.DUMMYFUNCTION("index(split(B538,"" ""),1,2)"),"umiaqs")</f>
        <v>umiaqs</v>
      </c>
      <c r="D538" s="24" t="str">
        <f t="shared" si="2"/>
        <v>umiaq</v>
      </c>
      <c r="E538" s="25"/>
    </row>
    <row r="539" spans="1:5" ht="12.75" x14ac:dyDescent="0.35">
      <c r="A539" s="21" t="s">
        <v>1799</v>
      </c>
      <c r="B539" s="22" t="s">
        <v>1800</v>
      </c>
      <c r="C539" s="23" t="str">
        <f ca="1">IFERROR(__xludf.DUMMYFUNCTION("index(split(B539,"" ""),1,2)"),"urinates")</f>
        <v>urinates</v>
      </c>
      <c r="D539" s="24" t="str">
        <f t="shared" si="2"/>
        <v>urinal</v>
      </c>
      <c r="E539" s="25"/>
    </row>
    <row r="540" spans="1:5" ht="12.75" x14ac:dyDescent="0.35">
      <c r="A540" s="21" t="s">
        <v>1801</v>
      </c>
      <c r="B540" s="22" t="s">
        <v>1802</v>
      </c>
      <c r="C540" s="23" t="str">
        <f ca="1">IFERROR(__xludf.DUMMYFUNCTION("index(split(B540,"" ""),1,2)"),"unseals")</f>
        <v>unseals</v>
      </c>
      <c r="D540" s="24" t="str">
        <f t="shared" si="2"/>
        <v>unsalted</v>
      </c>
      <c r="E540" s="22" t="s">
        <v>1803</v>
      </c>
    </row>
    <row r="541" spans="1:5" ht="12.75" x14ac:dyDescent="0.35">
      <c r="A541" s="21" t="s">
        <v>1804</v>
      </c>
      <c r="B541" s="22" t="s">
        <v>1805</v>
      </c>
      <c r="C541" s="23" t="str">
        <f ca="1">IFERROR(__xludf.DUMMYFUNCTION("index(split(B541,"" ""),1,2)"),"utensils")</f>
        <v>utensils</v>
      </c>
      <c r="D541" s="24" t="str">
        <f t="shared" si="2"/>
        <v>ute</v>
      </c>
      <c r="E541" s="22" t="s">
        <v>1806</v>
      </c>
    </row>
    <row r="542" spans="1:5" ht="12.75" x14ac:dyDescent="0.35">
      <c r="A542" s="21" t="s">
        <v>1807</v>
      </c>
      <c r="B542" s="22" t="s">
        <v>1808</v>
      </c>
      <c r="C542" s="23" t="str">
        <f ca="1">IFERROR(__xludf.DUMMYFUNCTION("index(split(B542,"" ""),1,2)"),"UU's")</f>
        <v>UU's</v>
      </c>
      <c r="D542" s="24" t="str">
        <f t="shared" si="2"/>
        <v>UU</v>
      </c>
      <c r="E542" s="22" t="s">
        <v>1809</v>
      </c>
    </row>
    <row r="543" spans="1:5" ht="12.75" x14ac:dyDescent="0.35">
      <c r="A543" s="21" t="s">
        <v>1810</v>
      </c>
      <c r="B543" s="22" t="s">
        <v>1811</v>
      </c>
      <c r="C543" s="23" t="str">
        <f ca="1">IFERROR(__xludf.DUMMYFUNCTION("index(split(B543,"" ""),1,2)"),"unveils")</f>
        <v>unveils</v>
      </c>
      <c r="D543" s="24" t="str">
        <f t="shared" si="2"/>
        <v>urva</v>
      </c>
      <c r="E543" s="22" t="s">
        <v>1812</v>
      </c>
    </row>
    <row r="544" spans="1:5" ht="12.75" x14ac:dyDescent="0.35">
      <c r="A544" s="21" t="s">
        <v>1813</v>
      </c>
      <c r="B544" s="22" t="s">
        <v>1814</v>
      </c>
      <c r="C544" s="23" t="str">
        <f ca="1">IFERROR(__xludf.DUMMYFUNCTION("index(split(B544,"" ""),1,2)"),"unwinds")</f>
        <v>unwinds</v>
      </c>
      <c r="D544" s="24" t="str">
        <f t="shared" si="2"/>
        <v>unwinder</v>
      </c>
      <c r="E544" s="22" t="s">
        <v>1815</v>
      </c>
    </row>
    <row r="545" spans="1:5" ht="12.75" x14ac:dyDescent="0.35">
      <c r="A545" s="21" t="s">
        <v>1816</v>
      </c>
      <c r="B545" s="22" t="s">
        <v>1817</v>
      </c>
      <c r="C545" s="23" t="str">
        <f ca="1">IFERROR(__xludf.DUMMYFUNCTION("index(split(B545,"" ""),1,2)"),"uxorates")</f>
        <v>uxorates</v>
      </c>
      <c r="D545" s="24" t="str">
        <f t="shared" si="2"/>
        <v>uxor</v>
      </c>
      <c r="E545" s="22" t="s">
        <v>1818</v>
      </c>
    </row>
    <row r="546" spans="1:5" ht="12.75" x14ac:dyDescent="0.35">
      <c r="A546" s="21" t="s">
        <v>1819</v>
      </c>
      <c r="B546" s="22" t="s">
        <v>1820</v>
      </c>
      <c r="C546" s="23" t="str">
        <f ca="1">IFERROR(__xludf.DUMMYFUNCTION("index(split(B546,"" ""),1,2)"),"unyokes")</f>
        <v>unyokes</v>
      </c>
      <c r="D546" s="24" t="str">
        <f t="shared" si="2"/>
        <v>Ulysses</v>
      </c>
      <c r="E546" s="22" t="s">
        <v>1821</v>
      </c>
    </row>
    <row r="547" spans="1:5" ht="12.75" x14ac:dyDescent="0.35">
      <c r="A547" s="26" t="s">
        <v>1822</v>
      </c>
      <c r="B547" s="27" t="s">
        <v>1823</v>
      </c>
      <c r="C547" s="23" t="str">
        <f ca="1">IFERROR(__xludf.DUMMYFUNCTION("index(split(B547,"" ""),1,2)"),"unzips")</f>
        <v>unzips</v>
      </c>
      <c r="D547" s="24" t="str">
        <f t="shared" si="2"/>
        <v>uzi</v>
      </c>
      <c r="E547" s="27" t="s">
        <v>1824</v>
      </c>
    </row>
    <row r="548" spans="1:5" ht="12.75" x14ac:dyDescent="0.35">
      <c r="A548" s="21" t="s">
        <v>1825</v>
      </c>
      <c r="B548" s="22" t="s">
        <v>1826</v>
      </c>
      <c r="C548" s="23" t="str">
        <f ca="1">IFERROR(__xludf.DUMMYFUNCTION("index(split(B548,"" ""),1,2)"),"valvolines")</f>
        <v>valvolines</v>
      </c>
      <c r="D548" s="24" t="str">
        <f t="shared" si="2"/>
        <v>valve</v>
      </c>
      <c r="E548" s="22" t="s">
        <v>1827</v>
      </c>
    </row>
    <row r="549" spans="1:5" ht="12.75" x14ac:dyDescent="0.35">
      <c r="A549" s="21" t="s">
        <v>1828</v>
      </c>
      <c r="B549" s="22" t="s">
        <v>1829</v>
      </c>
      <c r="C549" s="23" t="str">
        <f ca="1">IFERROR(__xludf.DUMMYFUNCTION("index(split(B549,"" ""),1,2)"),"vibrates")</f>
        <v>vibrates</v>
      </c>
      <c r="D549" s="24" t="str">
        <f t="shared" si="2"/>
        <v>vibraphone</v>
      </c>
      <c r="E549" s="22" t="s">
        <v>1830</v>
      </c>
    </row>
    <row r="550" spans="1:5" ht="12.75" x14ac:dyDescent="0.35">
      <c r="A550" s="21" t="s">
        <v>1831</v>
      </c>
      <c r="B550" s="22" t="s">
        <v>1832</v>
      </c>
      <c r="C550" s="23" t="str">
        <f ca="1">IFERROR(__xludf.DUMMYFUNCTION("index(split(B550,"" ""),1,2)"),"vacuums")</f>
        <v>vacuums</v>
      </c>
      <c r="D550" s="24" t="str">
        <f t="shared" si="2"/>
        <v>velcro</v>
      </c>
      <c r="E550" s="22" t="s">
        <v>1833</v>
      </c>
    </row>
    <row r="551" spans="1:5" ht="12.75" x14ac:dyDescent="0.35">
      <c r="A551" s="21" t="s">
        <v>1834</v>
      </c>
      <c r="B551" s="22" t="s">
        <v>1835</v>
      </c>
      <c r="C551" s="23" t="str">
        <f ca="1">IFERROR(__xludf.DUMMYFUNCTION("index(split(B551,"" ""),1,2)"),"videos")</f>
        <v>videos</v>
      </c>
      <c r="D551" s="24" t="str">
        <f t="shared" si="2"/>
        <v>vada</v>
      </c>
      <c r="E551" s="22"/>
    </row>
    <row r="552" spans="1:5" ht="12.75" x14ac:dyDescent="0.35">
      <c r="A552" s="21" t="s">
        <v>1836</v>
      </c>
      <c r="B552" s="22" t="s">
        <v>1837</v>
      </c>
      <c r="C552" s="23" t="str">
        <f ca="1">IFERROR(__xludf.DUMMYFUNCTION("index(split(B552,"" ""),1,2)"),"velvets")</f>
        <v>velvets</v>
      </c>
      <c r="D552" s="24" t="str">
        <f t="shared" si="2"/>
        <v>velveeta</v>
      </c>
      <c r="E552" s="22" t="s">
        <v>1838</v>
      </c>
    </row>
    <row r="553" spans="1:5" ht="12.75" x14ac:dyDescent="0.35">
      <c r="A553" s="21" t="s">
        <v>1839</v>
      </c>
      <c r="B553" s="22" t="s">
        <v>1840</v>
      </c>
      <c r="C553" s="23" t="str">
        <f ca="1">IFERROR(__xludf.DUMMYFUNCTION("index(split(B553,"" ""),1,2)"),"viewfinds")</f>
        <v>viewfinds</v>
      </c>
      <c r="D553" s="24" t="str">
        <f t="shared" si="2"/>
        <v>vatful</v>
      </c>
      <c r="E553" s="22" t="s">
        <v>1841</v>
      </c>
    </row>
    <row r="554" spans="1:5" ht="12.75" x14ac:dyDescent="0.35">
      <c r="A554" s="21" t="s">
        <v>1842</v>
      </c>
      <c r="B554" s="22" t="s">
        <v>1843</v>
      </c>
      <c r="C554" s="23" t="str">
        <f ca="1">IFERROR(__xludf.DUMMYFUNCTION("index(split(B554,"" ""),1,2)"),"vogues")</f>
        <v>vogues</v>
      </c>
      <c r="D554" s="24" t="str">
        <f t="shared" si="2"/>
        <v>Vega</v>
      </c>
      <c r="E554" s="22" t="s">
        <v>1844</v>
      </c>
    </row>
    <row r="555" spans="1:5" ht="12.75" x14ac:dyDescent="0.35">
      <c r="A555" s="21" t="s">
        <v>1845</v>
      </c>
      <c r="B555" s="29" t="s">
        <v>1846</v>
      </c>
      <c r="C555" s="23" t="str">
        <f ca="1">IFERROR(__xludf.DUMMYFUNCTION("index(split(B555,"" ""),1,2)"),"vashe's")</f>
        <v>vashe's</v>
      </c>
      <c r="D555" s="24" t="str">
        <f t="shared" si="2"/>
        <v>voshells</v>
      </c>
      <c r="E555" s="29" t="s">
        <v>1847</v>
      </c>
    </row>
    <row r="556" spans="1:5" ht="12.75" x14ac:dyDescent="0.35">
      <c r="A556" s="21" t="s">
        <v>1848</v>
      </c>
      <c r="B556" s="29" t="s">
        <v>1849</v>
      </c>
      <c r="C556" s="23" t="str">
        <f ca="1">IFERROR(__xludf.DUMMYFUNCTION("index(split(B556,"" ""),1,2)"),"vivisects")</f>
        <v>vivisects</v>
      </c>
      <c r="D556" s="24" t="str">
        <f t="shared" si="2"/>
        <v>viva</v>
      </c>
      <c r="E556" s="29" t="s">
        <v>1850</v>
      </c>
    </row>
    <row r="557" spans="1:5" ht="12.75" x14ac:dyDescent="0.35">
      <c r="A557" s="21" t="s">
        <v>1851</v>
      </c>
      <c r="B557" s="22" t="s">
        <v>1852</v>
      </c>
      <c r="C557" s="23" t="str">
        <f ca="1">IFERROR(__xludf.DUMMYFUNCTION("index(split(B557,"" ""),1,2)"),"V.J.'s")</f>
        <v>V.J.'s</v>
      </c>
      <c r="D557" s="24" t="str">
        <f t="shared" si="2"/>
        <v>verjus</v>
      </c>
      <c r="E557" s="22" t="s">
        <v>1853</v>
      </c>
    </row>
    <row r="558" spans="1:5" ht="12.75" x14ac:dyDescent="0.35">
      <c r="A558" s="21" t="s">
        <v>1854</v>
      </c>
      <c r="B558" s="22" t="s">
        <v>1855</v>
      </c>
      <c r="C558" s="23" t="str">
        <f ca="1">IFERROR(__xludf.DUMMYFUNCTION("index(split(B558,"" ""),1,2)"),"vodkas")</f>
        <v>vodkas</v>
      </c>
      <c r="D558" s="24" t="str">
        <f t="shared" si="2"/>
        <v>volk</v>
      </c>
      <c r="E558" s="22" t="s">
        <v>1856</v>
      </c>
    </row>
    <row r="559" spans="1:5" ht="12.75" x14ac:dyDescent="0.35">
      <c r="A559" s="21" t="s">
        <v>1857</v>
      </c>
      <c r="B559" s="22" t="s">
        <v>1858</v>
      </c>
      <c r="C559" s="23" t="str">
        <f ca="1">IFERROR(__xludf.DUMMYFUNCTION("index(split(B559,"" ""),1,2)"),"veils")</f>
        <v>veils</v>
      </c>
      <c r="D559" s="24" t="str">
        <f t="shared" si="2"/>
        <v>vole</v>
      </c>
      <c r="E559" s="22" t="s">
        <v>1859</v>
      </c>
    </row>
    <row r="560" spans="1:5" ht="12.75" x14ac:dyDescent="0.35">
      <c r="A560" s="21" t="s">
        <v>1860</v>
      </c>
      <c r="B560" s="22" t="s">
        <v>1861</v>
      </c>
      <c r="C560" s="23" t="str">
        <f ca="1">IFERROR(__xludf.DUMMYFUNCTION("index(split(B560,"" ""),1,2)"),"vomits")</f>
        <v>vomits</v>
      </c>
      <c r="D560" s="24" t="str">
        <f t="shared" si="2"/>
        <v>varmint</v>
      </c>
      <c r="E560" s="22" t="s">
        <v>1862</v>
      </c>
    </row>
    <row r="561" spans="1:5" ht="12.75" x14ac:dyDescent="0.35">
      <c r="A561" s="21" t="s">
        <v>1863</v>
      </c>
      <c r="B561" s="22" t="s">
        <v>1864</v>
      </c>
      <c r="C561" s="23" t="str">
        <f ca="1">IFERROR(__xludf.DUMMYFUNCTION("index(split(B561,"" ""),1,2)"),"varnishes")</f>
        <v>varnishes</v>
      </c>
      <c r="D561" s="24" t="str">
        <f t="shared" si="2"/>
        <v>van</v>
      </c>
      <c r="E561" s="22" t="s">
        <v>1865</v>
      </c>
    </row>
    <row r="562" spans="1:5" ht="12.75" x14ac:dyDescent="0.35">
      <c r="A562" s="21" t="s">
        <v>1866</v>
      </c>
      <c r="B562" s="22" t="s">
        <v>1867</v>
      </c>
      <c r="C562" s="23" t="str">
        <f ca="1">IFERROR(__xludf.DUMMYFUNCTION("index(split(B562,"" ""),1,2)"),"voodoos")</f>
        <v>voodoos</v>
      </c>
      <c r="D562" s="24" t="str">
        <f t="shared" si="2"/>
        <v>voodoo</v>
      </c>
      <c r="E562" s="22" t="s">
        <v>1868</v>
      </c>
    </row>
    <row r="563" spans="1:5" ht="12.75" x14ac:dyDescent="0.35">
      <c r="A563" s="21" t="s">
        <v>1869</v>
      </c>
      <c r="B563" s="22" t="s">
        <v>1870</v>
      </c>
      <c r="C563" s="23" t="str">
        <f ca="1">IFERROR(__xludf.DUMMYFUNCTION("index(split(B563,"" ""),1,2)"),"vaporizes")</f>
        <v>vaporizes</v>
      </c>
      <c r="D563" s="24" t="str">
        <f t="shared" si="2"/>
        <v>viper</v>
      </c>
      <c r="E563" s="25"/>
    </row>
    <row r="564" spans="1:5" ht="12.75" x14ac:dyDescent="0.35">
      <c r="A564" s="21" t="s">
        <v>1871</v>
      </c>
      <c r="B564" s="22" t="s">
        <v>1872</v>
      </c>
      <c r="C564" s="23" t="str">
        <f ca="1">IFERROR(__xludf.DUMMYFUNCTION("index(split(B564,"" ""),1,2)"),"vanquishes")</f>
        <v>vanquishes</v>
      </c>
      <c r="D564" s="24" t="str">
        <f t="shared" si="2"/>
        <v>visqueen</v>
      </c>
      <c r="E564" s="25"/>
    </row>
    <row r="565" spans="1:5" ht="12.75" x14ac:dyDescent="0.35">
      <c r="A565" s="21" t="s">
        <v>1873</v>
      </c>
      <c r="B565" s="22" t="s">
        <v>1874</v>
      </c>
      <c r="C565" s="23" t="str">
        <f ca="1">IFERROR(__xludf.DUMMYFUNCTION("index(split(B565,"" ""),1,2)"),"vara's")</f>
        <v>vara's</v>
      </c>
      <c r="D565" s="24" t="str">
        <f t="shared" si="2"/>
        <v>variant</v>
      </c>
      <c r="E565" s="22" t="s">
        <v>1875</v>
      </c>
    </row>
    <row r="566" spans="1:5" ht="12.75" x14ac:dyDescent="0.35">
      <c r="A566" s="21" t="s">
        <v>1876</v>
      </c>
      <c r="B566" s="22" t="s">
        <v>1877</v>
      </c>
      <c r="C566" s="23" t="str">
        <f ca="1">IFERROR(__xludf.DUMMYFUNCTION("index(split(B566,"" ""),1,2)"),"vessels")</f>
        <v>vessels</v>
      </c>
      <c r="D566" s="24" t="str">
        <f t="shared" si="2"/>
        <v>vase</v>
      </c>
      <c r="E566" s="22" t="s">
        <v>1878</v>
      </c>
    </row>
    <row r="567" spans="1:5" ht="12.75" x14ac:dyDescent="0.35">
      <c r="A567" s="21" t="s">
        <v>1879</v>
      </c>
      <c r="B567" s="22" t="s">
        <v>1880</v>
      </c>
      <c r="C567" s="23" t="str">
        <f ca="1">IFERROR(__xludf.DUMMYFUNCTION("index(split(B567,"" ""),1,2)"),"vetoes")</f>
        <v>vetoes</v>
      </c>
      <c r="D567" s="24" t="str">
        <f t="shared" si="2"/>
        <v>vitamin</v>
      </c>
      <c r="E567" s="11" t="s">
        <v>1881</v>
      </c>
    </row>
    <row r="568" spans="1:5" ht="12.75" x14ac:dyDescent="0.35">
      <c r="A568" s="21" t="s">
        <v>1882</v>
      </c>
      <c r="B568" s="22" t="s">
        <v>1883</v>
      </c>
      <c r="C568" s="23" t="str">
        <f ca="1">IFERROR(__xludf.DUMMYFUNCTION("index(split(B568,"" ""),1,2)"),"vuvaults")</f>
        <v>vuvaults</v>
      </c>
      <c r="D568" s="24" t="str">
        <f t="shared" si="2"/>
        <v>vuvuzela</v>
      </c>
      <c r="E568" s="22" t="s">
        <v>1884</v>
      </c>
    </row>
    <row r="569" spans="1:5" ht="12.75" x14ac:dyDescent="0.35">
      <c r="A569" s="21" t="s">
        <v>1885</v>
      </c>
      <c r="B569" s="22" t="s">
        <v>1886</v>
      </c>
      <c r="C569" s="23" t="str">
        <f ca="1">IFERROR(__xludf.DUMMYFUNCTION("index(split(B569,"" ""),1,2)"),"VV's")</f>
        <v>VV's</v>
      </c>
      <c r="D569" s="24" t="str">
        <f t="shared" si="2"/>
        <v>VV</v>
      </c>
      <c r="E569" s="22" t="s">
        <v>1887</v>
      </c>
    </row>
    <row r="570" spans="1:5" ht="12.75" x14ac:dyDescent="0.35">
      <c r="A570" s="21" t="s">
        <v>1888</v>
      </c>
      <c r="B570" s="22" t="s">
        <v>1889</v>
      </c>
      <c r="C570" s="23" t="str">
        <f ca="1">IFERROR(__xludf.DUMMYFUNCTION("index(split(B570,"" ""),1,2)"),"vows")</f>
        <v>vows</v>
      </c>
      <c r="D570" s="24" t="str">
        <f t="shared" si="2"/>
        <v>vowel</v>
      </c>
      <c r="E570" s="22" t="s">
        <v>1890</v>
      </c>
    </row>
    <row r="571" spans="1:5" ht="12.75" x14ac:dyDescent="0.35">
      <c r="A571" s="21" t="s">
        <v>1891</v>
      </c>
      <c r="B571" s="22" t="s">
        <v>1892</v>
      </c>
      <c r="C571" s="23" t="str">
        <f ca="1">IFERROR(__xludf.DUMMYFUNCTION("index(split(B571,"" ""),1,2)"),"voxes")</f>
        <v>voxes</v>
      </c>
      <c r="D571" s="24" t="str">
        <f t="shared" si="2"/>
        <v>VAX</v>
      </c>
      <c r="E571" s="22" t="s">
        <v>1893</v>
      </c>
    </row>
    <row r="572" spans="1:5" ht="12.75" x14ac:dyDescent="0.35">
      <c r="A572" s="21" t="s">
        <v>1894</v>
      </c>
      <c r="B572" s="22" t="s">
        <v>1895</v>
      </c>
      <c r="C572" s="23" t="str">
        <f ca="1">IFERROR(__xludf.DUMMYFUNCTION("index(split(B572,"" ""),1,2)"),"voyages")</f>
        <v>voyages</v>
      </c>
      <c r="D572" s="24" t="str">
        <f t="shared" si="2"/>
        <v>vinyl</v>
      </c>
      <c r="E572" s="22" t="s">
        <v>1896</v>
      </c>
    </row>
    <row r="573" spans="1:5" ht="12.75" x14ac:dyDescent="0.35">
      <c r="A573" s="26" t="s">
        <v>1897</v>
      </c>
      <c r="B573" s="27" t="s">
        <v>1898</v>
      </c>
      <c r="C573" s="23" t="str">
        <f ca="1">IFERROR(__xludf.DUMMYFUNCTION("index(split(B573,"" ""),1,2)"),"vizio's")</f>
        <v>vizio's</v>
      </c>
      <c r="D573" s="24" t="str">
        <f t="shared" si="2"/>
        <v>vizard</v>
      </c>
      <c r="E573" s="27" t="s">
        <v>1899</v>
      </c>
    </row>
    <row r="574" spans="1:5" ht="12.75" x14ac:dyDescent="0.35">
      <c r="A574" s="21" t="s">
        <v>1900</v>
      </c>
      <c r="B574" s="29" t="s">
        <v>1901</v>
      </c>
      <c r="C574" s="23" t="str">
        <f ca="1">IFERROR(__xludf.DUMMYFUNCTION("index(split(B574,"" ""),1,2)"),"war_wolfs")</f>
        <v>war_wolfs</v>
      </c>
      <c r="D574" s="24" t="str">
        <f t="shared" si="2"/>
        <v>wallwort</v>
      </c>
      <c r="E574" s="29" t="s">
        <v>1902</v>
      </c>
    </row>
    <row r="575" spans="1:5" ht="12.75" x14ac:dyDescent="0.35">
      <c r="A575" s="21" t="s">
        <v>1903</v>
      </c>
      <c r="B575" s="22" t="s">
        <v>1904</v>
      </c>
      <c r="C575" s="23" t="str">
        <f ca="1">IFERROR(__xludf.DUMMYFUNCTION("index(split(B575,"" ""),1,2)"),"whiteboards")</f>
        <v>whiteboards</v>
      </c>
      <c r="D575" s="24" t="str">
        <f t="shared" si="2"/>
        <v>web</v>
      </c>
      <c r="E575" s="22" t="s">
        <v>1905</v>
      </c>
    </row>
    <row r="576" spans="1:5" ht="12.75" x14ac:dyDescent="0.35">
      <c r="A576" s="21" t="s">
        <v>1906</v>
      </c>
      <c r="B576" s="22" t="s">
        <v>1907</v>
      </c>
      <c r="C576" s="23" t="str">
        <f ca="1">IFERROR(__xludf.DUMMYFUNCTION("index(split(B576,"" ""),1,2)"),"welcomes")</f>
        <v>welcomes</v>
      </c>
      <c r="D576" s="24" t="str">
        <f t="shared" si="2"/>
        <v>wiccan</v>
      </c>
      <c r="E576" s="22" t="s">
        <v>1908</v>
      </c>
    </row>
    <row r="577" spans="1:5" ht="12.75" x14ac:dyDescent="0.35">
      <c r="A577" s="21" t="s">
        <v>1909</v>
      </c>
      <c r="B577" s="22" t="s">
        <v>1910</v>
      </c>
      <c r="C577" s="23" t="str">
        <f ca="1">IFERROR(__xludf.DUMMYFUNCTION("index(split(B577,"" ""),1,2)"),"welds")</f>
        <v>welds</v>
      </c>
      <c r="D577" s="24" t="str">
        <f t="shared" si="2"/>
        <v>waders</v>
      </c>
      <c r="E577" s="22" t="s">
        <v>1911</v>
      </c>
    </row>
    <row r="578" spans="1:5" ht="12.75" x14ac:dyDescent="0.35">
      <c r="A578" s="21" t="s">
        <v>1912</v>
      </c>
      <c r="B578" s="22" t="s">
        <v>1913</v>
      </c>
      <c r="C578" s="23" t="str">
        <f ca="1">IFERROR(__xludf.DUMMYFUNCTION("index(split(B578,"" ""),1,2)"),"weewees")</f>
        <v>weewees</v>
      </c>
      <c r="D578" s="24" t="str">
        <f t="shared" si="2"/>
        <v>weed</v>
      </c>
      <c r="E578" s="25"/>
    </row>
    <row r="579" spans="1:5" ht="12.75" x14ac:dyDescent="0.35">
      <c r="A579" s="21" t="s">
        <v>1914</v>
      </c>
      <c r="B579" s="22" t="s">
        <v>1915</v>
      </c>
      <c r="C579" s="23" t="str">
        <f ca="1">IFERROR(__xludf.DUMMYFUNCTION("index(split(B579,"" ""),1,2)"),"wiffles")</f>
        <v>wiffles</v>
      </c>
      <c r="D579" s="24" t="str">
        <f t="shared" si="2"/>
        <v>waffle</v>
      </c>
      <c r="E579" s="25"/>
    </row>
    <row r="580" spans="1:5" ht="12.75" x14ac:dyDescent="0.35">
      <c r="A580" s="21" t="s">
        <v>1916</v>
      </c>
      <c r="B580" s="22" t="s">
        <v>1917</v>
      </c>
      <c r="C580" s="23" t="str">
        <f ca="1">IFERROR(__xludf.DUMMYFUNCTION("index(split(B580,"" ""),1,2)"),"wiggles")</f>
        <v>wiggles</v>
      </c>
      <c r="D580" s="24" t="str">
        <f t="shared" si="2"/>
        <v>wig</v>
      </c>
      <c r="E580" s="25"/>
    </row>
    <row r="581" spans="1:5" ht="12.75" x14ac:dyDescent="0.35">
      <c r="A581" s="21" t="s">
        <v>1918</v>
      </c>
      <c r="B581" s="22" t="s">
        <v>1919</v>
      </c>
      <c r="C581" s="23" t="str">
        <f ca="1">IFERROR(__xludf.DUMMYFUNCTION("index(split(B581,"" ""),1,2)"),"washes")</f>
        <v>washes</v>
      </c>
      <c r="D581" s="24" t="str">
        <f t="shared" si="2"/>
        <v>washer</v>
      </c>
      <c r="E581" s="25"/>
    </row>
    <row r="582" spans="1:5" ht="12.75" x14ac:dyDescent="0.35">
      <c r="A582" s="21" t="s">
        <v>1920</v>
      </c>
      <c r="B582" s="22" t="s">
        <v>1921</v>
      </c>
      <c r="C582" s="23" t="str">
        <f ca="1">IFERROR(__xludf.DUMMYFUNCTION("index(split(B582,"" ""),1,2)"),"wings")</f>
        <v>wings</v>
      </c>
      <c r="D582" s="24" t="str">
        <f t="shared" si="2"/>
        <v>wii</v>
      </c>
      <c r="E582" s="22" t="s">
        <v>1922</v>
      </c>
    </row>
    <row r="583" spans="1:5" ht="12.75" x14ac:dyDescent="0.35">
      <c r="A583" s="21" t="s">
        <v>1923</v>
      </c>
      <c r="B583" s="22" t="s">
        <v>1924</v>
      </c>
      <c r="C583" s="23" t="str">
        <f ca="1">IFERROR(__xludf.DUMMYFUNCTION("index(split(B583,"" ""),1,2)"),"wejars")</f>
        <v>wejars</v>
      </c>
      <c r="D583" s="24" t="str">
        <f t="shared" si="2"/>
        <v>woju</v>
      </c>
      <c r="E583" s="22" t="s">
        <v>1925</v>
      </c>
    </row>
    <row r="584" spans="1:5" ht="12.75" x14ac:dyDescent="0.35">
      <c r="A584" s="21" t="s">
        <v>1926</v>
      </c>
      <c r="B584" s="22" t="s">
        <v>1927</v>
      </c>
      <c r="C584" s="23" t="str">
        <f ca="1">IFERROR(__xludf.DUMMYFUNCTION("index(split(B584,"" ""),1,2)"),"whacks")</f>
        <v>whacks</v>
      </c>
      <c r="D584" s="24" t="str">
        <f t="shared" si="2"/>
        <v>walker</v>
      </c>
      <c r="E584" s="25"/>
    </row>
    <row r="585" spans="1:5" ht="12.75" x14ac:dyDescent="0.35">
      <c r="A585" s="21" t="s">
        <v>1928</v>
      </c>
      <c r="B585" s="22" t="s">
        <v>1929</v>
      </c>
      <c r="C585" s="23" t="str">
        <f ca="1">IFERROR(__xludf.DUMMYFUNCTION("index(split(B585,"" ""),1,2)"),"walls")</f>
        <v>walls</v>
      </c>
      <c r="D585" s="24" t="str">
        <f t="shared" si="2"/>
        <v>whale</v>
      </c>
      <c r="E585" s="22" t="s">
        <v>1930</v>
      </c>
    </row>
    <row r="586" spans="1:5" ht="12.75" x14ac:dyDescent="0.35">
      <c r="A586" s="21" t="s">
        <v>1931</v>
      </c>
      <c r="B586" s="22" t="s">
        <v>1932</v>
      </c>
      <c r="C586" s="23" t="str">
        <f ca="1">IFERROR(__xludf.DUMMYFUNCTION("index(split(B586,"" ""),1,2)"),"whams")</f>
        <v>whams</v>
      </c>
      <c r="D586" s="24" t="str">
        <f t="shared" si="2"/>
        <v>whamo</v>
      </c>
      <c r="E586" s="22" t="s">
        <v>1933</v>
      </c>
    </row>
    <row r="587" spans="1:5" ht="12.75" x14ac:dyDescent="0.35">
      <c r="A587" s="21" t="s">
        <v>1934</v>
      </c>
      <c r="B587" s="22" t="s">
        <v>1935</v>
      </c>
      <c r="C587" s="23" t="str">
        <f ca="1">IFERROR(__xludf.DUMMYFUNCTION("index(split(B587,"" ""),1,2)"),"wins")</f>
        <v>wins</v>
      </c>
      <c r="D587" s="24" t="str">
        <f t="shared" si="2"/>
        <v>wine</v>
      </c>
      <c r="E587" s="22" t="s">
        <v>1936</v>
      </c>
    </row>
    <row r="588" spans="1:5" ht="12.75" x14ac:dyDescent="0.35">
      <c r="A588" s="21" t="s">
        <v>1937</v>
      </c>
      <c r="B588" s="22" t="s">
        <v>1938</v>
      </c>
      <c r="C588" s="23" t="str">
        <f ca="1">IFERROR(__xludf.DUMMYFUNCTION("index(split(B588,"" ""),1,2)"),"whoopsies")</f>
        <v>whoopsies</v>
      </c>
      <c r="D588" s="24" t="str">
        <f t="shared" si="2"/>
        <v>woo-woo</v>
      </c>
      <c r="E588" s="22" t="s">
        <v>1939</v>
      </c>
    </row>
    <row r="589" spans="1:5" ht="12.75" x14ac:dyDescent="0.35">
      <c r="A589" s="21" t="s">
        <v>1940</v>
      </c>
      <c r="B589" s="22" t="s">
        <v>1941</v>
      </c>
      <c r="C589" s="23" t="str">
        <f ca="1">IFERROR(__xludf.DUMMYFUNCTION("index(split(B589,"" ""),1,2)"),"wipes")</f>
        <v>wipes</v>
      </c>
      <c r="D589" s="24" t="str">
        <f t="shared" si="2"/>
        <v>whippet</v>
      </c>
      <c r="E589" s="22" t="s">
        <v>1942</v>
      </c>
    </row>
    <row r="590" spans="1:5" ht="12.75" x14ac:dyDescent="0.35">
      <c r="A590" s="21" t="s">
        <v>1943</v>
      </c>
      <c r="B590" s="22" t="s">
        <v>1944</v>
      </c>
      <c r="C590" s="23" t="str">
        <f ca="1">IFERROR(__xludf.DUMMYFUNCTION("index(split(B590,"" ""),1,2)"),"wasques")</f>
        <v>wasques</v>
      </c>
      <c r="D590" s="24" t="str">
        <f t="shared" si="2"/>
        <v>waqf</v>
      </c>
      <c r="E590" s="22" t="s">
        <v>1945</v>
      </c>
    </row>
    <row r="591" spans="1:5" ht="12.75" x14ac:dyDescent="0.35">
      <c r="A591" s="21" t="s">
        <v>1946</v>
      </c>
      <c r="B591" s="22" t="s">
        <v>1947</v>
      </c>
      <c r="C591" s="23" t="str">
        <f ca="1">IFERROR(__xludf.DUMMYFUNCTION("index(split(B591,"" ""),1,2)"),"wears")</f>
        <v>wears</v>
      </c>
      <c r="D591" s="24" t="str">
        <f t="shared" si="2"/>
        <v>walrus</v>
      </c>
      <c r="E591" s="22" t="s">
        <v>1948</v>
      </c>
    </row>
    <row r="592" spans="1:5" ht="12.75" x14ac:dyDescent="0.35">
      <c r="A592" s="21" t="s">
        <v>1949</v>
      </c>
      <c r="B592" s="22" t="s">
        <v>1950</v>
      </c>
      <c r="C592" s="23" t="str">
        <f ca="1">IFERROR(__xludf.DUMMYFUNCTION("index(split(B592,"" ""),1,2)"),"wassails")</f>
        <v>wassails</v>
      </c>
      <c r="D592" s="24" t="str">
        <f t="shared" si="2"/>
        <v>weasel</v>
      </c>
      <c r="E592" s="22" t="s">
        <v>1951</v>
      </c>
    </row>
    <row r="593" spans="1:5" ht="12.75" x14ac:dyDescent="0.35">
      <c r="A593" s="21" t="s">
        <v>1952</v>
      </c>
      <c r="B593" s="22" t="s">
        <v>1953</v>
      </c>
      <c r="C593" s="23" t="str">
        <f ca="1">IFERROR(__xludf.DUMMYFUNCTION("index(split(B593,"" ""),1,2)"),"whittles")</f>
        <v>whittles</v>
      </c>
      <c r="D593" s="24" t="str">
        <f t="shared" si="2"/>
        <v>waterbed</v>
      </c>
      <c r="E593" s="22" t="s">
        <v>1954</v>
      </c>
    </row>
    <row r="594" spans="1:5" ht="12.75" x14ac:dyDescent="0.35">
      <c r="A594" s="21" t="s">
        <v>1955</v>
      </c>
      <c r="B594" s="22" t="s">
        <v>1956</v>
      </c>
      <c r="C594" s="23" t="str">
        <f ca="1">IFERROR(__xludf.DUMMYFUNCTION("index(split(B594,"" ""),1,2)"),"wub-wub's")</f>
        <v>wub-wub's</v>
      </c>
      <c r="D594" s="24" t="str">
        <f t="shared" si="2"/>
        <v>wuukah</v>
      </c>
      <c r="E594" s="22" t="s">
        <v>1957</v>
      </c>
    </row>
    <row r="595" spans="1:5" ht="12.75" x14ac:dyDescent="0.35">
      <c r="A595" s="21" t="s">
        <v>1958</v>
      </c>
      <c r="B595" s="22" t="s">
        <v>1959</v>
      </c>
      <c r="C595" s="23" t="str">
        <f ca="1">IFERROR(__xludf.DUMMYFUNCTION("index(split(B595,"" ""),1,2)"),"weaves")</f>
        <v>weaves</v>
      </c>
      <c r="D595" s="24" t="str">
        <f t="shared" si="2"/>
        <v>wivern</v>
      </c>
      <c r="E595" s="22" t="s">
        <v>1960</v>
      </c>
    </row>
    <row r="596" spans="1:5" ht="12.75" x14ac:dyDescent="0.35">
      <c r="A596" s="21" t="s">
        <v>1961</v>
      </c>
      <c r="B596" s="22" t="s">
        <v>1962</v>
      </c>
      <c r="C596" s="23" t="str">
        <f ca="1">IFERROR(__xludf.DUMMYFUNCTION("index(split(B596,"" ""),1,2)"),"WW's")</f>
        <v>WW's</v>
      </c>
      <c r="D596" s="24" t="str">
        <f t="shared" si="2"/>
        <v>WW</v>
      </c>
      <c r="E596" s="22" t="s">
        <v>1963</v>
      </c>
    </row>
    <row r="597" spans="1:5" ht="12.75" x14ac:dyDescent="0.35">
      <c r="A597" s="21" t="s">
        <v>1964</v>
      </c>
      <c r="B597" s="22" t="s">
        <v>1965</v>
      </c>
      <c r="C597" s="23" t="str">
        <f ca="1">IFERROR(__xludf.DUMMYFUNCTION("index(split(B597,"" ""),1,2)"),"waxes")</f>
        <v>waxes</v>
      </c>
      <c r="D597" s="24" t="str">
        <f t="shared" si="2"/>
        <v>waxwing</v>
      </c>
      <c r="E597" s="22" t="s">
        <v>1966</v>
      </c>
    </row>
    <row r="598" spans="1:5" ht="12.75" x14ac:dyDescent="0.35">
      <c r="A598" s="21" t="s">
        <v>1967</v>
      </c>
      <c r="B598" s="22" t="s">
        <v>1968</v>
      </c>
      <c r="C598" s="23" t="str">
        <f ca="1">IFERROR(__xludf.DUMMYFUNCTION("index(split(B598,"" ""),1,2)"),"waylays")</f>
        <v>waylays</v>
      </c>
      <c r="D598" s="24" t="str">
        <f t="shared" si="2"/>
        <v>whey</v>
      </c>
      <c r="E598" s="22" t="s">
        <v>1969</v>
      </c>
    </row>
    <row r="599" spans="1:5" ht="12.75" x14ac:dyDescent="0.35">
      <c r="A599" s="26" t="s">
        <v>1970</v>
      </c>
      <c r="B599" s="27" t="s">
        <v>1971</v>
      </c>
      <c r="C599" s="23" t="str">
        <f ca="1">IFERROR(__xludf.DUMMYFUNCTION("index(split(B599,"" ""),1,2)"),"whizzes")</f>
        <v>whizzes</v>
      </c>
      <c r="D599" s="24" t="str">
        <f t="shared" si="2"/>
        <v>wuzzle</v>
      </c>
      <c r="E599" s="27" t="s">
        <v>1972</v>
      </c>
    </row>
    <row r="600" spans="1:5" ht="12.75" x14ac:dyDescent="0.35">
      <c r="A600" s="21" t="s">
        <v>1973</v>
      </c>
      <c r="B600" s="22" t="s">
        <v>1974</v>
      </c>
      <c r="C600" s="23" t="str">
        <f ca="1">IFERROR(__xludf.DUMMYFUNCTION("index(split(B600,"" ""),1,2)"),"cha-cha's")</f>
        <v>cha-cha's</v>
      </c>
      <c r="D600" s="24" t="str">
        <f t="shared" si="2"/>
        <v>chai</v>
      </c>
      <c r="E600" s="22" t="s">
        <v>1975</v>
      </c>
    </row>
    <row r="601" spans="1:5" ht="12.75" x14ac:dyDescent="0.35">
      <c r="A601" s="21" t="s">
        <v>1976</v>
      </c>
      <c r="B601" s="22" t="s">
        <v>1977</v>
      </c>
      <c r="C601" s="23" t="str">
        <f ca="1">IFERROR(__xludf.DUMMYFUNCTION("index(split(B601,"" ""),1,2)"),"charbroils")</f>
        <v>charbroils</v>
      </c>
      <c r="D601" s="24" t="str">
        <f t="shared" si="2"/>
        <v>chipboard</v>
      </c>
      <c r="E601" s="25"/>
    </row>
    <row r="602" spans="1:5" ht="12.75" x14ac:dyDescent="0.35">
      <c r="A602" s="21" t="s">
        <v>1978</v>
      </c>
      <c r="B602" s="22" t="s">
        <v>1979</v>
      </c>
      <c r="C602" s="23" t="str">
        <f ca="1">IFERROR(__xludf.DUMMYFUNCTION("index(split(B602,"" ""),1,2)"),"chaconnes")</f>
        <v>chaconnes</v>
      </c>
      <c r="D602" s="24" t="str">
        <f t="shared" si="2"/>
        <v>charcoal</v>
      </c>
      <c r="E602" s="22" t="s">
        <v>1980</v>
      </c>
    </row>
    <row r="603" spans="1:5" ht="12.75" x14ac:dyDescent="0.35">
      <c r="A603" s="21" t="s">
        <v>1981</v>
      </c>
      <c r="B603" s="22" t="s">
        <v>1982</v>
      </c>
      <c r="C603" s="23" t="str">
        <f ca="1">IFERROR(__xludf.DUMMYFUNCTION("index(split(B603,"" ""),1,2)"),"cheddars")</f>
        <v>cheddars</v>
      </c>
      <c r="D603" s="24" t="str">
        <f t="shared" si="2"/>
        <v>chowder</v>
      </c>
      <c r="E603" s="22" t="s">
        <v>1983</v>
      </c>
    </row>
    <row r="604" spans="1:5" ht="12.75" x14ac:dyDescent="0.35">
      <c r="A604" s="21" t="s">
        <v>1984</v>
      </c>
      <c r="B604" s="22" t="s">
        <v>1985</v>
      </c>
      <c r="C604" s="23" t="str">
        <f ca="1">IFERROR(__xludf.DUMMYFUNCTION("index(split(B604,"" ""),1,2)"),"cheeses")</f>
        <v>cheeses</v>
      </c>
      <c r="D604" s="24" t="str">
        <f t="shared" si="2"/>
        <v>cheeseburger</v>
      </c>
      <c r="E604" s="22" t="s">
        <v>1986</v>
      </c>
    </row>
    <row r="605" spans="1:5" ht="12.75" x14ac:dyDescent="0.35">
      <c r="A605" s="21" t="s">
        <v>1987</v>
      </c>
      <c r="B605" s="22" t="s">
        <v>1988</v>
      </c>
      <c r="C605" s="23" t="str">
        <f ca="1">IFERROR(__xludf.DUMMYFUNCTION("index(split(B605,"" ""),1,2)"),"chauffeurs")</f>
        <v>chauffeurs</v>
      </c>
      <c r="D605" s="24" t="str">
        <f t="shared" si="2"/>
        <v>chiffon</v>
      </c>
      <c r="E605" s="22" t="s">
        <v>1989</v>
      </c>
    </row>
    <row r="606" spans="1:5" ht="12.75" x14ac:dyDescent="0.35">
      <c r="A606" s="21" t="s">
        <v>1990</v>
      </c>
      <c r="B606" s="22" t="s">
        <v>1991</v>
      </c>
      <c r="C606" s="23" t="str">
        <f ca="1">IFERROR(__xludf.DUMMYFUNCTION("index(split(B606,"" ""),1,2)"),"chugs")</f>
        <v>chugs</v>
      </c>
      <c r="D606" s="24" t="str">
        <f t="shared" si="2"/>
        <v>chigger</v>
      </c>
      <c r="E606" s="22" t="s">
        <v>1992</v>
      </c>
    </row>
    <row r="607" spans="1:5" ht="12.75" x14ac:dyDescent="0.35">
      <c r="A607" s="21" t="s">
        <v>1993</v>
      </c>
      <c r="B607" s="22" t="s">
        <v>1994</v>
      </c>
      <c r="C607" s="23" t="str">
        <f ca="1">IFERROR(__xludf.DUMMYFUNCTION("index(split(B607,"" ""),1,2)"),"chainshots")</f>
        <v>chainshots</v>
      </c>
      <c r="D607" s="24" t="str">
        <f t="shared" si="2"/>
        <v>cheshire</v>
      </c>
      <c r="E607" s="22" t="s">
        <v>1995</v>
      </c>
    </row>
    <row r="608" spans="1:5" ht="12.75" x14ac:dyDescent="0.35">
      <c r="A608" s="21" t="s">
        <v>1996</v>
      </c>
      <c r="B608" s="22" t="s">
        <v>1997</v>
      </c>
      <c r="C608" s="23" t="str">
        <f ca="1">IFERROR(__xludf.DUMMYFUNCTION("index(split(B608,"" ""),1,2)"),"chings")</f>
        <v>chings</v>
      </c>
      <c r="D608" s="24" t="str">
        <f t="shared" si="2"/>
        <v>chinchilla</v>
      </c>
      <c r="E608" s="22" t="s">
        <v>1998</v>
      </c>
    </row>
    <row r="609" spans="1:5" ht="12.75" x14ac:dyDescent="0.35">
      <c r="A609" s="21" t="s">
        <v>1999</v>
      </c>
      <c r="B609" s="22" t="s">
        <v>2000</v>
      </c>
      <c r="C609" s="23" t="str">
        <f ca="1">IFERROR(__xludf.DUMMYFUNCTION("index(split(B609,"" ""),1,2)"),"cheapjacks")</f>
        <v>cheapjacks</v>
      </c>
      <c r="D609" s="24" t="str">
        <f t="shared" si="2"/>
        <v>chajang</v>
      </c>
      <c r="E609" s="22" t="s">
        <v>2001</v>
      </c>
    </row>
    <row r="610" spans="1:5" ht="12.75" x14ac:dyDescent="0.35">
      <c r="A610" s="21" t="s">
        <v>2002</v>
      </c>
      <c r="B610" s="22" t="s">
        <v>2003</v>
      </c>
      <c r="C610" s="23" t="str">
        <f ca="1">IFERROR(__xludf.DUMMYFUNCTION("index(split(B610,"" ""),1,2)"),"checks")</f>
        <v>checks</v>
      </c>
      <c r="D610" s="24" t="str">
        <f t="shared" si="2"/>
        <v>chicken</v>
      </c>
      <c r="E610" s="22" t="s">
        <v>2004</v>
      </c>
    </row>
    <row r="611" spans="1:5" ht="12.75" x14ac:dyDescent="0.35">
      <c r="A611" s="21" t="s">
        <v>2005</v>
      </c>
      <c r="B611" s="22" t="s">
        <v>2006</v>
      </c>
      <c r="C611" s="23" t="str">
        <f ca="1">IFERROR(__xludf.DUMMYFUNCTION("index(split(B611,"" ""),1,2)"),"chills")</f>
        <v>chills</v>
      </c>
      <c r="D611" s="24" t="str">
        <f t="shared" si="2"/>
        <v>chalice</v>
      </c>
      <c r="E611" s="22" t="s">
        <v>2007</v>
      </c>
    </row>
    <row r="612" spans="1:5" ht="12.75" x14ac:dyDescent="0.35">
      <c r="A612" s="21" t="s">
        <v>2008</v>
      </c>
      <c r="B612" s="22" t="s">
        <v>2009</v>
      </c>
      <c r="C612" s="23" t="str">
        <f ca="1">IFERROR(__xludf.DUMMYFUNCTION("index(split(B612,"" ""),1,2)"),"chamoises")</f>
        <v>chamoises</v>
      </c>
      <c r="D612" s="24" t="str">
        <f t="shared" si="2"/>
        <v>chimes</v>
      </c>
      <c r="E612" s="22" t="s">
        <v>2010</v>
      </c>
    </row>
    <row r="613" spans="1:5" ht="12.75" x14ac:dyDescent="0.35">
      <c r="A613" s="21" t="s">
        <v>2011</v>
      </c>
      <c r="B613" s="22" t="s">
        <v>2012</v>
      </c>
      <c r="C613" s="23" t="str">
        <f ca="1">IFERROR(__xludf.DUMMYFUNCTION("index(split(B613,"" ""),1,2)"),"chines")</f>
        <v>chines</v>
      </c>
      <c r="D613" s="24" t="str">
        <f t="shared" si="2"/>
        <v>chinook</v>
      </c>
      <c r="E613" s="22" t="s">
        <v>2013</v>
      </c>
    </row>
    <row r="614" spans="1:5" ht="12.75" x14ac:dyDescent="0.35">
      <c r="A614" s="21" t="s">
        <v>2014</v>
      </c>
      <c r="B614" s="22" t="s">
        <v>2015</v>
      </c>
      <c r="C614" s="23" t="str">
        <f ca="1">IFERROR(__xludf.DUMMYFUNCTION("index(split(B614,"" ""),1,2)"),"choochoo's")</f>
        <v>choochoo's</v>
      </c>
      <c r="D614" s="24" t="str">
        <f t="shared" si="2"/>
        <v>chooser</v>
      </c>
      <c r="E614" s="22" t="s">
        <v>2016</v>
      </c>
    </row>
    <row r="615" spans="1:5" ht="12.75" x14ac:dyDescent="0.35">
      <c r="A615" s="21" t="s">
        <v>2017</v>
      </c>
      <c r="B615" s="22" t="s">
        <v>2018</v>
      </c>
      <c r="C615" s="23" t="str">
        <f ca="1">IFERROR(__xludf.DUMMYFUNCTION("index(split(B615,"" ""),1,2)"),"chops")</f>
        <v>chops</v>
      </c>
      <c r="D615" s="24" t="str">
        <f t="shared" si="2"/>
        <v>chopper</v>
      </c>
      <c r="E615" s="22" t="s">
        <v>2019</v>
      </c>
    </row>
    <row r="616" spans="1:5" ht="12.75" x14ac:dyDescent="0.35">
      <c r="A616" s="21" t="s">
        <v>2020</v>
      </c>
      <c r="B616" s="22" t="s">
        <v>2021</v>
      </c>
      <c r="C616" s="23" t="str">
        <f ca="1">IFERROR(__xludf.DUMMYFUNCTION("index(split(B616,"" ""),1,2)"),"charqui's")</f>
        <v>charqui's</v>
      </c>
      <c r="D616" s="24" t="str">
        <f t="shared" si="2"/>
        <v>chiquita</v>
      </c>
      <c r="E616" s="22" t="s">
        <v>2022</v>
      </c>
    </row>
    <row r="617" spans="1:5" ht="12.75" x14ac:dyDescent="0.35">
      <c r="A617" s="21" t="s">
        <v>2023</v>
      </c>
      <c r="B617" s="22" t="s">
        <v>2024</v>
      </c>
      <c r="C617" s="23" t="str">
        <f ca="1">IFERROR(__xludf.DUMMYFUNCTION("index(split(B617,"" ""),1,2)"),"cheroots")</f>
        <v>cheroots</v>
      </c>
      <c r="D617" s="24" t="str">
        <f t="shared" si="2"/>
        <v>chariot</v>
      </c>
      <c r="E617" s="22" t="s">
        <v>2025</v>
      </c>
    </row>
    <row r="618" spans="1:5" ht="12.75" x14ac:dyDescent="0.35">
      <c r="A618" s="21" t="s">
        <v>2026</v>
      </c>
      <c r="B618" s="22" t="s">
        <v>2027</v>
      </c>
      <c r="C618" s="23" t="str">
        <f ca="1">IFERROR(__xludf.DUMMYFUNCTION("index(split(B618,"" ""),1,2)"),"chisels")</f>
        <v>chisels</v>
      </c>
      <c r="D618" s="24" t="str">
        <f t="shared" si="2"/>
        <v>chassis</v>
      </c>
      <c r="E618" s="22" t="s">
        <v>2028</v>
      </c>
    </row>
    <row r="619" spans="1:5" ht="12.75" x14ac:dyDescent="0.35">
      <c r="A619" s="21" t="s">
        <v>2029</v>
      </c>
      <c r="B619" s="22" t="s">
        <v>2030</v>
      </c>
      <c r="C619" s="23" t="str">
        <f ca="1">IFERROR(__xludf.DUMMYFUNCTION("index(split(B619,"" ""),1,2)"),"charts")</f>
        <v>charts</v>
      </c>
      <c r="D619" s="24" t="str">
        <f t="shared" si="2"/>
        <v>chest</v>
      </c>
      <c r="E619" s="22" t="s">
        <v>2031</v>
      </c>
    </row>
    <row r="620" spans="1:5" ht="12.75" x14ac:dyDescent="0.35">
      <c r="A620" s="21" t="s">
        <v>2032</v>
      </c>
      <c r="B620" s="22" t="s">
        <v>2033</v>
      </c>
      <c r="C620" s="23" t="str">
        <f ca="1">IFERROR(__xludf.DUMMYFUNCTION("index(split(B620,"" ""),1,2)"),"churches")</f>
        <v>churches</v>
      </c>
      <c r="D620" s="24" t="str">
        <f t="shared" si="2"/>
        <v>chunchullo</v>
      </c>
      <c r="E620" s="22" t="s">
        <v>2034</v>
      </c>
    </row>
    <row r="621" spans="1:5" ht="12.75" x14ac:dyDescent="0.35">
      <c r="A621" s="21" t="s">
        <v>2035</v>
      </c>
      <c r="B621" s="22" t="s">
        <v>2036</v>
      </c>
      <c r="C621" s="23" t="str">
        <f ca="1">IFERROR(__xludf.DUMMYFUNCTION("index(split(B621,"" ""),1,2)"),"chevies")</f>
        <v>chevies</v>
      </c>
      <c r="D621" s="24" t="str">
        <f t="shared" si="2"/>
        <v>chives</v>
      </c>
      <c r="E621" s="22" t="s">
        <v>2037</v>
      </c>
    </row>
    <row r="622" spans="1:5" ht="12.75" x14ac:dyDescent="0.35">
      <c r="A622" s="21" t="s">
        <v>2038</v>
      </c>
      <c r="B622" s="22" t="s">
        <v>2039</v>
      </c>
      <c r="C622" s="23" t="str">
        <f ca="1">IFERROR(__xludf.DUMMYFUNCTION("index(split(B622,"" ""),1,2)"),"chews")</f>
        <v>chews</v>
      </c>
      <c r="D622" s="24" t="str">
        <f t="shared" si="2"/>
        <v>chaw</v>
      </c>
      <c r="E622" s="22" t="s">
        <v>2040</v>
      </c>
    </row>
    <row r="623" spans="1:5" ht="12.75" x14ac:dyDescent="0.35">
      <c r="A623" s="21" t="s">
        <v>2041</v>
      </c>
      <c r="B623" s="22"/>
      <c r="C623" s="23" t="str">
        <f ca="1">IFERROR(__xludf.DUMMYFUNCTION("index(split(B623,"" ""),1,2)"),"#VALUE!")</f>
        <v>#VALUE!</v>
      </c>
      <c r="D623" s="24" t="str">
        <f t="shared" si="2"/>
        <v/>
      </c>
      <c r="E623" s="25"/>
    </row>
    <row r="624" spans="1:5" ht="12.75" x14ac:dyDescent="0.35">
      <c r="A624" s="21" t="s">
        <v>2042</v>
      </c>
      <c r="B624" s="22" t="s">
        <v>2043</v>
      </c>
      <c r="C624" s="23" t="str">
        <f ca="1">IFERROR(__xludf.DUMMYFUNCTION("index(split(B624,"" ""),1,2)"),"choys")</f>
        <v>choys</v>
      </c>
      <c r="D624" s="24" t="str">
        <f t="shared" si="2"/>
        <v>cheyanne</v>
      </c>
      <c r="E624" s="22" t="s">
        <v>2044</v>
      </c>
    </row>
    <row r="625" spans="1:5" ht="12.75" x14ac:dyDescent="0.35">
      <c r="A625" s="26" t="s">
        <v>2045</v>
      </c>
      <c r="B625" s="28" t="s">
        <v>2046</v>
      </c>
      <c r="C625" s="23" t="str">
        <f ca="1">IFERROR(__xludf.DUMMYFUNCTION("index(split(B625,"" ""),1,2)"),"chizzes")</f>
        <v>chizzes</v>
      </c>
      <c r="D625" s="24" t="str">
        <f t="shared" si="2"/>
        <v>chintz</v>
      </c>
      <c r="E625" s="28" t="s">
        <v>2047</v>
      </c>
    </row>
    <row r="626" spans="1:5" ht="12.75" x14ac:dyDescent="0.35">
      <c r="A626" s="21" t="s">
        <v>2048</v>
      </c>
      <c r="B626" s="22" t="s">
        <v>2049</v>
      </c>
      <c r="C626" s="23" t="str">
        <f ca="1">IFERROR(__xludf.DUMMYFUNCTION("index(split(B626,"" ""),1,2)"),"yays")</f>
        <v>yays</v>
      </c>
      <c r="D626" s="24" t="str">
        <f t="shared" si="2"/>
        <v>yarpha</v>
      </c>
      <c r="E626" s="22" t="s">
        <v>2050</v>
      </c>
    </row>
    <row r="627" spans="1:5" ht="12.75" x14ac:dyDescent="0.35">
      <c r="A627" s="21" t="s">
        <v>2051</v>
      </c>
      <c r="B627" s="22" t="s">
        <v>2052</v>
      </c>
      <c r="C627" s="23" t="str">
        <f ca="1">IFERROR(__xludf.DUMMYFUNCTION("index(split(B627,"" ""),1,2)"),"yabba-dabba-doo's")</f>
        <v>yabba-dabba-doo's</v>
      </c>
      <c r="D627" s="24" t="str">
        <f t="shared" si="2"/>
        <v>yearbook</v>
      </c>
      <c r="E627" s="22" t="s">
        <v>2053</v>
      </c>
    </row>
    <row r="628" spans="1:5" ht="12.75" x14ac:dyDescent="0.35">
      <c r="A628" s="21" t="s">
        <v>2054</v>
      </c>
      <c r="B628" s="22" t="s">
        <v>2055</v>
      </c>
      <c r="C628" s="23" t="str">
        <f ca="1">IFERROR(__xludf.DUMMYFUNCTION("index(split(B628,"" ""),1,2)"),"yocoins")</f>
        <v>yocoins</v>
      </c>
      <c r="D628" s="24" t="str">
        <f t="shared" si="2"/>
        <v>yucca</v>
      </c>
      <c r="E628" s="22" t="s">
        <v>2056</v>
      </c>
    </row>
    <row r="629" spans="1:5" ht="12.75" x14ac:dyDescent="0.35">
      <c r="A629" s="21" t="s">
        <v>2057</v>
      </c>
      <c r="B629" s="22" t="s">
        <v>2058</v>
      </c>
      <c r="C629" s="23" t="str">
        <f ca="1">IFERROR(__xludf.DUMMYFUNCTION("index(split(B629,"" ""),1,2)"),"yields")</f>
        <v>yields</v>
      </c>
      <c r="D629" s="24" t="str">
        <f t="shared" si="2"/>
        <v>yard</v>
      </c>
      <c r="E629" s="22" t="s">
        <v>2059</v>
      </c>
    </row>
    <row r="630" spans="1:5" ht="12.75" x14ac:dyDescent="0.35">
      <c r="A630" s="21" t="s">
        <v>2060</v>
      </c>
      <c r="B630" s="22" t="s">
        <v>2061</v>
      </c>
      <c r="C630" s="23" t="str">
        <f ca="1">IFERROR(__xludf.DUMMYFUNCTION("index(split(B630,"" ""),1,2)"),"yeelights")</f>
        <v>yeelights</v>
      </c>
      <c r="D630" s="24" t="str">
        <f t="shared" si="2"/>
        <v>yeedi</v>
      </c>
      <c r="E630" s="22" t="s">
        <v>2062</v>
      </c>
    </row>
    <row r="631" spans="1:5" ht="12.75" x14ac:dyDescent="0.35">
      <c r="A631" s="21" t="s">
        <v>2063</v>
      </c>
      <c r="B631" s="22" t="s">
        <v>2064</v>
      </c>
      <c r="C631" s="23" t="str">
        <f ca="1">IFERROR(__xludf.DUMMYFUNCTION("index(split(B631,"" ""),1,2)"),"yaffa's")</f>
        <v>yaffa's</v>
      </c>
      <c r="D631" s="24" t="str">
        <f t="shared" si="2"/>
        <v>yaffle</v>
      </c>
      <c r="E631" s="22" t="s">
        <v>2065</v>
      </c>
    </row>
    <row r="632" spans="1:5" ht="12.75" x14ac:dyDescent="0.35">
      <c r="A632" s="21" t="s">
        <v>2066</v>
      </c>
      <c r="B632" s="22" t="s">
        <v>2067</v>
      </c>
      <c r="C632" s="23" t="str">
        <f ca="1">IFERROR(__xludf.DUMMYFUNCTION("index(split(B632,"" ""),1,2)"),"yeggs")</f>
        <v>yeggs</v>
      </c>
      <c r="D632" s="24" t="str">
        <f t="shared" si="2"/>
        <v>yogurt</v>
      </c>
      <c r="E632" s="22" t="s">
        <v>2068</v>
      </c>
    </row>
    <row r="633" spans="1:5" ht="12.75" x14ac:dyDescent="0.35">
      <c r="A633" s="21" t="s">
        <v>2069</v>
      </c>
      <c r="B633" s="22" t="s">
        <v>2070</v>
      </c>
      <c r="C633" s="23" t="str">
        <f ca="1">IFERROR(__xludf.DUMMYFUNCTION("index(split(B633,"" ""),1,2)"),"yoshi's")</f>
        <v>yoshi's</v>
      </c>
      <c r="D633" s="24" t="str">
        <f t="shared" si="2"/>
        <v>yashica</v>
      </c>
      <c r="E633" s="22" t="s">
        <v>2071</v>
      </c>
    </row>
    <row r="634" spans="1:5" ht="12.75" x14ac:dyDescent="0.35">
      <c r="A634" s="21" t="s">
        <v>2072</v>
      </c>
      <c r="B634" s="22" t="s">
        <v>2073</v>
      </c>
      <c r="C634" s="23" t="str">
        <f ca="1">IFERROR(__xludf.DUMMYFUNCTION("index(split(B634,"" ""),1,2)"),"yinyoo's")</f>
        <v>yinyoo's</v>
      </c>
      <c r="D634" s="24" t="str">
        <f t="shared" si="2"/>
        <v>yin_yang</v>
      </c>
      <c r="E634" s="22" t="s">
        <v>2074</v>
      </c>
    </row>
    <row r="635" spans="1:5" ht="12.75" x14ac:dyDescent="0.35">
      <c r="A635" s="21" t="s">
        <v>2075</v>
      </c>
      <c r="B635" s="22" t="s">
        <v>2076</v>
      </c>
      <c r="C635" s="23" t="str">
        <f ca="1">IFERROR(__xludf.DUMMYFUNCTION("index(split(B635,"" ""),1,2)"),"yojumbo's")</f>
        <v>yojumbo's</v>
      </c>
      <c r="D635" s="24" t="str">
        <f t="shared" si="2"/>
        <v>Yo-J</v>
      </c>
      <c r="E635" s="22" t="s">
        <v>2077</v>
      </c>
    </row>
    <row r="636" spans="1:5" ht="12.75" x14ac:dyDescent="0.35">
      <c r="A636" s="21" t="s">
        <v>2078</v>
      </c>
      <c r="B636" s="22" t="s">
        <v>2079</v>
      </c>
      <c r="C636" s="23" t="str">
        <f ca="1">IFERROR(__xludf.DUMMYFUNCTION("index(split(B636,"" ""),1,2)"),"yanks")</f>
        <v>yanks</v>
      </c>
      <c r="D636" s="24" t="str">
        <f t="shared" si="2"/>
        <v>yak</v>
      </c>
      <c r="E636" s="22" t="s">
        <v>6105</v>
      </c>
    </row>
    <row r="637" spans="1:5" ht="12.75" x14ac:dyDescent="0.35">
      <c r="A637" s="21" t="s">
        <v>2080</v>
      </c>
      <c r="B637" s="22" t="s">
        <v>2081</v>
      </c>
      <c r="C637" s="23" t="str">
        <f ca="1">IFERROR(__xludf.DUMMYFUNCTION("index(split(B637,"" ""),1,2)"),"yellows")</f>
        <v>yellows</v>
      </c>
      <c r="D637" s="24" t="str">
        <f t="shared" si="2"/>
        <v>yule</v>
      </c>
      <c r="E637" s="22" t="s">
        <v>2082</v>
      </c>
    </row>
    <row r="638" spans="1:5" ht="12.75" x14ac:dyDescent="0.35">
      <c r="A638" s="21" t="s">
        <v>2083</v>
      </c>
      <c r="B638" s="22" t="s">
        <v>2084</v>
      </c>
      <c r="C638" s="23" t="str">
        <f ca="1">IFERROR(__xludf.DUMMYFUNCTION("index(split(B638,"" ""),1,2)"),"yamaha's")</f>
        <v>yamaha's</v>
      </c>
      <c r="D638" s="24" t="str">
        <f t="shared" si="2"/>
        <v>yam</v>
      </c>
      <c r="E638" s="22" t="s">
        <v>2085</v>
      </c>
    </row>
    <row r="639" spans="1:5" ht="12.75" x14ac:dyDescent="0.35">
      <c r="A639" s="21" t="s">
        <v>2086</v>
      </c>
      <c r="B639" s="22" t="s">
        <v>2087</v>
      </c>
      <c r="C639" s="23" t="str">
        <f ca="1">IFERROR(__xludf.DUMMYFUNCTION("index(split(B639,"" ""),1,2)"),"yens")</f>
        <v>yens</v>
      </c>
      <c r="D639" s="24" t="str">
        <f t="shared" si="2"/>
        <v>yarn</v>
      </c>
      <c r="E639" s="22" t="s">
        <v>2088</v>
      </c>
    </row>
    <row r="640" spans="1:5" ht="12.75" x14ac:dyDescent="0.35">
      <c r="A640" s="21" t="s">
        <v>2089</v>
      </c>
      <c r="B640" s="22" t="s">
        <v>2090</v>
      </c>
      <c r="C640" s="23" t="str">
        <f ca="1">IFERROR(__xludf.DUMMYFUNCTION("index(split(B640,"" ""),1,2)"),"yo-yo's")</f>
        <v>yo-yo's</v>
      </c>
      <c r="D640" s="24" t="str">
        <f t="shared" si="2"/>
        <v>yo-yo</v>
      </c>
      <c r="E640" s="22" t="s">
        <v>2091</v>
      </c>
    </row>
    <row r="641" spans="1:5" ht="12.75" x14ac:dyDescent="0.35">
      <c r="A641" s="21" t="s">
        <v>2092</v>
      </c>
      <c r="B641" s="22" t="s">
        <v>2093</v>
      </c>
      <c r="C641" s="23" t="str">
        <f ca="1">IFERROR(__xludf.DUMMYFUNCTION("index(split(B641,"" ""),1,2)"),"yomps")</f>
        <v>yomps</v>
      </c>
      <c r="D641" s="24" t="str">
        <f t="shared" si="2"/>
        <v>yapper</v>
      </c>
      <c r="E641" s="22" t="s">
        <v>2094</v>
      </c>
    </row>
    <row r="642" spans="1:5" ht="12.75" x14ac:dyDescent="0.35">
      <c r="A642" s="21" t="s">
        <v>2095</v>
      </c>
      <c r="B642" s="22" t="s">
        <v>2096</v>
      </c>
      <c r="C642" s="23" t="str">
        <f ca="1">IFERROR(__xludf.DUMMYFUNCTION("index(split(B642,"" ""),1,2)"),"yawl-quests")</f>
        <v>yawl-quests</v>
      </c>
      <c r="D642" s="24" t="str">
        <f t="shared" si="2"/>
        <v>youngquist</v>
      </c>
      <c r="E642" s="22" t="s">
        <v>2097</v>
      </c>
    </row>
    <row r="643" spans="1:5" ht="12.75" x14ac:dyDescent="0.35">
      <c r="A643" s="21" t="s">
        <v>2098</v>
      </c>
      <c r="B643" s="22" t="s">
        <v>2099</v>
      </c>
      <c r="C643" s="23" t="str">
        <f ca="1">IFERROR(__xludf.DUMMYFUNCTION("index(split(B643,"" ""),1,2)"),"yores")</f>
        <v>yores</v>
      </c>
      <c r="D643" s="24" t="str">
        <f t="shared" si="2"/>
        <v>yarrow</v>
      </c>
      <c r="E643" s="11" t="s">
        <v>2100</v>
      </c>
    </row>
    <row r="644" spans="1:5" ht="12.75" x14ac:dyDescent="0.35">
      <c r="A644" s="21" t="s">
        <v>2101</v>
      </c>
      <c r="B644" s="22" t="s">
        <v>2102</v>
      </c>
      <c r="C644" s="23" t="str">
        <f ca="1">IFERROR(__xludf.DUMMYFUNCTION("index(split(B644,"" ""),1,2)"),"yardsticks")</f>
        <v>yardsticks</v>
      </c>
      <c r="D644" s="24" t="str">
        <f t="shared" si="2"/>
        <v>yasso</v>
      </c>
      <c r="E644" s="22" t="s">
        <v>2103</v>
      </c>
    </row>
    <row r="645" spans="1:5" ht="12.75" x14ac:dyDescent="0.35">
      <c r="A645" s="21" t="s">
        <v>2104</v>
      </c>
      <c r="B645" s="22" t="s">
        <v>2105</v>
      </c>
      <c r="C645" s="23" t="str">
        <f ca="1">IFERROR(__xludf.DUMMYFUNCTION("index(split(B645,"" ""),1,2)"),"yachts")</f>
        <v>yachts</v>
      </c>
      <c r="D645" s="24" t="str">
        <f t="shared" si="2"/>
        <v>yurt</v>
      </c>
      <c r="E645" s="22" t="s">
        <v>2106</v>
      </c>
    </row>
    <row r="646" spans="1:5" ht="12.75" x14ac:dyDescent="0.35">
      <c r="A646" s="21" t="s">
        <v>2107</v>
      </c>
      <c r="B646" s="22" t="s">
        <v>2108</v>
      </c>
      <c r="C646" s="23" t="str">
        <f ca="1">IFERROR(__xludf.DUMMYFUNCTION("index(split(B646,"" ""),1,2)"),"yuk-yuk's")</f>
        <v>yuk-yuk's</v>
      </c>
      <c r="D646" s="24" t="str">
        <f t="shared" si="2"/>
        <v>yu</v>
      </c>
      <c r="E646" s="22" t="s">
        <v>2109</v>
      </c>
    </row>
    <row r="647" spans="1:5" ht="12.75" x14ac:dyDescent="0.35">
      <c r="A647" s="21" t="s">
        <v>2110</v>
      </c>
      <c r="B647" s="22" t="s">
        <v>2111</v>
      </c>
      <c r="C647" s="23" t="str">
        <f ca="1">IFERROR(__xludf.DUMMYFUNCTION("index(split(B647,"" ""),1,2)"),"yeves")</f>
        <v>yeves</v>
      </c>
      <c r="D647" s="24" t="str">
        <f t="shared" si="2"/>
        <v>yovital</v>
      </c>
      <c r="E647" s="11" t="s">
        <v>2112</v>
      </c>
    </row>
    <row r="648" spans="1:5" ht="12.75" x14ac:dyDescent="0.35">
      <c r="A648" s="21" t="s">
        <v>2113</v>
      </c>
      <c r="B648" s="22" t="s">
        <v>2114</v>
      </c>
      <c r="C648" s="23" t="str">
        <f ca="1">IFERROR(__xludf.DUMMYFUNCTION("index(split(B648,"" ""),1,2)"),"yaws")</f>
        <v>yaws</v>
      </c>
      <c r="D648" s="24" t="str">
        <f t="shared" si="2"/>
        <v>yew</v>
      </c>
      <c r="E648" s="22" t="s">
        <v>2115</v>
      </c>
    </row>
    <row r="649" spans="1:5" ht="12.75" x14ac:dyDescent="0.35">
      <c r="A649" s="21" t="s">
        <v>2116</v>
      </c>
      <c r="B649" s="22" t="s">
        <v>2117</v>
      </c>
      <c r="C649" s="23" t="str">
        <f ca="1">IFERROR(__xludf.DUMMYFUNCTION("index(split(B649,"" ""),1,2)"),"yoxes")</f>
        <v>yoxes</v>
      </c>
      <c r="D649" s="24" t="str">
        <f t="shared" si="2"/>
        <v>yunx</v>
      </c>
      <c r="E649" s="22" t="s">
        <v>2118</v>
      </c>
    </row>
    <row r="650" spans="1:5" ht="12.75" x14ac:dyDescent="0.35">
      <c r="A650" s="21" t="s">
        <v>2119</v>
      </c>
      <c r="B650" s="25"/>
      <c r="C650" s="23" t="str">
        <f ca="1">IFERROR(__xludf.DUMMYFUNCTION("index(split(B650,"" ""),1,2)"),"#VALUE!")</f>
        <v>#VALUE!</v>
      </c>
      <c r="D650" s="24" t="str">
        <f t="shared" si="2"/>
        <v/>
      </c>
      <c r="E650" s="25"/>
    </row>
    <row r="651" spans="1:5" ht="12.75" x14ac:dyDescent="0.35">
      <c r="A651" s="26" t="s">
        <v>2120</v>
      </c>
      <c r="B651" s="27" t="s">
        <v>2121</v>
      </c>
      <c r="C651" s="23" t="str">
        <f ca="1">IFERROR(__xludf.DUMMYFUNCTION("index(split(B651,"" ""),1,2)"),"yowza's")</f>
        <v>yowza's</v>
      </c>
      <c r="D651" s="24" t="str">
        <f t="shared" si="2"/>
        <v>yahtzee</v>
      </c>
      <c r="E651" s="27" t="s">
        <v>2122</v>
      </c>
    </row>
    <row r="652" spans="1:5" ht="12.75" x14ac:dyDescent="0.35">
      <c r="A652" s="21" t="s">
        <v>2123</v>
      </c>
      <c r="B652" s="33" t="s">
        <v>2124</v>
      </c>
      <c r="C652" s="23" t="str">
        <f ca="1">IFERROR(__xludf.DUMMYFUNCTION("index(split(B652,"" ""),1,2)"),"zaza's")</f>
        <v>zaza's</v>
      </c>
      <c r="D652" s="24" t="str">
        <f t="shared" si="2"/>
        <v>za</v>
      </c>
      <c r="E652" s="22" t="s">
        <v>2125</v>
      </c>
    </row>
    <row r="653" spans="1:5" ht="12.75" x14ac:dyDescent="0.35">
      <c r="A653" s="21" t="s">
        <v>2126</v>
      </c>
      <c r="B653" s="33" t="s">
        <v>2127</v>
      </c>
      <c r="C653" s="23" t="str">
        <f ca="1">IFERROR(__xludf.DUMMYFUNCTION("index(split(B653,"" ""),1,2)"),"zambonies")</f>
        <v>zambonies</v>
      </c>
      <c r="D653" s="24" t="str">
        <f t="shared" si="2"/>
        <v>zamboni</v>
      </c>
      <c r="E653" s="22" t="s">
        <v>2128</v>
      </c>
    </row>
    <row r="654" spans="1:5" ht="12.75" x14ac:dyDescent="0.35">
      <c r="A654" s="21" t="s">
        <v>2129</v>
      </c>
      <c r="B654" s="33" t="s">
        <v>2130</v>
      </c>
      <c r="C654" s="23" t="str">
        <f ca="1">IFERROR(__xludf.DUMMYFUNCTION("index(split(B654,"" ""),1,2)"),"zincifies")</f>
        <v>zincifies</v>
      </c>
      <c r="D654" s="24" t="str">
        <f t="shared" si="2"/>
        <v>zoccolo</v>
      </c>
      <c r="E654" s="22" t="s">
        <v>2131</v>
      </c>
    </row>
    <row r="655" spans="1:5" ht="12.75" x14ac:dyDescent="0.35">
      <c r="A655" s="21" t="s">
        <v>2132</v>
      </c>
      <c r="B655" s="33" t="s">
        <v>2133</v>
      </c>
      <c r="C655" s="23" t="str">
        <f ca="1">IFERROR(__xludf.DUMMYFUNCTION("index(split(B655,"" ""),1,2)"),"zendos")</f>
        <v>zendos</v>
      </c>
      <c r="D655" s="24" t="str">
        <f t="shared" si="2"/>
        <v>zedonk</v>
      </c>
      <c r="E655" s="22" t="s">
        <v>2134</v>
      </c>
    </row>
    <row r="656" spans="1:5" ht="12.75" x14ac:dyDescent="0.35">
      <c r="A656" s="21" t="s">
        <v>2135</v>
      </c>
      <c r="B656" s="34" t="s">
        <v>2136</v>
      </c>
      <c r="C656" s="23" t="str">
        <f ca="1">IFERROR(__xludf.DUMMYFUNCTION("index(split(B656,"" ""),1,2)"),"zeeps")</f>
        <v>zeeps</v>
      </c>
      <c r="D656" s="24" t="str">
        <f t="shared" si="2"/>
        <v>zeze</v>
      </c>
      <c r="E656" s="22" t="s">
        <v>2137</v>
      </c>
    </row>
    <row r="657" spans="1:5" ht="12.75" x14ac:dyDescent="0.35">
      <c r="A657" s="21" t="s">
        <v>2138</v>
      </c>
      <c r="B657" s="34" t="s">
        <v>2139</v>
      </c>
      <c r="C657" s="23" t="str">
        <f ca="1">IFERROR(__xludf.DUMMYFUNCTION("index(split(B657,"" ""),1,2)"),"zarfs")</f>
        <v>zarfs</v>
      </c>
      <c r="D657" s="24" t="str">
        <f t="shared" si="2"/>
        <v>zuffolo</v>
      </c>
      <c r="E657" s="22" t="s">
        <v>2140</v>
      </c>
    </row>
    <row r="658" spans="1:5" ht="12.75" x14ac:dyDescent="0.35">
      <c r="A658" s="21" t="s">
        <v>2141</v>
      </c>
      <c r="B658" s="34" t="s">
        <v>2142</v>
      </c>
      <c r="C658" s="23" t="str">
        <f ca="1">IFERROR(__xludf.DUMMYFUNCTION("index(split(B658,"" ""),1,2)"),"zags")</f>
        <v>zags</v>
      </c>
      <c r="D658" s="24" t="str">
        <f t="shared" si="2"/>
        <v>zagone</v>
      </c>
      <c r="E658" s="22" t="s">
        <v>2143</v>
      </c>
    </row>
    <row r="659" spans="1:5" ht="12.75" x14ac:dyDescent="0.35">
      <c r="A659" s="21" t="s">
        <v>2144</v>
      </c>
      <c r="B659" s="34" t="s">
        <v>2145</v>
      </c>
      <c r="C659" s="23" t="str">
        <f ca="1">IFERROR(__xludf.DUMMYFUNCTION("index(split(B659,"" ""),1,2)"),"zisha's")</f>
        <v>zisha's</v>
      </c>
      <c r="D659" s="24" t="str">
        <f t="shared" si="2"/>
        <v>zisha</v>
      </c>
      <c r="E659" s="22" t="s">
        <v>2146</v>
      </c>
    </row>
    <row r="660" spans="1:5" ht="12.75" x14ac:dyDescent="0.35">
      <c r="A660" s="21" t="s">
        <v>2147</v>
      </c>
      <c r="B660" s="35" t="s">
        <v>2148</v>
      </c>
      <c r="C660" s="23" t="str">
        <f ca="1">IFERROR(__xludf.DUMMYFUNCTION("index(split(B660,"" ""),1,2)"),"zings")</f>
        <v>zings</v>
      </c>
      <c r="D660" s="24" t="str">
        <f t="shared" si="2"/>
        <v>ziz</v>
      </c>
      <c r="E660" s="29" t="s">
        <v>2149</v>
      </c>
    </row>
    <row r="661" spans="1:5" ht="12.75" x14ac:dyDescent="0.35">
      <c r="A661" s="21" t="s">
        <v>2150</v>
      </c>
      <c r="B661" s="35" t="s">
        <v>2151</v>
      </c>
      <c r="C661" s="23" t="str">
        <f ca="1">IFERROR(__xludf.DUMMYFUNCTION("index(split(B661,"" ""),1,2)"),"zojans")</f>
        <v>zojans</v>
      </c>
      <c r="D661" s="24" t="str">
        <f t="shared" si="2"/>
        <v>zoje</v>
      </c>
      <c r="E661" s="22" t="s">
        <v>2152</v>
      </c>
    </row>
    <row r="662" spans="1:5" ht="12.75" x14ac:dyDescent="0.35">
      <c r="A662" s="21" t="s">
        <v>2153</v>
      </c>
      <c r="B662" s="35" t="s">
        <v>2154</v>
      </c>
      <c r="C662" s="23" t="str">
        <f ca="1">IFERROR(__xludf.DUMMYFUNCTION("index(split(B662,"" ""),1,2)"),"zonks")</f>
        <v>zonks</v>
      </c>
      <c r="D662" s="24" t="str">
        <f t="shared" si="2"/>
        <v>zerk</v>
      </c>
      <c r="E662" s="22" t="s">
        <v>2155</v>
      </c>
    </row>
    <row r="663" spans="1:5" ht="12.75" x14ac:dyDescent="0.35">
      <c r="A663" s="21" t="s">
        <v>2156</v>
      </c>
      <c r="B663" s="35" t="s">
        <v>2157</v>
      </c>
      <c r="C663" s="23" t="str">
        <f ca="1">IFERROR(__xludf.DUMMYFUNCTION("index(split(B663,"" ""),1,2)"),"ziplocks")</f>
        <v>ziplocks</v>
      </c>
      <c r="D663" s="24" t="str">
        <f t="shared" si="2"/>
        <v>zill</v>
      </c>
      <c r="E663" s="25"/>
    </row>
    <row r="664" spans="1:5" ht="12.75" x14ac:dyDescent="0.35">
      <c r="A664" s="21" t="s">
        <v>2158</v>
      </c>
      <c r="B664" s="25" t="s">
        <v>2159</v>
      </c>
      <c r="C664" s="23" t="str">
        <f ca="1">IFERROR(__xludf.DUMMYFUNCTION("index(split(B664,"" ""),1,2)"),"zimmers")</f>
        <v>zimmers</v>
      </c>
      <c r="D664" s="24" t="str">
        <f t="shared" si="2"/>
        <v>zima</v>
      </c>
      <c r="E664" s="22" t="s">
        <v>2160</v>
      </c>
    </row>
    <row r="665" spans="1:5" ht="12.75" x14ac:dyDescent="0.35">
      <c r="A665" s="21" t="s">
        <v>2161</v>
      </c>
      <c r="B665" s="25" t="s">
        <v>2162</v>
      </c>
      <c r="C665" s="23" t="str">
        <f ca="1">IFERROR(__xludf.DUMMYFUNCTION("index(split(B665,"" ""),1,2)"),"zones")</f>
        <v>zones</v>
      </c>
      <c r="D665" s="24" t="str">
        <f t="shared" si="2"/>
        <v>zenith</v>
      </c>
      <c r="E665" s="22" t="s">
        <v>2163</v>
      </c>
    </row>
    <row r="666" spans="1:5" ht="12.75" x14ac:dyDescent="0.35">
      <c r="A666" s="21" t="s">
        <v>2164</v>
      </c>
      <c r="B666" s="25" t="s">
        <v>2165</v>
      </c>
      <c r="C666" s="23" t="str">
        <f ca="1">IFERROR(__xludf.DUMMYFUNCTION("index(split(B666,"" ""),1,2)"),"zooms")</f>
        <v>zooms</v>
      </c>
      <c r="D666" s="24" t="str">
        <f t="shared" si="2"/>
        <v>zoozoo</v>
      </c>
      <c r="E666" s="22" t="s">
        <v>2166</v>
      </c>
    </row>
    <row r="667" spans="1:5" ht="12.75" x14ac:dyDescent="0.35">
      <c r="A667" s="21" t="s">
        <v>2167</v>
      </c>
      <c r="B667" s="22" t="s">
        <v>2168</v>
      </c>
      <c r="C667" s="23" t="str">
        <f ca="1">IFERROR(__xludf.DUMMYFUNCTION("index(split(B667,"" ""),1,2)"),"zaps")</f>
        <v>zaps</v>
      </c>
      <c r="D667" s="24" t="str">
        <f t="shared" si="2"/>
        <v>zippo</v>
      </c>
      <c r="E667" s="22" t="s">
        <v>2169</v>
      </c>
    </row>
    <row r="668" spans="1:5" ht="12.75" x14ac:dyDescent="0.35">
      <c r="A668" s="21" t="s">
        <v>2170</v>
      </c>
      <c r="B668" s="36" t="s">
        <v>2171</v>
      </c>
      <c r="C668" s="23" t="str">
        <f ca="1">IFERROR(__xludf.DUMMYFUNCTION("index(split(B668,"" ""),1,2)"),"zzzquils")</f>
        <v>zzzquils</v>
      </c>
      <c r="D668" s="24" t="str">
        <f t="shared" si="2"/>
        <v>zaqqum</v>
      </c>
      <c r="E668" s="22" t="s">
        <v>2172</v>
      </c>
    </row>
    <row r="669" spans="1:5" ht="12.75" x14ac:dyDescent="0.35">
      <c r="A669" s="21" t="s">
        <v>2173</v>
      </c>
      <c r="B669" s="36" t="s">
        <v>2174</v>
      </c>
      <c r="C669" s="23" t="str">
        <f ca="1">IFERROR(__xludf.DUMMYFUNCTION("index(split(B669,"" ""),1,2)"),"zeroes")</f>
        <v>zeroes</v>
      </c>
      <c r="D669" s="24" t="str">
        <f t="shared" si="2"/>
        <v>zoris</v>
      </c>
      <c r="E669" s="22" t="s">
        <v>2175</v>
      </c>
    </row>
    <row r="670" spans="1:5" ht="12.75" x14ac:dyDescent="0.35">
      <c r="A670" s="21" t="s">
        <v>2176</v>
      </c>
      <c r="B670" s="36" t="s">
        <v>2177</v>
      </c>
      <c r="C670" s="23" t="str">
        <f ca="1">IFERROR(__xludf.DUMMYFUNCTION("index(split(B670,"" ""),1,2)"),"zasasa's")</f>
        <v>zasasa's</v>
      </c>
      <c r="D670" s="24" t="str">
        <f t="shared" si="2"/>
        <v>zoisite</v>
      </c>
      <c r="E670" s="22" t="s">
        <v>2178</v>
      </c>
    </row>
    <row r="671" spans="1:5" ht="12.75" x14ac:dyDescent="0.35">
      <c r="A671" s="21" t="s">
        <v>2179</v>
      </c>
      <c r="B671" s="36" t="s">
        <v>2180</v>
      </c>
      <c r="C671" s="23" t="str">
        <f ca="1">IFERROR(__xludf.DUMMYFUNCTION("index(split(B671,"" ""),1,2)"),"zots")</f>
        <v>zots</v>
      </c>
      <c r="D671" s="24" t="str">
        <f t="shared" si="2"/>
        <v>zit</v>
      </c>
      <c r="E671" s="22" t="s">
        <v>2181</v>
      </c>
    </row>
    <row r="672" spans="1:5" ht="12.75" x14ac:dyDescent="0.35">
      <c r="A672" s="21" t="s">
        <v>2182</v>
      </c>
      <c r="B672" s="37" t="s">
        <v>2183</v>
      </c>
      <c r="C672" s="23" t="str">
        <f ca="1">IFERROR(__xludf.DUMMYFUNCTION("index(split(B672,"" ""),1,2)"),"zuzes")</f>
        <v>zuzes</v>
      </c>
      <c r="D672" s="24" t="str">
        <f t="shared" si="2"/>
        <v>zunzun</v>
      </c>
      <c r="E672" s="25"/>
    </row>
    <row r="673" spans="1:5" ht="12.75" x14ac:dyDescent="0.35">
      <c r="A673" s="21" t="s">
        <v>2184</v>
      </c>
      <c r="B673" s="37" t="s">
        <v>2185</v>
      </c>
      <c r="C673" s="23" t="str">
        <f ca="1">IFERROR(__xludf.DUMMYFUNCTION("index(split(B673,"" ""),1,2)"),"zouaves")</f>
        <v>zouaves</v>
      </c>
      <c r="D673" s="24" t="str">
        <f t="shared" si="2"/>
        <v>zouave</v>
      </c>
      <c r="E673" s="22" t="s">
        <v>2186</v>
      </c>
    </row>
    <row r="674" spans="1:5" ht="12.75" x14ac:dyDescent="0.35">
      <c r="A674" s="21" t="s">
        <v>2187</v>
      </c>
      <c r="B674" s="37" t="s">
        <v>2188</v>
      </c>
      <c r="C674" s="23" t="str">
        <f ca="1">IFERROR(__xludf.DUMMYFUNCTION("index(split(B674,"" ""),1,2)"),"zowies")</f>
        <v>zowies</v>
      </c>
      <c r="D674" s="24" t="str">
        <f t="shared" si="2"/>
        <v>zanwich</v>
      </c>
      <c r="E674" s="22" t="s">
        <v>2189</v>
      </c>
    </row>
    <row r="675" spans="1:5" ht="12.75" x14ac:dyDescent="0.35">
      <c r="A675" s="21" t="s">
        <v>2190</v>
      </c>
      <c r="B675" s="37" t="s">
        <v>2191</v>
      </c>
      <c r="C675" s="23" t="str">
        <f ca="1">IFERROR(__xludf.DUMMYFUNCTION("index(split(B675,"" ""),1,2)"),"zexes")</f>
        <v>zexes</v>
      </c>
      <c r="D675" s="24" t="str">
        <f t="shared" si="2"/>
        <v>zox</v>
      </c>
      <c r="E675" s="22" t="s">
        <v>2192</v>
      </c>
    </row>
    <row r="676" spans="1:5" ht="12.75" x14ac:dyDescent="0.35">
      <c r="A676" s="21" t="s">
        <v>2193</v>
      </c>
      <c r="B676" s="37" t="s">
        <v>2194</v>
      </c>
      <c r="C676" s="23" t="str">
        <f ca="1">IFERROR(__xludf.DUMMYFUNCTION("index(split(B676,"" ""),1,2)"),"zymes")</f>
        <v>zymes</v>
      </c>
      <c r="D676" s="24" t="str">
        <f t="shared" si="2"/>
        <v>zymoscope</v>
      </c>
      <c r="E676" s="22" t="s">
        <v>2195</v>
      </c>
    </row>
    <row r="677" spans="1:5" ht="12.75" x14ac:dyDescent="0.35">
      <c r="A677" s="26" t="s">
        <v>2196</v>
      </c>
      <c r="B677" s="28"/>
      <c r="C677" s="23" t="str">
        <f ca="1">IFERROR(__xludf.DUMMYFUNCTION("index(split(B677,"" ""),1,2)"),"#VALUE!")</f>
        <v>#VALUE!</v>
      </c>
      <c r="D677" s="24" t="str">
        <f t="shared" si="2"/>
        <v/>
      </c>
      <c r="E677" s="28"/>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048"/>
  <sheetViews>
    <sheetView workbookViewId="0"/>
  </sheetViews>
  <sheetFormatPr defaultColWidth="12.59765625" defaultRowHeight="15.75" customHeight="1" x14ac:dyDescent="0.35"/>
  <sheetData>
    <row r="1" spans="1:1" ht="15.75" customHeight="1" x14ac:dyDescent="0.4">
      <c r="A1" s="38"/>
    </row>
    <row r="2" spans="1:1" ht="15.75" customHeight="1" x14ac:dyDescent="0.4">
      <c r="A2" s="16" t="s">
        <v>2197</v>
      </c>
    </row>
    <row r="3" spans="1:1" ht="12.75" x14ac:dyDescent="0.35">
      <c r="A3" s="22"/>
    </row>
    <row r="4" spans="1:1" ht="12.75" x14ac:dyDescent="0.35">
      <c r="A4" s="22" t="s">
        <v>2198</v>
      </c>
    </row>
    <row r="5" spans="1:1" ht="12.75" x14ac:dyDescent="0.35">
      <c r="A5" s="22" t="s">
        <v>2199</v>
      </c>
    </row>
    <row r="6" spans="1:1" ht="12.75" x14ac:dyDescent="0.35">
      <c r="A6" s="22" t="s">
        <v>2200</v>
      </c>
    </row>
    <row r="7" spans="1:1" ht="12.75" x14ac:dyDescent="0.35">
      <c r="A7" s="22" t="s">
        <v>2201</v>
      </c>
    </row>
    <row r="8" spans="1:1" ht="12.75" x14ac:dyDescent="0.35">
      <c r="A8" s="22" t="s">
        <v>2202</v>
      </c>
    </row>
    <row r="9" spans="1:1" ht="12.75" x14ac:dyDescent="0.35">
      <c r="A9" s="22" t="s">
        <v>2203</v>
      </c>
    </row>
    <row r="10" spans="1:1" ht="12.75" x14ac:dyDescent="0.35">
      <c r="A10" s="22" t="s">
        <v>2204</v>
      </c>
    </row>
    <row r="11" spans="1:1" ht="12.75" x14ac:dyDescent="0.35">
      <c r="A11" s="22" t="s">
        <v>2205</v>
      </c>
    </row>
    <row r="12" spans="1:1" ht="12.75" x14ac:dyDescent="0.35">
      <c r="A12" s="22" t="s">
        <v>2206</v>
      </c>
    </row>
    <row r="13" spans="1:1" ht="12.75" x14ac:dyDescent="0.35">
      <c r="A13" s="22" t="s">
        <v>2207</v>
      </c>
    </row>
    <row r="14" spans="1:1" ht="12.75" x14ac:dyDescent="0.35">
      <c r="A14" s="22" t="s">
        <v>2208</v>
      </c>
    </row>
    <row r="15" spans="1:1" ht="12.75" x14ac:dyDescent="0.35">
      <c r="A15" s="22" t="s">
        <v>2209</v>
      </c>
    </row>
    <row r="16" spans="1:1" ht="12.75" x14ac:dyDescent="0.35">
      <c r="A16" s="22" t="s">
        <v>2210</v>
      </c>
    </row>
    <row r="17" spans="1:1" ht="12.75" x14ac:dyDescent="0.35">
      <c r="A17" s="22" t="s">
        <v>2211</v>
      </c>
    </row>
    <row r="18" spans="1:1" ht="12.75" x14ac:dyDescent="0.35">
      <c r="A18" s="22" t="s">
        <v>2212</v>
      </c>
    </row>
    <row r="19" spans="1:1" ht="12.75" x14ac:dyDescent="0.35">
      <c r="A19" s="22" t="s">
        <v>2213</v>
      </c>
    </row>
    <row r="20" spans="1:1" ht="12.75" x14ac:dyDescent="0.35">
      <c r="A20" s="22" t="s">
        <v>2214</v>
      </c>
    </row>
    <row r="21" spans="1:1" ht="12.75" x14ac:dyDescent="0.35">
      <c r="A21" s="22" t="s">
        <v>2215</v>
      </c>
    </row>
    <row r="22" spans="1:1" ht="12.75" x14ac:dyDescent="0.35">
      <c r="A22" s="22" t="s">
        <v>2216</v>
      </c>
    </row>
    <row r="23" spans="1:1" ht="12.75" x14ac:dyDescent="0.35">
      <c r="A23" s="22" t="s">
        <v>2217</v>
      </c>
    </row>
    <row r="24" spans="1:1" ht="12.75" x14ac:dyDescent="0.35">
      <c r="A24" s="22" t="s">
        <v>2218</v>
      </c>
    </row>
    <row r="25" spans="1:1" ht="12.75" x14ac:dyDescent="0.35">
      <c r="A25" s="22" t="s">
        <v>2219</v>
      </c>
    </row>
    <row r="26" spans="1:1" ht="12.75" x14ac:dyDescent="0.35">
      <c r="A26" s="22" t="s">
        <v>2220</v>
      </c>
    </row>
    <row r="27" spans="1:1" ht="12.75" x14ac:dyDescent="0.35">
      <c r="A27" s="22" t="s">
        <v>2221</v>
      </c>
    </row>
    <row r="28" spans="1:1" ht="12.75" x14ac:dyDescent="0.35">
      <c r="A28" s="27" t="s">
        <v>2222</v>
      </c>
    </row>
    <row r="29" spans="1:1" ht="12.75" x14ac:dyDescent="0.35">
      <c r="A29" s="22" t="s">
        <v>2223</v>
      </c>
    </row>
    <row r="30" spans="1:1" ht="12.75" x14ac:dyDescent="0.35">
      <c r="A30" s="22"/>
    </row>
    <row r="31" spans="1:1" ht="12.75" x14ac:dyDescent="0.35">
      <c r="A31" s="22" t="s">
        <v>2224</v>
      </c>
    </row>
    <row r="32" spans="1:1" ht="12.75" x14ac:dyDescent="0.35">
      <c r="A32" s="29" t="s">
        <v>2225</v>
      </c>
    </row>
    <row r="33" spans="1:1" ht="12.75" x14ac:dyDescent="0.35">
      <c r="A33" s="22" t="s">
        <v>2226</v>
      </c>
    </row>
    <row r="34" spans="1:1" ht="12.75" x14ac:dyDescent="0.35">
      <c r="A34" s="22" t="s">
        <v>2227</v>
      </c>
    </row>
    <row r="35" spans="1:1" ht="12.75" x14ac:dyDescent="0.35">
      <c r="A35" s="22" t="s">
        <v>2228</v>
      </c>
    </row>
    <row r="36" spans="1:1" ht="12.75" x14ac:dyDescent="0.35">
      <c r="A36" s="22" t="s">
        <v>2229</v>
      </c>
    </row>
    <row r="37" spans="1:1" ht="12.75" x14ac:dyDescent="0.35">
      <c r="A37" s="22" t="s">
        <v>2230</v>
      </c>
    </row>
    <row r="38" spans="1:1" ht="12.75" x14ac:dyDescent="0.35">
      <c r="A38" s="22" t="s">
        <v>2231</v>
      </c>
    </row>
    <row r="39" spans="1:1" ht="12.75" x14ac:dyDescent="0.35">
      <c r="A39" s="22" t="s">
        <v>2232</v>
      </c>
    </row>
    <row r="40" spans="1:1" ht="12.75" x14ac:dyDescent="0.35">
      <c r="A40" s="22" t="s">
        <v>2233</v>
      </c>
    </row>
    <row r="41" spans="1:1" ht="12.75" x14ac:dyDescent="0.35">
      <c r="A41" s="22" t="s">
        <v>2234</v>
      </c>
    </row>
    <row r="42" spans="1:1" ht="12.75" x14ac:dyDescent="0.35">
      <c r="A42" s="22" t="s">
        <v>2235</v>
      </c>
    </row>
    <row r="43" spans="1:1" ht="12.75" x14ac:dyDescent="0.35">
      <c r="A43" s="22" t="s">
        <v>2236</v>
      </c>
    </row>
    <row r="44" spans="1:1" ht="12.75" x14ac:dyDescent="0.35">
      <c r="A44" s="22" t="s">
        <v>2237</v>
      </c>
    </row>
    <row r="45" spans="1:1" ht="12.75" x14ac:dyDescent="0.35">
      <c r="A45" s="22" t="s">
        <v>2238</v>
      </c>
    </row>
    <row r="46" spans="1:1" ht="12.75" x14ac:dyDescent="0.35">
      <c r="A46" s="22" t="s">
        <v>2239</v>
      </c>
    </row>
    <row r="47" spans="1:1" ht="12.75" x14ac:dyDescent="0.35">
      <c r="A47" s="22" t="s">
        <v>2240</v>
      </c>
    </row>
    <row r="48" spans="1:1" ht="12.75" x14ac:dyDescent="0.35">
      <c r="A48" s="22" t="s">
        <v>2241</v>
      </c>
    </row>
    <row r="49" spans="1:1" ht="12.75" x14ac:dyDescent="0.35">
      <c r="A49" s="22" t="s">
        <v>2242</v>
      </c>
    </row>
    <row r="50" spans="1:1" ht="12.75" x14ac:dyDescent="0.35">
      <c r="A50" s="22" t="s">
        <v>2243</v>
      </c>
    </row>
    <row r="51" spans="1:1" ht="12.75" x14ac:dyDescent="0.35">
      <c r="A51" s="22" t="s">
        <v>2244</v>
      </c>
    </row>
    <row r="52" spans="1:1" ht="12.75" x14ac:dyDescent="0.35">
      <c r="A52" s="22" t="s">
        <v>2245</v>
      </c>
    </row>
    <row r="53" spans="1:1" ht="12.75" x14ac:dyDescent="0.35">
      <c r="A53" s="22" t="s">
        <v>2246</v>
      </c>
    </row>
    <row r="54" spans="1:1" ht="12.75" x14ac:dyDescent="0.35">
      <c r="A54" s="27" t="s">
        <v>2247</v>
      </c>
    </row>
    <row r="55" spans="1:1" ht="12.75" x14ac:dyDescent="0.35">
      <c r="A55" s="22" t="s">
        <v>2248</v>
      </c>
    </row>
    <row r="56" spans="1:1" ht="12.75" x14ac:dyDescent="0.35">
      <c r="A56" s="22" t="s">
        <v>2249</v>
      </c>
    </row>
    <row r="57" spans="1:1" ht="12.75" x14ac:dyDescent="0.35">
      <c r="A57" s="22"/>
    </row>
    <row r="58" spans="1:1" ht="12.75" x14ac:dyDescent="0.35">
      <c r="A58" s="22" t="s">
        <v>2250</v>
      </c>
    </row>
    <row r="59" spans="1:1" ht="12.75" x14ac:dyDescent="0.35">
      <c r="A59" s="29" t="s">
        <v>2251</v>
      </c>
    </row>
    <row r="60" spans="1:1" ht="12.75" x14ac:dyDescent="0.35">
      <c r="A60" s="22" t="s">
        <v>2252</v>
      </c>
    </row>
    <row r="61" spans="1:1" ht="12.75" x14ac:dyDescent="0.35">
      <c r="A61" s="22" t="s">
        <v>2253</v>
      </c>
    </row>
    <row r="62" spans="1:1" ht="12.75" x14ac:dyDescent="0.35">
      <c r="A62" s="22" t="s">
        <v>2254</v>
      </c>
    </row>
    <row r="63" spans="1:1" ht="12.75" x14ac:dyDescent="0.35">
      <c r="A63" s="22" t="s">
        <v>2255</v>
      </c>
    </row>
    <row r="64" spans="1:1" ht="12.75" x14ac:dyDescent="0.35">
      <c r="A64" s="22" t="s">
        <v>2256</v>
      </c>
    </row>
    <row r="65" spans="1:1" ht="12.75" x14ac:dyDescent="0.35">
      <c r="A65" s="22" t="s">
        <v>2257</v>
      </c>
    </row>
    <row r="66" spans="1:1" ht="12.75" x14ac:dyDescent="0.35">
      <c r="A66" s="22" t="s">
        <v>2258</v>
      </c>
    </row>
    <row r="67" spans="1:1" ht="12.75" x14ac:dyDescent="0.35">
      <c r="A67" s="22" t="s">
        <v>2259</v>
      </c>
    </row>
    <row r="68" spans="1:1" ht="12.75" x14ac:dyDescent="0.35">
      <c r="A68" s="22" t="s">
        <v>2260</v>
      </c>
    </row>
    <row r="69" spans="1:1" ht="12.75" x14ac:dyDescent="0.35">
      <c r="A69" s="22" t="s">
        <v>2261</v>
      </c>
    </row>
    <row r="70" spans="1:1" ht="12.75" x14ac:dyDescent="0.35">
      <c r="A70" s="22" t="s">
        <v>2262</v>
      </c>
    </row>
    <row r="71" spans="1:1" ht="12.75" x14ac:dyDescent="0.35">
      <c r="A71" s="22" t="s">
        <v>2263</v>
      </c>
    </row>
    <row r="72" spans="1:1" ht="12.75" x14ac:dyDescent="0.35">
      <c r="A72" s="22" t="s">
        <v>2264</v>
      </c>
    </row>
    <row r="73" spans="1:1" ht="12.75" x14ac:dyDescent="0.35">
      <c r="A73" s="22" t="s">
        <v>2265</v>
      </c>
    </row>
    <row r="74" spans="1:1" ht="12.75" x14ac:dyDescent="0.35">
      <c r="A74" s="22" t="s">
        <v>2266</v>
      </c>
    </row>
    <row r="75" spans="1:1" ht="12.75" x14ac:dyDescent="0.35">
      <c r="A75" s="22" t="s">
        <v>2267</v>
      </c>
    </row>
    <row r="76" spans="1:1" ht="12.75" x14ac:dyDescent="0.35">
      <c r="A76" s="22" t="s">
        <v>2268</v>
      </c>
    </row>
    <row r="77" spans="1:1" ht="12.75" x14ac:dyDescent="0.35">
      <c r="A77" s="22" t="s">
        <v>2269</v>
      </c>
    </row>
    <row r="78" spans="1:1" ht="12.75" x14ac:dyDescent="0.35">
      <c r="A78" s="22" t="s">
        <v>2270</v>
      </c>
    </row>
    <row r="79" spans="1:1" ht="12.75" x14ac:dyDescent="0.35">
      <c r="A79" s="22" t="s">
        <v>2271</v>
      </c>
    </row>
    <row r="80" spans="1:1" ht="12.75" x14ac:dyDescent="0.35">
      <c r="A80" s="27" t="s">
        <v>2272</v>
      </c>
    </row>
    <row r="81" spans="1:1" ht="12.75" x14ac:dyDescent="0.35">
      <c r="A81" s="22" t="s">
        <v>2273</v>
      </c>
    </row>
    <row r="82" spans="1:1" ht="12.75" x14ac:dyDescent="0.35">
      <c r="A82" s="22" t="s">
        <v>2274</v>
      </c>
    </row>
    <row r="83" spans="1:1" ht="12.75" x14ac:dyDescent="0.35">
      <c r="A83" s="22" t="s">
        <v>2275</v>
      </c>
    </row>
    <row r="84" spans="1:1" ht="12.75" x14ac:dyDescent="0.35">
      <c r="A84" s="22"/>
    </row>
    <row r="85" spans="1:1" ht="12.75" x14ac:dyDescent="0.35">
      <c r="A85" s="22" t="s">
        <v>2276</v>
      </c>
    </row>
    <row r="86" spans="1:1" ht="12.75" x14ac:dyDescent="0.35">
      <c r="A86" s="22" t="s">
        <v>2277</v>
      </c>
    </row>
    <row r="87" spans="1:1" ht="12.75" x14ac:dyDescent="0.35">
      <c r="A87" s="22" t="s">
        <v>2278</v>
      </c>
    </row>
    <row r="88" spans="1:1" ht="12.75" x14ac:dyDescent="0.35">
      <c r="A88" s="22" t="s">
        <v>2279</v>
      </c>
    </row>
    <row r="89" spans="1:1" ht="12.75" x14ac:dyDescent="0.35">
      <c r="A89" s="29" t="s">
        <v>2280</v>
      </c>
    </row>
    <row r="90" spans="1:1" ht="12.75" x14ac:dyDescent="0.35">
      <c r="A90" s="22" t="s">
        <v>2281</v>
      </c>
    </row>
    <row r="91" spans="1:1" ht="12.75" x14ac:dyDescent="0.35">
      <c r="A91" s="22" t="s">
        <v>2282</v>
      </c>
    </row>
    <row r="92" spans="1:1" ht="12.75" x14ac:dyDescent="0.35">
      <c r="A92" s="22" t="s">
        <v>2283</v>
      </c>
    </row>
    <row r="93" spans="1:1" ht="12.75" x14ac:dyDescent="0.35">
      <c r="A93" s="22" t="s">
        <v>2284</v>
      </c>
    </row>
    <row r="94" spans="1:1" ht="12.75" x14ac:dyDescent="0.35">
      <c r="A94" s="22" t="s">
        <v>2285</v>
      </c>
    </row>
    <row r="95" spans="1:1" ht="12.75" x14ac:dyDescent="0.35">
      <c r="A95" s="22" t="s">
        <v>2286</v>
      </c>
    </row>
    <row r="96" spans="1:1" ht="12.75" x14ac:dyDescent="0.35">
      <c r="A96" s="22" t="s">
        <v>2287</v>
      </c>
    </row>
    <row r="97" spans="1:1" ht="12.75" x14ac:dyDescent="0.35">
      <c r="A97" s="22" t="s">
        <v>2288</v>
      </c>
    </row>
    <row r="98" spans="1:1" ht="12.75" x14ac:dyDescent="0.35">
      <c r="A98" s="22" t="s">
        <v>2289</v>
      </c>
    </row>
    <row r="99" spans="1:1" ht="12.75" x14ac:dyDescent="0.35">
      <c r="A99" s="22" t="s">
        <v>2290</v>
      </c>
    </row>
    <row r="100" spans="1:1" ht="12.75" x14ac:dyDescent="0.35">
      <c r="A100" s="22" t="s">
        <v>2291</v>
      </c>
    </row>
    <row r="101" spans="1:1" ht="12.75" x14ac:dyDescent="0.35">
      <c r="A101" s="22" t="s">
        <v>2292</v>
      </c>
    </row>
    <row r="102" spans="1:1" ht="12.75" x14ac:dyDescent="0.35">
      <c r="A102" s="22" t="s">
        <v>2293</v>
      </c>
    </row>
    <row r="103" spans="1:1" ht="12.75" x14ac:dyDescent="0.35">
      <c r="A103" s="22" t="s">
        <v>2294</v>
      </c>
    </row>
    <row r="104" spans="1:1" ht="12.75" x14ac:dyDescent="0.35">
      <c r="A104" s="22" t="s">
        <v>2295</v>
      </c>
    </row>
    <row r="105" spans="1:1" ht="12.75" x14ac:dyDescent="0.35">
      <c r="A105" s="22" t="s">
        <v>2296</v>
      </c>
    </row>
    <row r="106" spans="1:1" ht="12.75" x14ac:dyDescent="0.35">
      <c r="A106" s="27" t="s">
        <v>2297</v>
      </c>
    </row>
    <row r="107" spans="1:1" ht="12.75" x14ac:dyDescent="0.35">
      <c r="A107" s="22" t="s">
        <v>2298</v>
      </c>
    </row>
    <row r="108" spans="1:1" ht="12.75" x14ac:dyDescent="0.35">
      <c r="A108" s="22" t="s">
        <v>2299</v>
      </c>
    </row>
    <row r="109" spans="1:1" ht="12.75" x14ac:dyDescent="0.35">
      <c r="A109" s="29" t="s">
        <v>2300</v>
      </c>
    </row>
    <row r="110" spans="1:1" ht="12.75" x14ac:dyDescent="0.35">
      <c r="A110" s="22" t="s">
        <v>2301</v>
      </c>
    </row>
    <row r="111" spans="1:1" ht="12.75" x14ac:dyDescent="0.35">
      <c r="A111" s="22"/>
    </row>
    <row r="112" spans="1:1" ht="12.75" x14ac:dyDescent="0.35">
      <c r="A112" s="22" t="s">
        <v>2302</v>
      </c>
    </row>
    <row r="113" spans="1:1" ht="12.75" x14ac:dyDescent="0.35">
      <c r="A113" s="22" t="s">
        <v>2303</v>
      </c>
    </row>
    <row r="114" spans="1:1" ht="12.75" x14ac:dyDescent="0.35">
      <c r="A114" s="22" t="s">
        <v>2304</v>
      </c>
    </row>
    <row r="115" spans="1:1" ht="12.75" x14ac:dyDescent="0.35">
      <c r="A115" s="22" t="s">
        <v>2305</v>
      </c>
    </row>
    <row r="116" spans="1:1" ht="12.75" x14ac:dyDescent="0.35">
      <c r="A116" s="22" t="s">
        <v>2306</v>
      </c>
    </row>
    <row r="117" spans="1:1" ht="12.75" x14ac:dyDescent="0.35">
      <c r="A117" s="22" t="s">
        <v>2307</v>
      </c>
    </row>
    <row r="118" spans="1:1" ht="12.75" x14ac:dyDescent="0.35">
      <c r="A118" s="22" t="s">
        <v>2308</v>
      </c>
    </row>
    <row r="119" spans="1:1" ht="12.75" x14ac:dyDescent="0.35">
      <c r="A119" s="22" t="s">
        <v>2309</v>
      </c>
    </row>
    <row r="120" spans="1:1" ht="12.75" x14ac:dyDescent="0.35">
      <c r="A120" s="22" t="s">
        <v>2310</v>
      </c>
    </row>
    <row r="121" spans="1:1" ht="12.75" x14ac:dyDescent="0.35">
      <c r="A121" s="22" t="s">
        <v>2311</v>
      </c>
    </row>
    <row r="122" spans="1:1" ht="12.75" x14ac:dyDescent="0.35">
      <c r="A122" s="22" t="s">
        <v>2312</v>
      </c>
    </row>
    <row r="123" spans="1:1" ht="12.75" x14ac:dyDescent="0.35">
      <c r="A123" s="22" t="s">
        <v>2313</v>
      </c>
    </row>
    <row r="124" spans="1:1" ht="12.75" x14ac:dyDescent="0.35">
      <c r="A124" s="22" t="s">
        <v>2314</v>
      </c>
    </row>
    <row r="125" spans="1:1" ht="12.75" x14ac:dyDescent="0.35">
      <c r="A125" s="22" t="s">
        <v>2315</v>
      </c>
    </row>
    <row r="126" spans="1:1" ht="12.75" x14ac:dyDescent="0.35">
      <c r="A126" s="22" t="s">
        <v>2316</v>
      </c>
    </row>
    <row r="127" spans="1:1" ht="12.75" x14ac:dyDescent="0.35">
      <c r="A127" s="22" t="s">
        <v>2317</v>
      </c>
    </row>
    <row r="128" spans="1:1" ht="12.75" x14ac:dyDescent="0.35">
      <c r="A128" s="22" t="s">
        <v>2318</v>
      </c>
    </row>
    <row r="129" spans="1:1" ht="12.75" x14ac:dyDescent="0.35">
      <c r="A129" s="22" t="s">
        <v>2319</v>
      </c>
    </row>
    <row r="130" spans="1:1" ht="12.75" x14ac:dyDescent="0.35">
      <c r="A130" s="22" t="s">
        <v>2320</v>
      </c>
    </row>
    <row r="131" spans="1:1" ht="12.75" x14ac:dyDescent="0.35">
      <c r="A131" s="22" t="s">
        <v>2321</v>
      </c>
    </row>
    <row r="132" spans="1:1" ht="12.75" x14ac:dyDescent="0.35">
      <c r="A132" s="27" t="s">
        <v>2322</v>
      </c>
    </row>
    <row r="133" spans="1:1" ht="12.75" x14ac:dyDescent="0.35">
      <c r="A133" s="22" t="s">
        <v>2323</v>
      </c>
    </row>
    <row r="134" spans="1:1" ht="12.75" x14ac:dyDescent="0.35">
      <c r="A134" s="22" t="s">
        <v>2324</v>
      </c>
    </row>
    <row r="135" spans="1:1" ht="12.75" x14ac:dyDescent="0.35">
      <c r="A135" s="22" t="s">
        <v>2325</v>
      </c>
    </row>
    <row r="136" spans="1:1" ht="12.75" x14ac:dyDescent="0.35">
      <c r="A136" s="22" t="s">
        <v>2326</v>
      </c>
    </row>
    <row r="137" spans="1:1" ht="12.75" x14ac:dyDescent="0.35">
      <c r="A137" s="22" t="s">
        <v>2327</v>
      </c>
    </row>
    <row r="138" spans="1:1" ht="12.75" x14ac:dyDescent="0.35">
      <c r="A138" s="22"/>
    </row>
    <row r="139" spans="1:1" ht="12.75" x14ac:dyDescent="0.35">
      <c r="A139" s="22" t="s">
        <v>2328</v>
      </c>
    </row>
    <row r="140" spans="1:1" ht="12.75" x14ac:dyDescent="0.35">
      <c r="A140" s="22" t="s">
        <v>2329</v>
      </c>
    </row>
    <row r="141" spans="1:1" ht="12.75" x14ac:dyDescent="0.35">
      <c r="A141" s="22" t="s">
        <v>2330</v>
      </c>
    </row>
    <row r="142" spans="1:1" ht="12.75" x14ac:dyDescent="0.35">
      <c r="A142" s="22" t="s">
        <v>2331</v>
      </c>
    </row>
    <row r="143" spans="1:1" ht="12.75" x14ac:dyDescent="0.35">
      <c r="A143" s="22" t="s">
        <v>2332</v>
      </c>
    </row>
    <row r="144" spans="1:1" ht="12.75" x14ac:dyDescent="0.35">
      <c r="A144" s="22" t="s">
        <v>2333</v>
      </c>
    </row>
    <row r="145" spans="1:1" ht="12.75" x14ac:dyDescent="0.35">
      <c r="A145" s="22" t="s">
        <v>2334</v>
      </c>
    </row>
    <row r="146" spans="1:1" ht="12.75" x14ac:dyDescent="0.35">
      <c r="A146" s="22" t="s">
        <v>2335</v>
      </c>
    </row>
    <row r="147" spans="1:1" ht="12.75" x14ac:dyDescent="0.35">
      <c r="A147" s="22" t="s">
        <v>2336</v>
      </c>
    </row>
    <row r="148" spans="1:1" ht="12.75" x14ac:dyDescent="0.35">
      <c r="A148" s="22" t="s">
        <v>2337</v>
      </c>
    </row>
    <row r="149" spans="1:1" ht="12.75" x14ac:dyDescent="0.35">
      <c r="A149" s="22" t="s">
        <v>2338</v>
      </c>
    </row>
    <row r="150" spans="1:1" ht="12.75" x14ac:dyDescent="0.35">
      <c r="A150" s="22" t="s">
        <v>2339</v>
      </c>
    </row>
    <row r="151" spans="1:1" ht="12.75" x14ac:dyDescent="0.35">
      <c r="A151" s="22" t="s">
        <v>2340</v>
      </c>
    </row>
    <row r="152" spans="1:1" ht="12.75" x14ac:dyDescent="0.35">
      <c r="A152" s="29" t="s">
        <v>2341</v>
      </c>
    </row>
    <row r="153" spans="1:1" ht="12.75" x14ac:dyDescent="0.35">
      <c r="A153" s="39" t="s">
        <v>2342</v>
      </c>
    </row>
    <row r="154" spans="1:1" ht="12.75" x14ac:dyDescent="0.35">
      <c r="A154" s="22" t="s">
        <v>2343</v>
      </c>
    </row>
    <row r="155" spans="1:1" ht="12.75" x14ac:dyDescent="0.35">
      <c r="A155" s="22" t="s">
        <v>2344</v>
      </c>
    </row>
    <row r="156" spans="1:1" ht="12.75" x14ac:dyDescent="0.35">
      <c r="A156" s="22" t="s">
        <v>2345</v>
      </c>
    </row>
    <row r="157" spans="1:1" ht="12.75" x14ac:dyDescent="0.35">
      <c r="A157" s="22" t="s">
        <v>2346</v>
      </c>
    </row>
    <row r="158" spans="1:1" ht="12.75" x14ac:dyDescent="0.35">
      <c r="A158" s="27" t="s">
        <v>2347</v>
      </c>
    </row>
    <row r="159" spans="1:1" ht="12.75" x14ac:dyDescent="0.35">
      <c r="A159" s="22" t="s">
        <v>2348</v>
      </c>
    </row>
    <row r="160" spans="1:1" ht="12.75" x14ac:dyDescent="0.35">
      <c r="A160" s="22" t="s">
        <v>2349</v>
      </c>
    </row>
    <row r="161" spans="1:1" ht="12.75" x14ac:dyDescent="0.35">
      <c r="A161" s="22" t="s">
        <v>2350</v>
      </c>
    </row>
    <row r="162" spans="1:1" ht="12.75" x14ac:dyDescent="0.35">
      <c r="A162" s="22" t="s">
        <v>2351</v>
      </c>
    </row>
    <row r="163" spans="1:1" ht="12.75" x14ac:dyDescent="0.35">
      <c r="A163" s="22" t="s">
        <v>2352</v>
      </c>
    </row>
    <row r="164" spans="1:1" ht="12.75" x14ac:dyDescent="0.35">
      <c r="A164" s="22" t="s">
        <v>2353</v>
      </c>
    </row>
    <row r="165" spans="1:1" ht="12.75" x14ac:dyDescent="0.35">
      <c r="A165" s="22"/>
    </row>
    <row r="166" spans="1:1" ht="12.75" x14ac:dyDescent="0.35">
      <c r="A166" s="22" t="s">
        <v>2354</v>
      </c>
    </row>
    <row r="167" spans="1:1" ht="12.75" x14ac:dyDescent="0.35">
      <c r="A167" s="22" t="s">
        <v>2355</v>
      </c>
    </row>
    <row r="168" spans="1:1" ht="12.75" x14ac:dyDescent="0.35">
      <c r="A168" s="22" t="s">
        <v>2356</v>
      </c>
    </row>
    <row r="169" spans="1:1" ht="12.75" x14ac:dyDescent="0.35">
      <c r="A169" s="22" t="s">
        <v>2357</v>
      </c>
    </row>
    <row r="170" spans="1:1" ht="12.75" x14ac:dyDescent="0.35">
      <c r="A170" s="22" t="s">
        <v>2358</v>
      </c>
    </row>
    <row r="171" spans="1:1" ht="12.75" x14ac:dyDescent="0.35">
      <c r="A171" s="22" t="s">
        <v>2359</v>
      </c>
    </row>
    <row r="172" spans="1:1" ht="12.75" x14ac:dyDescent="0.35">
      <c r="A172" s="22" t="s">
        <v>2360</v>
      </c>
    </row>
    <row r="173" spans="1:1" ht="12.75" x14ac:dyDescent="0.35">
      <c r="A173" s="22" t="s">
        <v>2361</v>
      </c>
    </row>
    <row r="174" spans="1:1" ht="12.75" x14ac:dyDescent="0.35">
      <c r="A174" s="22" t="s">
        <v>2362</v>
      </c>
    </row>
    <row r="175" spans="1:1" ht="12.75" x14ac:dyDescent="0.35">
      <c r="A175" s="22" t="s">
        <v>2363</v>
      </c>
    </row>
    <row r="176" spans="1:1" ht="12.75" x14ac:dyDescent="0.35">
      <c r="A176" s="22" t="s">
        <v>2364</v>
      </c>
    </row>
    <row r="177" spans="1:1" ht="12.75" x14ac:dyDescent="0.35">
      <c r="A177" s="22" t="s">
        <v>2365</v>
      </c>
    </row>
    <row r="178" spans="1:1" ht="12.75" x14ac:dyDescent="0.35">
      <c r="A178" s="29" t="s">
        <v>2366</v>
      </c>
    </row>
    <row r="179" spans="1:1" ht="12.75" x14ac:dyDescent="0.35">
      <c r="A179" s="29" t="s">
        <v>2367</v>
      </c>
    </row>
    <row r="180" spans="1:1" ht="12.75" x14ac:dyDescent="0.35">
      <c r="A180" s="22" t="s">
        <v>2368</v>
      </c>
    </row>
    <row r="181" spans="1:1" ht="12.75" x14ac:dyDescent="0.35">
      <c r="A181" s="22" t="s">
        <v>2369</v>
      </c>
    </row>
    <row r="182" spans="1:1" ht="12.75" x14ac:dyDescent="0.35">
      <c r="A182" s="22" t="s">
        <v>2370</v>
      </c>
    </row>
    <row r="183" spans="1:1" ht="12.75" x14ac:dyDescent="0.35">
      <c r="A183" s="22" t="s">
        <v>2371</v>
      </c>
    </row>
    <row r="184" spans="1:1" ht="12.75" x14ac:dyDescent="0.35">
      <c r="A184" s="27" t="s">
        <v>2372</v>
      </c>
    </row>
    <row r="185" spans="1:1" ht="12.75" x14ac:dyDescent="0.35">
      <c r="A185" s="22" t="s">
        <v>2373</v>
      </c>
    </row>
    <row r="186" spans="1:1" ht="12.75" x14ac:dyDescent="0.35">
      <c r="A186" s="22" t="s">
        <v>2374</v>
      </c>
    </row>
    <row r="187" spans="1:1" ht="12.75" x14ac:dyDescent="0.35">
      <c r="A187" s="22" t="s">
        <v>2375</v>
      </c>
    </row>
    <row r="188" spans="1:1" ht="12.75" x14ac:dyDescent="0.35">
      <c r="A188" s="22" t="s">
        <v>2376</v>
      </c>
    </row>
    <row r="189" spans="1:1" ht="12.75" x14ac:dyDescent="0.35">
      <c r="A189" s="22" t="s">
        <v>2377</v>
      </c>
    </row>
    <row r="190" spans="1:1" ht="12.75" x14ac:dyDescent="0.35">
      <c r="A190" s="22" t="s">
        <v>2378</v>
      </c>
    </row>
    <row r="191" spans="1:1" ht="12.75" x14ac:dyDescent="0.35">
      <c r="A191" s="22" t="s">
        <v>799</v>
      </c>
    </row>
    <row r="192" spans="1:1" ht="12.75" x14ac:dyDescent="0.35">
      <c r="A192" s="22"/>
    </row>
    <row r="193" spans="1:1" ht="12.75" x14ac:dyDescent="0.35">
      <c r="A193" s="22" t="s">
        <v>2379</v>
      </c>
    </row>
    <row r="194" spans="1:1" ht="12.75" x14ac:dyDescent="0.35">
      <c r="A194" s="22" t="s">
        <v>2380</v>
      </c>
    </row>
    <row r="195" spans="1:1" ht="12.75" x14ac:dyDescent="0.35">
      <c r="A195" s="22" t="s">
        <v>2381</v>
      </c>
    </row>
    <row r="196" spans="1:1" ht="12.75" x14ac:dyDescent="0.35">
      <c r="A196" s="22" t="s">
        <v>2382</v>
      </c>
    </row>
    <row r="197" spans="1:1" ht="12.75" x14ac:dyDescent="0.35">
      <c r="A197" s="22" t="s">
        <v>2383</v>
      </c>
    </row>
    <row r="198" spans="1:1" ht="12.75" x14ac:dyDescent="0.35">
      <c r="A198" s="22" t="s">
        <v>2384</v>
      </c>
    </row>
    <row r="199" spans="1:1" ht="12.75" x14ac:dyDescent="0.35">
      <c r="A199" s="22" t="s">
        <v>2385</v>
      </c>
    </row>
    <row r="200" spans="1:1" ht="12.75" x14ac:dyDescent="0.35">
      <c r="A200" s="22" t="s">
        <v>2386</v>
      </c>
    </row>
    <row r="201" spans="1:1" ht="12.75" x14ac:dyDescent="0.35">
      <c r="A201" s="22" t="s">
        <v>2387</v>
      </c>
    </row>
    <row r="202" spans="1:1" ht="12.75" x14ac:dyDescent="0.35">
      <c r="A202" s="22" t="s">
        <v>2388</v>
      </c>
    </row>
    <row r="203" spans="1:1" ht="12.75" x14ac:dyDescent="0.35">
      <c r="A203" s="22" t="s">
        <v>2389</v>
      </c>
    </row>
    <row r="204" spans="1:1" ht="12.75" x14ac:dyDescent="0.35">
      <c r="A204" s="22" t="s">
        <v>2390</v>
      </c>
    </row>
    <row r="205" spans="1:1" ht="12.75" x14ac:dyDescent="0.35">
      <c r="A205" s="22" t="s">
        <v>2391</v>
      </c>
    </row>
    <row r="206" spans="1:1" ht="12.75" x14ac:dyDescent="0.35">
      <c r="A206" s="22" t="s">
        <v>2392</v>
      </c>
    </row>
    <row r="207" spans="1:1" ht="12.75" x14ac:dyDescent="0.35">
      <c r="A207" s="22" t="s">
        <v>2393</v>
      </c>
    </row>
    <row r="208" spans="1:1" ht="12.75" x14ac:dyDescent="0.35">
      <c r="A208" s="22" t="s">
        <v>2394</v>
      </c>
    </row>
    <row r="209" spans="1:1" ht="12.75" x14ac:dyDescent="0.35">
      <c r="A209" s="22" t="s">
        <v>2395</v>
      </c>
    </row>
    <row r="210" spans="1:1" ht="12.75" x14ac:dyDescent="0.35">
      <c r="A210" s="27" t="s">
        <v>2396</v>
      </c>
    </row>
    <row r="211" spans="1:1" ht="12.75" x14ac:dyDescent="0.35">
      <c r="A211" s="22" t="s">
        <v>2397</v>
      </c>
    </row>
    <row r="212" spans="1:1" ht="12.75" x14ac:dyDescent="0.35">
      <c r="A212" s="22" t="s">
        <v>2398</v>
      </c>
    </row>
    <row r="213" spans="1:1" ht="12.75" x14ac:dyDescent="0.35">
      <c r="A213" s="29" t="s">
        <v>2399</v>
      </c>
    </row>
    <row r="214" spans="1:1" ht="12.75" x14ac:dyDescent="0.35">
      <c r="A214" s="22" t="s">
        <v>2400</v>
      </c>
    </row>
    <row r="215" spans="1:1" ht="12.75" x14ac:dyDescent="0.35">
      <c r="A215" s="22" t="s">
        <v>2401</v>
      </c>
    </row>
    <row r="216" spans="1:1" ht="12.75" x14ac:dyDescent="0.35">
      <c r="A216" s="22" t="s">
        <v>2402</v>
      </c>
    </row>
    <row r="217" spans="1:1" ht="12.75" x14ac:dyDescent="0.35">
      <c r="A217" s="22" t="s">
        <v>2403</v>
      </c>
    </row>
    <row r="218" spans="1:1" ht="12.75" x14ac:dyDescent="0.35">
      <c r="A218" s="22" t="s">
        <v>2404</v>
      </c>
    </row>
    <row r="219" spans="1:1" ht="12.75" x14ac:dyDescent="0.35">
      <c r="A219" s="22"/>
    </row>
    <row r="220" spans="1:1" ht="12.75" x14ac:dyDescent="0.35">
      <c r="A220" s="22" t="s">
        <v>2405</v>
      </c>
    </row>
    <row r="221" spans="1:1" ht="12.75" x14ac:dyDescent="0.35">
      <c r="A221" s="22" t="s">
        <v>2406</v>
      </c>
    </row>
    <row r="222" spans="1:1" ht="12.75" x14ac:dyDescent="0.35">
      <c r="A222" s="22" t="s">
        <v>2407</v>
      </c>
    </row>
    <row r="223" spans="1:1" ht="12.75" x14ac:dyDescent="0.35">
      <c r="A223" s="22" t="s">
        <v>2408</v>
      </c>
    </row>
    <row r="224" spans="1:1" ht="12.75" x14ac:dyDescent="0.35">
      <c r="A224" s="22" t="s">
        <v>2409</v>
      </c>
    </row>
    <row r="225" spans="1:1" ht="12.75" x14ac:dyDescent="0.35">
      <c r="A225" s="22" t="s">
        <v>2410</v>
      </c>
    </row>
    <row r="226" spans="1:1" ht="12.75" x14ac:dyDescent="0.35">
      <c r="A226" s="22" t="s">
        <v>2411</v>
      </c>
    </row>
    <row r="227" spans="1:1" ht="12.75" x14ac:dyDescent="0.35">
      <c r="A227" s="22" t="s">
        <v>2412</v>
      </c>
    </row>
    <row r="228" spans="1:1" ht="12.75" x14ac:dyDescent="0.35">
      <c r="A228" s="22" t="s">
        <v>2413</v>
      </c>
    </row>
    <row r="229" spans="1:1" ht="12.75" x14ac:dyDescent="0.35">
      <c r="A229" s="22" t="s">
        <v>2414</v>
      </c>
    </row>
    <row r="230" spans="1:1" ht="12.75" x14ac:dyDescent="0.35">
      <c r="A230" s="22" t="s">
        <v>2415</v>
      </c>
    </row>
    <row r="231" spans="1:1" ht="12.75" x14ac:dyDescent="0.35">
      <c r="A231" s="22" t="s">
        <v>2416</v>
      </c>
    </row>
    <row r="232" spans="1:1" ht="12.75" x14ac:dyDescent="0.35">
      <c r="A232" s="22" t="s">
        <v>2417</v>
      </c>
    </row>
    <row r="233" spans="1:1" ht="12.75" x14ac:dyDescent="0.35">
      <c r="A233" s="22" t="s">
        <v>2418</v>
      </c>
    </row>
    <row r="234" spans="1:1" ht="12.75" x14ac:dyDescent="0.35">
      <c r="A234" s="22" t="s">
        <v>2419</v>
      </c>
    </row>
    <row r="235" spans="1:1" ht="12.75" x14ac:dyDescent="0.35">
      <c r="A235" s="22" t="s">
        <v>2420</v>
      </c>
    </row>
    <row r="236" spans="1:1" ht="12.75" x14ac:dyDescent="0.35">
      <c r="A236" s="27" t="s">
        <v>2421</v>
      </c>
    </row>
    <row r="237" spans="1:1" ht="12.75" x14ac:dyDescent="0.35">
      <c r="A237" s="22" t="s">
        <v>2422</v>
      </c>
    </row>
    <row r="238" spans="1:1" ht="12.75" x14ac:dyDescent="0.35">
      <c r="A238" s="22" t="s">
        <v>2423</v>
      </c>
    </row>
    <row r="239" spans="1:1" ht="12.75" x14ac:dyDescent="0.35">
      <c r="A239" s="22" t="s">
        <v>2424</v>
      </c>
    </row>
    <row r="240" spans="1:1" ht="12.75" x14ac:dyDescent="0.35">
      <c r="A240" s="22" t="s">
        <v>2425</v>
      </c>
    </row>
    <row r="241" spans="1:1" ht="12.75" x14ac:dyDescent="0.35">
      <c r="A241" s="22" t="s">
        <v>2426</v>
      </c>
    </row>
    <row r="242" spans="1:1" ht="12.75" x14ac:dyDescent="0.35">
      <c r="A242" s="22" t="s">
        <v>2427</v>
      </c>
    </row>
    <row r="243" spans="1:1" ht="12.75" x14ac:dyDescent="0.35">
      <c r="A243" s="22" t="s">
        <v>2428</v>
      </c>
    </row>
    <row r="244" spans="1:1" ht="12.75" x14ac:dyDescent="0.35">
      <c r="A244" s="22" t="s">
        <v>2429</v>
      </c>
    </row>
    <row r="245" spans="1:1" ht="12.75" x14ac:dyDescent="0.35">
      <c r="A245" s="22" t="s">
        <v>2430</v>
      </c>
    </row>
    <row r="246" spans="1:1" ht="12.75" x14ac:dyDescent="0.35">
      <c r="A246" s="25"/>
    </row>
    <row r="247" spans="1:1" ht="12.75" x14ac:dyDescent="0.35">
      <c r="A247" s="22" t="s">
        <v>2431</v>
      </c>
    </row>
    <row r="248" spans="1:1" ht="12.75" x14ac:dyDescent="0.35">
      <c r="A248" s="40" t="s">
        <v>2432</v>
      </c>
    </row>
    <row r="249" spans="1:1" ht="12.75" x14ac:dyDescent="0.35">
      <c r="A249" s="29" t="s">
        <v>2433</v>
      </c>
    </row>
    <row r="250" spans="1:1" ht="12.75" x14ac:dyDescent="0.35">
      <c r="A250" s="22" t="s">
        <v>2434</v>
      </c>
    </row>
    <row r="251" spans="1:1" ht="12.75" x14ac:dyDescent="0.35">
      <c r="A251" s="22" t="s">
        <v>2435</v>
      </c>
    </row>
    <row r="252" spans="1:1" ht="12.75" x14ac:dyDescent="0.35">
      <c r="A252" s="22" t="s">
        <v>2436</v>
      </c>
    </row>
    <row r="253" spans="1:1" ht="12.75" x14ac:dyDescent="0.35">
      <c r="A253" s="22" t="s">
        <v>2437</v>
      </c>
    </row>
    <row r="254" spans="1:1" ht="12.75" x14ac:dyDescent="0.35">
      <c r="A254" s="22" t="s">
        <v>2438</v>
      </c>
    </row>
    <row r="255" spans="1:1" ht="12.75" x14ac:dyDescent="0.35">
      <c r="A255" s="29" t="s">
        <v>2439</v>
      </c>
    </row>
    <row r="256" spans="1:1" ht="12.75" x14ac:dyDescent="0.35">
      <c r="A256" s="22" t="s">
        <v>2440</v>
      </c>
    </row>
    <row r="257" spans="1:1" ht="12.75" x14ac:dyDescent="0.35">
      <c r="A257" s="29" t="s">
        <v>2441</v>
      </c>
    </row>
    <row r="258" spans="1:1" ht="12.75" x14ac:dyDescent="0.35">
      <c r="A258" s="22" t="s">
        <v>2442</v>
      </c>
    </row>
    <row r="259" spans="1:1" ht="12.75" x14ac:dyDescent="0.35">
      <c r="A259" s="22" t="s">
        <v>2443</v>
      </c>
    </row>
    <row r="260" spans="1:1" ht="12.75" x14ac:dyDescent="0.35">
      <c r="A260" s="22" t="s">
        <v>2444</v>
      </c>
    </row>
    <row r="261" spans="1:1" ht="12.75" x14ac:dyDescent="0.35">
      <c r="A261" s="22" t="s">
        <v>2445</v>
      </c>
    </row>
    <row r="262" spans="1:1" ht="12.75" x14ac:dyDescent="0.35">
      <c r="A262" s="27" t="s">
        <v>2446</v>
      </c>
    </row>
    <row r="263" spans="1:1" ht="12.75" x14ac:dyDescent="0.35">
      <c r="A263" s="22" t="s">
        <v>2447</v>
      </c>
    </row>
    <row r="264" spans="1:1" ht="12.75" x14ac:dyDescent="0.35">
      <c r="A264" s="22" t="s">
        <v>2448</v>
      </c>
    </row>
    <row r="265" spans="1:1" ht="12.75" x14ac:dyDescent="0.35">
      <c r="A265" s="22" t="s">
        <v>2449</v>
      </c>
    </row>
    <row r="266" spans="1:1" ht="12.75" x14ac:dyDescent="0.35">
      <c r="A266" s="22" t="s">
        <v>2450</v>
      </c>
    </row>
    <row r="267" spans="1:1" ht="12.75" x14ac:dyDescent="0.35">
      <c r="A267" s="22" t="s">
        <v>2451</v>
      </c>
    </row>
    <row r="268" spans="1:1" ht="12.75" x14ac:dyDescent="0.35">
      <c r="A268" s="22" t="s">
        <v>2452</v>
      </c>
    </row>
    <row r="269" spans="1:1" ht="12.75" x14ac:dyDescent="0.35">
      <c r="A269" s="22" t="s">
        <v>2453</v>
      </c>
    </row>
    <row r="270" spans="1:1" ht="12.75" x14ac:dyDescent="0.35">
      <c r="A270" s="22" t="s">
        <v>2454</v>
      </c>
    </row>
    <row r="271" spans="1:1" ht="12.75" x14ac:dyDescent="0.35">
      <c r="A271" s="22" t="s">
        <v>2455</v>
      </c>
    </row>
    <row r="272" spans="1:1" ht="12.75" x14ac:dyDescent="0.35">
      <c r="A272" s="22" t="s">
        <v>2456</v>
      </c>
    </row>
    <row r="273" spans="1:1" ht="12.75" x14ac:dyDescent="0.35">
      <c r="A273" s="22"/>
    </row>
    <row r="274" spans="1:1" ht="12.75" x14ac:dyDescent="0.35">
      <c r="A274" s="22" t="s">
        <v>2457</v>
      </c>
    </row>
    <row r="275" spans="1:1" ht="12.75" x14ac:dyDescent="0.35">
      <c r="A275" s="22" t="s">
        <v>2458</v>
      </c>
    </row>
    <row r="276" spans="1:1" ht="12.75" x14ac:dyDescent="0.35">
      <c r="A276" s="22" t="s">
        <v>2459</v>
      </c>
    </row>
    <row r="277" spans="1:1" ht="12.75" x14ac:dyDescent="0.35">
      <c r="A277" s="22" t="s">
        <v>2460</v>
      </c>
    </row>
    <row r="278" spans="1:1" ht="12.75" x14ac:dyDescent="0.35">
      <c r="A278" s="22" t="s">
        <v>2461</v>
      </c>
    </row>
    <row r="279" spans="1:1" ht="12.75" x14ac:dyDescent="0.35">
      <c r="A279" s="22" t="s">
        <v>2462</v>
      </c>
    </row>
    <row r="280" spans="1:1" ht="12.75" x14ac:dyDescent="0.35">
      <c r="A280" s="22" t="s">
        <v>2463</v>
      </c>
    </row>
    <row r="281" spans="1:1" ht="12.75" x14ac:dyDescent="0.35">
      <c r="A281" s="22" t="s">
        <v>2464</v>
      </c>
    </row>
    <row r="282" spans="1:1" ht="12.75" x14ac:dyDescent="0.35">
      <c r="A282" s="22" t="s">
        <v>2465</v>
      </c>
    </row>
    <row r="283" spans="1:1" ht="12.75" x14ac:dyDescent="0.35">
      <c r="A283" s="29" t="s">
        <v>2466</v>
      </c>
    </row>
    <row r="284" spans="1:1" ht="12.75" x14ac:dyDescent="0.35">
      <c r="A284" s="22" t="s">
        <v>2467</v>
      </c>
    </row>
    <row r="285" spans="1:1" ht="12.75" x14ac:dyDescent="0.35">
      <c r="A285" s="22" t="s">
        <v>2468</v>
      </c>
    </row>
    <row r="286" spans="1:1" ht="12.75" x14ac:dyDescent="0.35">
      <c r="A286" s="22" t="s">
        <v>2469</v>
      </c>
    </row>
    <row r="287" spans="1:1" ht="12.75" x14ac:dyDescent="0.35">
      <c r="A287" s="22" t="s">
        <v>2470</v>
      </c>
    </row>
    <row r="288" spans="1:1" ht="12.75" x14ac:dyDescent="0.35">
      <c r="A288" s="27" t="s">
        <v>2471</v>
      </c>
    </row>
    <row r="289" spans="1:1" ht="12.75" x14ac:dyDescent="0.35">
      <c r="A289" s="29" t="s">
        <v>2472</v>
      </c>
    </row>
    <row r="290" spans="1:1" ht="12.75" x14ac:dyDescent="0.35">
      <c r="A290" s="22" t="s">
        <v>2473</v>
      </c>
    </row>
    <row r="291" spans="1:1" ht="12.75" x14ac:dyDescent="0.35">
      <c r="A291" s="22" t="s">
        <v>2474</v>
      </c>
    </row>
    <row r="292" spans="1:1" ht="12.75" x14ac:dyDescent="0.35">
      <c r="A292" s="22" t="s">
        <v>2475</v>
      </c>
    </row>
    <row r="293" spans="1:1" ht="12.75" x14ac:dyDescent="0.35">
      <c r="A293" s="29" t="s">
        <v>2476</v>
      </c>
    </row>
    <row r="294" spans="1:1" ht="12.75" x14ac:dyDescent="0.35">
      <c r="A294" s="22" t="s">
        <v>2477</v>
      </c>
    </row>
    <row r="295" spans="1:1" ht="12.75" x14ac:dyDescent="0.35">
      <c r="A295" s="22" t="s">
        <v>2478</v>
      </c>
    </row>
    <row r="296" spans="1:1" ht="12.75" x14ac:dyDescent="0.35">
      <c r="A296" s="29" t="s">
        <v>2479</v>
      </c>
    </row>
    <row r="297" spans="1:1" ht="12.75" x14ac:dyDescent="0.35">
      <c r="A297" s="22" t="s">
        <v>2480</v>
      </c>
    </row>
    <row r="298" spans="1:1" ht="12.75" x14ac:dyDescent="0.35">
      <c r="A298" s="22" t="s">
        <v>2481</v>
      </c>
    </row>
    <row r="299" spans="1:1" ht="12.75" x14ac:dyDescent="0.35">
      <c r="A299" s="22" t="s">
        <v>2482</v>
      </c>
    </row>
    <row r="300" spans="1:1" ht="12.75" x14ac:dyDescent="0.35">
      <c r="A300" s="22"/>
    </row>
    <row r="301" spans="1:1" ht="12.75" x14ac:dyDescent="0.35">
      <c r="A301" s="22" t="s">
        <v>2483</v>
      </c>
    </row>
    <row r="302" spans="1:1" ht="12.75" x14ac:dyDescent="0.35">
      <c r="A302" s="22" t="s">
        <v>2484</v>
      </c>
    </row>
    <row r="303" spans="1:1" ht="12.75" x14ac:dyDescent="0.35">
      <c r="A303" s="22" t="s">
        <v>2485</v>
      </c>
    </row>
    <row r="304" spans="1:1" ht="12.75" x14ac:dyDescent="0.35">
      <c r="A304" s="22" t="s">
        <v>2486</v>
      </c>
    </row>
    <row r="305" spans="1:1" ht="12.75" x14ac:dyDescent="0.35">
      <c r="A305" s="22" t="s">
        <v>2487</v>
      </c>
    </row>
    <row r="306" spans="1:1" ht="12.75" x14ac:dyDescent="0.35">
      <c r="A306" s="22" t="s">
        <v>2488</v>
      </c>
    </row>
    <row r="307" spans="1:1" ht="12.75" x14ac:dyDescent="0.35">
      <c r="A307" s="22" t="s">
        <v>2489</v>
      </c>
    </row>
    <row r="308" spans="1:1" ht="12.75" x14ac:dyDescent="0.35">
      <c r="A308" s="22" t="s">
        <v>2490</v>
      </c>
    </row>
    <row r="309" spans="1:1" ht="12.75" x14ac:dyDescent="0.35">
      <c r="A309" s="22" t="s">
        <v>2491</v>
      </c>
    </row>
    <row r="310" spans="1:1" ht="12.75" x14ac:dyDescent="0.35">
      <c r="A310" s="22" t="s">
        <v>2492</v>
      </c>
    </row>
    <row r="311" spans="1:1" ht="12.75" x14ac:dyDescent="0.35">
      <c r="A311" s="22" t="s">
        <v>2493</v>
      </c>
    </row>
    <row r="312" spans="1:1" ht="12.75" x14ac:dyDescent="0.35">
      <c r="A312" s="22" t="s">
        <v>2494</v>
      </c>
    </row>
    <row r="313" spans="1:1" ht="12.75" x14ac:dyDescent="0.35">
      <c r="A313" s="22" t="s">
        <v>2495</v>
      </c>
    </row>
    <row r="314" spans="1:1" ht="12.75" x14ac:dyDescent="0.35">
      <c r="A314" s="27" t="s">
        <v>2496</v>
      </c>
    </row>
    <row r="315" spans="1:1" ht="12.75" x14ac:dyDescent="0.35">
      <c r="A315" s="22" t="s">
        <v>2497</v>
      </c>
    </row>
    <row r="316" spans="1:1" ht="12.75" x14ac:dyDescent="0.35">
      <c r="A316" s="22" t="s">
        <v>2498</v>
      </c>
    </row>
    <row r="317" spans="1:1" ht="12.75" x14ac:dyDescent="0.35">
      <c r="A317" s="22" t="s">
        <v>2499</v>
      </c>
    </row>
    <row r="318" spans="1:1" ht="12.75" x14ac:dyDescent="0.35">
      <c r="A318" s="22" t="s">
        <v>2500</v>
      </c>
    </row>
    <row r="319" spans="1:1" ht="12.75" x14ac:dyDescent="0.35">
      <c r="A319" s="22" t="s">
        <v>1164</v>
      </c>
    </row>
    <row r="320" spans="1:1" ht="12.75" x14ac:dyDescent="0.35">
      <c r="A320" s="22" t="s">
        <v>2501</v>
      </c>
    </row>
    <row r="321" spans="1:1" ht="12.75" x14ac:dyDescent="0.35">
      <c r="A321" s="22" t="s">
        <v>2502</v>
      </c>
    </row>
    <row r="322" spans="1:1" ht="12.75" x14ac:dyDescent="0.35">
      <c r="A322" s="22" t="s">
        <v>2503</v>
      </c>
    </row>
    <row r="323" spans="1:1" ht="12.75" x14ac:dyDescent="0.35">
      <c r="A323" s="22" t="s">
        <v>2504</v>
      </c>
    </row>
    <row r="324" spans="1:1" ht="12.75" x14ac:dyDescent="0.35">
      <c r="A324" s="22" t="s">
        <v>2505</v>
      </c>
    </row>
    <row r="325" spans="1:1" ht="12.75" x14ac:dyDescent="0.35">
      <c r="A325" s="22" t="s">
        <v>2506</v>
      </c>
    </row>
    <row r="326" spans="1:1" ht="12.75" x14ac:dyDescent="0.35">
      <c r="A326" s="22" t="s">
        <v>2507</v>
      </c>
    </row>
    <row r="327" spans="1:1" ht="12.75" x14ac:dyDescent="0.35">
      <c r="A327" s="22"/>
    </row>
    <row r="328" spans="1:1" ht="12.75" x14ac:dyDescent="0.35">
      <c r="A328" s="22" t="s">
        <v>2508</v>
      </c>
    </row>
    <row r="329" spans="1:1" ht="12.75" x14ac:dyDescent="0.35">
      <c r="A329" s="22" t="s">
        <v>2509</v>
      </c>
    </row>
    <row r="330" spans="1:1" ht="12.75" x14ac:dyDescent="0.35">
      <c r="A330" s="22" t="s">
        <v>2510</v>
      </c>
    </row>
    <row r="331" spans="1:1" ht="12.75" x14ac:dyDescent="0.35">
      <c r="A331" s="22" t="s">
        <v>2511</v>
      </c>
    </row>
    <row r="332" spans="1:1" ht="12.75" x14ac:dyDescent="0.35">
      <c r="A332" s="22" t="s">
        <v>2512</v>
      </c>
    </row>
    <row r="333" spans="1:1" ht="12.75" x14ac:dyDescent="0.35">
      <c r="A333" s="22" t="s">
        <v>2513</v>
      </c>
    </row>
    <row r="334" spans="1:1" ht="12.75" x14ac:dyDescent="0.35">
      <c r="A334" s="22" t="s">
        <v>2514</v>
      </c>
    </row>
    <row r="335" spans="1:1" ht="12.75" x14ac:dyDescent="0.35">
      <c r="A335" s="29" t="s">
        <v>2515</v>
      </c>
    </row>
    <row r="336" spans="1:1" ht="12.75" x14ac:dyDescent="0.35">
      <c r="A336" s="22" t="s">
        <v>2516</v>
      </c>
    </row>
    <row r="337" spans="1:1" ht="12.75" x14ac:dyDescent="0.35">
      <c r="A337" s="22" t="s">
        <v>2517</v>
      </c>
    </row>
    <row r="338" spans="1:1" ht="12.75" x14ac:dyDescent="0.35">
      <c r="A338" s="22" t="s">
        <v>2518</v>
      </c>
    </row>
    <row r="339" spans="1:1" ht="12.75" x14ac:dyDescent="0.35">
      <c r="A339" s="22" t="s">
        <v>2519</v>
      </c>
    </row>
    <row r="340" spans="1:1" ht="12.75" x14ac:dyDescent="0.35">
      <c r="A340" s="27" t="s">
        <v>2520</v>
      </c>
    </row>
    <row r="341" spans="1:1" ht="12.75" x14ac:dyDescent="0.35">
      <c r="A341" s="22" t="s">
        <v>2521</v>
      </c>
    </row>
    <row r="342" spans="1:1" ht="12.75" x14ac:dyDescent="0.35">
      <c r="A342" s="22" t="s">
        <v>2522</v>
      </c>
    </row>
    <row r="343" spans="1:1" ht="12.75" x14ac:dyDescent="0.35">
      <c r="A343" s="22" t="s">
        <v>2523</v>
      </c>
    </row>
    <row r="344" spans="1:1" ht="12.75" x14ac:dyDescent="0.35">
      <c r="A344" s="22" t="s">
        <v>2524</v>
      </c>
    </row>
    <row r="345" spans="1:1" ht="12.75" x14ac:dyDescent="0.35">
      <c r="A345" s="22" t="s">
        <v>2525</v>
      </c>
    </row>
    <row r="346" spans="1:1" ht="12.75" x14ac:dyDescent="0.35">
      <c r="A346" s="22" t="s">
        <v>2526</v>
      </c>
    </row>
    <row r="347" spans="1:1" ht="12.75" x14ac:dyDescent="0.35">
      <c r="A347" s="22" t="s">
        <v>2527</v>
      </c>
    </row>
    <row r="348" spans="1:1" ht="12.75" x14ac:dyDescent="0.35">
      <c r="A348" s="22" t="s">
        <v>2528</v>
      </c>
    </row>
    <row r="349" spans="1:1" ht="12.75" x14ac:dyDescent="0.35">
      <c r="A349" s="22" t="s">
        <v>2529</v>
      </c>
    </row>
    <row r="350" spans="1:1" ht="12.75" x14ac:dyDescent="0.35">
      <c r="A350" s="22" t="s">
        <v>2530</v>
      </c>
    </row>
    <row r="351" spans="1:1" ht="12.75" x14ac:dyDescent="0.35">
      <c r="A351" s="22" t="s">
        <v>2531</v>
      </c>
    </row>
    <row r="352" spans="1:1" ht="12.75" x14ac:dyDescent="0.35">
      <c r="A352" s="22" t="s">
        <v>2532</v>
      </c>
    </row>
    <row r="353" spans="1:1" ht="12.75" x14ac:dyDescent="0.35">
      <c r="A353" s="22" t="s">
        <v>2533</v>
      </c>
    </row>
    <row r="354" spans="1:1" ht="12.75" x14ac:dyDescent="0.35">
      <c r="A354" s="22"/>
    </row>
    <row r="355" spans="1:1" ht="12.75" x14ac:dyDescent="0.35">
      <c r="A355" s="22" t="s">
        <v>2534</v>
      </c>
    </row>
    <row r="356" spans="1:1" ht="12.75" x14ac:dyDescent="0.35">
      <c r="A356" s="22" t="s">
        <v>2535</v>
      </c>
    </row>
    <row r="357" spans="1:1" ht="12.75" x14ac:dyDescent="0.35">
      <c r="A357" s="22" t="s">
        <v>2536</v>
      </c>
    </row>
    <row r="358" spans="1:1" ht="12.75" x14ac:dyDescent="0.35">
      <c r="A358" s="22" t="s">
        <v>2537</v>
      </c>
    </row>
    <row r="359" spans="1:1" ht="12.75" x14ac:dyDescent="0.35">
      <c r="A359" s="22" t="s">
        <v>2538</v>
      </c>
    </row>
    <row r="360" spans="1:1" ht="12.75" x14ac:dyDescent="0.35">
      <c r="A360" s="22" t="s">
        <v>2539</v>
      </c>
    </row>
    <row r="361" spans="1:1" ht="12.75" x14ac:dyDescent="0.35">
      <c r="A361" s="22" t="s">
        <v>2540</v>
      </c>
    </row>
    <row r="362" spans="1:1" ht="12.75" x14ac:dyDescent="0.35">
      <c r="A362" s="22" t="s">
        <v>2541</v>
      </c>
    </row>
    <row r="363" spans="1:1" ht="12.75" x14ac:dyDescent="0.35">
      <c r="A363" s="22" t="s">
        <v>2542</v>
      </c>
    </row>
    <row r="364" spans="1:1" ht="12.75" x14ac:dyDescent="0.35">
      <c r="A364" s="22" t="s">
        <v>2543</v>
      </c>
    </row>
    <row r="365" spans="1:1" ht="12.75" x14ac:dyDescent="0.35">
      <c r="A365" s="22" t="s">
        <v>2544</v>
      </c>
    </row>
    <row r="366" spans="1:1" ht="12.75" x14ac:dyDescent="0.35">
      <c r="A366" s="27" t="s">
        <v>2545</v>
      </c>
    </row>
    <row r="367" spans="1:1" ht="12.75" x14ac:dyDescent="0.35">
      <c r="A367" s="22" t="s">
        <v>2546</v>
      </c>
    </row>
    <row r="368" spans="1:1" ht="12.75" x14ac:dyDescent="0.35">
      <c r="A368" s="22" t="s">
        <v>2547</v>
      </c>
    </row>
    <row r="369" spans="1:1" ht="12.75" x14ac:dyDescent="0.35">
      <c r="A369" s="22" t="s">
        <v>2548</v>
      </c>
    </row>
    <row r="370" spans="1:1" ht="12.75" x14ac:dyDescent="0.35">
      <c r="A370" s="22" t="s">
        <v>2549</v>
      </c>
    </row>
    <row r="371" spans="1:1" ht="12.75" x14ac:dyDescent="0.35">
      <c r="A371" s="22" t="s">
        <v>2550</v>
      </c>
    </row>
    <row r="372" spans="1:1" ht="12.75" x14ac:dyDescent="0.35">
      <c r="A372" s="22" t="s">
        <v>2551</v>
      </c>
    </row>
    <row r="373" spans="1:1" ht="12.75" x14ac:dyDescent="0.35">
      <c r="A373" s="22" t="s">
        <v>2552</v>
      </c>
    </row>
    <row r="374" spans="1:1" ht="12.75" x14ac:dyDescent="0.35">
      <c r="A374" s="29" t="s">
        <v>2553</v>
      </c>
    </row>
    <row r="375" spans="1:1" ht="12.75" x14ac:dyDescent="0.35">
      <c r="A375" s="22" t="s">
        <v>2554</v>
      </c>
    </row>
    <row r="376" spans="1:1" ht="12.75" x14ac:dyDescent="0.35">
      <c r="A376" s="22" t="s">
        <v>2555</v>
      </c>
    </row>
    <row r="377" spans="1:1" ht="12.75" x14ac:dyDescent="0.35">
      <c r="A377" s="22" t="s">
        <v>2556</v>
      </c>
    </row>
    <row r="378" spans="1:1" ht="12.75" x14ac:dyDescent="0.35">
      <c r="A378" s="22" t="s">
        <v>2557</v>
      </c>
    </row>
    <row r="379" spans="1:1" ht="12.75" x14ac:dyDescent="0.35">
      <c r="A379" s="22" t="s">
        <v>2558</v>
      </c>
    </row>
    <row r="380" spans="1:1" ht="12.75" x14ac:dyDescent="0.35">
      <c r="A380" s="22" t="s">
        <v>2559</v>
      </c>
    </row>
    <row r="381" spans="1:1" ht="12.75" x14ac:dyDescent="0.35">
      <c r="A381" s="22"/>
    </row>
    <row r="382" spans="1:1" ht="12.75" x14ac:dyDescent="0.35">
      <c r="A382" s="22" t="s">
        <v>2560</v>
      </c>
    </row>
    <row r="383" spans="1:1" ht="12.75" x14ac:dyDescent="0.35">
      <c r="A383" s="22" t="s">
        <v>2561</v>
      </c>
    </row>
    <row r="384" spans="1:1" ht="12.75" x14ac:dyDescent="0.35">
      <c r="A384" s="22" t="s">
        <v>2562</v>
      </c>
    </row>
    <row r="385" spans="1:1" ht="12.75" x14ac:dyDescent="0.35">
      <c r="A385" s="22" t="s">
        <v>2563</v>
      </c>
    </row>
    <row r="386" spans="1:1" ht="12.75" x14ac:dyDescent="0.35">
      <c r="A386" s="22" t="s">
        <v>2564</v>
      </c>
    </row>
    <row r="387" spans="1:1" ht="12.75" x14ac:dyDescent="0.35">
      <c r="A387" s="22" t="s">
        <v>2565</v>
      </c>
    </row>
    <row r="388" spans="1:1" ht="12.75" x14ac:dyDescent="0.35">
      <c r="A388" s="22" t="s">
        <v>2566</v>
      </c>
    </row>
    <row r="389" spans="1:1" ht="12.75" x14ac:dyDescent="0.35">
      <c r="A389" s="22" t="s">
        <v>2567</v>
      </c>
    </row>
    <row r="390" spans="1:1" ht="12.75" x14ac:dyDescent="0.35">
      <c r="A390" s="29" t="s">
        <v>2568</v>
      </c>
    </row>
    <row r="391" spans="1:1" ht="12.75" x14ac:dyDescent="0.35">
      <c r="A391" s="22" t="s">
        <v>2569</v>
      </c>
    </row>
    <row r="392" spans="1:1" ht="12.75" x14ac:dyDescent="0.35">
      <c r="A392" s="27" t="s">
        <v>2570</v>
      </c>
    </row>
    <row r="393" spans="1:1" ht="12.75" x14ac:dyDescent="0.35">
      <c r="A393" s="22" t="s">
        <v>2571</v>
      </c>
    </row>
    <row r="394" spans="1:1" ht="12.75" x14ac:dyDescent="0.35">
      <c r="A394" s="22" t="s">
        <v>2572</v>
      </c>
    </row>
    <row r="395" spans="1:1" ht="12.75" x14ac:dyDescent="0.35">
      <c r="A395" s="22" t="s">
        <v>2573</v>
      </c>
    </row>
    <row r="396" spans="1:1" ht="12.75" x14ac:dyDescent="0.35">
      <c r="A396" s="22" t="s">
        <v>2574</v>
      </c>
    </row>
    <row r="397" spans="1:1" ht="12.75" x14ac:dyDescent="0.35">
      <c r="A397" s="22" t="s">
        <v>2575</v>
      </c>
    </row>
    <row r="398" spans="1:1" ht="12.75" x14ac:dyDescent="0.35">
      <c r="A398" s="22" t="s">
        <v>2576</v>
      </c>
    </row>
    <row r="399" spans="1:1" ht="12.75" x14ac:dyDescent="0.35">
      <c r="A399" s="22" t="s">
        <v>2577</v>
      </c>
    </row>
    <row r="400" spans="1:1" ht="12.75" x14ac:dyDescent="0.35">
      <c r="A400" s="22" t="s">
        <v>2578</v>
      </c>
    </row>
    <row r="401" spans="1:1" ht="12.75" x14ac:dyDescent="0.35">
      <c r="A401" s="22" t="s">
        <v>2579</v>
      </c>
    </row>
    <row r="402" spans="1:1" ht="12.75" x14ac:dyDescent="0.35">
      <c r="A402" s="22" t="s">
        <v>2580</v>
      </c>
    </row>
    <row r="403" spans="1:1" ht="12.75" x14ac:dyDescent="0.35">
      <c r="A403" s="22" t="s">
        <v>2581</v>
      </c>
    </row>
    <row r="404" spans="1:1" ht="12.75" x14ac:dyDescent="0.35">
      <c r="A404" s="22" t="s">
        <v>2582</v>
      </c>
    </row>
    <row r="405" spans="1:1" ht="12.75" x14ac:dyDescent="0.35">
      <c r="A405" s="22" t="s">
        <v>2583</v>
      </c>
    </row>
    <row r="406" spans="1:1" ht="12.75" x14ac:dyDescent="0.35">
      <c r="A406" s="22" t="s">
        <v>2584</v>
      </c>
    </row>
    <row r="407" spans="1:1" ht="12.75" x14ac:dyDescent="0.35">
      <c r="A407" s="22" t="s">
        <v>2585</v>
      </c>
    </row>
    <row r="408" spans="1:1" ht="12.75" x14ac:dyDescent="0.35">
      <c r="A408" s="22"/>
    </row>
    <row r="409" spans="1:1" ht="12.75" x14ac:dyDescent="0.35">
      <c r="A409" s="22" t="s">
        <v>2586</v>
      </c>
    </row>
    <row r="410" spans="1:1" ht="12.75" x14ac:dyDescent="0.35">
      <c r="A410" s="22" t="s">
        <v>2587</v>
      </c>
    </row>
    <row r="411" spans="1:1" ht="12.75" x14ac:dyDescent="0.35">
      <c r="A411" s="22" t="s">
        <v>2588</v>
      </c>
    </row>
    <row r="412" spans="1:1" ht="12.75" x14ac:dyDescent="0.35">
      <c r="A412" s="22" t="s">
        <v>2589</v>
      </c>
    </row>
    <row r="413" spans="1:1" ht="12.75" x14ac:dyDescent="0.35">
      <c r="A413" s="29" t="s">
        <v>2590</v>
      </c>
    </row>
    <row r="414" spans="1:1" ht="12.75" x14ac:dyDescent="0.35">
      <c r="A414" s="22" t="s">
        <v>2591</v>
      </c>
    </row>
    <row r="415" spans="1:1" ht="12.75" x14ac:dyDescent="0.35">
      <c r="A415" s="22" t="s">
        <v>2592</v>
      </c>
    </row>
    <row r="416" spans="1:1" ht="12.75" x14ac:dyDescent="0.35">
      <c r="A416" s="22" t="s">
        <v>2593</v>
      </c>
    </row>
    <row r="417" spans="1:1" ht="12.75" x14ac:dyDescent="0.35">
      <c r="A417" s="22" t="s">
        <v>2594</v>
      </c>
    </row>
    <row r="418" spans="1:1" ht="12.75" x14ac:dyDescent="0.35">
      <c r="A418" s="27" t="s">
        <v>2595</v>
      </c>
    </row>
    <row r="419" spans="1:1" ht="12.75" x14ac:dyDescent="0.35">
      <c r="A419" s="22" t="s">
        <v>2596</v>
      </c>
    </row>
    <row r="420" spans="1:1" ht="12.75" x14ac:dyDescent="0.35">
      <c r="A420" s="22" t="s">
        <v>2597</v>
      </c>
    </row>
    <row r="421" spans="1:1" ht="12.75" x14ac:dyDescent="0.35">
      <c r="A421" s="22" t="s">
        <v>2598</v>
      </c>
    </row>
    <row r="422" spans="1:1" ht="12.75" x14ac:dyDescent="0.35">
      <c r="A422" s="22" t="s">
        <v>2599</v>
      </c>
    </row>
    <row r="423" spans="1:1" ht="12.75" x14ac:dyDescent="0.35">
      <c r="A423" s="22" t="s">
        <v>2600</v>
      </c>
    </row>
    <row r="424" spans="1:1" ht="12.75" x14ac:dyDescent="0.35">
      <c r="A424" s="22" t="s">
        <v>2601</v>
      </c>
    </row>
    <row r="425" spans="1:1" ht="12.75" x14ac:dyDescent="0.35">
      <c r="A425" s="22" t="s">
        <v>2602</v>
      </c>
    </row>
    <row r="426" spans="1:1" ht="12.75" x14ac:dyDescent="0.35">
      <c r="A426" s="29" t="s">
        <v>2603</v>
      </c>
    </row>
    <row r="427" spans="1:1" ht="12.75" x14ac:dyDescent="0.35">
      <c r="A427" s="22" t="s">
        <v>2604</v>
      </c>
    </row>
    <row r="428" spans="1:1" ht="12.75" x14ac:dyDescent="0.35">
      <c r="A428" s="22" t="s">
        <v>2605</v>
      </c>
    </row>
    <row r="429" spans="1:1" ht="12.75" x14ac:dyDescent="0.35">
      <c r="A429" s="22" t="s">
        <v>2606</v>
      </c>
    </row>
    <row r="430" spans="1:1" ht="12.75" x14ac:dyDescent="0.35">
      <c r="A430" s="22" t="s">
        <v>2607</v>
      </c>
    </row>
    <row r="431" spans="1:1" ht="12.75" x14ac:dyDescent="0.35">
      <c r="A431" s="22" t="s">
        <v>2608</v>
      </c>
    </row>
    <row r="432" spans="1:1" ht="12.75" x14ac:dyDescent="0.35">
      <c r="A432" s="22" t="s">
        <v>2609</v>
      </c>
    </row>
    <row r="433" spans="1:1" ht="12.75" x14ac:dyDescent="0.35">
      <c r="A433" s="22" t="s">
        <v>2610</v>
      </c>
    </row>
    <row r="434" spans="1:1" ht="12.75" x14ac:dyDescent="0.35">
      <c r="A434" s="22" t="s">
        <v>2611</v>
      </c>
    </row>
    <row r="435" spans="1:1" ht="12.75" x14ac:dyDescent="0.35">
      <c r="A435" s="22"/>
    </row>
    <row r="436" spans="1:1" ht="12.75" x14ac:dyDescent="0.35">
      <c r="A436" s="22" t="s">
        <v>2612</v>
      </c>
    </row>
    <row r="437" spans="1:1" ht="12.75" x14ac:dyDescent="0.35">
      <c r="A437" s="22" t="s">
        <v>2613</v>
      </c>
    </row>
    <row r="438" spans="1:1" ht="12.75" x14ac:dyDescent="0.35">
      <c r="A438" s="22" t="s">
        <v>2614</v>
      </c>
    </row>
    <row r="439" spans="1:1" ht="12.75" x14ac:dyDescent="0.35">
      <c r="A439" s="22" t="s">
        <v>2615</v>
      </c>
    </row>
    <row r="440" spans="1:1" ht="12.75" x14ac:dyDescent="0.35">
      <c r="A440" s="22" t="s">
        <v>2616</v>
      </c>
    </row>
    <row r="441" spans="1:1" ht="12.75" x14ac:dyDescent="0.35">
      <c r="A441" s="22" t="s">
        <v>2617</v>
      </c>
    </row>
    <row r="442" spans="1:1" ht="12.75" x14ac:dyDescent="0.35">
      <c r="A442" s="22" t="s">
        <v>2618</v>
      </c>
    </row>
    <row r="443" spans="1:1" ht="12.75" x14ac:dyDescent="0.35">
      <c r="A443" s="22" t="s">
        <v>2619</v>
      </c>
    </row>
    <row r="444" spans="1:1" ht="12.75" x14ac:dyDescent="0.35">
      <c r="A444" s="27" t="s">
        <v>2620</v>
      </c>
    </row>
    <row r="445" spans="1:1" ht="12.75" x14ac:dyDescent="0.35">
      <c r="A445" s="22" t="s">
        <v>2621</v>
      </c>
    </row>
    <row r="446" spans="1:1" ht="12.75" x14ac:dyDescent="0.35">
      <c r="A446" s="22" t="s">
        <v>2622</v>
      </c>
    </row>
    <row r="447" spans="1:1" ht="12.75" x14ac:dyDescent="0.35">
      <c r="A447" s="22" t="s">
        <v>2623</v>
      </c>
    </row>
    <row r="448" spans="1:1" ht="12.75" x14ac:dyDescent="0.35">
      <c r="A448" s="22" t="s">
        <v>2624</v>
      </c>
    </row>
    <row r="449" spans="1:1" ht="12.75" x14ac:dyDescent="0.35">
      <c r="A449" s="22" t="s">
        <v>2625</v>
      </c>
    </row>
    <row r="450" spans="1:1" ht="12.75" x14ac:dyDescent="0.35">
      <c r="A450" s="22" t="s">
        <v>2626</v>
      </c>
    </row>
    <row r="451" spans="1:1" ht="12.75" x14ac:dyDescent="0.35">
      <c r="A451" s="22" t="s">
        <v>2627</v>
      </c>
    </row>
    <row r="452" spans="1:1" ht="12.75" x14ac:dyDescent="0.35">
      <c r="A452" s="41" t="s">
        <v>2628</v>
      </c>
    </row>
    <row r="453" spans="1:1" ht="12.75" x14ac:dyDescent="0.35">
      <c r="A453" s="29" t="s">
        <v>2629</v>
      </c>
    </row>
    <row r="454" spans="1:1" ht="12.75" x14ac:dyDescent="0.35">
      <c r="A454" s="22" t="s">
        <v>2630</v>
      </c>
    </row>
    <row r="455" spans="1:1" ht="12.75" x14ac:dyDescent="0.35">
      <c r="A455" s="29" t="s">
        <v>2631</v>
      </c>
    </row>
    <row r="456" spans="1:1" ht="12.75" x14ac:dyDescent="0.35">
      <c r="A456" s="22" t="s">
        <v>2632</v>
      </c>
    </row>
    <row r="457" spans="1:1" ht="12.75" x14ac:dyDescent="0.35">
      <c r="A457" s="22" t="s">
        <v>2633</v>
      </c>
    </row>
    <row r="458" spans="1:1" ht="12.75" x14ac:dyDescent="0.35">
      <c r="A458" s="22" t="s">
        <v>2634</v>
      </c>
    </row>
    <row r="459" spans="1:1" ht="12.75" x14ac:dyDescent="0.35">
      <c r="A459" s="22" t="s">
        <v>2635</v>
      </c>
    </row>
    <row r="460" spans="1:1" ht="12.75" x14ac:dyDescent="0.35">
      <c r="A460" s="22" t="s">
        <v>2636</v>
      </c>
    </row>
    <row r="461" spans="1:1" ht="12.75" x14ac:dyDescent="0.35">
      <c r="A461" s="22" t="s">
        <v>2637</v>
      </c>
    </row>
    <row r="462" spans="1:1" ht="12.75" x14ac:dyDescent="0.35">
      <c r="A462" s="22"/>
    </row>
    <row r="463" spans="1:1" ht="12.75" x14ac:dyDescent="0.35">
      <c r="A463" s="22" t="s">
        <v>2638</v>
      </c>
    </row>
    <row r="464" spans="1:1" ht="12.75" x14ac:dyDescent="0.35">
      <c r="A464" s="22" t="s">
        <v>2639</v>
      </c>
    </row>
    <row r="465" spans="1:1" ht="12.75" x14ac:dyDescent="0.35">
      <c r="A465" s="22" t="s">
        <v>2640</v>
      </c>
    </row>
    <row r="466" spans="1:1" ht="12.75" x14ac:dyDescent="0.35">
      <c r="A466" s="22" t="s">
        <v>2641</v>
      </c>
    </row>
    <row r="467" spans="1:1" ht="12.75" x14ac:dyDescent="0.35">
      <c r="A467" s="22" t="s">
        <v>2642</v>
      </c>
    </row>
    <row r="468" spans="1:1" ht="12.75" x14ac:dyDescent="0.35">
      <c r="A468" s="22" t="s">
        <v>2643</v>
      </c>
    </row>
    <row r="469" spans="1:1" ht="12.75" x14ac:dyDescent="0.35">
      <c r="A469" s="22" t="s">
        <v>2644</v>
      </c>
    </row>
    <row r="470" spans="1:1" ht="12.75" x14ac:dyDescent="0.35">
      <c r="A470" s="27" t="s">
        <v>2645</v>
      </c>
    </row>
    <row r="471" spans="1:1" ht="12.75" x14ac:dyDescent="0.35">
      <c r="A471" s="29" t="s">
        <v>2646</v>
      </c>
    </row>
    <row r="472" spans="1:1" ht="12.75" x14ac:dyDescent="0.35">
      <c r="A472" s="22" t="s">
        <v>2647</v>
      </c>
    </row>
    <row r="473" spans="1:1" ht="12.75" x14ac:dyDescent="0.35">
      <c r="A473" s="22" t="s">
        <v>2648</v>
      </c>
    </row>
    <row r="474" spans="1:1" ht="12.75" x14ac:dyDescent="0.35">
      <c r="A474" s="22" t="s">
        <v>2649</v>
      </c>
    </row>
    <row r="475" spans="1:1" ht="12.75" x14ac:dyDescent="0.35">
      <c r="A475" s="22" t="s">
        <v>2650</v>
      </c>
    </row>
    <row r="476" spans="1:1" ht="12.75" x14ac:dyDescent="0.35">
      <c r="A476" s="22" t="s">
        <v>2651</v>
      </c>
    </row>
    <row r="477" spans="1:1" ht="12.75" x14ac:dyDescent="0.35">
      <c r="A477" s="22" t="s">
        <v>2652</v>
      </c>
    </row>
    <row r="478" spans="1:1" ht="12.75" x14ac:dyDescent="0.35">
      <c r="A478" s="22" t="s">
        <v>2653</v>
      </c>
    </row>
    <row r="479" spans="1:1" ht="12.75" x14ac:dyDescent="0.35">
      <c r="A479" s="29" t="s">
        <v>2654</v>
      </c>
    </row>
    <row r="480" spans="1:1" ht="12.75" x14ac:dyDescent="0.35">
      <c r="A480" s="22" t="s">
        <v>2655</v>
      </c>
    </row>
    <row r="481" spans="1:1" ht="12.75" x14ac:dyDescent="0.35">
      <c r="A481" s="22" t="s">
        <v>2656</v>
      </c>
    </row>
    <row r="482" spans="1:1" ht="12.75" x14ac:dyDescent="0.35">
      <c r="A482" s="22" t="s">
        <v>2657</v>
      </c>
    </row>
    <row r="483" spans="1:1" ht="12.75" x14ac:dyDescent="0.35">
      <c r="A483" s="22" t="s">
        <v>2658</v>
      </c>
    </row>
    <row r="484" spans="1:1" ht="12.75" x14ac:dyDescent="0.35">
      <c r="A484" s="22" t="s">
        <v>2659</v>
      </c>
    </row>
    <row r="485" spans="1:1" ht="12.75" x14ac:dyDescent="0.35">
      <c r="A485" s="22" t="s">
        <v>2660</v>
      </c>
    </row>
    <row r="486" spans="1:1" ht="12.75" x14ac:dyDescent="0.35">
      <c r="A486" s="22" t="s">
        <v>2661</v>
      </c>
    </row>
    <row r="487" spans="1:1" ht="12.75" x14ac:dyDescent="0.35">
      <c r="A487" s="22" t="s">
        <v>2662</v>
      </c>
    </row>
    <row r="488" spans="1:1" ht="12.75" x14ac:dyDescent="0.35">
      <c r="A488" s="22" t="s">
        <v>2663</v>
      </c>
    </row>
    <row r="489" spans="1:1" ht="12.75" x14ac:dyDescent="0.35">
      <c r="A489" s="22"/>
    </row>
    <row r="490" spans="1:1" ht="12.75" x14ac:dyDescent="0.35">
      <c r="A490" s="22" t="s">
        <v>2664</v>
      </c>
    </row>
    <row r="491" spans="1:1" ht="12.75" x14ac:dyDescent="0.35">
      <c r="A491" s="22" t="s">
        <v>2665</v>
      </c>
    </row>
    <row r="492" spans="1:1" ht="12.75" x14ac:dyDescent="0.35">
      <c r="A492" s="22" t="s">
        <v>2666</v>
      </c>
    </row>
    <row r="493" spans="1:1" ht="12.75" x14ac:dyDescent="0.35">
      <c r="A493" s="22" t="s">
        <v>2667</v>
      </c>
    </row>
    <row r="494" spans="1:1" ht="12.75" x14ac:dyDescent="0.35">
      <c r="A494" s="22" t="s">
        <v>2668</v>
      </c>
    </row>
    <row r="495" spans="1:1" ht="12.75" x14ac:dyDescent="0.35">
      <c r="A495" s="22" t="s">
        <v>2669</v>
      </c>
    </row>
    <row r="496" spans="1:1" ht="12.75" x14ac:dyDescent="0.35">
      <c r="A496" s="27" t="s">
        <v>2670</v>
      </c>
    </row>
    <row r="497" spans="1:1" ht="12.75" x14ac:dyDescent="0.35">
      <c r="A497" s="22" t="s">
        <v>2671</v>
      </c>
    </row>
    <row r="498" spans="1:1" ht="12.75" x14ac:dyDescent="0.35">
      <c r="A498" s="22" t="s">
        <v>2672</v>
      </c>
    </row>
    <row r="499" spans="1:1" ht="12.75" x14ac:dyDescent="0.35">
      <c r="A499" s="22" t="s">
        <v>2673</v>
      </c>
    </row>
    <row r="500" spans="1:1" ht="12.75" x14ac:dyDescent="0.35">
      <c r="A500" s="22" t="s">
        <v>2674</v>
      </c>
    </row>
    <row r="501" spans="1:1" ht="12.75" x14ac:dyDescent="0.35">
      <c r="A501" s="22" t="s">
        <v>2675</v>
      </c>
    </row>
    <row r="502" spans="1:1" ht="12.75" x14ac:dyDescent="0.35">
      <c r="A502" s="22" t="s">
        <v>2676</v>
      </c>
    </row>
    <row r="503" spans="1:1" ht="12.75" x14ac:dyDescent="0.35">
      <c r="A503" s="22" t="s">
        <v>2677</v>
      </c>
    </row>
    <row r="504" spans="1:1" ht="12.75" x14ac:dyDescent="0.35">
      <c r="A504" s="22" t="s">
        <v>2678</v>
      </c>
    </row>
    <row r="505" spans="1:1" ht="12.75" x14ac:dyDescent="0.35">
      <c r="A505" s="22" t="s">
        <v>2679</v>
      </c>
    </row>
    <row r="506" spans="1:1" ht="12.75" x14ac:dyDescent="0.35">
      <c r="A506" s="22" t="s">
        <v>2680</v>
      </c>
    </row>
    <row r="507" spans="1:1" ht="12.75" x14ac:dyDescent="0.35">
      <c r="A507" s="22" t="s">
        <v>2681</v>
      </c>
    </row>
    <row r="508" spans="1:1" ht="12.75" x14ac:dyDescent="0.35">
      <c r="A508" s="22" t="s">
        <v>2682</v>
      </c>
    </row>
    <row r="509" spans="1:1" ht="12.75" x14ac:dyDescent="0.35">
      <c r="A509" s="22" t="s">
        <v>2683</v>
      </c>
    </row>
    <row r="510" spans="1:1" ht="12.75" x14ac:dyDescent="0.35">
      <c r="A510" s="22" t="s">
        <v>2684</v>
      </c>
    </row>
    <row r="511" spans="1:1" ht="12.75" x14ac:dyDescent="0.35">
      <c r="A511" s="22" t="s">
        <v>2685</v>
      </c>
    </row>
    <row r="512" spans="1:1" ht="12.75" x14ac:dyDescent="0.35">
      <c r="A512" s="22" t="s">
        <v>2686</v>
      </c>
    </row>
    <row r="513" spans="1:1" ht="12.75" x14ac:dyDescent="0.35">
      <c r="A513" s="22" t="s">
        <v>2687</v>
      </c>
    </row>
    <row r="514" spans="1:1" ht="12.75" x14ac:dyDescent="0.35">
      <c r="A514" s="22" t="s">
        <v>2688</v>
      </c>
    </row>
    <row r="515" spans="1:1" ht="12.75" x14ac:dyDescent="0.35">
      <c r="A515" s="22" t="s">
        <v>2689</v>
      </c>
    </row>
    <row r="516" spans="1:1" ht="12.75" x14ac:dyDescent="0.35">
      <c r="A516" s="22"/>
    </row>
    <row r="517" spans="1:1" ht="12.75" x14ac:dyDescent="0.35">
      <c r="A517" s="22" t="s">
        <v>2690</v>
      </c>
    </row>
    <row r="518" spans="1:1" ht="12.75" x14ac:dyDescent="0.35">
      <c r="A518" s="22" t="s">
        <v>2691</v>
      </c>
    </row>
    <row r="519" spans="1:1" ht="12.75" x14ac:dyDescent="0.35">
      <c r="A519" s="22" t="s">
        <v>2692</v>
      </c>
    </row>
    <row r="520" spans="1:1" ht="12.75" x14ac:dyDescent="0.35">
      <c r="A520" s="22" t="s">
        <v>2693</v>
      </c>
    </row>
    <row r="521" spans="1:1" ht="12.75" x14ac:dyDescent="0.35">
      <c r="A521" s="22" t="s">
        <v>2694</v>
      </c>
    </row>
    <row r="522" spans="1:1" ht="12.75" x14ac:dyDescent="0.35">
      <c r="A522" s="27" t="s">
        <v>2695</v>
      </c>
    </row>
    <row r="523" spans="1:1" ht="12.75" x14ac:dyDescent="0.35">
      <c r="A523" s="22" t="s">
        <v>2696</v>
      </c>
    </row>
    <row r="524" spans="1:1" ht="12.75" x14ac:dyDescent="0.35">
      <c r="A524" s="22" t="s">
        <v>2697</v>
      </c>
    </row>
    <row r="525" spans="1:1" ht="12.75" x14ac:dyDescent="0.35">
      <c r="A525" s="22" t="s">
        <v>2698</v>
      </c>
    </row>
    <row r="526" spans="1:1" ht="12.75" x14ac:dyDescent="0.35">
      <c r="A526" s="22" t="s">
        <v>2699</v>
      </c>
    </row>
    <row r="527" spans="1:1" ht="12.75" x14ac:dyDescent="0.35">
      <c r="A527" s="22" t="s">
        <v>2700</v>
      </c>
    </row>
    <row r="528" spans="1:1" ht="12.75" x14ac:dyDescent="0.35">
      <c r="A528" s="22" t="s">
        <v>2701</v>
      </c>
    </row>
    <row r="529" spans="1:1" ht="12.75" x14ac:dyDescent="0.35">
      <c r="A529" s="22" t="s">
        <v>2702</v>
      </c>
    </row>
    <row r="530" spans="1:1" ht="12.75" x14ac:dyDescent="0.35">
      <c r="A530" s="22" t="s">
        <v>2703</v>
      </c>
    </row>
    <row r="531" spans="1:1" ht="12.75" x14ac:dyDescent="0.35">
      <c r="A531" s="22" t="s">
        <v>2704</v>
      </c>
    </row>
    <row r="532" spans="1:1" ht="12.75" x14ac:dyDescent="0.35">
      <c r="A532" s="22" t="s">
        <v>2705</v>
      </c>
    </row>
    <row r="533" spans="1:1" ht="12.75" x14ac:dyDescent="0.35">
      <c r="A533" s="22" t="s">
        <v>2706</v>
      </c>
    </row>
    <row r="534" spans="1:1" ht="12.75" x14ac:dyDescent="0.35">
      <c r="A534" s="22" t="s">
        <v>2707</v>
      </c>
    </row>
    <row r="535" spans="1:1" ht="12.75" x14ac:dyDescent="0.35">
      <c r="A535" s="22" t="s">
        <v>2708</v>
      </c>
    </row>
    <row r="536" spans="1:1" ht="12.75" x14ac:dyDescent="0.35">
      <c r="A536" s="22" t="s">
        <v>2709</v>
      </c>
    </row>
    <row r="537" spans="1:1" ht="12.75" x14ac:dyDescent="0.35">
      <c r="A537" s="22" t="s">
        <v>2710</v>
      </c>
    </row>
    <row r="538" spans="1:1" ht="12.75" x14ac:dyDescent="0.35">
      <c r="A538" s="22" t="s">
        <v>2711</v>
      </c>
    </row>
    <row r="539" spans="1:1" ht="12.75" x14ac:dyDescent="0.35">
      <c r="A539" s="22" t="s">
        <v>2712</v>
      </c>
    </row>
    <row r="540" spans="1:1" ht="12.75" x14ac:dyDescent="0.35">
      <c r="A540" s="22" t="s">
        <v>2713</v>
      </c>
    </row>
    <row r="541" spans="1:1" ht="12.75" x14ac:dyDescent="0.35">
      <c r="A541" s="22" t="s">
        <v>2714</v>
      </c>
    </row>
    <row r="542" spans="1:1" ht="12.75" x14ac:dyDescent="0.35">
      <c r="A542" s="22" t="s">
        <v>2715</v>
      </c>
    </row>
    <row r="543" spans="1:1" ht="12.75" x14ac:dyDescent="0.35">
      <c r="A543" s="22"/>
    </row>
    <row r="544" spans="1:1" ht="12.75" x14ac:dyDescent="0.35">
      <c r="A544" s="22" t="s">
        <v>2716</v>
      </c>
    </row>
    <row r="545" spans="1:1" ht="12.75" x14ac:dyDescent="0.35">
      <c r="A545" s="22" t="s">
        <v>2717</v>
      </c>
    </row>
    <row r="546" spans="1:1" ht="12.75" x14ac:dyDescent="0.35">
      <c r="A546" s="22" t="s">
        <v>2718</v>
      </c>
    </row>
    <row r="547" spans="1:1" ht="12.75" x14ac:dyDescent="0.35">
      <c r="A547" s="22" t="s">
        <v>2719</v>
      </c>
    </row>
    <row r="548" spans="1:1" ht="12.75" x14ac:dyDescent="0.35">
      <c r="A548" s="27" t="s">
        <v>2720</v>
      </c>
    </row>
    <row r="549" spans="1:1" ht="12.75" x14ac:dyDescent="0.35">
      <c r="A549" s="22" t="s">
        <v>2721</v>
      </c>
    </row>
    <row r="550" spans="1:1" ht="12.75" x14ac:dyDescent="0.35">
      <c r="A550" s="22" t="s">
        <v>2722</v>
      </c>
    </row>
    <row r="551" spans="1:1" ht="12.75" x14ac:dyDescent="0.35">
      <c r="A551" s="22" t="s">
        <v>2723</v>
      </c>
    </row>
    <row r="552" spans="1:1" ht="12.75" x14ac:dyDescent="0.35">
      <c r="A552" s="22" t="s">
        <v>2724</v>
      </c>
    </row>
    <row r="553" spans="1:1" ht="12.75" x14ac:dyDescent="0.35">
      <c r="A553" s="22" t="s">
        <v>2725</v>
      </c>
    </row>
    <row r="554" spans="1:1" ht="12.75" x14ac:dyDescent="0.35">
      <c r="A554" s="22" t="s">
        <v>2726</v>
      </c>
    </row>
    <row r="555" spans="1:1" ht="12.75" x14ac:dyDescent="0.35">
      <c r="A555" s="22" t="s">
        <v>2727</v>
      </c>
    </row>
    <row r="556" spans="1:1" ht="12.75" x14ac:dyDescent="0.35">
      <c r="A556" s="29" t="s">
        <v>2728</v>
      </c>
    </row>
    <row r="557" spans="1:1" ht="12.75" x14ac:dyDescent="0.35">
      <c r="A557" s="22" t="s">
        <v>2729</v>
      </c>
    </row>
    <row r="558" spans="1:1" ht="12.75" x14ac:dyDescent="0.35">
      <c r="A558" s="22" t="s">
        <v>2730</v>
      </c>
    </row>
    <row r="559" spans="1:1" ht="12.75" x14ac:dyDescent="0.35">
      <c r="A559" s="22" t="s">
        <v>2731</v>
      </c>
    </row>
    <row r="560" spans="1:1" ht="12.75" x14ac:dyDescent="0.35">
      <c r="A560" s="22" t="s">
        <v>2732</v>
      </c>
    </row>
    <row r="561" spans="1:1" ht="12.75" x14ac:dyDescent="0.35">
      <c r="A561" s="22" t="s">
        <v>2733</v>
      </c>
    </row>
    <row r="562" spans="1:1" ht="12.75" x14ac:dyDescent="0.35">
      <c r="A562" s="22" t="s">
        <v>2734</v>
      </c>
    </row>
    <row r="563" spans="1:1" ht="12.75" x14ac:dyDescent="0.35">
      <c r="A563" s="22" t="s">
        <v>2735</v>
      </c>
    </row>
    <row r="564" spans="1:1" ht="12.75" x14ac:dyDescent="0.35">
      <c r="A564" s="22" t="s">
        <v>2736</v>
      </c>
    </row>
    <row r="565" spans="1:1" ht="12.75" x14ac:dyDescent="0.35">
      <c r="A565" s="22" t="s">
        <v>2737</v>
      </c>
    </row>
    <row r="566" spans="1:1" ht="12.75" x14ac:dyDescent="0.35">
      <c r="A566" s="22" t="s">
        <v>2738</v>
      </c>
    </row>
    <row r="567" spans="1:1" ht="12.75" x14ac:dyDescent="0.35">
      <c r="A567" s="22" t="s">
        <v>2739</v>
      </c>
    </row>
    <row r="568" spans="1:1" ht="12.75" x14ac:dyDescent="0.35">
      <c r="A568" s="22" t="s">
        <v>2740</v>
      </c>
    </row>
    <row r="569" spans="1:1" ht="12.75" x14ac:dyDescent="0.35">
      <c r="A569" s="22" t="s">
        <v>2741</v>
      </c>
    </row>
    <row r="570" spans="1:1" ht="12.75" x14ac:dyDescent="0.35">
      <c r="A570" s="22"/>
    </row>
    <row r="571" spans="1:1" ht="12.75" x14ac:dyDescent="0.35">
      <c r="A571" s="22" t="s">
        <v>2742</v>
      </c>
    </row>
    <row r="572" spans="1:1" ht="12.75" x14ac:dyDescent="0.35">
      <c r="A572" s="22" t="s">
        <v>2743</v>
      </c>
    </row>
    <row r="573" spans="1:1" ht="12.75" x14ac:dyDescent="0.35">
      <c r="A573" s="22" t="s">
        <v>2744</v>
      </c>
    </row>
    <row r="574" spans="1:1" ht="12.75" x14ac:dyDescent="0.35">
      <c r="A574" s="27" t="s">
        <v>2745</v>
      </c>
    </row>
    <row r="575" spans="1:1" ht="12.75" x14ac:dyDescent="0.35">
      <c r="A575" s="29" t="s">
        <v>2746</v>
      </c>
    </row>
    <row r="576" spans="1:1" ht="12.75" x14ac:dyDescent="0.35">
      <c r="A576" s="22" t="s">
        <v>2747</v>
      </c>
    </row>
    <row r="577" spans="1:1" ht="12.75" x14ac:dyDescent="0.35">
      <c r="A577" s="22" t="s">
        <v>2748</v>
      </c>
    </row>
    <row r="578" spans="1:1" ht="12.75" x14ac:dyDescent="0.35">
      <c r="A578" s="22" t="s">
        <v>2749</v>
      </c>
    </row>
    <row r="579" spans="1:1" ht="12.75" x14ac:dyDescent="0.35">
      <c r="A579" s="22" t="s">
        <v>2750</v>
      </c>
    </row>
    <row r="580" spans="1:1" ht="12.75" x14ac:dyDescent="0.35">
      <c r="A580" s="22" t="s">
        <v>2751</v>
      </c>
    </row>
    <row r="581" spans="1:1" ht="12.75" x14ac:dyDescent="0.35">
      <c r="A581" s="22" t="s">
        <v>2752</v>
      </c>
    </row>
    <row r="582" spans="1:1" ht="12.75" x14ac:dyDescent="0.35">
      <c r="A582" s="22" t="s">
        <v>2753</v>
      </c>
    </row>
    <row r="583" spans="1:1" ht="12.75" x14ac:dyDescent="0.35">
      <c r="A583" s="29" t="s">
        <v>2754</v>
      </c>
    </row>
    <row r="584" spans="1:1" ht="12.75" x14ac:dyDescent="0.35">
      <c r="A584" s="22" t="s">
        <v>2755</v>
      </c>
    </row>
    <row r="585" spans="1:1" ht="12.75" x14ac:dyDescent="0.35">
      <c r="A585" s="22" t="s">
        <v>2756</v>
      </c>
    </row>
    <row r="586" spans="1:1" ht="12.75" x14ac:dyDescent="0.35">
      <c r="A586" s="22" t="s">
        <v>2757</v>
      </c>
    </row>
    <row r="587" spans="1:1" ht="12.75" x14ac:dyDescent="0.35">
      <c r="A587" s="22" t="s">
        <v>2758</v>
      </c>
    </row>
    <row r="588" spans="1:1" ht="12.75" x14ac:dyDescent="0.35">
      <c r="A588" s="22" t="s">
        <v>2759</v>
      </c>
    </row>
    <row r="589" spans="1:1" ht="12.75" x14ac:dyDescent="0.35">
      <c r="A589" s="22" t="s">
        <v>2760</v>
      </c>
    </row>
    <row r="590" spans="1:1" ht="12.75" x14ac:dyDescent="0.35">
      <c r="A590" s="22" t="s">
        <v>2761</v>
      </c>
    </row>
    <row r="591" spans="1:1" ht="12.75" x14ac:dyDescent="0.35">
      <c r="A591" s="22" t="s">
        <v>2762</v>
      </c>
    </row>
    <row r="592" spans="1:1" ht="12.75" x14ac:dyDescent="0.35">
      <c r="A592" s="22" t="s">
        <v>2763</v>
      </c>
    </row>
    <row r="593" spans="1:1" ht="12.75" x14ac:dyDescent="0.35">
      <c r="A593" s="22" t="s">
        <v>2764</v>
      </c>
    </row>
    <row r="594" spans="1:1" ht="12.75" x14ac:dyDescent="0.35">
      <c r="A594" s="22" t="s">
        <v>2765</v>
      </c>
    </row>
    <row r="595" spans="1:1" ht="12.75" x14ac:dyDescent="0.35">
      <c r="A595" s="22" t="s">
        <v>2766</v>
      </c>
    </row>
    <row r="596" spans="1:1" ht="12.75" x14ac:dyDescent="0.35">
      <c r="A596" s="22" t="s">
        <v>2767</v>
      </c>
    </row>
    <row r="597" spans="1:1" ht="12.75" x14ac:dyDescent="0.35">
      <c r="A597" s="22"/>
    </row>
    <row r="598" spans="1:1" ht="12.75" x14ac:dyDescent="0.35">
      <c r="A598" s="22" t="s">
        <v>2768</v>
      </c>
    </row>
    <row r="599" spans="1:1" ht="12.75" x14ac:dyDescent="0.35">
      <c r="A599" s="22" t="s">
        <v>2769</v>
      </c>
    </row>
    <row r="600" spans="1:1" ht="12.75" x14ac:dyDescent="0.35">
      <c r="A600" s="27" t="s">
        <v>2770</v>
      </c>
    </row>
    <row r="601" spans="1:1" ht="12.75" x14ac:dyDescent="0.35">
      <c r="A601" s="22" t="s">
        <v>2771</v>
      </c>
    </row>
    <row r="602" spans="1:1" ht="12.75" x14ac:dyDescent="0.35">
      <c r="A602" s="22" t="s">
        <v>2772</v>
      </c>
    </row>
    <row r="603" spans="1:1" ht="12.75" x14ac:dyDescent="0.35">
      <c r="A603" s="22" t="s">
        <v>2773</v>
      </c>
    </row>
    <row r="604" spans="1:1" ht="12.75" x14ac:dyDescent="0.35">
      <c r="A604" s="22" t="s">
        <v>2774</v>
      </c>
    </row>
    <row r="605" spans="1:1" ht="12.75" x14ac:dyDescent="0.35">
      <c r="A605" s="22" t="s">
        <v>2775</v>
      </c>
    </row>
    <row r="606" spans="1:1" ht="12.75" x14ac:dyDescent="0.35">
      <c r="A606" s="22" t="s">
        <v>2776</v>
      </c>
    </row>
    <row r="607" spans="1:1" ht="12.75" x14ac:dyDescent="0.35">
      <c r="A607" s="22" t="s">
        <v>2777</v>
      </c>
    </row>
    <row r="608" spans="1:1" ht="12.75" x14ac:dyDescent="0.35">
      <c r="A608" s="22" t="s">
        <v>2778</v>
      </c>
    </row>
    <row r="609" spans="1:1" ht="12.75" x14ac:dyDescent="0.35">
      <c r="A609" s="22" t="s">
        <v>2779</v>
      </c>
    </row>
    <row r="610" spans="1:1" ht="12.75" x14ac:dyDescent="0.35">
      <c r="A610" s="22" t="s">
        <v>2780</v>
      </c>
    </row>
    <row r="611" spans="1:1" ht="12.75" x14ac:dyDescent="0.35">
      <c r="A611" s="22" t="s">
        <v>2781</v>
      </c>
    </row>
    <row r="612" spans="1:1" ht="12.75" x14ac:dyDescent="0.35">
      <c r="A612" s="22" t="s">
        <v>2782</v>
      </c>
    </row>
    <row r="613" spans="1:1" ht="12.75" x14ac:dyDescent="0.35">
      <c r="A613" s="22" t="s">
        <v>2783</v>
      </c>
    </row>
    <row r="614" spans="1:1" ht="12.75" x14ac:dyDescent="0.35">
      <c r="A614" s="22" t="s">
        <v>2784</v>
      </c>
    </row>
    <row r="615" spans="1:1" ht="12.75" x14ac:dyDescent="0.35">
      <c r="A615" s="22" t="s">
        <v>2785</v>
      </c>
    </row>
    <row r="616" spans="1:1" ht="12.75" x14ac:dyDescent="0.35">
      <c r="A616" s="22" t="s">
        <v>2786</v>
      </c>
    </row>
    <row r="617" spans="1:1" ht="12.75" x14ac:dyDescent="0.35">
      <c r="A617" s="22" t="s">
        <v>2787</v>
      </c>
    </row>
    <row r="618" spans="1:1" ht="12.75" x14ac:dyDescent="0.35">
      <c r="A618" s="22" t="s">
        <v>2788</v>
      </c>
    </row>
    <row r="619" spans="1:1" ht="12.75" x14ac:dyDescent="0.35">
      <c r="A619" s="22" t="s">
        <v>2789</v>
      </c>
    </row>
    <row r="620" spans="1:1" ht="12.75" x14ac:dyDescent="0.35">
      <c r="A620" s="22" t="s">
        <v>2790</v>
      </c>
    </row>
    <row r="621" spans="1:1" ht="12.75" x14ac:dyDescent="0.35">
      <c r="A621" s="22" t="s">
        <v>2791</v>
      </c>
    </row>
    <row r="622" spans="1:1" ht="12.75" x14ac:dyDescent="0.35">
      <c r="A622" s="22" t="s">
        <v>2792</v>
      </c>
    </row>
    <row r="623" spans="1:1" ht="12.75" x14ac:dyDescent="0.35">
      <c r="A623" s="22" t="s">
        <v>2793</v>
      </c>
    </row>
    <row r="624" spans="1:1" ht="12.75" x14ac:dyDescent="0.35">
      <c r="A624" s="25"/>
    </row>
    <row r="625" spans="1:1" ht="12.75" x14ac:dyDescent="0.35">
      <c r="A625" s="22" t="s">
        <v>2794</v>
      </c>
    </row>
    <row r="626" spans="1:1" ht="12.75" x14ac:dyDescent="0.35">
      <c r="A626" s="28" t="s">
        <v>2795</v>
      </c>
    </row>
    <row r="627" spans="1:1" ht="12.75" x14ac:dyDescent="0.35">
      <c r="A627" s="22" t="s">
        <v>2796</v>
      </c>
    </row>
    <row r="628" spans="1:1" ht="12.75" x14ac:dyDescent="0.35">
      <c r="A628" s="22" t="s">
        <v>2797</v>
      </c>
    </row>
    <row r="629" spans="1:1" ht="12.75" x14ac:dyDescent="0.35">
      <c r="A629" s="22" t="s">
        <v>2798</v>
      </c>
    </row>
    <row r="630" spans="1:1" ht="12.75" x14ac:dyDescent="0.35">
      <c r="A630" s="22" t="s">
        <v>2799</v>
      </c>
    </row>
    <row r="631" spans="1:1" ht="12.75" x14ac:dyDescent="0.35">
      <c r="A631" s="22" t="s">
        <v>2800</v>
      </c>
    </row>
    <row r="632" spans="1:1" ht="12.75" x14ac:dyDescent="0.35">
      <c r="A632" s="22" t="s">
        <v>2801</v>
      </c>
    </row>
    <row r="633" spans="1:1" ht="12.75" x14ac:dyDescent="0.35">
      <c r="A633" s="22" t="s">
        <v>2802</v>
      </c>
    </row>
    <row r="634" spans="1:1" ht="12.75" x14ac:dyDescent="0.35">
      <c r="A634" s="22" t="s">
        <v>2803</v>
      </c>
    </row>
    <row r="635" spans="1:1" ht="12.75" x14ac:dyDescent="0.35">
      <c r="A635" s="22" t="s">
        <v>2804</v>
      </c>
    </row>
    <row r="636" spans="1:1" ht="12.75" x14ac:dyDescent="0.35">
      <c r="A636" s="22" t="s">
        <v>2805</v>
      </c>
    </row>
    <row r="637" spans="1:1" ht="12.75" x14ac:dyDescent="0.35">
      <c r="A637" s="22" t="s">
        <v>2806</v>
      </c>
    </row>
    <row r="638" spans="1:1" ht="12.75" x14ac:dyDescent="0.35">
      <c r="A638" s="22" t="s">
        <v>2807</v>
      </c>
    </row>
    <row r="639" spans="1:1" ht="12.75" x14ac:dyDescent="0.35">
      <c r="A639" s="22" t="s">
        <v>2808</v>
      </c>
    </row>
    <row r="640" spans="1:1" ht="12.75" x14ac:dyDescent="0.35">
      <c r="A640" s="22" t="s">
        <v>2809</v>
      </c>
    </row>
    <row r="641" spans="1:1" ht="12.75" x14ac:dyDescent="0.35">
      <c r="A641" s="22" t="s">
        <v>2810</v>
      </c>
    </row>
    <row r="642" spans="1:1" ht="12.75" x14ac:dyDescent="0.35">
      <c r="A642" s="22" t="s">
        <v>2811</v>
      </c>
    </row>
    <row r="643" spans="1:1" ht="12.75" x14ac:dyDescent="0.35">
      <c r="A643" s="22" t="s">
        <v>2812</v>
      </c>
    </row>
    <row r="644" spans="1:1" ht="12.75" x14ac:dyDescent="0.35">
      <c r="A644" s="22" t="s">
        <v>2813</v>
      </c>
    </row>
    <row r="645" spans="1:1" ht="12.75" x14ac:dyDescent="0.35">
      <c r="A645" s="22" t="s">
        <v>2814</v>
      </c>
    </row>
    <row r="646" spans="1:1" ht="12.75" x14ac:dyDescent="0.35">
      <c r="A646" s="22" t="s">
        <v>2815</v>
      </c>
    </row>
    <row r="647" spans="1:1" ht="12.75" x14ac:dyDescent="0.35">
      <c r="A647" s="22" t="s">
        <v>2816</v>
      </c>
    </row>
    <row r="648" spans="1:1" ht="12.75" x14ac:dyDescent="0.35">
      <c r="A648" s="22" t="s">
        <v>2817</v>
      </c>
    </row>
    <row r="649" spans="1:1" ht="12.75" x14ac:dyDescent="0.35">
      <c r="A649" s="22" t="s">
        <v>2818</v>
      </c>
    </row>
    <row r="650" spans="1:1" ht="12.75" x14ac:dyDescent="0.35">
      <c r="A650" s="22" t="s">
        <v>2819</v>
      </c>
    </row>
    <row r="651" spans="1:1" ht="12.75" x14ac:dyDescent="0.35">
      <c r="A651" s="25"/>
    </row>
    <row r="652" spans="1:1" ht="12.75" x14ac:dyDescent="0.35">
      <c r="A652" s="27" t="s">
        <v>2820</v>
      </c>
    </row>
    <row r="653" spans="1:1" ht="12.75" x14ac:dyDescent="0.35">
      <c r="A653" s="22" t="s">
        <v>2821</v>
      </c>
    </row>
    <row r="654" spans="1:1" ht="12.75" x14ac:dyDescent="0.35">
      <c r="A654" s="22" t="s">
        <v>2822</v>
      </c>
    </row>
    <row r="655" spans="1:1" ht="12.75" x14ac:dyDescent="0.35">
      <c r="A655" s="22" t="s">
        <v>2823</v>
      </c>
    </row>
    <row r="656" spans="1:1" ht="12.75" x14ac:dyDescent="0.35">
      <c r="A656" s="22" t="s">
        <v>2824</v>
      </c>
    </row>
    <row r="657" spans="1:1" ht="12.75" x14ac:dyDescent="0.35">
      <c r="A657" s="22" t="s">
        <v>2825</v>
      </c>
    </row>
    <row r="658" spans="1:1" ht="12.75" x14ac:dyDescent="0.35">
      <c r="A658" s="22" t="s">
        <v>2826</v>
      </c>
    </row>
    <row r="659" spans="1:1" ht="12.75" x14ac:dyDescent="0.35">
      <c r="A659" s="22" t="s">
        <v>2827</v>
      </c>
    </row>
    <row r="660" spans="1:1" ht="12.75" x14ac:dyDescent="0.35">
      <c r="A660" s="22" t="s">
        <v>2828</v>
      </c>
    </row>
    <row r="661" spans="1:1" ht="12.75" x14ac:dyDescent="0.35">
      <c r="A661" s="29" t="s">
        <v>2829</v>
      </c>
    </row>
    <row r="662" spans="1:1" ht="12.75" x14ac:dyDescent="0.35">
      <c r="A662" s="22" t="s">
        <v>2830</v>
      </c>
    </row>
    <row r="663" spans="1:1" ht="12.75" x14ac:dyDescent="0.35">
      <c r="A663" s="22" t="s">
        <v>2831</v>
      </c>
    </row>
    <row r="664" spans="1:1" ht="12.75" x14ac:dyDescent="0.35">
      <c r="A664" s="22" t="s">
        <v>2832</v>
      </c>
    </row>
    <row r="665" spans="1:1" ht="12.75" x14ac:dyDescent="0.35">
      <c r="A665" s="22" t="s">
        <v>2833</v>
      </c>
    </row>
    <row r="666" spans="1:1" ht="12.75" x14ac:dyDescent="0.35">
      <c r="A666" s="22" t="s">
        <v>2834</v>
      </c>
    </row>
    <row r="667" spans="1:1" ht="12.75" x14ac:dyDescent="0.35">
      <c r="A667" s="22" t="s">
        <v>2835</v>
      </c>
    </row>
    <row r="668" spans="1:1" ht="12.75" x14ac:dyDescent="0.35">
      <c r="A668" s="22" t="s">
        <v>2836</v>
      </c>
    </row>
    <row r="669" spans="1:1" ht="12.75" x14ac:dyDescent="0.35">
      <c r="A669" s="22" t="s">
        <v>2837</v>
      </c>
    </row>
    <row r="670" spans="1:1" ht="12.75" x14ac:dyDescent="0.35">
      <c r="A670" s="22" t="s">
        <v>2838</v>
      </c>
    </row>
    <row r="671" spans="1:1" ht="12.75" x14ac:dyDescent="0.35">
      <c r="A671" s="22" t="s">
        <v>2839</v>
      </c>
    </row>
    <row r="672" spans="1:1" ht="12.75" x14ac:dyDescent="0.35">
      <c r="A672" s="22" t="s">
        <v>2840</v>
      </c>
    </row>
    <row r="673" spans="1:1" ht="12.75" x14ac:dyDescent="0.35">
      <c r="A673" s="22" t="s">
        <v>2841</v>
      </c>
    </row>
    <row r="674" spans="1:1" ht="12.75" x14ac:dyDescent="0.35">
      <c r="A674" s="22" t="s">
        <v>2842</v>
      </c>
    </row>
    <row r="675" spans="1:1" ht="12.75" x14ac:dyDescent="0.35">
      <c r="A675" s="22" t="s">
        <v>2843</v>
      </c>
    </row>
    <row r="676" spans="1:1" ht="12.75" x14ac:dyDescent="0.35">
      <c r="A676" s="22"/>
    </row>
    <row r="677" spans="1:1" ht="12.75" x14ac:dyDescent="0.35">
      <c r="A677" s="22" t="s">
        <v>2844</v>
      </c>
    </row>
    <row r="678" spans="1:1" ht="12.75" x14ac:dyDescent="0.35">
      <c r="A678" s="28"/>
    </row>
    <row r="679" spans="1:1" ht="12.75" x14ac:dyDescent="0.35">
      <c r="A679" s="25"/>
    </row>
    <row r="680" spans="1:1" ht="12.75" x14ac:dyDescent="0.35">
      <c r="A680" s="25"/>
    </row>
    <row r="681" spans="1:1" ht="12.75" x14ac:dyDescent="0.35">
      <c r="A681" s="25"/>
    </row>
    <row r="682" spans="1:1" ht="12.75" x14ac:dyDescent="0.35">
      <c r="A682" s="25"/>
    </row>
    <row r="683" spans="1:1" ht="12.75" x14ac:dyDescent="0.35">
      <c r="A683" s="25"/>
    </row>
    <row r="684" spans="1:1" ht="12.75" x14ac:dyDescent="0.35">
      <c r="A684" s="25"/>
    </row>
    <row r="685" spans="1:1" ht="12.75" x14ac:dyDescent="0.35">
      <c r="A685" s="25"/>
    </row>
    <row r="686" spans="1:1" ht="12.75" x14ac:dyDescent="0.35">
      <c r="A686" s="25"/>
    </row>
    <row r="687" spans="1:1" ht="12.75" x14ac:dyDescent="0.35">
      <c r="A687" s="25"/>
    </row>
    <row r="688" spans="1:1" ht="12.75" x14ac:dyDescent="0.35">
      <c r="A688" s="25"/>
    </row>
    <row r="689" spans="1:1" ht="12.75" x14ac:dyDescent="0.35">
      <c r="A689" s="25"/>
    </row>
    <row r="690" spans="1:1" ht="12.75" x14ac:dyDescent="0.35">
      <c r="A690" s="25"/>
    </row>
    <row r="691" spans="1:1" ht="12.75" x14ac:dyDescent="0.35">
      <c r="A691" s="25"/>
    </row>
    <row r="692" spans="1:1" ht="12.75" x14ac:dyDescent="0.35">
      <c r="A692" s="25"/>
    </row>
    <row r="693" spans="1:1" ht="12.75" x14ac:dyDescent="0.35">
      <c r="A693" s="25"/>
    </row>
    <row r="694" spans="1:1" ht="12.75" x14ac:dyDescent="0.35">
      <c r="A694" s="25"/>
    </row>
    <row r="695" spans="1:1" ht="12.75" x14ac:dyDescent="0.35">
      <c r="A695" s="25"/>
    </row>
    <row r="696" spans="1:1" ht="12.75" x14ac:dyDescent="0.35">
      <c r="A696" s="25"/>
    </row>
    <row r="697" spans="1:1" ht="12.75" x14ac:dyDescent="0.35">
      <c r="A697" s="25"/>
    </row>
    <row r="698" spans="1:1" ht="12.75" x14ac:dyDescent="0.35">
      <c r="A698" s="25"/>
    </row>
    <row r="699" spans="1:1" ht="12.75" x14ac:dyDescent="0.35">
      <c r="A699" s="25"/>
    </row>
    <row r="700" spans="1:1" ht="12.75" x14ac:dyDescent="0.35">
      <c r="A700" s="25"/>
    </row>
    <row r="701" spans="1:1" ht="12.75" x14ac:dyDescent="0.35">
      <c r="A701" s="25"/>
    </row>
    <row r="702" spans="1:1" ht="12.75" x14ac:dyDescent="0.35">
      <c r="A702" s="25"/>
    </row>
    <row r="703" spans="1:1" ht="12.75" x14ac:dyDescent="0.35">
      <c r="A703" s="25"/>
    </row>
    <row r="704" spans="1:1" ht="12.75" x14ac:dyDescent="0.35">
      <c r="A704" s="25"/>
    </row>
    <row r="705" spans="1:1" ht="12.75" x14ac:dyDescent="0.35">
      <c r="A705" s="25"/>
    </row>
    <row r="706" spans="1:1" ht="12.75" x14ac:dyDescent="0.35">
      <c r="A706" s="25"/>
    </row>
    <row r="707" spans="1:1" ht="12.75" x14ac:dyDescent="0.35">
      <c r="A707" s="25"/>
    </row>
    <row r="708" spans="1:1" ht="12.75" x14ac:dyDescent="0.35">
      <c r="A708" s="25"/>
    </row>
    <row r="709" spans="1:1" ht="12.75" x14ac:dyDescent="0.35">
      <c r="A709" s="25"/>
    </row>
    <row r="710" spans="1:1" ht="12.75" x14ac:dyDescent="0.35">
      <c r="A710" s="25"/>
    </row>
    <row r="711" spans="1:1" ht="12.75" x14ac:dyDescent="0.35">
      <c r="A711" s="25"/>
    </row>
    <row r="712" spans="1:1" ht="12.75" x14ac:dyDescent="0.35">
      <c r="A712" s="25"/>
    </row>
    <row r="713" spans="1:1" ht="12.75" x14ac:dyDescent="0.35">
      <c r="A713" s="25"/>
    </row>
    <row r="714" spans="1:1" ht="12.75" x14ac:dyDescent="0.35">
      <c r="A714" s="25"/>
    </row>
    <row r="715" spans="1:1" ht="12.75" x14ac:dyDescent="0.35">
      <c r="A715" s="25"/>
    </row>
    <row r="716" spans="1:1" ht="12.75" x14ac:dyDescent="0.35">
      <c r="A716" s="25"/>
    </row>
    <row r="717" spans="1:1" ht="12.75" x14ac:dyDescent="0.35">
      <c r="A717" s="25"/>
    </row>
    <row r="718" spans="1:1" ht="12.75" x14ac:dyDescent="0.35">
      <c r="A718" s="25"/>
    </row>
    <row r="719" spans="1:1" ht="12.75" x14ac:dyDescent="0.35">
      <c r="A719" s="25"/>
    </row>
    <row r="720" spans="1:1" ht="12.75" x14ac:dyDescent="0.35">
      <c r="A720" s="25"/>
    </row>
    <row r="721" spans="1:1" ht="12.75" x14ac:dyDescent="0.35">
      <c r="A721" s="25"/>
    </row>
    <row r="722" spans="1:1" ht="12.75" x14ac:dyDescent="0.35">
      <c r="A722" s="25"/>
    </row>
    <row r="723" spans="1:1" ht="12.75" x14ac:dyDescent="0.35">
      <c r="A723" s="25"/>
    </row>
    <row r="724" spans="1:1" ht="12.75" x14ac:dyDescent="0.35">
      <c r="A724" s="25"/>
    </row>
    <row r="725" spans="1:1" ht="12.75" x14ac:dyDescent="0.35">
      <c r="A725" s="25"/>
    </row>
    <row r="726" spans="1:1" ht="12.75" x14ac:dyDescent="0.35">
      <c r="A726" s="25"/>
    </row>
    <row r="727" spans="1:1" ht="12.75" x14ac:dyDescent="0.35">
      <c r="A727" s="25"/>
    </row>
    <row r="728" spans="1:1" ht="12.75" x14ac:dyDescent="0.35">
      <c r="A728" s="25"/>
    </row>
    <row r="729" spans="1:1" ht="12.75" x14ac:dyDescent="0.35">
      <c r="A729" s="25"/>
    </row>
    <row r="730" spans="1:1" ht="12.75" x14ac:dyDescent="0.35">
      <c r="A730" s="25"/>
    </row>
    <row r="731" spans="1:1" ht="12.75" x14ac:dyDescent="0.35">
      <c r="A731" s="25"/>
    </row>
    <row r="732" spans="1:1" ht="12.75" x14ac:dyDescent="0.35">
      <c r="A732" s="25"/>
    </row>
    <row r="733" spans="1:1" ht="12.75" x14ac:dyDescent="0.35">
      <c r="A733" s="25"/>
    </row>
    <row r="734" spans="1:1" ht="12.75" x14ac:dyDescent="0.35">
      <c r="A734" s="25"/>
    </row>
    <row r="735" spans="1:1" ht="12.75" x14ac:dyDescent="0.35">
      <c r="A735" s="25"/>
    </row>
    <row r="736" spans="1:1" ht="12.75" x14ac:dyDescent="0.35">
      <c r="A736" s="25"/>
    </row>
    <row r="737" spans="1:1" ht="12.75" x14ac:dyDescent="0.35">
      <c r="A737" s="25"/>
    </row>
    <row r="738" spans="1:1" ht="12.75" x14ac:dyDescent="0.35">
      <c r="A738" s="25"/>
    </row>
    <row r="739" spans="1:1" ht="12.75" x14ac:dyDescent="0.35">
      <c r="A739" s="25"/>
    </row>
    <row r="740" spans="1:1" ht="12.75" x14ac:dyDescent="0.35">
      <c r="A740" s="25"/>
    </row>
    <row r="741" spans="1:1" ht="12.75" x14ac:dyDescent="0.35">
      <c r="A741" s="25"/>
    </row>
    <row r="742" spans="1:1" ht="12.75" x14ac:dyDescent="0.35">
      <c r="A742" s="25"/>
    </row>
    <row r="743" spans="1:1" ht="12.75" x14ac:dyDescent="0.35">
      <c r="A743" s="25"/>
    </row>
    <row r="744" spans="1:1" ht="12.75" x14ac:dyDescent="0.35">
      <c r="A744" s="25"/>
    </row>
    <row r="745" spans="1:1" ht="12.75" x14ac:dyDescent="0.35">
      <c r="A745" s="25"/>
    </row>
    <row r="746" spans="1:1" ht="12.75" x14ac:dyDescent="0.35">
      <c r="A746" s="25"/>
    </row>
    <row r="747" spans="1:1" ht="12.75" x14ac:dyDescent="0.35">
      <c r="A747" s="25"/>
    </row>
    <row r="748" spans="1:1" ht="12.75" x14ac:dyDescent="0.35">
      <c r="A748" s="25"/>
    </row>
    <row r="749" spans="1:1" ht="12.75" x14ac:dyDescent="0.35">
      <c r="A749" s="25"/>
    </row>
    <row r="750" spans="1:1" ht="12.75" x14ac:dyDescent="0.35">
      <c r="A750" s="25"/>
    </row>
    <row r="751" spans="1:1" ht="12.75" x14ac:dyDescent="0.35">
      <c r="A751" s="25"/>
    </row>
    <row r="752" spans="1:1" ht="12.75" x14ac:dyDescent="0.35">
      <c r="A752" s="25"/>
    </row>
    <row r="753" spans="1:1" ht="12.75" x14ac:dyDescent="0.35">
      <c r="A753" s="25"/>
    </row>
    <row r="754" spans="1:1" ht="12.75" x14ac:dyDescent="0.35">
      <c r="A754" s="25"/>
    </row>
    <row r="755" spans="1:1" ht="12.75" x14ac:dyDescent="0.35">
      <c r="A755" s="25"/>
    </row>
    <row r="756" spans="1:1" ht="12.75" x14ac:dyDescent="0.35">
      <c r="A756" s="25"/>
    </row>
    <row r="757" spans="1:1" ht="12.75" x14ac:dyDescent="0.35">
      <c r="A757" s="25"/>
    </row>
    <row r="758" spans="1:1" ht="12.75" x14ac:dyDescent="0.35">
      <c r="A758" s="25"/>
    </row>
    <row r="759" spans="1:1" ht="12.75" x14ac:dyDescent="0.35">
      <c r="A759" s="25"/>
    </row>
    <row r="760" spans="1:1" ht="12.75" x14ac:dyDescent="0.35">
      <c r="A760" s="25"/>
    </row>
    <row r="761" spans="1:1" ht="12.75" x14ac:dyDescent="0.35">
      <c r="A761" s="25"/>
    </row>
    <row r="762" spans="1:1" ht="12.75" x14ac:dyDescent="0.35">
      <c r="A762" s="25"/>
    </row>
    <row r="763" spans="1:1" ht="12.75" x14ac:dyDescent="0.35">
      <c r="A763" s="25"/>
    </row>
    <row r="764" spans="1:1" ht="12.75" x14ac:dyDescent="0.35">
      <c r="A764" s="25"/>
    </row>
    <row r="765" spans="1:1" ht="12.75" x14ac:dyDescent="0.35">
      <c r="A765" s="25"/>
    </row>
    <row r="766" spans="1:1" ht="12.75" x14ac:dyDescent="0.35">
      <c r="A766" s="25"/>
    </row>
    <row r="767" spans="1:1" ht="12.75" x14ac:dyDescent="0.35">
      <c r="A767" s="25"/>
    </row>
    <row r="768" spans="1:1" ht="12.75" x14ac:dyDescent="0.35">
      <c r="A768" s="25"/>
    </row>
    <row r="769" spans="1:1" ht="12.75" x14ac:dyDescent="0.35">
      <c r="A769" s="25"/>
    </row>
    <row r="770" spans="1:1" ht="12.75" x14ac:dyDescent="0.35">
      <c r="A770" s="25"/>
    </row>
    <row r="771" spans="1:1" ht="12.75" x14ac:dyDescent="0.35">
      <c r="A771" s="25"/>
    </row>
    <row r="772" spans="1:1" ht="12.75" x14ac:dyDescent="0.35">
      <c r="A772" s="25"/>
    </row>
    <row r="773" spans="1:1" ht="12.75" x14ac:dyDescent="0.35">
      <c r="A773" s="25"/>
    </row>
    <row r="774" spans="1:1" ht="12.75" x14ac:dyDescent="0.35">
      <c r="A774" s="25"/>
    </row>
    <row r="775" spans="1:1" ht="12.75" x14ac:dyDescent="0.35">
      <c r="A775" s="25"/>
    </row>
    <row r="776" spans="1:1" ht="12.75" x14ac:dyDescent="0.35">
      <c r="A776" s="25"/>
    </row>
    <row r="777" spans="1:1" ht="12.75" x14ac:dyDescent="0.35">
      <c r="A777" s="25"/>
    </row>
    <row r="778" spans="1:1" ht="12.75" x14ac:dyDescent="0.35">
      <c r="A778" s="25"/>
    </row>
    <row r="779" spans="1:1" ht="12.75" x14ac:dyDescent="0.35">
      <c r="A779" s="25"/>
    </row>
    <row r="780" spans="1:1" ht="12.75" x14ac:dyDescent="0.35">
      <c r="A780" s="25"/>
    </row>
    <row r="781" spans="1:1" ht="12.75" x14ac:dyDescent="0.35">
      <c r="A781" s="25"/>
    </row>
    <row r="782" spans="1:1" ht="12.75" x14ac:dyDescent="0.35">
      <c r="A782" s="25"/>
    </row>
    <row r="783" spans="1:1" ht="12.75" x14ac:dyDescent="0.35">
      <c r="A783" s="25"/>
    </row>
    <row r="784" spans="1:1" ht="12.75" x14ac:dyDescent="0.35">
      <c r="A784" s="25"/>
    </row>
    <row r="785" spans="1:1" ht="12.75" x14ac:dyDescent="0.35">
      <c r="A785" s="25"/>
    </row>
    <row r="786" spans="1:1" ht="12.75" x14ac:dyDescent="0.35">
      <c r="A786" s="25"/>
    </row>
    <row r="787" spans="1:1" ht="12.75" x14ac:dyDescent="0.35">
      <c r="A787" s="25"/>
    </row>
    <row r="788" spans="1:1" ht="12.75" x14ac:dyDescent="0.35">
      <c r="A788" s="25"/>
    </row>
    <row r="789" spans="1:1" ht="12.75" x14ac:dyDescent="0.35">
      <c r="A789" s="25"/>
    </row>
    <row r="790" spans="1:1" ht="12.75" x14ac:dyDescent="0.35">
      <c r="A790" s="25"/>
    </row>
    <row r="791" spans="1:1" ht="12.75" x14ac:dyDescent="0.35">
      <c r="A791" s="25"/>
    </row>
    <row r="792" spans="1:1" ht="12.75" x14ac:dyDescent="0.35">
      <c r="A792" s="25"/>
    </row>
    <row r="793" spans="1:1" ht="12.75" x14ac:dyDescent="0.35">
      <c r="A793" s="25"/>
    </row>
    <row r="794" spans="1:1" ht="12.75" x14ac:dyDescent="0.35">
      <c r="A794" s="25"/>
    </row>
    <row r="795" spans="1:1" ht="12.75" x14ac:dyDescent="0.35">
      <c r="A795" s="25"/>
    </row>
    <row r="796" spans="1:1" ht="12.75" x14ac:dyDescent="0.35">
      <c r="A796" s="25"/>
    </row>
    <row r="797" spans="1:1" ht="12.75" x14ac:dyDescent="0.35">
      <c r="A797" s="25"/>
    </row>
    <row r="798" spans="1:1" ht="12.75" x14ac:dyDescent="0.35">
      <c r="A798" s="25"/>
    </row>
    <row r="799" spans="1:1" ht="12.75" x14ac:dyDescent="0.35">
      <c r="A799" s="25"/>
    </row>
    <row r="800" spans="1:1" ht="12.75" x14ac:dyDescent="0.35">
      <c r="A800" s="25"/>
    </row>
    <row r="801" spans="1:1" ht="12.75" x14ac:dyDescent="0.35">
      <c r="A801" s="25"/>
    </row>
    <row r="802" spans="1:1" ht="12.75" x14ac:dyDescent="0.35">
      <c r="A802" s="25"/>
    </row>
    <row r="803" spans="1:1" ht="12.75" x14ac:dyDescent="0.35">
      <c r="A803" s="25"/>
    </row>
    <row r="804" spans="1:1" ht="12.75" x14ac:dyDescent="0.35">
      <c r="A804" s="25"/>
    </row>
    <row r="805" spans="1:1" ht="12.75" x14ac:dyDescent="0.35">
      <c r="A805" s="25"/>
    </row>
    <row r="806" spans="1:1" ht="12.75" x14ac:dyDescent="0.35">
      <c r="A806" s="25"/>
    </row>
    <row r="807" spans="1:1" ht="12.75" x14ac:dyDescent="0.35">
      <c r="A807" s="25"/>
    </row>
    <row r="808" spans="1:1" ht="12.75" x14ac:dyDescent="0.35">
      <c r="A808" s="25"/>
    </row>
    <row r="809" spans="1:1" ht="12.75" x14ac:dyDescent="0.35">
      <c r="A809" s="25"/>
    </row>
    <row r="810" spans="1:1" ht="12.75" x14ac:dyDescent="0.35">
      <c r="A810" s="25"/>
    </row>
    <row r="811" spans="1:1" ht="12.75" x14ac:dyDescent="0.35">
      <c r="A811" s="25"/>
    </row>
    <row r="812" spans="1:1" ht="12.75" x14ac:dyDescent="0.35">
      <c r="A812" s="25"/>
    </row>
    <row r="813" spans="1:1" ht="12.75" x14ac:dyDescent="0.35">
      <c r="A813" s="25"/>
    </row>
    <row r="814" spans="1:1" ht="12.75" x14ac:dyDescent="0.35">
      <c r="A814" s="25"/>
    </row>
    <row r="815" spans="1:1" ht="12.75" x14ac:dyDescent="0.35">
      <c r="A815" s="25"/>
    </row>
    <row r="816" spans="1:1" ht="12.75" x14ac:dyDescent="0.35">
      <c r="A816" s="25"/>
    </row>
    <row r="817" spans="1:1" ht="12.75" x14ac:dyDescent="0.35">
      <c r="A817" s="25"/>
    </row>
    <row r="818" spans="1:1" ht="12.75" x14ac:dyDescent="0.35">
      <c r="A818" s="25"/>
    </row>
    <row r="819" spans="1:1" ht="12.75" x14ac:dyDescent="0.35">
      <c r="A819" s="25"/>
    </row>
    <row r="820" spans="1:1" ht="12.75" x14ac:dyDescent="0.35">
      <c r="A820" s="25"/>
    </row>
    <row r="821" spans="1:1" ht="12.75" x14ac:dyDescent="0.35">
      <c r="A821" s="25"/>
    </row>
    <row r="822" spans="1:1" ht="12.75" x14ac:dyDescent="0.35">
      <c r="A822" s="25"/>
    </row>
    <row r="823" spans="1:1" ht="12.75" x14ac:dyDescent="0.35">
      <c r="A823" s="25"/>
    </row>
    <row r="824" spans="1:1" ht="12.75" x14ac:dyDescent="0.35">
      <c r="A824" s="25"/>
    </row>
    <row r="825" spans="1:1" ht="12.75" x14ac:dyDescent="0.35">
      <c r="A825" s="25"/>
    </row>
    <row r="826" spans="1:1" ht="12.75" x14ac:dyDescent="0.35">
      <c r="A826" s="25"/>
    </row>
    <row r="827" spans="1:1" ht="12.75" x14ac:dyDescent="0.35">
      <c r="A827" s="25"/>
    </row>
    <row r="828" spans="1:1" ht="12.75" x14ac:dyDescent="0.35">
      <c r="A828" s="25"/>
    </row>
    <row r="829" spans="1:1" ht="12.75" x14ac:dyDescent="0.35">
      <c r="A829" s="25"/>
    </row>
    <row r="830" spans="1:1" ht="12.75" x14ac:dyDescent="0.35">
      <c r="A830" s="25"/>
    </row>
    <row r="831" spans="1:1" ht="12.75" x14ac:dyDescent="0.35">
      <c r="A831" s="25"/>
    </row>
    <row r="832" spans="1:1" ht="12.75" x14ac:dyDescent="0.35">
      <c r="A832" s="25"/>
    </row>
    <row r="833" spans="1:1" ht="12.75" x14ac:dyDescent="0.35">
      <c r="A833" s="25"/>
    </row>
    <row r="834" spans="1:1" ht="12.75" x14ac:dyDescent="0.35">
      <c r="A834" s="25"/>
    </row>
    <row r="835" spans="1:1" ht="12.75" x14ac:dyDescent="0.35">
      <c r="A835" s="25"/>
    </row>
    <row r="836" spans="1:1" ht="12.75" x14ac:dyDescent="0.35">
      <c r="A836" s="25"/>
    </row>
    <row r="837" spans="1:1" ht="12.75" x14ac:dyDescent="0.35">
      <c r="A837" s="25"/>
    </row>
    <row r="838" spans="1:1" ht="12.75" x14ac:dyDescent="0.35">
      <c r="A838" s="25"/>
    </row>
    <row r="839" spans="1:1" ht="12.75" x14ac:dyDescent="0.35">
      <c r="A839" s="25"/>
    </row>
    <row r="840" spans="1:1" ht="12.75" x14ac:dyDescent="0.35">
      <c r="A840" s="25"/>
    </row>
    <row r="841" spans="1:1" ht="12.75" x14ac:dyDescent="0.35">
      <c r="A841" s="25"/>
    </row>
    <row r="842" spans="1:1" ht="12.75" x14ac:dyDescent="0.35">
      <c r="A842" s="25"/>
    </row>
    <row r="843" spans="1:1" ht="12.75" x14ac:dyDescent="0.35">
      <c r="A843" s="25"/>
    </row>
    <row r="844" spans="1:1" ht="12.75" x14ac:dyDescent="0.35">
      <c r="A844" s="25"/>
    </row>
    <row r="845" spans="1:1" ht="12.75" x14ac:dyDescent="0.35">
      <c r="A845" s="25"/>
    </row>
    <row r="846" spans="1:1" ht="12.75" x14ac:dyDescent="0.35">
      <c r="A846" s="25"/>
    </row>
    <row r="847" spans="1:1" ht="12.75" x14ac:dyDescent="0.35">
      <c r="A847" s="25"/>
    </row>
    <row r="848" spans="1:1" ht="12.75" x14ac:dyDescent="0.35">
      <c r="A848" s="25"/>
    </row>
    <row r="849" spans="1:1" ht="12.75" x14ac:dyDescent="0.35">
      <c r="A849" s="25"/>
    </row>
    <row r="850" spans="1:1" ht="12.75" x14ac:dyDescent="0.35">
      <c r="A850" s="25"/>
    </row>
    <row r="851" spans="1:1" ht="12.75" x14ac:dyDescent="0.35">
      <c r="A851" s="25"/>
    </row>
    <row r="852" spans="1:1" ht="12.75" x14ac:dyDescent="0.35">
      <c r="A852" s="25"/>
    </row>
    <row r="853" spans="1:1" ht="12.75" x14ac:dyDescent="0.35">
      <c r="A853" s="25"/>
    </row>
    <row r="854" spans="1:1" ht="12.75" x14ac:dyDescent="0.35">
      <c r="A854" s="25"/>
    </row>
    <row r="855" spans="1:1" ht="12.75" x14ac:dyDescent="0.35">
      <c r="A855" s="25"/>
    </row>
    <row r="856" spans="1:1" ht="12.75" x14ac:dyDescent="0.35">
      <c r="A856" s="25"/>
    </row>
    <row r="857" spans="1:1" ht="12.75" x14ac:dyDescent="0.35">
      <c r="A857" s="25"/>
    </row>
    <row r="858" spans="1:1" ht="12.75" x14ac:dyDescent="0.35">
      <c r="A858" s="25"/>
    </row>
    <row r="859" spans="1:1" ht="12.75" x14ac:dyDescent="0.35">
      <c r="A859" s="25"/>
    </row>
    <row r="860" spans="1:1" ht="12.75" x14ac:dyDescent="0.35">
      <c r="A860" s="25"/>
    </row>
    <row r="861" spans="1:1" ht="12.75" x14ac:dyDescent="0.35">
      <c r="A861" s="25"/>
    </row>
    <row r="862" spans="1:1" ht="12.75" x14ac:dyDescent="0.35">
      <c r="A862" s="25"/>
    </row>
    <row r="863" spans="1:1" ht="12.75" x14ac:dyDescent="0.35">
      <c r="A863" s="25"/>
    </row>
    <row r="864" spans="1:1" ht="12.75" x14ac:dyDescent="0.35">
      <c r="A864" s="25"/>
    </row>
    <row r="865" spans="1:1" ht="12.75" x14ac:dyDescent="0.35">
      <c r="A865" s="25"/>
    </row>
    <row r="866" spans="1:1" ht="12.75" x14ac:dyDescent="0.35">
      <c r="A866" s="25"/>
    </row>
    <row r="867" spans="1:1" ht="12.75" x14ac:dyDescent="0.35">
      <c r="A867" s="25"/>
    </row>
    <row r="868" spans="1:1" ht="12.75" x14ac:dyDescent="0.35">
      <c r="A868" s="25"/>
    </row>
    <row r="869" spans="1:1" ht="12.75" x14ac:dyDescent="0.35">
      <c r="A869" s="25"/>
    </row>
    <row r="870" spans="1:1" ht="12.75" x14ac:dyDescent="0.35">
      <c r="A870" s="25"/>
    </row>
    <row r="871" spans="1:1" ht="12.75" x14ac:dyDescent="0.35">
      <c r="A871" s="25"/>
    </row>
    <row r="872" spans="1:1" ht="12.75" x14ac:dyDescent="0.35">
      <c r="A872" s="25"/>
    </row>
    <row r="873" spans="1:1" ht="12.75" x14ac:dyDescent="0.35">
      <c r="A873" s="25"/>
    </row>
    <row r="874" spans="1:1" ht="12.75" x14ac:dyDescent="0.35">
      <c r="A874" s="25"/>
    </row>
    <row r="875" spans="1:1" ht="12.75" x14ac:dyDescent="0.35">
      <c r="A875" s="25"/>
    </row>
    <row r="876" spans="1:1" ht="12.75" x14ac:dyDescent="0.35">
      <c r="A876" s="25"/>
    </row>
    <row r="877" spans="1:1" ht="12.75" x14ac:dyDescent="0.35">
      <c r="A877" s="25"/>
    </row>
    <row r="878" spans="1:1" ht="12.75" x14ac:dyDescent="0.35">
      <c r="A878" s="25"/>
    </row>
    <row r="879" spans="1:1" ht="12.75" x14ac:dyDescent="0.35">
      <c r="A879" s="25"/>
    </row>
    <row r="880" spans="1:1" ht="12.75" x14ac:dyDescent="0.35">
      <c r="A880" s="25"/>
    </row>
    <row r="881" spans="1:1" ht="12.75" x14ac:dyDescent="0.35">
      <c r="A881" s="25"/>
    </row>
    <row r="882" spans="1:1" ht="12.75" x14ac:dyDescent="0.35">
      <c r="A882" s="25"/>
    </row>
    <row r="883" spans="1:1" ht="12.75" x14ac:dyDescent="0.35">
      <c r="A883" s="25"/>
    </row>
    <row r="884" spans="1:1" ht="12.75" x14ac:dyDescent="0.35">
      <c r="A884" s="25"/>
    </row>
    <row r="885" spans="1:1" ht="12.75" x14ac:dyDescent="0.35">
      <c r="A885" s="25"/>
    </row>
    <row r="886" spans="1:1" ht="12.75" x14ac:dyDescent="0.35">
      <c r="A886" s="25"/>
    </row>
    <row r="887" spans="1:1" ht="12.75" x14ac:dyDescent="0.35">
      <c r="A887" s="25"/>
    </row>
    <row r="888" spans="1:1" ht="12.75" x14ac:dyDescent="0.35">
      <c r="A888" s="25"/>
    </row>
    <row r="889" spans="1:1" ht="12.75" x14ac:dyDescent="0.35">
      <c r="A889" s="25"/>
    </row>
    <row r="890" spans="1:1" ht="12.75" x14ac:dyDescent="0.35">
      <c r="A890" s="25"/>
    </row>
    <row r="891" spans="1:1" ht="12.75" x14ac:dyDescent="0.35">
      <c r="A891" s="25"/>
    </row>
    <row r="892" spans="1:1" ht="12.75" x14ac:dyDescent="0.35">
      <c r="A892" s="25"/>
    </row>
    <row r="893" spans="1:1" ht="12.75" x14ac:dyDescent="0.35">
      <c r="A893" s="25"/>
    </row>
    <row r="894" spans="1:1" ht="12.75" x14ac:dyDescent="0.35">
      <c r="A894" s="25"/>
    </row>
    <row r="895" spans="1:1" ht="12.75" x14ac:dyDescent="0.35">
      <c r="A895" s="25"/>
    </row>
    <row r="896" spans="1:1" ht="12.75" x14ac:dyDescent="0.35">
      <c r="A896" s="25"/>
    </row>
    <row r="897" spans="1:1" ht="12.75" x14ac:dyDescent="0.35">
      <c r="A897" s="25"/>
    </row>
    <row r="898" spans="1:1" ht="12.75" x14ac:dyDescent="0.35">
      <c r="A898" s="25"/>
    </row>
    <row r="899" spans="1:1" ht="12.75" x14ac:dyDescent="0.35">
      <c r="A899" s="25"/>
    </row>
    <row r="900" spans="1:1" ht="12.75" x14ac:dyDescent="0.35">
      <c r="A900" s="25"/>
    </row>
    <row r="901" spans="1:1" ht="12.75" x14ac:dyDescent="0.35">
      <c r="A901" s="25"/>
    </row>
    <row r="902" spans="1:1" ht="12.75" x14ac:dyDescent="0.35">
      <c r="A902" s="25"/>
    </row>
    <row r="903" spans="1:1" ht="12.75" x14ac:dyDescent="0.35">
      <c r="A903" s="25"/>
    </row>
    <row r="904" spans="1:1" ht="12.75" x14ac:dyDescent="0.35">
      <c r="A904" s="25"/>
    </row>
    <row r="905" spans="1:1" ht="12.75" x14ac:dyDescent="0.35">
      <c r="A905" s="25"/>
    </row>
    <row r="906" spans="1:1" ht="12.75" x14ac:dyDescent="0.35">
      <c r="A906" s="25"/>
    </row>
    <row r="907" spans="1:1" ht="12.75" x14ac:dyDescent="0.35">
      <c r="A907" s="25"/>
    </row>
    <row r="908" spans="1:1" ht="12.75" x14ac:dyDescent="0.35">
      <c r="A908" s="25"/>
    </row>
    <row r="909" spans="1:1" ht="12.75" x14ac:dyDescent="0.35">
      <c r="A909" s="25"/>
    </row>
    <row r="910" spans="1:1" ht="12.75" x14ac:dyDescent="0.35">
      <c r="A910" s="25"/>
    </row>
    <row r="911" spans="1:1" ht="12.75" x14ac:dyDescent="0.35">
      <c r="A911" s="25"/>
    </row>
    <row r="912" spans="1:1" ht="12.75" x14ac:dyDescent="0.35">
      <c r="A912" s="25"/>
    </row>
    <row r="913" spans="1:1" ht="12.75" x14ac:dyDescent="0.35">
      <c r="A913" s="25"/>
    </row>
    <row r="914" spans="1:1" ht="12.75" x14ac:dyDescent="0.35">
      <c r="A914" s="25"/>
    </row>
    <row r="915" spans="1:1" ht="12.75" x14ac:dyDescent="0.35">
      <c r="A915" s="25"/>
    </row>
    <row r="916" spans="1:1" ht="12.75" x14ac:dyDescent="0.35">
      <c r="A916" s="25"/>
    </row>
    <row r="917" spans="1:1" ht="12.75" x14ac:dyDescent="0.35">
      <c r="A917" s="25"/>
    </row>
    <row r="918" spans="1:1" ht="12.75" x14ac:dyDescent="0.35">
      <c r="A918" s="25"/>
    </row>
    <row r="919" spans="1:1" ht="12.75" x14ac:dyDescent="0.35">
      <c r="A919" s="25"/>
    </row>
    <row r="920" spans="1:1" ht="12.75" x14ac:dyDescent="0.35">
      <c r="A920" s="25"/>
    </row>
    <row r="921" spans="1:1" ht="12.75" x14ac:dyDescent="0.35">
      <c r="A921" s="25"/>
    </row>
    <row r="922" spans="1:1" ht="12.75" x14ac:dyDescent="0.35">
      <c r="A922" s="25"/>
    </row>
    <row r="923" spans="1:1" ht="12.75" x14ac:dyDescent="0.35">
      <c r="A923" s="25"/>
    </row>
    <row r="924" spans="1:1" ht="12.75" x14ac:dyDescent="0.35">
      <c r="A924" s="25"/>
    </row>
    <row r="925" spans="1:1" ht="12.75" x14ac:dyDescent="0.35">
      <c r="A925" s="25"/>
    </row>
    <row r="926" spans="1:1" ht="12.75" x14ac:dyDescent="0.35">
      <c r="A926" s="25"/>
    </row>
    <row r="927" spans="1:1" ht="12.75" x14ac:dyDescent="0.35">
      <c r="A927" s="25"/>
    </row>
    <row r="928" spans="1:1" ht="12.75" x14ac:dyDescent="0.35">
      <c r="A928" s="25"/>
    </row>
    <row r="929" spans="1:1" ht="12.75" x14ac:dyDescent="0.35">
      <c r="A929" s="25"/>
    </row>
    <row r="930" spans="1:1" ht="12.75" x14ac:dyDescent="0.35">
      <c r="A930" s="25"/>
    </row>
    <row r="931" spans="1:1" ht="12.75" x14ac:dyDescent="0.35">
      <c r="A931" s="25"/>
    </row>
    <row r="932" spans="1:1" ht="12.75" x14ac:dyDescent="0.35">
      <c r="A932" s="25"/>
    </row>
    <row r="933" spans="1:1" ht="12.75" x14ac:dyDescent="0.35">
      <c r="A933" s="25"/>
    </row>
    <row r="934" spans="1:1" ht="12.75" x14ac:dyDescent="0.35">
      <c r="A934" s="25"/>
    </row>
    <row r="935" spans="1:1" ht="12.75" x14ac:dyDescent="0.35">
      <c r="A935" s="25"/>
    </row>
    <row r="936" spans="1:1" ht="12.75" x14ac:dyDescent="0.35">
      <c r="A936" s="25"/>
    </row>
    <row r="937" spans="1:1" ht="12.75" x14ac:dyDescent="0.35">
      <c r="A937" s="25"/>
    </row>
    <row r="938" spans="1:1" ht="12.75" x14ac:dyDescent="0.35">
      <c r="A938" s="25"/>
    </row>
    <row r="939" spans="1:1" ht="12.75" x14ac:dyDescent="0.35">
      <c r="A939" s="25"/>
    </row>
    <row r="940" spans="1:1" ht="12.75" x14ac:dyDescent="0.35">
      <c r="A940" s="25"/>
    </row>
    <row r="941" spans="1:1" ht="12.75" x14ac:dyDescent="0.35">
      <c r="A941" s="25"/>
    </row>
    <row r="942" spans="1:1" ht="12.75" x14ac:dyDescent="0.35">
      <c r="A942" s="25"/>
    </row>
    <row r="943" spans="1:1" ht="12.75" x14ac:dyDescent="0.35">
      <c r="A943" s="25"/>
    </row>
    <row r="944" spans="1:1" ht="12.75" x14ac:dyDescent="0.35">
      <c r="A944" s="25"/>
    </row>
    <row r="945" spans="1:1" ht="12.75" x14ac:dyDescent="0.35">
      <c r="A945" s="25"/>
    </row>
    <row r="946" spans="1:1" ht="12.75" x14ac:dyDescent="0.35">
      <c r="A946" s="25"/>
    </row>
    <row r="947" spans="1:1" ht="12.75" x14ac:dyDescent="0.35">
      <c r="A947" s="25"/>
    </row>
    <row r="948" spans="1:1" ht="12.75" x14ac:dyDescent="0.35">
      <c r="A948" s="25"/>
    </row>
    <row r="949" spans="1:1" ht="12.75" x14ac:dyDescent="0.35">
      <c r="A949" s="25"/>
    </row>
    <row r="950" spans="1:1" ht="12.75" x14ac:dyDescent="0.35">
      <c r="A950" s="25"/>
    </row>
    <row r="951" spans="1:1" ht="12.75" x14ac:dyDescent="0.35">
      <c r="A951" s="25"/>
    </row>
    <row r="952" spans="1:1" ht="12.75" x14ac:dyDescent="0.35">
      <c r="A952" s="25"/>
    </row>
    <row r="953" spans="1:1" ht="12.75" x14ac:dyDescent="0.35">
      <c r="A953" s="25"/>
    </row>
    <row r="954" spans="1:1" ht="12.75" x14ac:dyDescent="0.35">
      <c r="A954" s="25"/>
    </row>
    <row r="955" spans="1:1" ht="12.75" x14ac:dyDescent="0.35">
      <c r="A955" s="25"/>
    </row>
    <row r="956" spans="1:1" ht="12.75" x14ac:dyDescent="0.35">
      <c r="A956" s="25"/>
    </row>
    <row r="957" spans="1:1" ht="12.75" x14ac:dyDescent="0.35">
      <c r="A957" s="25"/>
    </row>
    <row r="958" spans="1:1" ht="12.75" x14ac:dyDescent="0.35">
      <c r="A958" s="25"/>
    </row>
    <row r="959" spans="1:1" ht="12.75" x14ac:dyDescent="0.35">
      <c r="A959" s="25"/>
    </row>
    <row r="960" spans="1:1" ht="12.75" x14ac:dyDescent="0.35">
      <c r="A960" s="25"/>
    </row>
    <row r="961" spans="1:1" ht="12.75" x14ac:dyDescent="0.35">
      <c r="A961" s="25"/>
    </row>
    <row r="962" spans="1:1" ht="12.75" x14ac:dyDescent="0.35">
      <c r="A962" s="25"/>
    </row>
    <row r="963" spans="1:1" ht="12.75" x14ac:dyDescent="0.35">
      <c r="A963" s="25"/>
    </row>
    <row r="964" spans="1:1" ht="12.75" x14ac:dyDescent="0.35">
      <c r="A964" s="25"/>
    </row>
    <row r="965" spans="1:1" ht="12.75" x14ac:dyDescent="0.35">
      <c r="A965" s="25"/>
    </row>
    <row r="966" spans="1:1" ht="12.75" x14ac:dyDescent="0.35">
      <c r="A966" s="25"/>
    </row>
    <row r="967" spans="1:1" ht="12.75" x14ac:dyDescent="0.35">
      <c r="A967" s="25"/>
    </row>
    <row r="968" spans="1:1" ht="12.75" x14ac:dyDescent="0.35">
      <c r="A968" s="25"/>
    </row>
    <row r="969" spans="1:1" ht="12.75" x14ac:dyDescent="0.35">
      <c r="A969" s="25"/>
    </row>
    <row r="970" spans="1:1" ht="12.75" x14ac:dyDescent="0.35">
      <c r="A970" s="25"/>
    </row>
    <row r="971" spans="1:1" ht="12.75" x14ac:dyDescent="0.35">
      <c r="A971" s="25"/>
    </row>
    <row r="972" spans="1:1" ht="12.75" x14ac:dyDescent="0.35">
      <c r="A972" s="25"/>
    </row>
    <row r="973" spans="1:1" ht="12.75" x14ac:dyDescent="0.35">
      <c r="A973" s="25"/>
    </row>
    <row r="974" spans="1:1" ht="12.75" x14ac:dyDescent="0.35">
      <c r="A974" s="25"/>
    </row>
    <row r="975" spans="1:1" ht="12.75" x14ac:dyDescent="0.35">
      <c r="A975" s="25"/>
    </row>
    <row r="976" spans="1:1" ht="12.75" x14ac:dyDescent="0.35">
      <c r="A976" s="25"/>
    </row>
    <row r="977" spans="1:1" ht="12.75" x14ac:dyDescent="0.35">
      <c r="A977" s="25"/>
    </row>
    <row r="978" spans="1:1" ht="12.75" x14ac:dyDescent="0.35">
      <c r="A978" s="25"/>
    </row>
    <row r="979" spans="1:1" ht="12.75" x14ac:dyDescent="0.35">
      <c r="A979" s="25"/>
    </row>
    <row r="980" spans="1:1" ht="12.75" x14ac:dyDescent="0.35">
      <c r="A980" s="25"/>
    </row>
    <row r="981" spans="1:1" ht="12.75" x14ac:dyDescent="0.35">
      <c r="A981" s="25"/>
    </row>
    <row r="982" spans="1:1" ht="12.75" x14ac:dyDescent="0.35">
      <c r="A982" s="25"/>
    </row>
    <row r="983" spans="1:1" ht="12.75" x14ac:dyDescent="0.35">
      <c r="A983" s="25"/>
    </row>
    <row r="984" spans="1:1" ht="12.75" x14ac:dyDescent="0.35">
      <c r="A984" s="25"/>
    </row>
    <row r="985" spans="1:1" ht="12.75" x14ac:dyDescent="0.35">
      <c r="A985" s="25"/>
    </row>
    <row r="986" spans="1:1" ht="12.75" x14ac:dyDescent="0.35">
      <c r="A986" s="25"/>
    </row>
    <row r="987" spans="1:1" ht="12.75" x14ac:dyDescent="0.35">
      <c r="A987" s="25"/>
    </row>
    <row r="988" spans="1:1" ht="12.75" x14ac:dyDescent="0.35">
      <c r="A988" s="25"/>
    </row>
    <row r="989" spans="1:1" ht="12.75" x14ac:dyDescent="0.35">
      <c r="A989" s="25"/>
    </row>
    <row r="990" spans="1:1" ht="12.75" x14ac:dyDescent="0.35">
      <c r="A990" s="25"/>
    </row>
    <row r="991" spans="1:1" ht="12.75" x14ac:dyDescent="0.35">
      <c r="A991" s="25"/>
    </row>
    <row r="992" spans="1:1" ht="12.75" x14ac:dyDescent="0.35">
      <c r="A992" s="25"/>
    </row>
    <row r="993" spans="1:1" ht="12.75" x14ac:dyDescent="0.35">
      <c r="A993" s="25"/>
    </row>
    <row r="994" spans="1:1" ht="12.75" x14ac:dyDescent="0.35">
      <c r="A994" s="25"/>
    </row>
    <row r="995" spans="1:1" ht="12.75" x14ac:dyDescent="0.35">
      <c r="A995" s="25"/>
    </row>
    <row r="996" spans="1:1" ht="12.75" x14ac:dyDescent="0.35">
      <c r="A996" s="25"/>
    </row>
    <row r="997" spans="1:1" ht="12.75" x14ac:dyDescent="0.35">
      <c r="A997" s="25"/>
    </row>
    <row r="998" spans="1:1" ht="12.75" x14ac:dyDescent="0.35">
      <c r="A998" s="25"/>
    </row>
    <row r="999" spans="1:1" ht="12.75" x14ac:dyDescent="0.35">
      <c r="A999" s="25"/>
    </row>
    <row r="1000" spans="1:1" ht="12.75" x14ac:dyDescent="0.35">
      <c r="A1000" s="25"/>
    </row>
    <row r="1001" spans="1:1" ht="12.75" x14ac:dyDescent="0.35">
      <c r="A1001" s="25"/>
    </row>
    <row r="1002" spans="1:1" ht="12.75" x14ac:dyDescent="0.35">
      <c r="A1002" s="25"/>
    </row>
    <row r="1003" spans="1:1" ht="12.75" x14ac:dyDescent="0.35">
      <c r="A1003" s="25"/>
    </row>
    <row r="1004" spans="1:1" ht="12.75" x14ac:dyDescent="0.35">
      <c r="A1004" s="25"/>
    </row>
    <row r="1005" spans="1:1" ht="12.75" x14ac:dyDescent="0.35">
      <c r="A1005" s="25"/>
    </row>
    <row r="1006" spans="1:1" ht="12.75" x14ac:dyDescent="0.35">
      <c r="A1006" s="25"/>
    </row>
    <row r="1007" spans="1:1" ht="12.75" x14ac:dyDescent="0.35">
      <c r="A1007" s="25"/>
    </row>
    <row r="1008" spans="1:1" ht="12.75" x14ac:dyDescent="0.35">
      <c r="A1008" s="25"/>
    </row>
    <row r="1009" spans="1:1" ht="12.75" x14ac:dyDescent="0.35">
      <c r="A1009" s="25"/>
    </row>
    <row r="1010" spans="1:1" ht="12.75" x14ac:dyDescent="0.35">
      <c r="A1010" s="25"/>
    </row>
    <row r="1011" spans="1:1" ht="12.75" x14ac:dyDescent="0.35">
      <c r="A1011" s="25"/>
    </row>
    <row r="1012" spans="1:1" ht="12.75" x14ac:dyDescent="0.35">
      <c r="A1012" s="25"/>
    </row>
    <row r="1013" spans="1:1" ht="12.75" x14ac:dyDescent="0.35">
      <c r="A1013" s="25"/>
    </row>
    <row r="1014" spans="1:1" ht="12.75" x14ac:dyDescent="0.35">
      <c r="A1014" s="25"/>
    </row>
    <row r="1015" spans="1:1" ht="12.75" x14ac:dyDescent="0.35">
      <c r="A1015" s="25"/>
    </row>
    <row r="1016" spans="1:1" ht="12.75" x14ac:dyDescent="0.35">
      <c r="A1016" s="25"/>
    </row>
    <row r="1017" spans="1:1" ht="12.75" x14ac:dyDescent="0.35">
      <c r="A1017" s="25"/>
    </row>
    <row r="1018" spans="1:1" ht="12.75" x14ac:dyDescent="0.35">
      <c r="A1018" s="25"/>
    </row>
    <row r="1019" spans="1:1" ht="12.75" x14ac:dyDescent="0.35">
      <c r="A1019" s="25"/>
    </row>
    <row r="1020" spans="1:1" ht="12.75" x14ac:dyDescent="0.35">
      <c r="A1020" s="25"/>
    </row>
    <row r="1021" spans="1:1" ht="12.75" x14ac:dyDescent="0.35">
      <c r="A1021" s="25"/>
    </row>
    <row r="1022" spans="1:1" ht="12.75" x14ac:dyDescent="0.35">
      <c r="A1022" s="25"/>
    </row>
    <row r="1023" spans="1:1" ht="12.75" x14ac:dyDescent="0.35">
      <c r="A1023" s="25"/>
    </row>
    <row r="1024" spans="1:1" ht="12.75" x14ac:dyDescent="0.35">
      <c r="A1024" s="25"/>
    </row>
    <row r="1025" spans="1:1" ht="12.75" x14ac:dyDescent="0.35">
      <c r="A1025" s="25"/>
    </row>
    <row r="1026" spans="1:1" ht="12.75" x14ac:dyDescent="0.35">
      <c r="A1026" s="25"/>
    </row>
    <row r="1027" spans="1:1" ht="12.75" x14ac:dyDescent="0.35">
      <c r="A1027" s="25"/>
    </row>
    <row r="1028" spans="1:1" ht="12.75" x14ac:dyDescent="0.35">
      <c r="A1028" s="25"/>
    </row>
    <row r="1029" spans="1:1" ht="12.75" x14ac:dyDescent="0.35">
      <c r="A1029" s="25"/>
    </row>
    <row r="1030" spans="1:1" ht="12.75" x14ac:dyDescent="0.35">
      <c r="A1030" s="25"/>
    </row>
    <row r="1031" spans="1:1" ht="12.75" x14ac:dyDescent="0.35">
      <c r="A1031" s="25"/>
    </row>
    <row r="1032" spans="1:1" ht="12.75" x14ac:dyDescent="0.35">
      <c r="A1032" s="25"/>
    </row>
    <row r="1033" spans="1:1" ht="12.75" x14ac:dyDescent="0.35">
      <c r="A1033" s="25"/>
    </row>
    <row r="1034" spans="1:1" ht="12.75" x14ac:dyDescent="0.35">
      <c r="A1034" s="25"/>
    </row>
    <row r="1035" spans="1:1" ht="12.75" x14ac:dyDescent="0.35">
      <c r="A1035" s="25"/>
    </row>
    <row r="1036" spans="1:1" ht="12.75" x14ac:dyDescent="0.35">
      <c r="A1036" s="25"/>
    </row>
    <row r="1037" spans="1:1" ht="12.75" x14ac:dyDescent="0.35">
      <c r="A1037" s="25"/>
    </row>
    <row r="1038" spans="1:1" ht="12.75" x14ac:dyDescent="0.35">
      <c r="A1038" s="25"/>
    </row>
    <row r="1039" spans="1:1" ht="12.75" x14ac:dyDescent="0.35">
      <c r="A1039" s="25"/>
    </row>
    <row r="1040" spans="1:1" ht="12.75" x14ac:dyDescent="0.35">
      <c r="A1040" s="25"/>
    </row>
    <row r="1041" spans="1:1" ht="12.75" x14ac:dyDescent="0.35">
      <c r="A1041" s="25"/>
    </row>
    <row r="1042" spans="1:1" ht="12.75" x14ac:dyDescent="0.35">
      <c r="A1042" s="25"/>
    </row>
    <row r="1043" spans="1:1" ht="12.75" x14ac:dyDescent="0.35">
      <c r="A1043" s="25"/>
    </row>
    <row r="1044" spans="1:1" ht="12.75" x14ac:dyDescent="0.35">
      <c r="A1044" s="25"/>
    </row>
    <row r="1045" spans="1:1" ht="12.75" x14ac:dyDescent="0.35">
      <c r="A1045" s="25"/>
    </row>
    <row r="1046" spans="1:1" ht="12.75" x14ac:dyDescent="0.35">
      <c r="A1046" s="25"/>
    </row>
    <row r="1047" spans="1:1" ht="12.75" x14ac:dyDescent="0.35">
      <c r="A1047" s="25"/>
    </row>
    <row r="1048" spans="1:1" ht="12.75" x14ac:dyDescent="0.35">
      <c r="A1048" s="25"/>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48"/>
  <sheetViews>
    <sheetView workbookViewId="0"/>
  </sheetViews>
  <sheetFormatPr defaultColWidth="12.59765625" defaultRowHeight="15.75" customHeight="1" x14ac:dyDescent="0.35"/>
  <sheetData>
    <row r="1" spans="1:2" ht="15.75" customHeight="1" x14ac:dyDescent="0.4">
      <c r="A1" s="38"/>
      <c r="B1" s="42"/>
    </row>
    <row r="2" spans="1:2" ht="15.75" customHeight="1" x14ac:dyDescent="0.4">
      <c r="A2" s="16" t="s">
        <v>254</v>
      </c>
      <c r="B2" s="43" t="s">
        <v>2845</v>
      </c>
    </row>
    <row r="3" spans="1:2" ht="12.75" x14ac:dyDescent="0.35">
      <c r="A3" s="22"/>
      <c r="B3" s="44"/>
    </row>
    <row r="4" spans="1:2" ht="12.75" x14ac:dyDescent="0.35">
      <c r="A4" s="22" t="s">
        <v>264</v>
      </c>
      <c r="B4" s="45" t="s">
        <v>2846</v>
      </c>
    </row>
    <row r="5" spans="1:2" ht="12.75" x14ac:dyDescent="0.35">
      <c r="A5" s="22" t="s">
        <v>267</v>
      </c>
      <c r="B5" s="45" t="s">
        <v>2847</v>
      </c>
    </row>
    <row r="6" spans="1:2" ht="12.75" x14ac:dyDescent="0.35">
      <c r="A6" s="22" t="s">
        <v>270</v>
      </c>
      <c r="B6" s="45" t="s">
        <v>2848</v>
      </c>
    </row>
    <row r="7" spans="1:2" ht="12.75" x14ac:dyDescent="0.35">
      <c r="A7" s="22" t="s">
        <v>272</v>
      </c>
      <c r="B7" s="45" t="s">
        <v>2849</v>
      </c>
    </row>
    <row r="8" spans="1:2" ht="12.75" x14ac:dyDescent="0.35">
      <c r="A8" s="22" t="s">
        <v>275</v>
      </c>
      <c r="B8" s="45" t="s">
        <v>2850</v>
      </c>
    </row>
    <row r="9" spans="1:2" ht="12.75" x14ac:dyDescent="0.35">
      <c r="A9" s="22" t="s">
        <v>278</v>
      </c>
      <c r="B9" s="45" t="s">
        <v>2851</v>
      </c>
    </row>
    <row r="10" spans="1:2" ht="12.75" x14ac:dyDescent="0.35">
      <c r="A10" s="22" t="s">
        <v>281</v>
      </c>
      <c r="B10" s="45" t="s">
        <v>2852</v>
      </c>
    </row>
    <row r="11" spans="1:2" ht="12.75" x14ac:dyDescent="0.35">
      <c r="A11" s="22" t="s">
        <v>284</v>
      </c>
      <c r="B11" s="45" t="s">
        <v>2853</v>
      </c>
    </row>
    <row r="12" spans="1:2" ht="12.75" x14ac:dyDescent="0.35">
      <c r="A12" s="22" t="s">
        <v>287</v>
      </c>
      <c r="B12" s="45" t="s">
        <v>2854</v>
      </c>
    </row>
    <row r="13" spans="1:2" ht="12.75" x14ac:dyDescent="0.35">
      <c r="A13" s="22" t="s">
        <v>290</v>
      </c>
      <c r="B13" s="45" t="s">
        <v>2855</v>
      </c>
    </row>
    <row r="14" spans="1:2" ht="12.75" x14ac:dyDescent="0.35">
      <c r="A14" s="22" t="s">
        <v>293</v>
      </c>
      <c r="B14" s="45" t="s">
        <v>2851</v>
      </c>
    </row>
    <row r="15" spans="1:2" ht="12.75" x14ac:dyDescent="0.35">
      <c r="A15" s="22" t="s">
        <v>296</v>
      </c>
      <c r="B15" s="45" t="s">
        <v>2856</v>
      </c>
    </row>
    <row r="16" spans="1:2" ht="12.75" x14ac:dyDescent="0.35">
      <c r="A16" s="22" t="s">
        <v>298</v>
      </c>
      <c r="B16" s="45" t="s">
        <v>2849</v>
      </c>
    </row>
    <row r="17" spans="1:2" ht="12.75" x14ac:dyDescent="0.35">
      <c r="A17" s="22" t="s">
        <v>300</v>
      </c>
      <c r="B17" s="45" t="s">
        <v>2857</v>
      </c>
    </row>
    <row r="18" spans="1:2" ht="12.75" x14ac:dyDescent="0.35">
      <c r="A18" s="22" t="s">
        <v>302</v>
      </c>
      <c r="B18" s="45" t="s">
        <v>2858</v>
      </c>
    </row>
    <row r="19" spans="1:2" ht="12.75" x14ac:dyDescent="0.35">
      <c r="A19" s="22" t="s">
        <v>305</v>
      </c>
      <c r="B19" s="45" t="s">
        <v>2859</v>
      </c>
    </row>
    <row r="20" spans="1:2" ht="12.75" x14ac:dyDescent="0.35">
      <c r="A20" s="22" t="s">
        <v>308</v>
      </c>
      <c r="B20" s="45" t="s">
        <v>2860</v>
      </c>
    </row>
    <row r="21" spans="1:2" ht="12.75" x14ac:dyDescent="0.35">
      <c r="A21" s="22" t="s">
        <v>311</v>
      </c>
      <c r="B21" s="45" t="s">
        <v>2861</v>
      </c>
    </row>
    <row r="22" spans="1:2" ht="12.75" x14ac:dyDescent="0.35">
      <c r="A22" s="22" t="s">
        <v>314</v>
      </c>
      <c r="B22" s="45" t="s">
        <v>2862</v>
      </c>
    </row>
    <row r="23" spans="1:2" ht="12.75" x14ac:dyDescent="0.35">
      <c r="A23" s="22" t="s">
        <v>317</v>
      </c>
      <c r="B23" s="45" t="s">
        <v>2863</v>
      </c>
    </row>
    <row r="24" spans="1:2" ht="12.75" x14ac:dyDescent="0.35">
      <c r="A24" s="22" t="s">
        <v>319</v>
      </c>
      <c r="B24" s="45" t="s">
        <v>2864</v>
      </c>
    </row>
    <row r="25" spans="1:2" ht="12.75" x14ac:dyDescent="0.35">
      <c r="A25" s="22" t="s">
        <v>322</v>
      </c>
      <c r="B25" s="45" t="s">
        <v>2862</v>
      </c>
    </row>
    <row r="26" spans="1:2" ht="12.75" x14ac:dyDescent="0.35">
      <c r="A26" s="22" t="s">
        <v>325</v>
      </c>
      <c r="B26" s="45" t="s">
        <v>2865</v>
      </c>
    </row>
    <row r="27" spans="1:2" ht="12.75" x14ac:dyDescent="0.35">
      <c r="A27" s="22" t="s">
        <v>328</v>
      </c>
      <c r="B27" s="45" t="s">
        <v>2866</v>
      </c>
    </row>
    <row r="28" spans="1:2" ht="12.75" x14ac:dyDescent="0.35">
      <c r="A28" s="27" t="s">
        <v>330</v>
      </c>
      <c r="B28" s="46" t="s">
        <v>2867</v>
      </c>
    </row>
    <row r="29" spans="1:2" ht="12.75" x14ac:dyDescent="0.35">
      <c r="A29" s="22" t="s">
        <v>332</v>
      </c>
      <c r="B29" s="45" t="s">
        <v>2850</v>
      </c>
    </row>
    <row r="30" spans="1:2" ht="12.75" x14ac:dyDescent="0.35">
      <c r="A30" s="22"/>
      <c r="B30" s="45"/>
    </row>
    <row r="31" spans="1:2" ht="12.75" x14ac:dyDescent="0.35">
      <c r="A31" s="22" t="s">
        <v>337</v>
      </c>
      <c r="B31" s="45" t="s">
        <v>2868</v>
      </c>
    </row>
    <row r="32" spans="1:2" ht="12.75" x14ac:dyDescent="0.35">
      <c r="A32" s="22" t="s">
        <v>340</v>
      </c>
      <c r="B32" s="45" t="s">
        <v>2869</v>
      </c>
    </row>
    <row r="33" spans="1:2" ht="12.75" x14ac:dyDescent="0.35">
      <c r="A33" s="22" t="s">
        <v>343</v>
      </c>
      <c r="B33" s="45" t="s">
        <v>2870</v>
      </c>
    </row>
    <row r="34" spans="1:2" ht="12.75" x14ac:dyDescent="0.35">
      <c r="A34" s="22" t="s">
        <v>346</v>
      </c>
      <c r="B34" s="45" t="s">
        <v>2868</v>
      </c>
    </row>
    <row r="35" spans="1:2" ht="12.75" x14ac:dyDescent="0.35">
      <c r="A35" s="22" t="s">
        <v>349</v>
      </c>
      <c r="B35" s="45" t="s">
        <v>2871</v>
      </c>
    </row>
    <row r="36" spans="1:2" ht="12.75" x14ac:dyDescent="0.35">
      <c r="A36" s="22" t="s">
        <v>352</v>
      </c>
      <c r="B36" s="45" t="s">
        <v>2869</v>
      </c>
    </row>
    <row r="37" spans="1:2" ht="12.75" x14ac:dyDescent="0.35">
      <c r="A37" s="22" t="s">
        <v>355</v>
      </c>
      <c r="B37" s="45" t="s">
        <v>2871</v>
      </c>
    </row>
    <row r="38" spans="1:2" ht="12.75" x14ac:dyDescent="0.35">
      <c r="A38" s="22" t="s">
        <v>358</v>
      </c>
      <c r="B38" s="45" t="s">
        <v>2872</v>
      </c>
    </row>
    <row r="39" spans="1:2" ht="12.75" x14ac:dyDescent="0.35">
      <c r="A39" s="22" t="s">
        <v>361</v>
      </c>
      <c r="B39" s="45" t="s">
        <v>2873</v>
      </c>
    </row>
    <row r="40" spans="1:2" ht="12.75" x14ac:dyDescent="0.35">
      <c r="A40" s="22" t="s">
        <v>364</v>
      </c>
      <c r="B40" s="45" t="s">
        <v>2869</v>
      </c>
    </row>
    <row r="41" spans="1:2" ht="12.75" x14ac:dyDescent="0.35">
      <c r="A41" s="22" t="s">
        <v>366</v>
      </c>
      <c r="B41" s="45" t="s">
        <v>2874</v>
      </c>
    </row>
    <row r="42" spans="1:2" ht="12.75" x14ac:dyDescent="0.35">
      <c r="A42" s="22" t="s">
        <v>369</v>
      </c>
      <c r="B42" s="45" t="s">
        <v>2849</v>
      </c>
    </row>
    <row r="43" spans="1:2" ht="12.75" x14ac:dyDescent="0.35">
      <c r="A43" s="22" t="s">
        <v>372</v>
      </c>
      <c r="B43" s="47" t="s">
        <v>2875</v>
      </c>
    </row>
    <row r="44" spans="1:2" ht="12.75" x14ac:dyDescent="0.35">
      <c r="A44" s="22" t="s">
        <v>375</v>
      </c>
      <c r="B44" s="45" t="s">
        <v>2876</v>
      </c>
    </row>
    <row r="45" spans="1:2" ht="12.75" x14ac:dyDescent="0.35">
      <c r="A45" s="22" t="s">
        <v>378</v>
      </c>
      <c r="B45" s="45" t="s">
        <v>2872</v>
      </c>
    </row>
    <row r="46" spans="1:2" ht="12.75" x14ac:dyDescent="0.35">
      <c r="A46" s="22" t="s">
        <v>381</v>
      </c>
      <c r="B46" s="45" t="s">
        <v>2869</v>
      </c>
    </row>
    <row r="47" spans="1:2" ht="12.75" x14ac:dyDescent="0.35">
      <c r="A47" s="22" t="s">
        <v>383</v>
      </c>
      <c r="B47" s="45" t="s">
        <v>2853</v>
      </c>
    </row>
    <row r="48" spans="1:2" ht="12.75" x14ac:dyDescent="0.35">
      <c r="A48" s="22" t="s">
        <v>386</v>
      </c>
      <c r="B48" s="45" t="s">
        <v>2858</v>
      </c>
    </row>
    <row r="49" spans="1:2" ht="12.75" x14ac:dyDescent="0.35">
      <c r="A49" s="29" t="s">
        <v>388</v>
      </c>
      <c r="B49" s="45" t="s">
        <v>2869</v>
      </c>
    </row>
    <row r="50" spans="1:2" ht="12.75" x14ac:dyDescent="0.35">
      <c r="A50" s="22" t="s">
        <v>391</v>
      </c>
      <c r="B50" s="45" t="s">
        <v>2877</v>
      </c>
    </row>
    <row r="51" spans="1:2" ht="12.75" x14ac:dyDescent="0.35">
      <c r="A51" s="22" t="s">
        <v>394</v>
      </c>
      <c r="B51" s="45" t="s">
        <v>2878</v>
      </c>
    </row>
    <row r="52" spans="1:2" ht="12.75" x14ac:dyDescent="0.35">
      <c r="A52" s="22" t="s">
        <v>397</v>
      </c>
      <c r="B52" s="45" t="s">
        <v>2879</v>
      </c>
    </row>
    <row r="53" spans="1:2" ht="12.75" x14ac:dyDescent="0.35">
      <c r="A53" s="22" t="s">
        <v>400</v>
      </c>
      <c r="B53" s="45" t="s">
        <v>2849</v>
      </c>
    </row>
    <row r="54" spans="1:2" ht="12.75" x14ac:dyDescent="0.35">
      <c r="A54" s="27" t="s">
        <v>402</v>
      </c>
      <c r="B54" s="46" t="s">
        <v>2880</v>
      </c>
    </row>
    <row r="55" spans="1:2" ht="12.75" x14ac:dyDescent="0.35">
      <c r="A55" s="22" t="s">
        <v>405</v>
      </c>
      <c r="B55" s="45" t="s">
        <v>2859</v>
      </c>
    </row>
    <row r="56" spans="1:2" ht="12.75" x14ac:dyDescent="0.35">
      <c r="A56" s="22" t="s">
        <v>408</v>
      </c>
      <c r="B56" s="45" t="s">
        <v>2881</v>
      </c>
    </row>
    <row r="57" spans="1:2" ht="12.75" x14ac:dyDescent="0.35">
      <c r="A57" s="22"/>
      <c r="B57" s="44"/>
    </row>
    <row r="58" spans="1:2" ht="12.75" x14ac:dyDescent="0.35">
      <c r="A58" s="22" t="s">
        <v>414</v>
      </c>
      <c r="B58" s="45" t="s">
        <v>2873</v>
      </c>
    </row>
    <row r="59" spans="1:2" ht="12.75" x14ac:dyDescent="0.35">
      <c r="A59" s="22" t="s">
        <v>417</v>
      </c>
      <c r="B59" s="48" t="s">
        <v>2879</v>
      </c>
    </row>
    <row r="60" spans="1:2" ht="12.75" x14ac:dyDescent="0.35">
      <c r="A60" s="22" t="s">
        <v>420</v>
      </c>
      <c r="B60" s="45" t="s">
        <v>2863</v>
      </c>
    </row>
    <row r="61" spans="1:2" ht="12.75" x14ac:dyDescent="0.35">
      <c r="A61" s="22" t="s">
        <v>423</v>
      </c>
      <c r="B61" s="45" t="s">
        <v>2873</v>
      </c>
    </row>
    <row r="62" spans="1:2" ht="12.75" x14ac:dyDescent="0.35">
      <c r="A62" s="22" t="s">
        <v>426</v>
      </c>
      <c r="B62" s="45" t="s">
        <v>2873</v>
      </c>
    </row>
    <row r="63" spans="1:2" ht="12.75" x14ac:dyDescent="0.35">
      <c r="A63" s="22" t="s">
        <v>428</v>
      </c>
      <c r="B63" s="45" t="s">
        <v>2849</v>
      </c>
    </row>
    <row r="64" spans="1:2" ht="12.75" x14ac:dyDescent="0.35">
      <c r="A64" s="22" t="s">
        <v>431</v>
      </c>
      <c r="B64" s="45" t="s">
        <v>2882</v>
      </c>
    </row>
    <row r="65" spans="1:2" ht="12.75" x14ac:dyDescent="0.35">
      <c r="A65" s="22" t="s">
        <v>434</v>
      </c>
      <c r="B65" s="45" t="s">
        <v>2883</v>
      </c>
    </row>
    <row r="66" spans="1:2" ht="12.75" x14ac:dyDescent="0.35">
      <c r="A66" s="22" t="s">
        <v>436</v>
      </c>
      <c r="B66" s="45" t="s">
        <v>2884</v>
      </c>
    </row>
    <row r="67" spans="1:2" ht="12.75" x14ac:dyDescent="0.35">
      <c r="A67" s="22" t="s">
        <v>439</v>
      </c>
      <c r="B67" s="45" t="s">
        <v>2866</v>
      </c>
    </row>
    <row r="68" spans="1:2" ht="12.75" x14ac:dyDescent="0.35">
      <c r="A68" s="22" t="s">
        <v>442</v>
      </c>
      <c r="B68" s="45" t="s">
        <v>2863</v>
      </c>
    </row>
    <row r="69" spans="1:2" ht="12.75" x14ac:dyDescent="0.35">
      <c r="A69" s="22" t="s">
        <v>444</v>
      </c>
      <c r="B69" s="45" t="s">
        <v>2884</v>
      </c>
    </row>
    <row r="70" spans="1:2" ht="12.75" x14ac:dyDescent="0.35">
      <c r="A70" s="22" t="s">
        <v>447</v>
      </c>
      <c r="B70" s="45" t="s">
        <v>2860</v>
      </c>
    </row>
    <row r="71" spans="1:2" ht="12.75" x14ac:dyDescent="0.35">
      <c r="A71" s="22" t="s">
        <v>450</v>
      </c>
      <c r="B71" s="45" t="s">
        <v>2868</v>
      </c>
    </row>
    <row r="72" spans="1:2" ht="12.75" x14ac:dyDescent="0.35">
      <c r="A72" s="22" t="s">
        <v>453</v>
      </c>
      <c r="B72" s="45" t="s">
        <v>2848</v>
      </c>
    </row>
    <row r="73" spans="1:2" ht="12.75" x14ac:dyDescent="0.35">
      <c r="A73" s="22" t="s">
        <v>456</v>
      </c>
      <c r="B73" s="45" t="s">
        <v>2885</v>
      </c>
    </row>
    <row r="74" spans="1:2" ht="12.75" x14ac:dyDescent="0.35">
      <c r="A74" s="22" t="s">
        <v>459</v>
      </c>
      <c r="B74" s="45" t="s">
        <v>2862</v>
      </c>
    </row>
    <row r="75" spans="1:2" ht="12.75" x14ac:dyDescent="0.35">
      <c r="A75" s="22" t="s">
        <v>461</v>
      </c>
      <c r="B75" s="45" t="s">
        <v>2849</v>
      </c>
    </row>
    <row r="76" spans="1:2" ht="12.75" x14ac:dyDescent="0.35">
      <c r="A76" s="22" t="s">
        <v>464</v>
      </c>
      <c r="B76" s="45" t="s">
        <v>2876</v>
      </c>
    </row>
    <row r="77" spans="1:2" ht="12.75" x14ac:dyDescent="0.35">
      <c r="A77" s="22" t="s">
        <v>467</v>
      </c>
      <c r="B77" s="45" t="s">
        <v>2847</v>
      </c>
    </row>
    <row r="78" spans="1:2" ht="12.75" x14ac:dyDescent="0.35">
      <c r="A78" s="22" t="s">
        <v>470</v>
      </c>
      <c r="B78" s="45" t="s">
        <v>2886</v>
      </c>
    </row>
    <row r="79" spans="1:2" ht="12.75" x14ac:dyDescent="0.35">
      <c r="A79" s="22" t="s">
        <v>473</v>
      </c>
      <c r="B79" s="45" t="s">
        <v>2881</v>
      </c>
    </row>
    <row r="80" spans="1:2" ht="12.75" x14ac:dyDescent="0.35">
      <c r="A80" s="27" t="s">
        <v>476</v>
      </c>
      <c r="B80" s="46" t="s">
        <v>2867</v>
      </c>
    </row>
    <row r="81" spans="1:2" ht="12.75" x14ac:dyDescent="0.35">
      <c r="A81" s="22" t="s">
        <v>479</v>
      </c>
      <c r="B81" s="45" t="s">
        <v>2851</v>
      </c>
    </row>
    <row r="82" spans="1:2" ht="12.75" x14ac:dyDescent="0.35">
      <c r="A82" s="22" t="s">
        <v>482</v>
      </c>
      <c r="B82" s="45" t="s">
        <v>2866</v>
      </c>
    </row>
    <row r="83" spans="1:2" ht="12.75" x14ac:dyDescent="0.35">
      <c r="A83" s="22" t="s">
        <v>485</v>
      </c>
      <c r="B83" s="45" t="s">
        <v>2863</v>
      </c>
    </row>
    <row r="84" spans="1:2" ht="12.75" x14ac:dyDescent="0.35">
      <c r="A84" s="22"/>
      <c r="B84" s="44"/>
    </row>
    <row r="85" spans="1:2" ht="12.75" x14ac:dyDescent="0.35">
      <c r="A85" s="22" t="s">
        <v>491</v>
      </c>
      <c r="B85" s="45" t="s">
        <v>2856</v>
      </c>
    </row>
    <row r="86" spans="1:2" ht="12.75" x14ac:dyDescent="0.35">
      <c r="A86" s="22" t="s">
        <v>494</v>
      </c>
      <c r="B86" s="45" t="s">
        <v>2866</v>
      </c>
    </row>
    <row r="87" spans="1:2" ht="12.75" x14ac:dyDescent="0.35">
      <c r="A87" s="22" t="s">
        <v>496</v>
      </c>
      <c r="B87" s="45" t="s">
        <v>2881</v>
      </c>
    </row>
    <row r="88" spans="1:2" ht="12.75" x14ac:dyDescent="0.35">
      <c r="A88" s="22" t="s">
        <v>499</v>
      </c>
      <c r="B88" s="45" t="s">
        <v>2859</v>
      </c>
    </row>
    <row r="89" spans="1:2" ht="12.75" x14ac:dyDescent="0.35">
      <c r="A89" s="22" t="s">
        <v>502</v>
      </c>
      <c r="B89" s="45" t="s">
        <v>2862</v>
      </c>
    </row>
    <row r="90" spans="1:2" ht="12.75" x14ac:dyDescent="0.35">
      <c r="A90" s="22" t="s">
        <v>505</v>
      </c>
      <c r="B90" s="45" t="s">
        <v>2853</v>
      </c>
    </row>
    <row r="91" spans="1:2" ht="12.75" x14ac:dyDescent="0.35">
      <c r="A91" s="22" t="s">
        <v>508</v>
      </c>
      <c r="B91" s="45" t="s">
        <v>2867</v>
      </c>
    </row>
    <row r="92" spans="1:2" ht="12.75" x14ac:dyDescent="0.35">
      <c r="A92" s="22" t="s">
        <v>511</v>
      </c>
      <c r="B92" s="45" t="s">
        <v>2862</v>
      </c>
    </row>
    <row r="93" spans="1:2" ht="12.75" x14ac:dyDescent="0.35">
      <c r="A93" s="22" t="s">
        <v>514</v>
      </c>
      <c r="B93" s="45" t="s">
        <v>2866</v>
      </c>
    </row>
    <row r="94" spans="1:2" ht="12.75" x14ac:dyDescent="0.35">
      <c r="A94" s="22" t="s">
        <v>517</v>
      </c>
      <c r="B94" s="45" t="s">
        <v>2887</v>
      </c>
    </row>
    <row r="95" spans="1:2" ht="12.75" x14ac:dyDescent="0.35">
      <c r="A95" s="22" t="s">
        <v>520</v>
      </c>
      <c r="B95" s="45" t="s">
        <v>2876</v>
      </c>
    </row>
    <row r="96" spans="1:2" ht="12.75" x14ac:dyDescent="0.35">
      <c r="A96" s="22" t="s">
        <v>523</v>
      </c>
      <c r="B96" s="45" t="s">
        <v>2888</v>
      </c>
    </row>
    <row r="97" spans="1:2" ht="12.75" x14ac:dyDescent="0.35">
      <c r="A97" s="22" t="s">
        <v>526</v>
      </c>
      <c r="B97" s="45" t="s">
        <v>2856</v>
      </c>
    </row>
    <row r="98" spans="1:2" ht="12.75" x14ac:dyDescent="0.35">
      <c r="A98" s="22" t="s">
        <v>528</v>
      </c>
      <c r="B98" s="45" t="s">
        <v>2887</v>
      </c>
    </row>
    <row r="99" spans="1:2" ht="12.75" x14ac:dyDescent="0.35">
      <c r="A99" s="22" t="s">
        <v>531</v>
      </c>
      <c r="B99" s="45" t="s">
        <v>2856</v>
      </c>
    </row>
    <row r="100" spans="1:2" ht="12.75" x14ac:dyDescent="0.35">
      <c r="A100" s="22" t="s">
        <v>534</v>
      </c>
      <c r="B100" s="45" t="s">
        <v>2889</v>
      </c>
    </row>
    <row r="101" spans="1:2" ht="12.75" x14ac:dyDescent="0.35">
      <c r="A101" s="22" t="s">
        <v>536</v>
      </c>
      <c r="B101" s="45" t="s">
        <v>2868</v>
      </c>
    </row>
    <row r="102" spans="1:2" ht="12.75" x14ac:dyDescent="0.35">
      <c r="A102" s="22" t="s">
        <v>539</v>
      </c>
      <c r="B102" s="45" t="s">
        <v>2851</v>
      </c>
    </row>
    <row r="103" spans="1:2" ht="12.75" x14ac:dyDescent="0.35">
      <c r="A103" s="22" t="s">
        <v>541</v>
      </c>
      <c r="B103" s="45" t="s">
        <v>2849</v>
      </c>
    </row>
    <row r="104" spans="1:2" ht="12.75" x14ac:dyDescent="0.35">
      <c r="A104" s="22" t="s">
        <v>544</v>
      </c>
      <c r="B104" s="45" t="s">
        <v>2877</v>
      </c>
    </row>
    <row r="105" spans="1:2" ht="12.75" x14ac:dyDescent="0.35">
      <c r="A105" s="22" t="s">
        <v>547</v>
      </c>
      <c r="B105" s="45" t="s">
        <v>2847</v>
      </c>
    </row>
    <row r="106" spans="1:2" ht="12.75" x14ac:dyDescent="0.35">
      <c r="A106" s="27" t="s">
        <v>550</v>
      </c>
      <c r="B106" s="46" t="s">
        <v>2878</v>
      </c>
    </row>
    <row r="107" spans="1:2" ht="12.75" x14ac:dyDescent="0.35">
      <c r="A107" s="22" t="s">
        <v>553</v>
      </c>
      <c r="B107" s="45" t="s">
        <v>2890</v>
      </c>
    </row>
    <row r="108" spans="1:2" ht="12.75" x14ac:dyDescent="0.35">
      <c r="A108" s="22" t="s">
        <v>556</v>
      </c>
      <c r="B108" s="45" t="s">
        <v>2861</v>
      </c>
    </row>
    <row r="109" spans="1:2" ht="12.75" x14ac:dyDescent="0.35">
      <c r="A109" s="29" t="s">
        <v>559</v>
      </c>
      <c r="B109" s="45" t="s">
        <v>2859</v>
      </c>
    </row>
    <row r="110" spans="1:2" ht="12.75" x14ac:dyDescent="0.35">
      <c r="A110" s="22" t="s">
        <v>562</v>
      </c>
      <c r="B110" s="45" t="s">
        <v>2891</v>
      </c>
    </row>
    <row r="111" spans="1:2" ht="12.75" x14ac:dyDescent="0.35">
      <c r="A111" s="22"/>
      <c r="B111" s="44"/>
    </row>
    <row r="112" spans="1:2" ht="12.75" x14ac:dyDescent="0.35">
      <c r="A112" s="22" t="s">
        <v>568</v>
      </c>
      <c r="B112" s="45" t="s">
        <v>2884</v>
      </c>
    </row>
    <row r="113" spans="1:2" ht="12.75" x14ac:dyDescent="0.35">
      <c r="A113" s="22" t="s">
        <v>571</v>
      </c>
      <c r="B113" s="45" t="s">
        <v>2892</v>
      </c>
    </row>
    <row r="114" spans="1:2" ht="12.75" x14ac:dyDescent="0.35">
      <c r="A114" s="22" t="s">
        <v>574</v>
      </c>
      <c r="B114" s="45" t="s">
        <v>2875</v>
      </c>
    </row>
    <row r="115" spans="1:2" ht="12.75" x14ac:dyDescent="0.35">
      <c r="A115" s="22" t="s">
        <v>577</v>
      </c>
      <c r="B115" s="45" t="s">
        <v>2847</v>
      </c>
    </row>
    <row r="116" spans="1:2" ht="12.75" x14ac:dyDescent="0.35">
      <c r="A116" s="22" t="s">
        <v>580</v>
      </c>
      <c r="B116" s="45" t="s">
        <v>2861</v>
      </c>
    </row>
    <row r="117" spans="1:2" ht="12.75" x14ac:dyDescent="0.35">
      <c r="A117" s="22" t="s">
        <v>583</v>
      </c>
      <c r="B117" s="45" t="s">
        <v>2893</v>
      </c>
    </row>
    <row r="118" spans="1:2" ht="12.75" x14ac:dyDescent="0.35">
      <c r="A118" s="22" t="s">
        <v>586</v>
      </c>
      <c r="B118" s="45" t="s">
        <v>2853</v>
      </c>
    </row>
    <row r="119" spans="1:2" ht="12.75" x14ac:dyDescent="0.35">
      <c r="A119" s="22" t="s">
        <v>589</v>
      </c>
      <c r="B119" s="45" t="s">
        <v>2849</v>
      </c>
    </row>
    <row r="120" spans="1:2" ht="12.75" x14ac:dyDescent="0.35">
      <c r="A120" s="22" t="s">
        <v>592</v>
      </c>
      <c r="B120" s="45" t="s">
        <v>2855</v>
      </c>
    </row>
    <row r="121" spans="1:2" ht="12.75" x14ac:dyDescent="0.35">
      <c r="A121" s="22" t="s">
        <v>595</v>
      </c>
      <c r="B121" s="45" t="s">
        <v>2871</v>
      </c>
    </row>
    <row r="122" spans="1:2" ht="12.75" x14ac:dyDescent="0.35">
      <c r="A122" s="22" t="s">
        <v>598</v>
      </c>
      <c r="B122" s="45" t="s">
        <v>2876</v>
      </c>
    </row>
    <row r="123" spans="1:2" ht="12.75" x14ac:dyDescent="0.35">
      <c r="A123" s="22" t="s">
        <v>601</v>
      </c>
      <c r="B123" s="45" t="s">
        <v>2859</v>
      </c>
    </row>
    <row r="124" spans="1:2" ht="12.75" x14ac:dyDescent="0.35">
      <c r="A124" s="22" t="s">
        <v>604</v>
      </c>
      <c r="B124" s="45" t="s">
        <v>2883</v>
      </c>
    </row>
    <row r="125" spans="1:2" ht="12.75" x14ac:dyDescent="0.35">
      <c r="A125" s="22" t="s">
        <v>607</v>
      </c>
      <c r="B125" s="45" t="s">
        <v>2855</v>
      </c>
    </row>
    <row r="126" spans="1:2" ht="12.75" x14ac:dyDescent="0.35">
      <c r="A126" s="22" t="s">
        <v>610</v>
      </c>
      <c r="B126" s="45" t="s">
        <v>2853</v>
      </c>
    </row>
    <row r="127" spans="1:2" ht="12.75" x14ac:dyDescent="0.35">
      <c r="A127" s="22" t="s">
        <v>613</v>
      </c>
      <c r="B127" s="45" t="s">
        <v>2847</v>
      </c>
    </row>
    <row r="128" spans="1:2" ht="12.75" x14ac:dyDescent="0.35">
      <c r="A128" s="22" t="s">
        <v>616</v>
      </c>
      <c r="B128" s="45" t="s">
        <v>2849</v>
      </c>
    </row>
    <row r="129" spans="1:2" ht="12.75" x14ac:dyDescent="0.35">
      <c r="A129" s="22" t="s">
        <v>619</v>
      </c>
      <c r="B129" s="45" t="s">
        <v>2861</v>
      </c>
    </row>
    <row r="130" spans="1:2" ht="12.75" x14ac:dyDescent="0.35">
      <c r="A130" s="22" t="s">
        <v>622</v>
      </c>
      <c r="B130" s="45" t="s">
        <v>2875</v>
      </c>
    </row>
    <row r="131" spans="1:2" ht="12.75" x14ac:dyDescent="0.35">
      <c r="A131" s="22" t="s">
        <v>625</v>
      </c>
      <c r="B131" s="45" t="s">
        <v>2850</v>
      </c>
    </row>
    <row r="132" spans="1:2" ht="12.75" x14ac:dyDescent="0.35">
      <c r="A132" s="27" t="s">
        <v>628</v>
      </c>
      <c r="B132" s="46" t="s">
        <v>2894</v>
      </c>
    </row>
    <row r="133" spans="1:2" ht="12.75" x14ac:dyDescent="0.35">
      <c r="A133" s="22" t="s">
        <v>631</v>
      </c>
      <c r="B133" s="45" t="s">
        <v>2883</v>
      </c>
    </row>
    <row r="134" spans="1:2" ht="12.75" x14ac:dyDescent="0.35">
      <c r="A134" s="22" t="s">
        <v>634</v>
      </c>
      <c r="B134" s="45" t="s">
        <v>2875</v>
      </c>
    </row>
    <row r="135" spans="1:2" ht="12.75" x14ac:dyDescent="0.35">
      <c r="A135" s="22" t="s">
        <v>637</v>
      </c>
      <c r="B135" s="45" t="s">
        <v>2859</v>
      </c>
    </row>
    <row r="136" spans="1:2" ht="12.75" x14ac:dyDescent="0.35">
      <c r="A136" s="22" t="s">
        <v>640</v>
      </c>
      <c r="B136" s="45" t="s">
        <v>2880</v>
      </c>
    </row>
    <row r="137" spans="1:2" ht="12.75" x14ac:dyDescent="0.35">
      <c r="A137" s="22" t="s">
        <v>642</v>
      </c>
      <c r="B137" s="45" t="s">
        <v>2849</v>
      </c>
    </row>
    <row r="138" spans="1:2" ht="12.75" x14ac:dyDescent="0.35">
      <c r="A138" s="22"/>
      <c r="B138" s="44"/>
    </row>
    <row r="139" spans="1:2" ht="12.75" x14ac:dyDescent="0.35">
      <c r="A139" s="22" t="s">
        <v>648</v>
      </c>
      <c r="B139" s="45" t="s">
        <v>2878</v>
      </c>
    </row>
    <row r="140" spans="1:2" ht="12.75" x14ac:dyDescent="0.35">
      <c r="A140" s="22" t="s">
        <v>651</v>
      </c>
      <c r="B140" s="45" t="s">
        <v>2848</v>
      </c>
    </row>
    <row r="141" spans="1:2" ht="12.75" x14ac:dyDescent="0.35">
      <c r="A141" s="22" t="s">
        <v>654</v>
      </c>
      <c r="B141" s="45" t="s">
        <v>2850</v>
      </c>
    </row>
    <row r="142" spans="1:2" ht="12.75" x14ac:dyDescent="0.35">
      <c r="A142" s="22" t="s">
        <v>656</v>
      </c>
      <c r="B142" s="45" t="s">
        <v>2886</v>
      </c>
    </row>
    <row r="143" spans="1:2" ht="12.75" x14ac:dyDescent="0.35">
      <c r="A143" s="22" t="s">
        <v>659</v>
      </c>
      <c r="B143" s="45" t="s">
        <v>2895</v>
      </c>
    </row>
    <row r="144" spans="1:2" ht="12.75" x14ac:dyDescent="0.35">
      <c r="A144" s="22" t="s">
        <v>662</v>
      </c>
      <c r="B144" s="45" t="s">
        <v>2861</v>
      </c>
    </row>
    <row r="145" spans="1:2" ht="12.75" x14ac:dyDescent="0.35">
      <c r="A145" s="22" t="s">
        <v>665</v>
      </c>
      <c r="B145" s="45" t="s">
        <v>2868</v>
      </c>
    </row>
    <row r="146" spans="1:2" ht="12.75" x14ac:dyDescent="0.35">
      <c r="A146" s="22" t="s">
        <v>668</v>
      </c>
      <c r="B146" s="45" t="s">
        <v>2848</v>
      </c>
    </row>
    <row r="147" spans="1:2" ht="12.75" x14ac:dyDescent="0.35">
      <c r="A147" s="22" t="s">
        <v>671</v>
      </c>
      <c r="B147" s="45" t="s">
        <v>2856</v>
      </c>
    </row>
    <row r="148" spans="1:2" ht="12.75" x14ac:dyDescent="0.35">
      <c r="A148" s="22" t="s">
        <v>674</v>
      </c>
      <c r="B148" s="45" t="s">
        <v>2850</v>
      </c>
    </row>
    <row r="149" spans="1:2" ht="12.75" x14ac:dyDescent="0.35">
      <c r="A149" s="22" t="s">
        <v>676</v>
      </c>
      <c r="B149" s="45" t="s">
        <v>2862</v>
      </c>
    </row>
    <row r="150" spans="1:2" ht="12.75" x14ac:dyDescent="0.35">
      <c r="A150" s="22" t="s">
        <v>679</v>
      </c>
      <c r="B150" s="45" t="s">
        <v>2896</v>
      </c>
    </row>
    <row r="151" spans="1:2" ht="12.75" x14ac:dyDescent="0.35">
      <c r="A151" s="22" t="s">
        <v>682</v>
      </c>
      <c r="B151" s="45" t="s">
        <v>2888</v>
      </c>
    </row>
    <row r="152" spans="1:2" ht="12.75" x14ac:dyDescent="0.35">
      <c r="A152" s="22" t="s">
        <v>685</v>
      </c>
      <c r="B152" s="45" t="s">
        <v>2894</v>
      </c>
    </row>
    <row r="153" spans="1:2" ht="12.75" x14ac:dyDescent="0.35">
      <c r="A153" s="29" t="s">
        <v>688</v>
      </c>
      <c r="B153" s="47" t="s">
        <v>2861</v>
      </c>
    </row>
    <row r="154" spans="1:2" ht="12.75" x14ac:dyDescent="0.35">
      <c r="A154" s="22" t="s">
        <v>691</v>
      </c>
      <c r="B154" s="45" t="s">
        <v>2867</v>
      </c>
    </row>
    <row r="155" spans="1:2" ht="12.75" x14ac:dyDescent="0.35">
      <c r="A155" s="22" t="s">
        <v>694</v>
      </c>
      <c r="B155" s="45" t="s">
        <v>2871</v>
      </c>
    </row>
    <row r="156" spans="1:2" ht="12.75" x14ac:dyDescent="0.35">
      <c r="A156" s="22" t="s">
        <v>697</v>
      </c>
      <c r="B156" s="45" t="s">
        <v>2867</v>
      </c>
    </row>
    <row r="157" spans="1:2" ht="12.75" x14ac:dyDescent="0.35">
      <c r="A157" s="22" t="s">
        <v>700</v>
      </c>
      <c r="B157" s="44" t="s">
        <v>2897</v>
      </c>
    </row>
    <row r="158" spans="1:2" ht="12.75" x14ac:dyDescent="0.35">
      <c r="A158" s="27" t="s">
        <v>703</v>
      </c>
      <c r="B158" s="45" t="s">
        <v>2860</v>
      </c>
    </row>
    <row r="159" spans="1:2" ht="12.75" x14ac:dyDescent="0.35">
      <c r="A159" s="22" t="s">
        <v>706</v>
      </c>
      <c r="B159" s="45" t="s">
        <v>2853</v>
      </c>
    </row>
    <row r="160" spans="1:2" ht="12.75" x14ac:dyDescent="0.35">
      <c r="A160" s="22" t="s">
        <v>709</v>
      </c>
      <c r="B160" s="45" t="s">
        <v>2851</v>
      </c>
    </row>
    <row r="161" spans="1:2" ht="12.75" x14ac:dyDescent="0.35">
      <c r="A161" s="22" t="s">
        <v>712</v>
      </c>
      <c r="B161" s="45" t="s">
        <v>2898</v>
      </c>
    </row>
    <row r="162" spans="1:2" ht="12.75" x14ac:dyDescent="0.35">
      <c r="A162" s="22" t="s">
        <v>715</v>
      </c>
      <c r="B162" s="45" t="s">
        <v>2846</v>
      </c>
    </row>
    <row r="163" spans="1:2" ht="12.75" x14ac:dyDescent="0.35">
      <c r="A163" s="22" t="s">
        <v>718</v>
      </c>
      <c r="B163" s="45" t="s">
        <v>2862</v>
      </c>
    </row>
    <row r="164" spans="1:2" ht="12.75" x14ac:dyDescent="0.35">
      <c r="A164" s="22" t="s">
        <v>721</v>
      </c>
      <c r="B164" s="45" t="s">
        <v>2862</v>
      </c>
    </row>
    <row r="165" spans="1:2" ht="12.75" x14ac:dyDescent="0.35">
      <c r="A165" s="22"/>
      <c r="B165" s="44"/>
    </row>
    <row r="166" spans="1:2" ht="12.75" x14ac:dyDescent="0.35">
      <c r="A166" s="22" t="s">
        <v>2899</v>
      </c>
      <c r="B166" s="45" t="s">
        <v>2883</v>
      </c>
    </row>
    <row r="167" spans="1:2" ht="12.75" x14ac:dyDescent="0.35">
      <c r="A167" s="22" t="s">
        <v>729</v>
      </c>
      <c r="B167" s="45" t="s">
        <v>2885</v>
      </c>
    </row>
    <row r="168" spans="1:2" ht="12.75" x14ac:dyDescent="0.35">
      <c r="A168" s="22" t="s">
        <v>732</v>
      </c>
      <c r="B168" s="45" t="s">
        <v>2900</v>
      </c>
    </row>
    <row r="169" spans="1:2" ht="12.75" x14ac:dyDescent="0.35">
      <c r="A169" s="22" t="s">
        <v>735</v>
      </c>
      <c r="B169" s="45" t="s">
        <v>2861</v>
      </c>
    </row>
    <row r="170" spans="1:2" ht="12.75" x14ac:dyDescent="0.35">
      <c r="A170" s="22" t="s">
        <v>738</v>
      </c>
      <c r="B170" s="45" t="s">
        <v>2871</v>
      </c>
    </row>
    <row r="171" spans="1:2" ht="12.75" x14ac:dyDescent="0.35">
      <c r="A171" s="22" t="s">
        <v>741</v>
      </c>
      <c r="B171" s="45" t="s">
        <v>2870</v>
      </c>
    </row>
    <row r="172" spans="1:2" ht="12.75" x14ac:dyDescent="0.35">
      <c r="A172" s="22" t="s">
        <v>744</v>
      </c>
      <c r="B172" s="45" t="s">
        <v>2878</v>
      </c>
    </row>
    <row r="173" spans="1:2" ht="12.75" x14ac:dyDescent="0.35">
      <c r="A173" s="22" t="s">
        <v>747</v>
      </c>
      <c r="B173" s="49" t="s">
        <v>2870</v>
      </c>
    </row>
    <row r="174" spans="1:2" ht="12.75" x14ac:dyDescent="0.35">
      <c r="A174" s="22" t="s">
        <v>749</v>
      </c>
      <c r="B174" s="45" t="s">
        <v>2893</v>
      </c>
    </row>
    <row r="175" spans="1:2" ht="12.75" x14ac:dyDescent="0.35">
      <c r="A175" s="22" t="s">
        <v>752</v>
      </c>
      <c r="B175" s="45" t="s">
        <v>2901</v>
      </c>
    </row>
    <row r="176" spans="1:2" ht="12.75" x14ac:dyDescent="0.35">
      <c r="A176" s="22" t="s">
        <v>755</v>
      </c>
      <c r="B176" s="45" t="s">
        <v>2902</v>
      </c>
    </row>
    <row r="177" spans="1:2" ht="12.75" x14ac:dyDescent="0.35">
      <c r="A177" s="22" t="s">
        <v>758</v>
      </c>
      <c r="B177" s="45" t="s">
        <v>2847</v>
      </c>
    </row>
    <row r="178" spans="1:2" ht="12.75" x14ac:dyDescent="0.35">
      <c r="A178" s="22" t="s">
        <v>761</v>
      </c>
      <c r="B178" s="45" t="s">
        <v>2882</v>
      </c>
    </row>
    <row r="179" spans="1:2" ht="12.75" x14ac:dyDescent="0.35">
      <c r="A179" s="29" t="s">
        <v>764</v>
      </c>
      <c r="B179" s="45" t="s">
        <v>2861</v>
      </c>
    </row>
    <row r="180" spans="1:2" ht="12.75" x14ac:dyDescent="0.35">
      <c r="A180" s="22" t="s">
        <v>767</v>
      </c>
      <c r="B180" s="45" t="s">
        <v>2902</v>
      </c>
    </row>
    <row r="181" spans="1:2" ht="12.75" x14ac:dyDescent="0.35">
      <c r="A181" s="22" t="s">
        <v>770</v>
      </c>
      <c r="B181" s="45" t="s">
        <v>2888</v>
      </c>
    </row>
    <row r="182" spans="1:2" ht="12.75" x14ac:dyDescent="0.35">
      <c r="A182" s="22" t="s">
        <v>773</v>
      </c>
      <c r="B182" s="45" t="s">
        <v>2853</v>
      </c>
    </row>
    <row r="183" spans="1:2" ht="12.75" x14ac:dyDescent="0.35">
      <c r="A183" s="22" t="s">
        <v>776</v>
      </c>
      <c r="B183" s="45" t="s">
        <v>2882</v>
      </c>
    </row>
    <row r="184" spans="1:2" ht="12.75" x14ac:dyDescent="0.35">
      <c r="A184" s="27" t="s">
        <v>779</v>
      </c>
      <c r="B184" s="46" t="s">
        <v>2903</v>
      </c>
    </row>
    <row r="185" spans="1:2" ht="12.75" x14ac:dyDescent="0.35">
      <c r="A185" s="22" t="s">
        <v>782</v>
      </c>
      <c r="B185" s="45" t="s">
        <v>2886</v>
      </c>
    </row>
    <row r="186" spans="1:2" ht="13.15" x14ac:dyDescent="0.4">
      <c r="A186" s="22" t="s">
        <v>2904</v>
      </c>
      <c r="B186" s="45" t="s">
        <v>2850</v>
      </c>
    </row>
    <row r="187" spans="1:2" ht="12.75" x14ac:dyDescent="0.35">
      <c r="A187" s="22" t="s">
        <v>788</v>
      </c>
      <c r="B187" s="45" t="s">
        <v>2885</v>
      </c>
    </row>
    <row r="188" spans="1:2" ht="12.75" x14ac:dyDescent="0.35">
      <c r="A188" s="22" t="s">
        <v>790</v>
      </c>
      <c r="B188" s="45" t="s">
        <v>2854</v>
      </c>
    </row>
    <row r="189" spans="1:2" ht="12.75" x14ac:dyDescent="0.35">
      <c r="A189" s="22" t="s">
        <v>793</v>
      </c>
      <c r="B189" s="45" t="s">
        <v>2855</v>
      </c>
    </row>
    <row r="190" spans="1:2" ht="12.75" x14ac:dyDescent="0.35">
      <c r="A190" s="22" t="s">
        <v>796</v>
      </c>
      <c r="B190" s="45" t="s">
        <v>2879</v>
      </c>
    </row>
    <row r="191" spans="1:2" ht="12.75" x14ac:dyDescent="0.35">
      <c r="A191" s="22" t="s">
        <v>799</v>
      </c>
      <c r="B191" s="45" t="s">
        <v>2887</v>
      </c>
    </row>
    <row r="192" spans="1:2" ht="12.75" x14ac:dyDescent="0.35">
      <c r="A192" s="22"/>
      <c r="B192" s="44"/>
    </row>
    <row r="193" spans="1:2" ht="12.75" x14ac:dyDescent="0.35">
      <c r="A193" s="22" t="s">
        <v>804</v>
      </c>
      <c r="B193" s="45" t="s">
        <v>2880</v>
      </c>
    </row>
    <row r="194" spans="1:2" ht="12.75" x14ac:dyDescent="0.35">
      <c r="A194" s="22" t="s">
        <v>807</v>
      </c>
      <c r="B194" s="45" t="s">
        <v>2875</v>
      </c>
    </row>
    <row r="195" spans="1:2" ht="12.75" x14ac:dyDescent="0.35">
      <c r="A195" s="22" t="s">
        <v>810</v>
      </c>
      <c r="B195" s="45" t="s">
        <v>2860</v>
      </c>
    </row>
    <row r="196" spans="1:2" ht="12.75" x14ac:dyDescent="0.35">
      <c r="A196" s="22" t="s">
        <v>813</v>
      </c>
      <c r="B196" s="45" t="s">
        <v>2868</v>
      </c>
    </row>
    <row r="197" spans="1:2" ht="12.75" x14ac:dyDescent="0.35">
      <c r="A197" s="22" t="s">
        <v>816</v>
      </c>
      <c r="B197" s="45" t="s">
        <v>2880</v>
      </c>
    </row>
    <row r="198" spans="1:2" ht="12.75" x14ac:dyDescent="0.35">
      <c r="A198" s="22" t="s">
        <v>818</v>
      </c>
      <c r="B198" s="45" t="s">
        <v>2851</v>
      </c>
    </row>
    <row r="199" spans="1:2" ht="12.75" x14ac:dyDescent="0.35">
      <c r="A199" s="22" t="s">
        <v>820</v>
      </c>
      <c r="B199" s="45" t="s">
        <v>2876</v>
      </c>
    </row>
    <row r="200" spans="1:2" ht="12.75" x14ac:dyDescent="0.35">
      <c r="A200" s="22" t="s">
        <v>823</v>
      </c>
      <c r="B200" s="45" t="s">
        <v>2867</v>
      </c>
    </row>
    <row r="201" spans="1:2" ht="12.75" x14ac:dyDescent="0.35">
      <c r="A201" s="22" t="s">
        <v>826</v>
      </c>
      <c r="B201" s="45" t="s">
        <v>2859</v>
      </c>
    </row>
    <row r="202" spans="1:2" ht="12.75" x14ac:dyDescent="0.35">
      <c r="A202" s="22" t="s">
        <v>829</v>
      </c>
      <c r="B202" s="45" t="s">
        <v>2887</v>
      </c>
    </row>
    <row r="203" spans="1:2" ht="12.75" x14ac:dyDescent="0.35">
      <c r="A203" s="22" t="s">
        <v>832</v>
      </c>
      <c r="B203" s="45" t="s">
        <v>2895</v>
      </c>
    </row>
    <row r="204" spans="1:2" ht="12.75" x14ac:dyDescent="0.35">
      <c r="A204" s="22" t="s">
        <v>834</v>
      </c>
      <c r="B204" s="45" t="s">
        <v>2884</v>
      </c>
    </row>
    <row r="205" spans="1:2" ht="12.75" x14ac:dyDescent="0.35">
      <c r="A205" s="22" t="s">
        <v>837</v>
      </c>
      <c r="B205" s="45" t="s">
        <v>2877</v>
      </c>
    </row>
    <row r="206" spans="1:2" ht="12.75" x14ac:dyDescent="0.35">
      <c r="A206" s="22" t="s">
        <v>840</v>
      </c>
      <c r="B206" s="45" t="s">
        <v>2872</v>
      </c>
    </row>
    <row r="207" spans="1:2" ht="12.75" x14ac:dyDescent="0.35">
      <c r="A207" s="22" t="s">
        <v>843</v>
      </c>
      <c r="B207" s="45" t="s">
        <v>2861</v>
      </c>
    </row>
    <row r="208" spans="1:2" ht="12.75" x14ac:dyDescent="0.35">
      <c r="A208" s="22" t="s">
        <v>846</v>
      </c>
      <c r="B208" s="45" t="s">
        <v>2847</v>
      </c>
    </row>
    <row r="209" spans="1:2" ht="12.75" x14ac:dyDescent="0.35">
      <c r="A209" s="22" t="s">
        <v>849</v>
      </c>
      <c r="B209" s="45" t="s">
        <v>2879</v>
      </c>
    </row>
    <row r="210" spans="1:2" ht="12.75" x14ac:dyDescent="0.35">
      <c r="A210" s="27" t="s">
        <v>852</v>
      </c>
      <c r="B210" s="46" t="s">
        <v>2897</v>
      </c>
    </row>
    <row r="211" spans="1:2" ht="12.75" x14ac:dyDescent="0.35">
      <c r="A211" s="22" t="s">
        <v>855</v>
      </c>
      <c r="B211" s="45" t="s">
        <v>2861</v>
      </c>
    </row>
    <row r="212" spans="1:2" ht="12.75" x14ac:dyDescent="0.35">
      <c r="A212" s="22" t="s">
        <v>858</v>
      </c>
      <c r="B212" s="45" t="s">
        <v>2859</v>
      </c>
    </row>
    <row r="213" spans="1:2" ht="12.75" x14ac:dyDescent="0.35">
      <c r="A213" s="29" t="s">
        <v>861</v>
      </c>
      <c r="B213" s="45" t="s">
        <v>2885</v>
      </c>
    </row>
    <row r="214" spans="1:2" ht="12.75" x14ac:dyDescent="0.35">
      <c r="A214" s="22" t="s">
        <v>864</v>
      </c>
      <c r="B214" s="45" t="s">
        <v>2883</v>
      </c>
    </row>
    <row r="215" spans="1:2" ht="12.75" x14ac:dyDescent="0.35">
      <c r="A215" s="22" t="s">
        <v>867</v>
      </c>
      <c r="B215" s="45" t="s">
        <v>2876</v>
      </c>
    </row>
    <row r="216" spans="1:2" ht="12.75" x14ac:dyDescent="0.35">
      <c r="A216" s="22" t="s">
        <v>870</v>
      </c>
      <c r="B216" s="45" t="s">
        <v>2878</v>
      </c>
    </row>
    <row r="217" spans="1:2" ht="12.75" x14ac:dyDescent="0.35">
      <c r="A217" s="22" t="s">
        <v>873</v>
      </c>
      <c r="B217" s="45" t="s">
        <v>2905</v>
      </c>
    </row>
    <row r="218" spans="1:2" ht="12.75" x14ac:dyDescent="0.35">
      <c r="A218" s="22" t="s">
        <v>876</v>
      </c>
      <c r="B218" s="45" t="s">
        <v>2883</v>
      </c>
    </row>
    <row r="219" spans="1:2" ht="12.75" x14ac:dyDescent="0.35">
      <c r="A219" s="22"/>
      <c r="B219" s="44"/>
    </row>
    <row r="220" spans="1:2" ht="12.75" x14ac:dyDescent="0.35">
      <c r="A220" s="22" t="s">
        <v>882</v>
      </c>
      <c r="B220" s="45" t="s">
        <v>2849</v>
      </c>
    </row>
    <row r="221" spans="1:2" ht="12.75" x14ac:dyDescent="0.35">
      <c r="A221" s="22" t="s">
        <v>885</v>
      </c>
      <c r="B221" s="45" t="s">
        <v>2869</v>
      </c>
    </row>
    <row r="222" spans="1:2" ht="12.75" x14ac:dyDescent="0.35">
      <c r="A222" s="22" t="s">
        <v>888</v>
      </c>
      <c r="B222" s="48" t="s">
        <v>2879</v>
      </c>
    </row>
    <row r="223" spans="1:2" ht="12.75" x14ac:dyDescent="0.35">
      <c r="A223" s="22" t="s">
        <v>891</v>
      </c>
      <c r="B223" s="45" t="s">
        <v>2862</v>
      </c>
    </row>
    <row r="224" spans="1:2" ht="12.75" x14ac:dyDescent="0.35">
      <c r="A224" s="22" t="s">
        <v>894</v>
      </c>
      <c r="B224" s="45" t="s">
        <v>2905</v>
      </c>
    </row>
    <row r="225" spans="1:2" ht="12.75" x14ac:dyDescent="0.35">
      <c r="A225" s="22" t="s">
        <v>897</v>
      </c>
      <c r="B225" s="45" t="s">
        <v>2887</v>
      </c>
    </row>
    <row r="226" spans="1:2" ht="12.75" x14ac:dyDescent="0.35">
      <c r="A226" s="22" t="s">
        <v>900</v>
      </c>
      <c r="B226" s="45" t="s">
        <v>2861</v>
      </c>
    </row>
    <row r="227" spans="1:2" ht="12.75" x14ac:dyDescent="0.35">
      <c r="A227" s="22" t="s">
        <v>903</v>
      </c>
      <c r="B227" s="45" t="s">
        <v>2848</v>
      </c>
    </row>
    <row r="228" spans="1:2" ht="12.75" x14ac:dyDescent="0.35">
      <c r="A228" s="22" t="s">
        <v>906</v>
      </c>
      <c r="B228" s="45" t="s">
        <v>2905</v>
      </c>
    </row>
    <row r="229" spans="1:2" ht="12.75" x14ac:dyDescent="0.35">
      <c r="A229" s="22" t="s">
        <v>908</v>
      </c>
      <c r="B229" s="45" t="s">
        <v>2871</v>
      </c>
    </row>
    <row r="230" spans="1:2" ht="12.75" x14ac:dyDescent="0.35">
      <c r="A230" s="22" t="s">
        <v>911</v>
      </c>
      <c r="B230" s="45" t="s">
        <v>2888</v>
      </c>
    </row>
    <row r="231" spans="1:2" ht="12.75" x14ac:dyDescent="0.35">
      <c r="A231" s="22" t="s">
        <v>914</v>
      </c>
      <c r="B231" s="45" t="s">
        <v>2885</v>
      </c>
    </row>
    <row r="232" spans="1:2" ht="12.75" x14ac:dyDescent="0.35">
      <c r="A232" s="22" t="s">
        <v>917</v>
      </c>
      <c r="B232" s="45" t="s">
        <v>2901</v>
      </c>
    </row>
    <row r="233" spans="1:2" ht="12.75" x14ac:dyDescent="0.35">
      <c r="A233" s="22" t="s">
        <v>920</v>
      </c>
      <c r="B233" s="45" t="s">
        <v>2871</v>
      </c>
    </row>
    <row r="234" spans="1:2" ht="12.75" x14ac:dyDescent="0.35">
      <c r="A234" s="22" t="s">
        <v>923</v>
      </c>
      <c r="B234" s="45" t="s">
        <v>2906</v>
      </c>
    </row>
    <row r="235" spans="1:2" ht="12.75" x14ac:dyDescent="0.35">
      <c r="A235" s="22" t="s">
        <v>926</v>
      </c>
      <c r="B235" s="45" t="s">
        <v>2861</v>
      </c>
    </row>
    <row r="236" spans="1:2" ht="12.75" x14ac:dyDescent="0.35">
      <c r="A236" s="27" t="s">
        <v>929</v>
      </c>
      <c r="B236" s="46" t="s">
        <v>2867</v>
      </c>
    </row>
    <row r="237" spans="1:2" ht="12.75" x14ac:dyDescent="0.35">
      <c r="A237" s="22" t="s">
        <v>932</v>
      </c>
      <c r="B237" s="45" t="s">
        <v>2848</v>
      </c>
    </row>
    <row r="238" spans="1:2" ht="12.75" x14ac:dyDescent="0.35">
      <c r="A238" s="22" t="s">
        <v>935</v>
      </c>
      <c r="B238" s="45" t="s">
        <v>2846</v>
      </c>
    </row>
    <row r="239" spans="1:2" ht="12.75" x14ac:dyDescent="0.35">
      <c r="A239" s="22" t="s">
        <v>938</v>
      </c>
      <c r="B239" s="45" t="s">
        <v>2879</v>
      </c>
    </row>
    <row r="240" spans="1:2" ht="12.75" x14ac:dyDescent="0.35">
      <c r="A240" s="22" t="s">
        <v>944</v>
      </c>
      <c r="B240" s="45" t="s">
        <v>2894</v>
      </c>
    </row>
    <row r="241" spans="1:2" ht="12.75" x14ac:dyDescent="0.35">
      <c r="A241" s="22" t="s">
        <v>941</v>
      </c>
      <c r="B241" s="45" t="s">
        <v>2907</v>
      </c>
    </row>
    <row r="242" spans="1:2" ht="12.75" x14ac:dyDescent="0.35">
      <c r="A242" s="22" t="s">
        <v>947</v>
      </c>
      <c r="B242" s="45" t="s">
        <v>2851</v>
      </c>
    </row>
    <row r="243" spans="1:2" ht="12.75" x14ac:dyDescent="0.35">
      <c r="A243" s="22" t="s">
        <v>950</v>
      </c>
      <c r="B243" s="45" t="s">
        <v>2878</v>
      </c>
    </row>
    <row r="244" spans="1:2" ht="12.75" x14ac:dyDescent="0.35">
      <c r="A244" s="22" t="s">
        <v>952</v>
      </c>
      <c r="B244" s="45" t="s">
        <v>2862</v>
      </c>
    </row>
    <row r="245" spans="1:2" ht="12.75" x14ac:dyDescent="0.35">
      <c r="A245" s="22" t="s">
        <v>955</v>
      </c>
      <c r="B245" s="45" t="s">
        <v>2850</v>
      </c>
    </row>
    <row r="246" spans="1:2" ht="12.75" x14ac:dyDescent="0.35">
      <c r="A246" s="22"/>
      <c r="B246" s="44"/>
    </row>
    <row r="247" spans="1:2" ht="12.75" x14ac:dyDescent="0.35">
      <c r="A247" s="22" t="s">
        <v>961</v>
      </c>
      <c r="B247" s="45" t="s">
        <v>2868</v>
      </c>
    </row>
    <row r="248" spans="1:2" ht="12.75" x14ac:dyDescent="0.35">
      <c r="A248" s="22" t="s">
        <v>964</v>
      </c>
      <c r="B248" s="45" t="s">
        <v>2851</v>
      </c>
    </row>
    <row r="249" spans="1:2" ht="12.75" x14ac:dyDescent="0.35">
      <c r="A249" s="29" t="s">
        <v>967</v>
      </c>
      <c r="B249" s="45" t="s">
        <v>2866</v>
      </c>
    </row>
    <row r="250" spans="1:2" ht="12.75" x14ac:dyDescent="0.35">
      <c r="A250" s="22" t="s">
        <v>970</v>
      </c>
      <c r="B250" s="45" t="s">
        <v>2851</v>
      </c>
    </row>
    <row r="251" spans="1:2" ht="12.75" x14ac:dyDescent="0.35">
      <c r="A251" s="22" t="s">
        <v>973</v>
      </c>
      <c r="B251" s="45" t="s">
        <v>2893</v>
      </c>
    </row>
    <row r="252" spans="1:2" ht="12.75" x14ac:dyDescent="0.35">
      <c r="A252" s="22" t="s">
        <v>976</v>
      </c>
      <c r="B252" s="45" t="s">
        <v>2905</v>
      </c>
    </row>
    <row r="253" spans="1:2" ht="12.75" x14ac:dyDescent="0.35">
      <c r="A253" s="22" t="s">
        <v>979</v>
      </c>
      <c r="B253" s="45" t="s">
        <v>2847</v>
      </c>
    </row>
    <row r="254" spans="1:2" ht="12.75" x14ac:dyDescent="0.35">
      <c r="A254" s="22" t="s">
        <v>982</v>
      </c>
      <c r="B254" s="45" t="s">
        <v>2875</v>
      </c>
    </row>
    <row r="255" spans="1:2" ht="12.75" x14ac:dyDescent="0.35">
      <c r="A255" s="22" t="s">
        <v>985</v>
      </c>
      <c r="B255" s="45" t="s">
        <v>2851</v>
      </c>
    </row>
    <row r="256" spans="1:2" ht="12.75" x14ac:dyDescent="0.35">
      <c r="A256" s="22" t="s">
        <v>988</v>
      </c>
      <c r="B256" s="45" t="s">
        <v>2879</v>
      </c>
    </row>
    <row r="257" spans="1:2" ht="12.75" x14ac:dyDescent="0.35">
      <c r="A257" s="22" t="s">
        <v>991</v>
      </c>
      <c r="B257" s="45" t="s">
        <v>2893</v>
      </c>
    </row>
    <row r="258" spans="1:2" ht="12.75" x14ac:dyDescent="0.35">
      <c r="A258" s="22" t="s">
        <v>994</v>
      </c>
      <c r="B258" s="45" t="s">
        <v>2885</v>
      </c>
    </row>
    <row r="259" spans="1:2" ht="12.75" x14ac:dyDescent="0.35">
      <c r="A259" s="22" t="s">
        <v>997</v>
      </c>
      <c r="B259" s="45" t="s">
        <v>2868</v>
      </c>
    </row>
    <row r="260" spans="1:2" ht="12.75" x14ac:dyDescent="0.35">
      <c r="A260" s="22" t="s">
        <v>1000</v>
      </c>
      <c r="B260" s="45" t="s">
        <v>2882</v>
      </c>
    </row>
    <row r="261" spans="1:2" ht="12.75" x14ac:dyDescent="0.35">
      <c r="A261" s="22" t="s">
        <v>1003</v>
      </c>
      <c r="B261" s="45" t="s">
        <v>2867</v>
      </c>
    </row>
    <row r="262" spans="1:2" ht="12.75" x14ac:dyDescent="0.35">
      <c r="A262" s="27" t="s">
        <v>1006</v>
      </c>
      <c r="B262" s="46" t="s">
        <v>2849</v>
      </c>
    </row>
    <row r="263" spans="1:2" ht="12.75" x14ac:dyDescent="0.35">
      <c r="A263" s="22" t="s">
        <v>1009</v>
      </c>
      <c r="B263" s="45" t="s">
        <v>2849</v>
      </c>
    </row>
    <row r="264" spans="1:2" ht="12.75" x14ac:dyDescent="0.35">
      <c r="A264" s="22" t="s">
        <v>1012</v>
      </c>
      <c r="B264" s="45" t="s">
        <v>2874</v>
      </c>
    </row>
    <row r="265" spans="1:2" ht="12.75" x14ac:dyDescent="0.35">
      <c r="A265" s="22" t="s">
        <v>1014</v>
      </c>
      <c r="B265" s="45" t="s">
        <v>2908</v>
      </c>
    </row>
    <row r="266" spans="1:2" ht="12.75" x14ac:dyDescent="0.35">
      <c r="A266" s="22" t="s">
        <v>1017</v>
      </c>
      <c r="B266" s="45" t="s">
        <v>2882</v>
      </c>
    </row>
    <row r="267" spans="1:2" ht="12.75" x14ac:dyDescent="0.35">
      <c r="A267" s="22" t="s">
        <v>1020</v>
      </c>
      <c r="B267" s="45" t="s">
        <v>2891</v>
      </c>
    </row>
    <row r="268" spans="1:2" ht="12.75" x14ac:dyDescent="0.35">
      <c r="A268" s="22" t="s">
        <v>1023</v>
      </c>
      <c r="B268" s="45" t="s">
        <v>2909</v>
      </c>
    </row>
    <row r="269" spans="1:2" ht="12.75" x14ac:dyDescent="0.35">
      <c r="A269" s="22" t="s">
        <v>1025</v>
      </c>
      <c r="B269" s="45" t="s">
        <v>2850</v>
      </c>
    </row>
    <row r="270" spans="1:2" ht="12.75" x14ac:dyDescent="0.35">
      <c r="A270" s="22" t="s">
        <v>1028</v>
      </c>
      <c r="B270" s="45" t="s">
        <v>2853</v>
      </c>
    </row>
    <row r="271" spans="1:2" ht="12.75" x14ac:dyDescent="0.35">
      <c r="A271" s="22" t="s">
        <v>1031</v>
      </c>
      <c r="B271" s="45" t="s">
        <v>2877</v>
      </c>
    </row>
    <row r="272" spans="1:2" ht="12.75" x14ac:dyDescent="0.35">
      <c r="A272" s="22" t="s">
        <v>1034</v>
      </c>
      <c r="B272" s="45" t="s">
        <v>2863</v>
      </c>
    </row>
    <row r="273" spans="1:2" ht="12.75" x14ac:dyDescent="0.35">
      <c r="A273" s="22"/>
      <c r="B273" s="44"/>
    </row>
    <row r="274" spans="1:2" ht="12.75" x14ac:dyDescent="0.35">
      <c r="A274" s="22" t="s">
        <v>1040</v>
      </c>
      <c r="B274" s="45" t="s">
        <v>2849</v>
      </c>
    </row>
    <row r="275" spans="1:2" ht="12.75" x14ac:dyDescent="0.35">
      <c r="A275" s="22" t="s">
        <v>1042</v>
      </c>
      <c r="B275" s="45" t="s">
        <v>2894</v>
      </c>
    </row>
    <row r="276" spans="1:2" ht="12.75" x14ac:dyDescent="0.35">
      <c r="A276" s="22" t="s">
        <v>1045</v>
      </c>
      <c r="B276" s="44" t="s">
        <v>2897</v>
      </c>
    </row>
    <row r="277" spans="1:2" ht="12.75" x14ac:dyDescent="0.35">
      <c r="A277" s="22" t="s">
        <v>1048</v>
      </c>
      <c r="B277" s="45" t="s">
        <v>2900</v>
      </c>
    </row>
    <row r="278" spans="1:2" ht="12.75" x14ac:dyDescent="0.35">
      <c r="A278" s="22" t="s">
        <v>1051</v>
      </c>
      <c r="B278" s="45" t="s">
        <v>2868</v>
      </c>
    </row>
    <row r="279" spans="1:2" ht="12.75" x14ac:dyDescent="0.35">
      <c r="A279" s="22" t="s">
        <v>1053</v>
      </c>
      <c r="B279" s="45" t="s">
        <v>2900</v>
      </c>
    </row>
    <row r="280" spans="1:2" ht="12.75" x14ac:dyDescent="0.35">
      <c r="A280" s="22" t="s">
        <v>1055</v>
      </c>
      <c r="B280" s="49" t="s">
        <v>2874</v>
      </c>
    </row>
    <row r="281" spans="1:2" ht="12.75" x14ac:dyDescent="0.35">
      <c r="A281" s="22" t="s">
        <v>1057</v>
      </c>
      <c r="B281" s="45" t="s">
        <v>2906</v>
      </c>
    </row>
    <row r="282" spans="1:2" ht="12.75" x14ac:dyDescent="0.35">
      <c r="A282" s="22" t="s">
        <v>1059</v>
      </c>
      <c r="B282" s="45" t="s">
        <v>2875</v>
      </c>
    </row>
    <row r="283" spans="1:2" ht="12.75" x14ac:dyDescent="0.35">
      <c r="A283" s="29" t="s">
        <v>1062</v>
      </c>
      <c r="B283" s="48" t="s">
        <v>2847</v>
      </c>
    </row>
    <row r="284" spans="1:2" ht="12.75" x14ac:dyDescent="0.35">
      <c r="A284" s="22" t="s">
        <v>1064</v>
      </c>
      <c r="B284" s="45" t="s">
        <v>2880</v>
      </c>
    </row>
    <row r="285" spans="1:2" ht="12.75" x14ac:dyDescent="0.35">
      <c r="A285" s="22" t="s">
        <v>1067</v>
      </c>
      <c r="B285" s="45" t="s">
        <v>2846</v>
      </c>
    </row>
    <row r="286" spans="1:2" ht="12.75" x14ac:dyDescent="0.35">
      <c r="A286" s="22" t="s">
        <v>1070</v>
      </c>
      <c r="B286" s="45" t="s">
        <v>2873</v>
      </c>
    </row>
    <row r="287" spans="1:2" ht="12.75" x14ac:dyDescent="0.35">
      <c r="A287" s="22" t="s">
        <v>1073</v>
      </c>
      <c r="B287" s="45" t="s">
        <v>2851</v>
      </c>
    </row>
    <row r="288" spans="1:2" ht="12.75" x14ac:dyDescent="0.35">
      <c r="A288" s="27" t="s">
        <v>1076</v>
      </c>
      <c r="B288" s="46" t="s">
        <v>2905</v>
      </c>
    </row>
    <row r="289" spans="1:2" ht="12.75" x14ac:dyDescent="0.35">
      <c r="A289" s="29" t="s">
        <v>1079</v>
      </c>
      <c r="B289" s="45" t="s">
        <v>2869</v>
      </c>
    </row>
    <row r="290" spans="1:2" ht="12.75" x14ac:dyDescent="0.35">
      <c r="A290" s="22" t="s">
        <v>1082</v>
      </c>
      <c r="B290" s="45" t="s">
        <v>2894</v>
      </c>
    </row>
    <row r="291" spans="1:2" ht="12.75" x14ac:dyDescent="0.35">
      <c r="A291" s="22" t="s">
        <v>1084</v>
      </c>
      <c r="B291" s="45" t="s">
        <v>2860</v>
      </c>
    </row>
    <row r="292" spans="1:2" ht="12.75" x14ac:dyDescent="0.35">
      <c r="A292" s="22" t="s">
        <v>1087</v>
      </c>
      <c r="B292" s="45" t="s">
        <v>2866</v>
      </c>
    </row>
    <row r="293" spans="1:2" ht="12.75" x14ac:dyDescent="0.35">
      <c r="A293" s="29" t="s">
        <v>1090</v>
      </c>
      <c r="B293" s="45" t="s">
        <v>2856</v>
      </c>
    </row>
    <row r="294" spans="1:2" ht="12.75" x14ac:dyDescent="0.35">
      <c r="A294" s="22" t="s">
        <v>2910</v>
      </c>
      <c r="B294" s="45" t="s">
        <v>2911</v>
      </c>
    </row>
    <row r="295" spans="1:2" ht="12.75" x14ac:dyDescent="0.35">
      <c r="A295" s="22" t="s">
        <v>1096</v>
      </c>
      <c r="B295" s="45" t="s">
        <v>2871</v>
      </c>
    </row>
    <row r="296" spans="1:2" ht="12.75" x14ac:dyDescent="0.35">
      <c r="A296" s="29" t="s">
        <v>1098</v>
      </c>
      <c r="B296" s="45" t="s">
        <v>2905</v>
      </c>
    </row>
    <row r="297" spans="1:2" ht="12.75" x14ac:dyDescent="0.35">
      <c r="A297" s="22" t="s">
        <v>1101</v>
      </c>
      <c r="B297" s="45" t="s">
        <v>2855</v>
      </c>
    </row>
    <row r="298" spans="1:2" ht="12.75" x14ac:dyDescent="0.35">
      <c r="A298" s="22" t="s">
        <v>1104</v>
      </c>
      <c r="B298" s="45" t="s">
        <v>2865</v>
      </c>
    </row>
    <row r="299" spans="1:2" ht="12.75" x14ac:dyDescent="0.35">
      <c r="A299" s="22" t="s">
        <v>1106</v>
      </c>
      <c r="B299" s="45" t="s">
        <v>2848</v>
      </c>
    </row>
    <row r="300" spans="1:2" ht="12.75" x14ac:dyDescent="0.35">
      <c r="A300" s="22"/>
      <c r="B300" s="44"/>
    </row>
    <row r="301" spans="1:2" ht="12.75" x14ac:dyDescent="0.35">
      <c r="A301" s="22" t="s">
        <v>1112</v>
      </c>
      <c r="B301" s="45" t="s">
        <v>2847</v>
      </c>
    </row>
    <row r="302" spans="1:2" ht="12.75" x14ac:dyDescent="0.35">
      <c r="A302" s="22" t="s">
        <v>1115</v>
      </c>
      <c r="B302" s="45" t="s">
        <v>2852</v>
      </c>
    </row>
    <row r="303" spans="1:2" ht="12.75" x14ac:dyDescent="0.35">
      <c r="A303" s="22" t="s">
        <v>1118</v>
      </c>
      <c r="B303" s="45" t="s">
        <v>2847</v>
      </c>
    </row>
    <row r="304" spans="1:2" ht="12.75" x14ac:dyDescent="0.35">
      <c r="A304" s="22" t="s">
        <v>1121</v>
      </c>
      <c r="B304" s="45" t="s">
        <v>2860</v>
      </c>
    </row>
    <row r="305" spans="1:2" ht="12.75" x14ac:dyDescent="0.35">
      <c r="A305" s="22" t="s">
        <v>1123</v>
      </c>
      <c r="B305" s="45" t="s">
        <v>2884</v>
      </c>
    </row>
    <row r="306" spans="1:2" ht="12.75" x14ac:dyDescent="0.35">
      <c r="A306" s="22" t="s">
        <v>1126</v>
      </c>
      <c r="B306" s="45" t="s">
        <v>2869</v>
      </c>
    </row>
    <row r="307" spans="1:2" ht="12.75" x14ac:dyDescent="0.35">
      <c r="A307" s="22" t="s">
        <v>1129</v>
      </c>
      <c r="B307" s="45" t="s">
        <v>2867</v>
      </c>
    </row>
    <row r="308" spans="1:2" ht="12.75" x14ac:dyDescent="0.35">
      <c r="A308" s="22" t="s">
        <v>1131</v>
      </c>
      <c r="B308" s="45" t="s">
        <v>2893</v>
      </c>
    </row>
    <row r="309" spans="1:2" ht="12.75" x14ac:dyDescent="0.35">
      <c r="A309" s="22" t="s">
        <v>1134</v>
      </c>
      <c r="B309" s="45" t="s">
        <v>2853</v>
      </c>
    </row>
    <row r="310" spans="1:2" ht="12.75" x14ac:dyDescent="0.35">
      <c r="A310" s="22" t="s">
        <v>1137</v>
      </c>
      <c r="B310" s="45" t="s">
        <v>2894</v>
      </c>
    </row>
    <row r="311" spans="1:2" ht="12.75" x14ac:dyDescent="0.35">
      <c r="A311" s="22" t="s">
        <v>1140</v>
      </c>
      <c r="B311" s="45" t="s">
        <v>2867</v>
      </c>
    </row>
    <row r="312" spans="1:2" ht="12.75" x14ac:dyDescent="0.35">
      <c r="A312" s="22" t="s">
        <v>1143</v>
      </c>
      <c r="B312" s="45" t="s">
        <v>2859</v>
      </c>
    </row>
    <row r="313" spans="1:2" ht="12.75" x14ac:dyDescent="0.35">
      <c r="A313" s="22" t="s">
        <v>1146</v>
      </c>
      <c r="B313" s="45" t="s">
        <v>2873</v>
      </c>
    </row>
    <row r="314" spans="1:2" ht="12.75" x14ac:dyDescent="0.35">
      <c r="A314" s="27" t="s">
        <v>1149</v>
      </c>
      <c r="B314" s="46" t="s">
        <v>2897</v>
      </c>
    </row>
    <row r="315" spans="1:2" ht="12.75" x14ac:dyDescent="0.35">
      <c r="A315" s="22" t="s">
        <v>1152</v>
      </c>
      <c r="B315" s="47" t="s">
        <v>2855</v>
      </c>
    </row>
    <row r="316" spans="1:2" ht="12.75" x14ac:dyDescent="0.35">
      <c r="A316" s="22" t="s">
        <v>1155</v>
      </c>
      <c r="B316" s="45" t="s">
        <v>2860</v>
      </c>
    </row>
    <row r="317" spans="1:2" ht="12.75" x14ac:dyDescent="0.35">
      <c r="A317" s="22" t="s">
        <v>1158</v>
      </c>
      <c r="B317" s="45" t="s">
        <v>2862</v>
      </c>
    </row>
    <row r="318" spans="1:2" ht="12.75" x14ac:dyDescent="0.35">
      <c r="A318" s="22" t="s">
        <v>1161</v>
      </c>
      <c r="B318" s="45" t="s">
        <v>2912</v>
      </c>
    </row>
    <row r="319" spans="1:2" ht="12.75" x14ac:dyDescent="0.35">
      <c r="A319" s="22" t="s">
        <v>1164</v>
      </c>
      <c r="B319" s="45" t="s">
        <v>2850</v>
      </c>
    </row>
    <row r="320" spans="1:2" ht="12.75" x14ac:dyDescent="0.35">
      <c r="A320" s="22" t="s">
        <v>1166</v>
      </c>
      <c r="B320" s="45" t="s">
        <v>2850</v>
      </c>
    </row>
    <row r="321" spans="1:2" ht="12.75" x14ac:dyDescent="0.35">
      <c r="A321" s="22" t="s">
        <v>1169</v>
      </c>
      <c r="B321" s="45" t="s">
        <v>2851</v>
      </c>
    </row>
    <row r="322" spans="1:2" ht="12.75" x14ac:dyDescent="0.35">
      <c r="A322" s="22" t="s">
        <v>1172</v>
      </c>
      <c r="B322" s="45" t="s">
        <v>2894</v>
      </c>
    </row>
    <row r="323" spans="1:2" ht="12.75" x14ac:dyDescent="0.35">
      <c r="A323" s="22" t="s">
        <v>1175</v>
      </c>
      <c r="B323" s="45" t="s">
        <v>2866</v>
      </c>
    </row>
    <row r="324" spans="1:2" ht="12.75" x14ac:dyDescent="0.35">
      <c r="A324" s="22" t="s">
        <v>1178</v>
      </c>
      <c r="B324" s="45" t="s">
        <v>2865</v>
      </c>
    </row>
    <row r="325" spans="1:2" ht="12.75" x14ac:dyDescent="0.35">
      <c r="A325" s="22" t="s">
        <v>1181</v>
      </c>
      <c r="B325" s="45" t="s">
        <v>2867</v>
      </c>
    </row>
    <row r="326" spans="1:2" ht="12.75" x14ac:dyDescent="0.35">
      <c r="A326" s="22" t="s">
        <v>1184</v>
      </c>
      <c r="B326" s="45" t="s">
        <v>2912</v>
      </c>
    </row>
    <row r="327" spans="1:2" ht="12.75" x14ac:dyDescent="0.35">
      <c r="A327" s="22"/>
      <c r="B327" s="44"/>
    </row>
    <row r="328" spans="1:2" ht="12.75" x14ac:dyDescent="0.35">
      <c r="A328" s="22" t="s">
        <v>1190</v>
      </c>
      <c r="B328" s="45" t="s">
        <v>2893</v>
      </c>
    </row>
    <row r="329" spans="1:2" ht="12.75" x14ac:dyDescent="0.35">
      <c r="A329" s="22" t="s">
        <v>1193</v>
      </c>
      <c r="B329" s="45" t="s">
        <v>2867</v>
      </c>
    </row>
    <row r="330" spans="1:2" ht="12.75" x14ac:dyDescent="0.35">
      <c r="A330" s="22" t="s">
        <v>1195</v>
      </c>
      <c r="B330" s="45" t="s">
        <v>2880</v>
      </c>
    </row>
    <row r="331" spans="1:2" ht="12.75" x14ac:dyDescent="0.35">
      <c r="A331" s="22" t="s">
        <v>1198</v>
      </c>
      <c r="B331" s="45" t="s">
        <v>2883</v>
      </c>
    </row>
    <row r="332" spans="1:2" ht="12.75" x14ac:dyDescent="0.35">
      <c r="A332" s="22" t="s">
        <v>1201</v>
      </c>
      <c r="B332" s="45" t="s">
        <v>2850</v>
      </c>
    </row>
    <row r="333" spans="1:2" ht="12.75" x14ac:dyDescent="0.35">
      <c r="A333" s="22" t="s">
        <v>1203</v>
      </c>
      <c r="B333" s="45" t="s">
        <v>2913</v>
      </c>
    </row>
    <row r="334" spans="1:2" ht="12.75" x14ac:dyDescent="0.35">
      <c r="A334" s="22" t="s">
        <v>1206</v>
      </c>
      <c r="B334" s="45" t="s">
        <v>2868</v>
      </c>
    </row>
    <row r="335" spans="1:2" ht="12.75" x14ac:dyDescent="0.35">
      <c r="A335" s="29" t="s">
        <v>1209</v>
      </c>
      <c r="B335" s="45" t="s">
        <v>2883</v>
      </c>
    </row>
    <row r="336" spans="1:2" ht="12.75" x14ac:dyDescent="0.35">
      <c r="A336" s="22" t="s">
        <v>1212</v>
      </c>
      <c r="B336" s="45" t="s">
        <v>2859</v>
      </c>
    </row>
    <row r="337" spans="1:2" ht="12.75" x14ac:dyDescent="0.35">
      <c r="A337" s="22" t="s">
        <v>1215</v>
      </c>
      <c r="B337" s="45" t="s">
        <v>2871</v>
      </c>
    </row>
    <row r="338" spans="1:2" ht="12.75" x14ac:dyDescent="0.35">
      <c r="A338" s="22" t="s">
        <v>1218</v>
      </c>
      <c r="B338" s="45" t="s">
        <v>2851</v>
      </c>
    </row>
    <row r="339" spans="1:2" ht="12.75" x14ac:dyDescent="0.35">
      <c r="A339" s="22" t="s">
        <v>1221</v>
      </c>
      <c r="B339" s="45" t="s">
        <v>2849</v>
      </c>
    </row>
    <row r="340" spans="1:2" ht="12.75" x14ac:dyDescent="0.35">
      <c r="A340" s="27" t="s">
        <v>1224</v>
      </c>
      <c r="B340" s="46" t="s">
        <v>2914</v>
      </c>
    </row>
    <row r="341" spans="1:2" ht="12.75" x14ac:dyDescent="0.35">
      <c r="A341" s="22" t="s">
        <v>1227</v>
      </c>
      <c r="B341" s="45" t="s">
        <v>2869</v>
      </c>
    </row>
    <row r="342" spans="1:2" ht="12.75" x14ac:dyDescent="0.35">
      <c r="A342" s="22" t="s">
        <v>1230</v>
      </c>
      <c r="B342" s="45" t="s">
        <v>2859</v>
      </c>
    </row>
    <row r="343" spans="1:2" ht="12.75" x14ac:dyDescent="0.35">
      <c r="A343" s="22" t="s">
        <v>1233</v>
      </c>
      <c r="B343" s="45" t="s">
        <v>2853</v>
      </c>
    </row>
    <row r="344" spans="1:2" ht="12.75" x14ac:dyDescent="0.35">
      <c r="A344" s="22" t="s">
        <v>1236</v>
      </c>
      <c r="B344" s="45" t="s">
        <v>2846</v>
      </c>
    </row>
    <row r="345" spans="1:2" ht="12.75" x14ac:dyDescent="0.35">
      <c r="A345" s="22" t="s">
        <v>1239</v>
      </c>
      <c r="B345" s="45" t="s">
        <v>2894</v>
      </c>
    </row>
    <row r="346" spans="1:2" ht="12.75" x14ac:dyDescent="0.35">
      <c r="A346" s="22" t="s">
        <v>1242</v>
      </c>
      <c r="B346" s="45" t="s">
        <v>2862</v>
      </c>
    </row>
    <row r="347" spans="1:2" ht="12.75" x14ac:dyDescent="0.35">
      <c r="A347" s="22" t="s">
        <v>1245</v>
      </c>
      <c r="B347" s="45" t="s">
        <v>2884</v>
      </c>
    </row>
    <row r="348" spans="1:2" ht="12.75" x14ac:dyDescent="0.35">
      <c r="A348" s="22" t="s">
        <v>1248</v>
      </c>
      <c r="B348" s="45" t="s">
        <v>2873</v>
      </c>
    </row>
    <row r="349" spans="1:2" ht="12.75" x14ac:dyDescent="0.35">
      <c r="A349" s="22" t="s">
        <v>1251</v>
      </c>
      <c r="B349" s="45" t="s">
        <v>2853</v>
      </c>
    </row>
    <row r="350" spans="1:2" ht="12.75" x14ac:dyDescent="0.35">
      <c r="A350" s="22" t="s">
        <v>1254</v>
      </c>
      <c r="B350" s="45" t="s">
        <v>2846</v>
      </c>
    </row>
    <row r="351" spans="1:2" ht="12.75" x14ac:dyDescent="0.35">
      <c r="A351" s="22" t="s">
        <v>1257</v>
      </c>
      <c r="B351" s="45" t="s">
        <v>2847</v>
      </c>
    </row>
    <row r="352" spans="1:2" ht="12.75" x14ac:dyDescent="0.35">
      <c r="A352" s="22" t="s">
        <v>1259</v>
      </c>
      <c r="B352" s="45" t="s">
        <v>2886</v>
      </c>
    </row>
    <row r="353" spans="1:2" ht="12.75" x14ac:dyDescent="0.35">
      <c r="A353" s="22" t="s">
        <v>1262</v>
      </c>
      <c r="B353" s="45" t="s">
        <v>2867</v>
      </c>
    </row>
    <row r="354" spans="1:2" ht="12.75" x14ac:dyDescent="0.35">
      <c r="A354" s="22"/>
      <c r="B354" s="44"/>
    </row>
    <row r="355" spans="1:2" ht="12.75" x14ac:dyDescent="0.35">
      <c r="A355" s="22" t="s">
        <v>1268</v>
      </c>
      <c r="B355" s="45" t="s">
        <v>2873</v>
      </c>
    </row>
    <row r="356" spans="1:2" ht="12.75" x14ac:dyDescent="0.35">
      <c r="A356" s="22" t="s">
        <v>1271</v>
      </c>
      <c r="B356" s="45" t="s">
        <v>2862</v>
      </c>
    </row>
    <row r="357" spans="1:2" ht="12.75" x14ac:dyDescent="0.35">
      <c r="A357" s="22" t="s">
        <v>1274</v>
      </c>
      <c r="B357" s="45" t="s">
        <v>2907</v>
      </c>
    </row>
    <row r="358" spans="1:2" ht="12.75" x14ac:dyDescent="0.35">
      <c r="A358" s="22" t="s">
        <v>1277</v>
      </c>
      <c r="B358" s="45" t="s">
        <v>2892</v>
      </c>
    </row>
    <row r="359" spans="1:2" ht="12.75" x14ac:dyDescent="0.35">
      <c r="A359" s="22" t="s">
        <v>1280</v>
      </c>
      <c r="B359" s="45" t="s">
        <v>2915</v>
      </c>
    </row>
    <row r="360" spans="1:2" ht="12.75" x14ac:dyDescent="0.35">
      <c r="A360" s="22" t="s">
        <v>1282</v>
      </c>
      <c r="B360" s="45" t="s">
        <v>2908</v>
      </c>
    </row>
    <row r="361" spans="1:2" ht="12.75" x14ac:dyDescent="0.35">
      <c r="A361" s="22" t="s">
        <v>1285</v>
      </c>
      <c r="B361" s="45" t="s">
        <v>2860</v>
      </c>
    </row>
    <row r="362" spans="1:2" ht="12.75" x14ac:dyDescent="0.35">
      <c r="A362" s="22" t="s">
        <v>1288</v>
      </c>
      <c r="B362" s="45" t="s">
        <v>2887</v>
      </c>
    </row>
    <row r="363" spans="1:2" ht="12.75" x14ac:dyDescent="0.35">
      <c r="A363" s="22" t="s">
        <v>1290</v>
      </c>
      <c r="B363" s="45" t="s">
        <v>2850</v>
      </c>
    </row>
    <row r="364" spans="1:2" ht="12.75" x14ac:dyDescent="0.35">
      <c r="A364" s="22" t="s">
        <v>1293</v>
      </c>
      <c r="B364" s="45" t="s">
        <v>2869</v>
      </c>
    </row>
    <row r="365" spans="1:2" ht="12.75" x14ac:dyDescent="0.35">
      <c r="A365" s="22" t="s">
        <v>1296</v>
      </c>
      <c r="B365" s="45" t="s">
        <v>2847</v>
      </c>
    </row>
    <row r="366" spans="1:2" ht="12.75" x14ac:dyDescent="0.35">
      <c r="A366" s="27" t="s">
        <v>1299</v>
      </c>
      <c r="B366" s="46" t="s">
        <v>2879</v>
      </c>
    </row>
    <row r="367" spans="1:2" ht="12.75" x14ac:dyDescent="0.35">
      <c r="A367" s="22" t="s">
        <v>1302</v>
      </c>
      <c r="B367" s="45" t="s">
        <v>2856</v>
      </c>
    </row>
    <row r="368" spans="1:2" ht="12.75" x14ac:dyDescent="0.35">
      <c r="A368" s="22" t="s">
        <v>1305</v>
      </c>
      <c r="B368" s="45" t="s">
        <v>2869</v>
      </c>
    </row>
    <row r="369" spans="1:2" ht="12.75" x14ac:dyDescent="0.35">
      <c r="A369" s="22" t="s">
        <v>1308</v>
      </c>
      <c r="B369" s="45" t="s">
        <v>2846</v>
      </c>
    </row>
    <row r="370" spans="1:2" ht="12.75" x14ac:dyDescent="0.35">
      <c r="A370" s="22" t="s">
        <v>1311</v>
      </c>
      <c r="B370" s="45" t="s">
        <v>2877</v>
      </c>
    </row>
    <row r="371" spans="1:2" ht="12.75" x14ac:dyDescent="0.35">
      <c r="A371" s="22" t="s">
        <v>1314</v>
      </c>
      <c r="B371" s="45" t="s">
        <v>2885</v>
      </c>
    </row>
    <row r="372" spans="1:2" ht="12.75" x14ac:dyDescent="0.35">
      <c r="A372" s="22" t="s">
        <v>1317</v>
      </c>
      <c r="B372" s="45" t="s">
        <v>2905</v>
      </c>
    </row>
    <row r="373" spans="1:2" ht="12.75" x14ac:dyDescent="0.35">
      <c r="A373" s="22" t="s">
        <v>1320</v>
      </c>
      <c r="B373" s="45" t="s">
        <v>2885</v>
      </c>
    </row>
    <row r="374" spans="1:2" ht="12.75" x14ac:dyDescent="0.35">
      <c r="A374" s="29" t="s">
        <v>1323</v>
      </c>
      <c r="B374" s="45" t="s">
        <v>2878</v>
      </c>
    </row>
    <row r="375" spans="1:2" ht="12.75" x14ac:dyDescent="0.35">
      <c r="A375" s="22" t="s">
        <v>1326</v>
      </c>
      <c r="B375" s="45" t="s">
        <v>2871</v>
      </c>
    </row>
    <row r="376" spans="1:2" ht="12.75" x14ac:dyDescent="0.35">
      <c r="A376" s="22" t="s">
        <v>1329</v>
      </c>
      <c r="B376" s="45" t="s">
        <v>2867</v>
      </c>
    </row>
    <row r="377" spans="1:2" ht="12.75" x14ac:dyDescent="0.35">
      <c r="A377" s="22" t="s">
        <v>1332</v>
      </c>
      <c r="B377" s="45" t="s">
        <v>2909</v>
      </c>
    </row>
    <row r="378" spans="1:2" ht="12.75" x14ac:dyDescent="0.35">
      <c r="A378" s="22" t="s">
        <v>1335</v>
      </c>
      <c r="B378" s="45" t="s">
        <v>2850</v>
      </c>
    </row>
    <row r="379" spans="1:2" ht="12.75" x14ac:dyDescent="0.35">
      <c r="A379" s="22" t="s">
        <v>1338</v>
      </c>
      <c r="B379" s="45" t="s">
        <v>2868</v>
      </c>
    </row>
    <row r="380" spans="1:2" ht="12.75" x14ac:dyDescent="0.35">
      <c r="A380" s="22" t="s">
        <v>1341</v>
      </c>
      <c r="B380" s="45" t="s">
        <v>2884</v>
      </c>
    </row>
    <row r="381" spans="1:2" ht="12.75" x14ac:dyDescent="0.35">
      <c r="A381" s="22"/>
      <c r="B381" s="44"/>
    </row>
    <row r="382" spans="1:2" ht="12.75" x14ac:dyDescent="0.35">
      <c r="A382" s="22" t="s">
        <v>1346</v>
      </c>
      <c r="B382" s="45" t="s">
        <v>2850</v>
      </c>
    </row>
    <row r="383" spans="1:2" ht="12.75" x14ac:dyDescent="0.35">
      <c r="A383" s="22" t="s">
        <v>1349</v>
      </c>
      <c r="B383" s="45" t="s">
        <v>2881</v>
      </c>
    </row>
    <row r="384" spans="1:2" ht="12.75" x14ac:dyDescent="0.35">
      <c r="A384" s="22" t="s">
        <v>1352</v>
      </c>
      <c r="B384" s="45" t="s">
        <v>2867</v>
      </c>
    </row>
    <row r="385" spans="1:2" ht="12.75" x14ac:dyDescent="0.35">
      <c r="A385" s="22" t="s">
        <v>1355</v>
      </c>
      <c r="B385" s="45" t="s">
        <v>2849</v>
      </c>
    </row>
    <row r="386" spans="1:2" ht="12.75" x14ac:dyDescent="0.35">
      <c r="A386" s="22" t="s">
        <v>1358</v>
      </c>
      <c r="B386" s="45" t="s">
        <v>2847</v>
      </c>
    </row>
    <row r="387" spans="1:2" ht="12.75" x14ac:dyDescent="0.35">
      <c r="A387" s="22" t="s">
        <v>1360</v>
      </c>
      <c r="B387" s="45" t="s">
        <v>2860</v>
      </c>
    </row>
    <row r="388" spans="1:2" ht="12.75" x14ac:dyDescent="0.35">
      <c r="A388" s="22" t="s">
        <v>1363</v>
      </c>
      <c r="B388" s="45" t="s">
        <v>2849</v>
      </c>
    </row>
    <row r="389" spans="1:2" ht="12.75" x14ac:dyDescent="0.35">
      <c r="A389" s="22" t="s">
        <v>1366</v>
      </c>
      <c r="B389" s="45" t="s">
        <v>2895</v>
      </c>
    </row>
    <row r="390" spans="1:2" ht="12.75" x14ac:dyDescent="0.35">
      <c r="A390" s="29" t="s">
        <v>1369</v>
      </c>
      <c r="B390" s="45" t="s">
        <v>2882</v>
      </c>
    </row>
    <row r="391" spans="1:2" ht="12.75" x14ac:dyDescent="0.35">
      <c r="A391" s="22" t="s">
        <v>1372</v>
      </c>
      <c r="B391" s="45" t="s">
        <v>2882</v>
      </c>
    </row>
    <row r="392" spans="1:2" ht="12.75" x14ac:dyDescent="0.35">
      <c r="A392" s="27" t="s">
        <v>1375</v>
      </c>
      <c r="B392" s="46" t="s">
        <v>2903</v>
      </c>
    </row>
    <row r="393" spans="1:2" ht="12.75" x14ac:dyDescent="0.35">
      <c r="A393" s="22" t="s">
        <v>1378</v>
      </c>
      <c r="B393" s="45" t="s">
        <v>2886</v>
      </c>
    </row>
    <row r="394" spans="1:2" ht="12.75" x14ac:dyDescent="0.35">
      <c r="A394" s="22" t="s">
        <v>1381</v>
      </c>
      <c r="B394" s="45" t="s">
        <v>2880</v>
      </c>
    </row>
    <row r="395" spans="1:2" ht="12.75" x14ac:dyDescent="0.35">
      <c r="A395" s="22" t="s">
        <v>1384</v>
      </c>
      <c r="B395" s="45" t="s">
        <v>2877</v>
      </c>
    </row>
    <row r="396" spans="1:2" ht="12.75" x14ac:dyDescent="0.35">
      <c r="A396" s="22" t="s">
        <v>1387</v>
      </c>
      <c r="B396" s="46" t="s">
        <v>2867</v>
      </c>
    </row>
    <row r="397" spans="1:2" ht="12.75" x14ac:dyDescent="0.35">
      <c r="A397" s="22" t="s">
        <v>1390</v>
      </c>
      <c r="B397" s="45" t="s">
        <v>2867</v>
      </c>
    </row>
    <row r="398" spans="1:2" ht="12.75" x14ac:dyDescent="0.35">
      <c r="A398" s="22" t="s">
        <v>1393</v>
      </c>
      <c r="B398" s="45" t="s">
        <v>2900</v>
      </c>
    </row>
    <row r="399" spans="1:2" ht="12.75" x14ac:dyDescent="0.35">
      <c r="A399" s="22" t="s">
        <v>1396</v>
      </c>
      <c r="B399" s="45" t="s">
        <v>2884</v>
      </c>
    </row>
    <row r="400" spans="1:2" ht="12.75" x14ac:dyDescent="0.35">
      <c r="A400" s="22" t="s">
        <v>1399</v>
      </c>
      <c r="B400" s="45" t="s">
        <v>2853</v>
      </c>
    </row>
    <row r="401" spans="1:2" ht="12.75" x14ac:dyDescent="0.35">
      <c r="A401" s="22" t="s">
        <v>1401</v>
      </c>
      <c r="B401" s="45" t="s">
        <v>2888</v>
      </c>
    </row>
    <row r="402" spans="1:2" ht="12.75" x14ac:dyDescent="0.35">
      <c r="A402" s="22" t="s">
        <v>1404</v>
      </c>
      <c r="B402" s="45" t="s">
        <v>2875</v>
      </c>
    </row>
    <row r="403" spans="1:2" ht="12.75" x14ac:dyDescent="0.35">
      <c r="A403" s="22" t="s">
        <v>1407</v>
      </c>
      <c r="B403" s="45" t="s">
        <v>2877</v>
      </c>
    </row>
    <row r="404" spans="1:2" ht="12.75" x14ac:dyDescent="0.35">
      <c r="A404" s="22" t="s">
        <v>1410</v>
      </c>
      <c r="B404" s="45" t="s">
        <v>2852</v>
      </c>
    </row>
    <row r="405" spans="1:2" ht="12.75" x14ac:dyDescent="0.35">
      <c r="A405" s="22" t="s">
        <v>1413</v>
      </c>
      <c r="B405" s="45" t="s">
        <v>2894</v>
      </c>
    </row>
    <row r="406" spans="1:2" ht="12.75" x14ac:dyDescent="0.35">
      <c r="A406" s="22" t="s">
        <v>1416</v>
      </c>
      <c r="B406" s="45" t="s">
        <v>2886</v>
      </c>
    </row>
    <row r="407" spans="1:2" ht="12.75" x14ac:dyDescent="0.35">
      <c r="A407" s="22" t="s">
        <v>1419</v>
      </c>
      <c r="B407" s="45" t="s">
        <v>2847</v>
      </c>
    </row>
    <row r="408" spans="1:2" ht="12.75" x14ac:dyDescent="0.35">
      <c r="A408" s="22"/>
      <c r="B408" s="45"/>
    </row>
    <row r="409" spans="1:2" ht="12.75" x14ac:dyDescent="0.35">
      <c r="A409" s="22" t="s">
        <v>1425</v>
      </c>
      <c r="B409" s="45" t="s">
        <v>2859</v>
      </c>
    </row>
    <row r="410" spans="1:2" ht="12.75" x14ac:dyDescent="0.35">
      <c r="A410" s="22" t="s">
        <v>1428</v>
      </c>
      <c r="B410" s="45" t="s">
        <v>2859</v>
      </c>
    </row>
    <row r="411" spans="1:2" ht="12.75" x14ac:dyDescent="0.35">
      <c r="A411" s="22" t="s">
        <v>1431</v>
      </c>
      <c r="B411" s="45" t="s">
        <v>2850</v>
      </c>
    </row>
    <row r="412" spans="1:2" ht="12.75" x14ac:dyDescent="0.35">
      <c r="A412" s="22" t="s">
        <v>1434</v>
      </c>
      <c r="B412" s="45" t="s">
        <v>2877</v>
      </c>
    </row>
    <row r="413" spans="1:2" ht="12.75" x14ac:dyDescent="0.35">
      <c r="A413" s="29" t="s">
        <v>1437</v>
      </c>
      <c r="B413" s="44" t="s">
        <v>2903</v>
      </c>
    </row>
    <row r="414" spans="1:2" ht="12.75" x14ac:dyDescent="0.35">
      <c r="A414" s="22" t="s">
        <v>1440</v>
      </c>
      <c r="B414" s="45" t="s">
        <v>2878</v>
      </c>
    </row>
    <row r="415" spans="1:2" ht="12.75" x14ac:dyDescent="0.35">
      <c r="A415" s="22" t="s">
        <v>1443</v>
      </c>
      <c r="B415" s="45" t="s">
        <v>2880</v>
      </c>
    </row>
    <row r="416" spans="1:2" ht="12.75" x14ac:dyDescent="0.35">
      <c r="A416" s="22" t="s">
        <v>1446</v>
      </c>
      <c r="B416" s="45" t="s">
        <v>2868</v>
      </c>
    </row>
    <row r="417" spans="1:2" ht="12.75" x14ac:dyDescent="0.35">
      <c r="A417" s="22" t="s">
        <v>1449</v>
      </c>
      <c r="B417" s="45" t="s">
        <v>2870</v>
      </c>
    </row>
    <row r="418" spans="1:2" ht="12.75" x14ac:dyDescent="0.35">
      <c r="A418" s="27" t="s">
        <v>1451</v>
      </c>
      <c r="B418" s="46" t="s">
        <v>2866</v>
      </c>
    </row>
    <row r="419" spans="1:2" ht="12.75" x14ac:dyDescent="0.35">
      <c r="A419" s="22" t="s">
        <v>1454</v>
      </c>
      <c r="B419" s="45" t="s">
        <v>2868</v>
      </c>
    </row>
    <row r="420" spans="1:2" ht="12.75" x14ac:dyDescent="0.35">
      <c r="A420" s="22" t="s">
        <v>1457</v>
      </c>
      <c r="B420" s="45" t="s">
        <v>2871</v>
      </c>
    </row>
    <row r="421" spans="1:2" ht="12.75" x14ac:dyDescent="0.35">
      <c r="A421" s="22" t="s">
        <v>1460</v>
      </c>
      <c r="B421" s="45" t="s">
        <v>2855</v>
      </c>
    </row>
    <row r="422" spans="1:2" ht="12.75" x14ac:dyDescent="0.35">
      <c r="A422" s="22" t="s">
        <v>1463</v>
      </c>
      <c r="B422" s="45" t="s">
        <v>2868</v>
      </c>
    </row>
    <row r="423" spans="1:2" ht="12.75" x14ac:dyDescent="0.35">
      <c r="A423" s="22" t="s">
        <v>1466</v>
      </c>
      <c r="B423" s="45" t="s">
        <v>2906</v>
      </c>
    </row>
    <row r="424" spans="1:2" ht="12.75" x14ac:dyDescent="0.35">
      <c r="A424" s="22" t="s">
        <v>1469</v>
      </c>
      <c r="B424" s="45" t="s">
        <v>2900</v>
      </c>
    </row>
    <row r="425" spans="1:2" ht="12.75" x14ac:dyDescent="0.35">
      <c r="A425" s="22" t="s">
        <v>1472</v>
      </c>
      <c r="B425" s="45" t="s">
        <v>2848</v>
      </c>
    </row>
    <row r="426" spans="1:2" ht="12.75" x14ac:dyDescent="0.35">
      <c r="A426" s="29" t="s">
        <v>1475</v>
      </c>
      <c r="B426" s="45" t="s">
        <v>2849</v>
      </c>
    </row>
    <row r="427" spans="1:2" ht="12.75" x14ac:dyDescent="0.35">
      <c r="A427" s="22" t="s">
        <v>1478</v>
      </c>
      <c r="B427" s="47" t="s">
        <v>2868</v>
      </c>
    </row>
    <row r="428" spans="1:2" ht="12.75" x14ac:dyDescent="0.35">
      <c r="A428" s="22" t="s">
        <v>1481</v>
      </c>
      <c r="B428" s="45" t="s">
        <v>2878</v>
      </c>
    </row>
    <row r="429" spans="1:2" ht="12.75" x14ac:dyDescent="0.35">
      <c r="A429" s="22" t="s">
        <v>1484</v>
      </c>
      <c r="B429" s="45" t="s">
        <v>2877</v>
      </c>
    </row>
    <row r="430" spans="1:2" ht="12.75" x14ac:dyDescent="0.35">
      <c r="A430" s="22" t="s">
        <v>1487</v>
      </c>
      <c r="B430" s="45" t="s">
        <v>2859</v>
      </c>
    </row>
    <row r="431" spans="1:2" ht="12.75" x14ac:dyDescent="0.35">
      <c r="A431" s="22" t="s">
        <v>1490</v>
      </c>
      <c r="B431" s="45" t="s">
        <v>2865</v>
      </c>
    </row>
    <row r="432" spans="1:2" ht="12.75" x14ac:dyDescent="0.35">
      <c r="A432" s="22" t="s">
        <v>1493</v>
      </c>
      <c r="B432" s="45" t="s">
        <v>2879</v>
      </c>
    </row>
    <row r="433" spans="1:2" ht="12.75" x14ac:dyDescent="0.35">
      <c r="A433" s="22" t="s">
        <v>1496</v>
      </c>
      <c r="B433" s="45" t="s">
        <v>2906</v>
      </c>
    </row>
    <row r="434" spans="1:2" ht="12.75" x14ac:dyDescent="0.35">
      <c r="A434" s="22" t="s">
        <v>1499</v>
      </c>
      <c r="B434" s="45" t="s">
        <v>2867</v>
      </c>
    </row>
    <row r="435" spans="1:2" ht="12.75" x14ac:dyDescent="0.35">
      <c r="A435" s="22"/>
      <c r="B435" s="44"/>
    </row>
    <row r="436" spans="1:2" ht="12.75" x14ac:dyDescent="0.35">
      <c r="A436" s="22" t="s">
        <v>1505</v>
      </c>
      <c r="B436" s="45" t="s">
        <v>2863</v>
      </c>
    </row>
    <row r="437" spans="1:2" ht="12.75" x14ac:dyDescent="0.35">
      <c r="A437" s="22" t="s">
        <v>1508</v>
      </c>
      <c r="B437" s="45" t="s">
        <v>2883</v>
      </c>
    </row>
    <row r="438" spans="1:2" ht="12.75" x14ac:dyDescent="0.35">
      <c r="A438" s="22" t="s">
        <v>1511</v>
      </c>
      <c r="B438" s="45" t="s">
        <v>2860</v>
      </c>
    </row>
    <row r="439" spans="1:2" ht="12.75" x14ac:dyDescent="0.35">
      <c r="A439" s="22" t="s">
        <v>1514</v>
      </c>
      <c r="B439" s="47" t="s">
        <v>2849</v>
      </c>
    </row>
    <row r="440" spans="1:2" ht="12.75" x14ac:dyDescent="0.35">
      <c r="A440" s="22" t="s">
        <v>1517</v>
      </c>
      <c r="B440" s="45" t="s">
        <v>2879</v>
      </c>
    </row>
    <row r="441" spans="1:2" ht="12.75" x14ac:dyDescent="0.35">
      <c r="A441" s="22" t="s">
        <v>1520</v>
      </c>
      <c r="B441" s="45" t="s">
        <v>2894</v>
      </c>
    </row>
    <row r="442" spans="1:2" ht="12.75" x14ac:dyDescent="0.35">
      <c r="A442" s="22" t="s">
        <v>1523</v>
      </c>
      <c r="B442" s="45" t="s">
        <v>2916</v>
      </c>
    </row>
    <row r="443" spans="1:2" ht="12.75" x14ac:dyDescent="0.35">
      <c r="A443" s="22" t="s">
        <v>1526</v>
      </c>
      <c r="B443" s="45" t="s">
        <v>2869</v>
      </c>
    </row>
    <row r="444" spans="1:2" ht="12.75" x14ac:dyDescent="0.35">
      <c r="A444" s="27" t="s">
        <v>1529</v>
      </c>
      <c r="B444" s="46" t="s">
        <v>2887</v>
      </c>
    </row>
    <row r="445" spans="1:2" ht="12.75" x14ac:dyDescent="0.35">
      <c r="A445" s="22" t="s">
        <v>1532</v>
      </c>
      <c r="B445" s="47" t="s">
        <v>2885</v>
      </c>
    </row>
    <row r="446" spans="1:2" ht="12.75" x14ac:dyDescent="0.35">
      <c r="A446" s="22" t="s">
        <v>1535</v>
      </c>
      <c r="B446" s="45" t="s">
        <v>2859</v>
      </c>
    </row>
    <row r="447" spans="1:2" ht="12.75" x14ac:dyDescent="0.35">
      <c r="A447" s="22" t="s">
        <v>1537</v>
      </c>
      <c r="B447" s="45" t="s">
        <v>2867</v>
      </c>
    </row>
    <row r="448" spans="1:2" ht="12.75" x14ac:dyDescent="0.35">
      <c r="A448" s="22" t="s">
        <v>1540</v>
      </c>
      <c r="B448" s="45" t="s">
        <v>2911</v>
      </c>
    </row>
    <row r="449" spans="1:2" ht="12.75" x14ac:dyDescent="0.35">
      <c r="A449" s="22" t="s">
        <v>1543</v>
      </c>
      <c r="B449" s="45" t="s">
        <v>2866</v>
      </c>
    </row>
    <row r="450" spans="1:2" ht="12.75" x14ac:dyDescent="0.35">
      <c r="A450" s="22" t="s">
        <v>1546</v>
      </c>
      <c r="B450" s="45" t="s">
        <v>2882</v>
      </c>
    </row>
    <row r="451" spans="1:2" ht="12.75" x14ac:dyDescent="0.35">
      <c r="A451" s="22" t="s">
        <v>1549</v>
      </c>
      <c r="B451" s="45" t="s">
        <v>2869</v>
      </c>
    </row>
    <row r="452" spans="1:2" ht="12.75" x14ac:dyDescent="0.35">
      <c r="A452" s="22" t="s">
        <v>1552</v>
      </c>
      <c r="B452" s="48" t="s">
        <v>2846</v>
      </c>
    </row>
    <row r="453" spans="1:2" ht="12.75" x14ac:dyDescent="0.35">
      <c r="A453" s="22" t="s">
        <v>1555</v>
      </c>
      <c r="B453" s="45" t="s">
        <v>2853</v>
      </c>
    </row>
    <row r="454" spans="1:2" ht="12.75" x14ac:dyDescent="0.35">
      <c r="A454" s="22" t="s">
        <v>1558</v>
      </c>
      <c r="B454" s="45" t="s">
        <v>2849</v>
      </c>
    </row>
    <row r="455" spans="1:2" ht="12.75" x14ac:dyDescent="0.35">
      <c r="A455" s="29" t="s">
        <v>1561</v>
      </c>
      <c r="B455" s="45" t="s">
        <v>2867</v>
      </c>
    </row>
    <row r="456" spans="1:2" ht="12.75" x14ac:dyDescent="0.35">
      <c r="A456" s="22" t="s">
        <v>1564</v>
      </c>
      <c r="B456" s="45" t="s">
        <v>2888</v>
      </c>
    </row>
    <row r="457" spans="1:2" ht="12.75" x14ac:dyDescent="0.35">
      <c r="A457" s="22" t="s">
        <v>1567</v>
      </c>
      <c r="B457" s="45" t="s">
        <v>2862</v>
      </c>
    </row>
    <row r="458" spans="1:2" ht="12.75" x14ac:dyDescent="0.35">
      <c r="A458" s="22" t="s">
        <v>1570</v>
      </c>
      <c r="B458" s="45" t="s">
        <v>2869</v>
      </c>
    </row>
    <row r="459" spans="1:2" ht="12.75" x14ac:dyDescent="0.35">
      <c r="A459" s="22" t="s">
        <v>1573</v>
      </c>
      <c r="B459" s="45" t="s">
        <v>2850</v>
      </c>
    </row>
    <row r="460" spans="1:2" ht="12.75" x14ac:dyDescent="0.35">
      <c r="A460" s="22" t="s">
        <v>1576</v>
      </c>
      <c r="B460" s="45" t="s">
        <v>2880</v>
      </c>
    </row>
    <row r="461" spans="1:2" ht="12.75" x14ac:dyDescent="0.35">
      <c r="A461" s="22" t="s">
        <v>1579</v>
      </c>
      <c r="B461" s="45" t="s">
        <v>2866</v>
      </c>
    </row>
    <row r="462" spans="1:2" ht="12.75" x14ac:dyDescent="0.35">
      <c r="A462" s="22"/>
      <c r="B462" s="44"/>
    </row>
    <row r="463" spans="1:2" ht="12.75" x14ac:dyDescent="0.35">
      <c r="A463" s="22" t="s">
        <v>1584</v>
      </c>
      <c r="B463" s="45" t="s">
        <v>2847</v>
      </c>
    </row>
    <row r="464" spans="1:2" ht="12.75" x14ac:dyDescent="0.35">
      <c r="A464" s="22" t="s">
        <v>1586</v>
      </c>
      <c r="B464" s="45" t="s">
        <v>2867</v>
      </c>
    </row>
    <row r="465" spans="1:2" ht="12.75" x14ac:dyDescent="0.35">
      <c r="A465" s="22" t="s">
        <v>1589</v>
      </c>
      <c r="B465" s="45" t="s">
        <v>2884</v>
      </c>
    </row>
    <row r="466" spans="1:2" ht="12.75" x14ac:dyDescent="0.35">
      <c r="A466" s="22" t="s">
        <v>1592</v>
      </c>
      <c r="B466" s="45" t="s">
        <v>2852</v>
      </c>
    </row>
    <row r="467" spans="1:2" ht="12.75" x14ac:dyDescent="0.35">
      <c r="A467" s="22" t="s">
        <v>1595</v>
      </c>
      <c r="B467" s="45" t="s">
        <v>2866</v>
      </c>
    </row>
    <row r="468" spans="1:2" ht="12.75" x14ac:dyDescent="0.35">
      <c r="A468" s="22" t="s">
        <v>1598</v>
      </c>
      <c r="B468" s="45" t="s">
        <v>2866</v>
      </c>
    </row>
    <row r="469" spans="1:2" ht="12.75" x14ac:dyDescent="0.35">
      <c r="A469" s="22" t="s">
        <v>1601</v>
      </c>
      <c r="B469" s="45" t="s">
        <v>2848</v>
      </c>
    </row>
    <row r="470" spans="1:2" ht="12.75" x14ac:dyDescent="0.35">
      <c r="A470" s="27" t="s">
        <v>1604</v>
      </c>
      <c r="B470" s="45" t="s">
        <v>2917</v>
      </c>
    </row>
    <row r="471" spans="1:2" ht="12.75" x14ac:dyDescent="0.35">
      <c r="A471" s="22" t="s">
        <v>1607</v>
      </c>
      <c r="B471" s="45" t="s">
        <v>2885</v>
      </c>
    </row>
    <row r="472" spans="1:2" ht="12.75" x14ac:dyDescent="0.35">
      <c r="A472" s="22" t="s">
        <v>1610</v>
      </c>
      <c r="B472" s="45" t="s">
        <v>2851</v>
      </c>
    </row>
    <row r="473" spans="1:2" ht="12.75" x14ac:dyDescent="0.35">
      <c r="A473" s="22" t="s">
        <v>1613</v>
      </c>
      <c r="B473" s="45" t="s">
        <v>2864</v>
      </c>
    </row>
    <row r="474" spans="1:2" ht="12.75" x14ac:dyDescent="0.35">
      <c r="A474" s="22" t="s">
        <v>1616</v>
      </c>
      <c r="B474" s="45" t="s">
        <v>2917</v>
      </c>
    </row>
    <row r="475" spans="1:2" ht="12.75" x14ac:dyDescent="0.35">
      <c r="A475" s="22" t="s">
        <v>1618</v>
      </c>
      <c r="B475" s="45" t="s">
        <v>2879</v>
      </c>
    </row>
    <row r="476" spans="1:2" ht="12.75" x14ac:dyDescent="0.35">
      <c r="A476" s="22" t="s">
        <v>1621</v>
      </c>
      <c r="B476" s="45" t="s">
        <v>2866</v>
      </c>
    </row>
    <row r="477" spans="1:2" ht="12.75" x14ac:dyDescent="0.35">
      <c r="A477" s="22" t="s">
        <v>1624</v>
      </c>
      <c r="B477" s="45" t="s">
        <v>2854</v>
      </c>
    </row>
    <row r="478" spans="1:2" ht="12.75" x14ac:dyDescent="0.35">
      <c r="A478" s="22" t="s">
        <v>1627</v>
      </c>
      <c r="B478" s="45" t="s">
        <v>2869</v>
      </c>
    </row>
    <row r="479" spans="1:2" ht="12.75" x14ac:dyDescent="0.35">
      <c r="A479" s="29" t="s">
        <v>1629</v>
      </c>
      <c r="B479" s="45" t="s">
        <v>2888</v>
      </c>
    </row>
    <row r="480" spans="1:2" ht="12.75" x14ac:dyDescent="0.35">
      <c r="A480" s="22" t="s">
        <v>1632</v>
      </c>
      <c r="B480" s="45" t="s">
        <v>2883</v>
      </c>
    </row>
    <row r="481" spans="1:2" ht="12.75" x14ac:dyDescent="0.35">
      <c r="A481" s="22" t="s">
        <v>1635</v>
      </c>
      <c r="B481" s="45" t="s">
        <v>2851</v>
      </c>
    </row>
    <row r="482" spans="1:2" ht="12.75" x14ac:dyDescent="0.35">
      <c r="A482" s="22" t="s">
        <v>1638</v>
      </c>
      <c r="B482" s="45" t="s">
        <v>2847</v>
      </c>
    </row>
    <row r="483" spans="1:2" ht="12.75" x14ac:dyDescent="0.35">
      <c r="A483" s="22" t="s">
        <v>1641</v>
      </c>
      <c r="B483" s="45" t="s">
        <v>2851</v>
      </c>
    </row>
    <row r="484" spans="1:2" ht="12.75" x14ac:dyDescent="0.35">
      <c r="A484" s="22" t="s">
        <v>1644</v>
      </c>
      <c r="B484" s="45" t="s">
        <v>2862</v>
      </c>
    </row>
    <row r="485" spans="1:2" ht="12.75" x14ac:dyDescent="0.35">
      <c r="A485" s="22" t="s">
        <v>1647</v>
      </c>
      <c r="B485" s="45" t="s">
        <v>2881</v>
      </c>
    </row>
    <row r="486" spans="1:2" ht="12.75" x14ac:dyDescent="0.35">
      <c r="A486" s="22" t="s">
        <v>1650</v>
      </c>
      <c r="B486" s="45" t="s">
        <v>2918</v>
      </c>
    </row>
    <row r="487" spans="1:2" ht="12.75" x14ac:dyDescent="0.35">
      <c r="A487" s="22" t="s">
        <v>1653</v>
      </c>
      <c r="B487" s="45" t="s">
        <v>2915</v>
      </c>
    </row>
    <row r="488" spans="1:2" ht="12.75" x14ac:dyDescent="0.35">
      <c r="A488" s="22" t="s">
        <v>1655</v>
      </c>
      <c r="B488" s="45" t="s">
        <v>2866</v>
      </c>
    </row>
    <row r="489" spans="1:2" ht="12.75" x14ac:dyDescent="0.35">
      <c r="A489" s="22"/>
      <c r="B489" s="45"/>
    </row>
    <row r="490" spans="1:2" ht="12.75" x14ac:dyDescent="0.35">
      <c r="A490" s="22" t="s">
        <v>1660</v>
      </c>
      <c r="B490" s="45" t="s">
        <v>2885</v>
      </c>
    </row>
    <row r="491" spans="1:2" ht="12.75" x14ac:dyDescent="0.35">
      <c r="A491" s="22" t="s">
        <v>1662</v>
      </c>
      <c r="B491" s="45" t="s">
        <v>2851</v>
      </c>
    </row>
    <row r="492" spans="1:2" ht="12.75" x14ac:dyDescent="0.35">
      <c r="A492" s="22" t="s">
        <v>1665</v>
      </c>
      <c r="B492" s="45" t="s">
        <v>2877</v>
      </c>
    </row>
    <row r="493" spans="1:2" ht="12.75" x14ac:dyDescent="0.35">
      <c r="A493" s="22" t="s">
        <v>1668</v>
      </c>
      <c r="B493" s="45" t="s">
        <v>2905</v>
      </c>
    </row>
    <row r="494" spans="1:2" ht="12.75" x14ac:dyDescent="0.35">
      <c r="A494" s="22" t="s">
        <v>1671</v>
      </c>
      <c r="B494" s="45" t="s">
        <v>2847</v>
      </c>
    </row>
    <row r="495" spans="1:2" ht="12.75" x14ac:dyDescent="0.35">
      <c r="A495" s="22" t="s">
        <v>1674</v>
      </c>
      <c r="B495" s="45" t="s">
        <v>2879</v>
      </c>
    </row>
    <row r="496" spans="1:2" ht="12.75" x14ac:dyDescent="0.35">
      <c r="A496" s="27" t="s">
        <v>1677</v>
      </c>
      <c r="B496" s="46" t="s">
        <v>2858</v>
      </c>
    </row>
    <row r="497" spans="1:2" ht="12.75" x14ac:dyDescent="0.35">
      <c r="A497" s="22" t="s">
        <v>2919</v>
      </c>
      <c r="B497" s="45" t="s">
        <v>2872</v>
      </c>
    </row>
    <row r="498" spans="1:2" ht="12.75" x14ac:dyDescent="0.35">
      <c r="A498" s="22" t="s">
        <v>1683</v>
      </c>
      <c r="B498" s="45" t="s">
        <v>2867</v>
      </c>
    </row>
    <row r="499" spans="1:2" ht="12.75" x14ac:dyDescent="0.35">
      <c r="A499" s="22" t="s">
        <v>1686</v>
      </c>
      <c r="B499" s="45" t="s">
        <v>2865</v>
      </c>
    </row>
    <row r="500" spans="1:2" ht="12.75" x14ac:dyDescent="0.35">
      <c r="A500" s="22" t="s">
        <v>1688</v>
      </c>
      <c r="B500" s="45" t="s">
        <v>2851</v>
      </c>
    </row>
    <row r="501" spans="1:2" ht="12.75" x14ac:dyDescent="0.35">
      <c r="A501" s="22" t="s">
        <v>1691</v>
      </c>
      <c r="B501" s="45" t="s">
        <v>2873</v>
      </c>
    </row>
    <row r="502" spans="1:2" ht="12.75" x14ac:dyDescent="0.35">
      <c r="A502" s="22" t="s">
        <v>1694</v>
      </c>
      <c r="B502" s="45" t="s">
        <v>2886</v>
      </c>
    </row>
    <row r="503" spans="1:2" ht="12.75" x14ac:dyDescent="0.35">
      <c r="A503" s="22" t="s">
        <v>1697</v>
      </c>
      <c r="B503" s="45" t="s">
        <v>2850</v>
      </c>
    </row>
    <row r="504" spans="1:2" ht="12.75" x14ac:dyDescent="0.35">
      <c r="A504" s="22" t="s">
        <v>1700</v>
      </c>
      <c r="B504" s="45" t="s">
        <v>2846</v>
      </c>
    </row>
    <row r="505" spans="1:2" ht="12.75" x14ac:dyDescent="0.35">
      <c r="A505" s="22" t="s">
        <v>1703</v>
      </c>
      <c r="B505" s="45" t="s">
        <v>2851</v>
      </c>
    </row>
    <row r="506" spans="1:2" ht="12.75" x14ac:dyDescent="0.35">
      <c r="A506" s="22" t="s">
        <v>1706</v>
      </c>
      <c r="B506" s="45" t="s">
        <v>2879</v>
      </c>
    </row>
    <row r="507" spans="1:2" ht="12.75" x14ac:dyDescent="0.35">
      <c r="A507" s="22" t="s">
        <v>1709</v>
      </c>
      <c r="B507" s="45" t="s">
        <v>2877</v>
      </c>
    </row>
    <row r="508" spans="1:2" ht="12.75" x14ac:dyDescent="0.35">
      <c r="A508" s="22" t="s">
        <v>1712</v>
      </c>
      <c r="B508" s="45" t="s">
        <v>2883</v>
      </c>
    </row>
    <row r="509" spans="1:2" ht="12.75" x14ac:dyDescent="0.35">
      <c r="A509" s="22" t="s">
        <v>1715</v>
      </c>
      <c r="B509" s="45" t="s">
        <v>2871</v>
      </c>
    </row>
    <row r="510" spans="1:2" ht="12.75" x14ac:dyDescent="0.35">
      <c r="A510" s="22" t="s">
        <v>1718</v>
      </c>
      <c r="B510" s="45" t="s">
        <v>2849</v>
      </c>
    </row>
    <row r="511" spans="1:2" ht="12.75" x14ac:dyDescent="0.35">
      <c r="A511" s="22" t="s">
        <v>2920</v>
      </c>
      <c r="B511" s="45" t="s">
        <v>2867</v>
      </c>
    </row>
    <row r="512" spans="1:2" ht="12.75" x14ac:dyDescent="0.35">
      <c r="A512" s="22" t="s">
        <v>1724</v>
      </c>
      <c r="B512" s="45" t="s">
        <v>2902</v>
      </c>
    </row>
    <row r="513" spans="1:2" ht="12.75" x14ac:dyDescent="0.35">
      <c r="A513" s="22" t="s">
        <v>1726</v>
      </c>
      <c r="B513" s="45" t="s">
        <v>2862</v>
      </c>
    </row>
    <row r="514" spans="1:2" ht="12.75" x14ac:dyDescent="0.35">
      <c r="A514" s="22" t="s">
        <v>1728</v>
      </c>
      <c r="B514" s="45" t="s">
        <v>2851</v>
      </c>
    </row>
    <row r="515" spans="1:2" ht="12.75" x14ac:dyDescent="0.35">
      <c r="A515" s="22" t="s">
        <v>1731</v>
      </c>
      <c r="B515" s="45" t="s">
        <v>2873</v>
      </c>
    </row>
    <row r="516" spans="1:2" ht="12.75" x14ac:dyDescent="0.35">
      <c r="A516" s="22"/>
      <c r="B516" s="44"/>
    </row>
    <row r="517" spans="1:2" ht="12.75" x14ac:dyDescent="0.35">
      <c r="A517" s="22" t="s">
        <v>1735</v>
      </c>
      <c r="B517" s="45" t="s">
        <v>2862</v>
      </c>
    </row>
    <row r="518" spans="1:2" ht="12.75" x14ac:dyDescent="0.35">
      <c r="A518" s="22" t="s">
        <v>1738</v>
      </c>
      <c r="B518" s="45" t="s">
        <v>2853</v>
      </c>
    </row>
    <row r="519" spans="1:2" ht="12.75" x14ac:dyDescent="0.35">
      <c r="A519" s="22" t="s">
        <v>1741</v>
      </c>
      <c r="B519" s="45" t="s">
        <v>2847</v>
      </c>
    </row>
    <row r="520" spans="1:2" ht="12.75" x14ac:dyDescent="0.35">
      <c r="A520" s="22" t="s">
        <v>1744</v>
      </c>
      <c r="B520" s="45" t="s">
        <v>2865</v>
      </c>
    </row>
    <row r="521" spans="1:2" ht="12.75" x14ac:dyDescent="0.35">
      <c r="A521" s="22" t="s">
        <v>1747</v>
      </c>
      <c r="B521" s="45" t="s">
        <v>2851</v>
      </c>
    </row>
    <row r="522" spans="1:2" ht="12.75" x14ac:dyDescent="0.35">
      <c r="A522" s="27" t="s">
        <v>1750</v>
      </c>
      <c r="B522" s="46" t="s">
        <v>2894</v>
      </c>
    </row>
    <row r="523" spans="1:2" ht="12.75" x14ac:dyDescent="0.35">
      <c r="A523" s="22" t="s">
        <v>1753</v>
      </c>
      <c r="B523" s="45" t="s">
        <v>2859</v>
      </c>
    </row>
    <row r="524" spans="1:2" ht="12.75" x14ac:dyDescent="0.35">
      <c r="A524" s="22" t="s">
        <v>1756</v>
      </c>
      <c r="B524" s="45" t="s">
        <v>2849</v>
      </c>
    </row>
    <row r="525" spans="1:2" ht="12.75" x14ac:dyDescent="0.35">
      <c r="A525" s="22" t="s">
        <v>1758</v>
      </c>
      <c r="B525" s="45" t="s">
        <v>2921</v>
      </c>
    </row>
    <row r="526" spans="1:2" ht="12.75" x14ac:dyDescent="0.35">
      <c r="A526" s="22" t="s">
        <v>1760</v>
      </c>
      <c r="B526" s="45" t="s">
        <v>2875</v>
      </c>
    </row>
    <row r="527" spans="1:2" ht="12.75" x14ac:dyDescent="0.35">
      <c r="A527" s="22" t="s">
        <v>1763</v>
      </c>
      <c r="B527" s="45" t="s">
        <v>2894</v>
      </c>
    </row>
    <row r="528" spans="1:2" ht="12.75" x14ac:dyDescent="0.35">
      <c r="A528" s="22" t="s">
        <v>1766</v>
      </c>
      <c r="B528" s="45" t="s">
        <v>2853</v>
      </c>
    </row>
    <row r="529" spans="1:2" ht="12.75" x14ac:dyDescent="0.35">
      <c r="A529" s="22" t="s">
        <v>1769</v>
      </c>
      <c r="B529" s="45" t="s">
        <v>2849</v>
      </c>
    </row>
    <row r="530" spans="1:2" ht="12.75" x14ac:dyDescent="0.35">
      <c r="A530" s="22" t="s">
        <v>1772</v>
      </c>
      <c r="B530" s="45" t="s">
        <v>2878</v>
      </c>
    </row>
    <row r="531" spans="1:2" ht="12.75" x14ac:dyDescent="0.35">
      <c r="A531" s="22" t="s">
        <v>1775</v>
      </c>
      <c r="B531" s="45" t="s">
        <v>2871</v>
      </c>
    </row>
    <row r="532" spans="1:2" ht="12.75" x14ac:dyDescent="0.35">
      <c r="A532" s="22" t="s">
        <v>1778</v>
      </c>
      <c r="B532" s="45" t="s">
        <v>2847</v>
      </c>
    </row>
    <row r="533" spans="1:2" ht="12.75" x14ac:dyDescent="0.35">
      <c r="A533" s="22" t="s">
        <v>1781</v>
      </c>
      <c r="B533" s="45" t="s">
        <v>2879</v>
      </c>
    </row>
    <row r="534" spans="1:2" ht="12.75" x14ac:dyDescent="0.35">
      <c r="A534" s="22" t="s">
        <v>1784</v>
      </c>
      <c r="B534" s="45" t="s">
        <v>2858</v>
      </c>
    </row>
    <row r="535" spans="1:2" ht="12.75" x14ac:dyDescent="0.35">
      <c r="A535" s="22" t="s">
        <v>1786</v>
      </c>
      <c r="B535" s="45" t="s">
        <v>2853</v>
      </c>
    </row>
    <row r="536" spans="1:2" ht="12.75" x14ac:dyDescent="0.35">
      <c r="A536" s="22" t="s">
        <v>1789</v>
      </c>
      <c r="B536" s="45" t="s">
        <v>2894</v>
      </c>
    </row>
    <row r="537" spans="1:2" ht="12.75" x14ac:dyDescent="0.35">
      <c r="A537" s="22" t="s">
        <v>1792</v>
      </c>
      <c r="B537" s="45" t="s">
        <v>2866</v>
      </c>
    </row>
    <row r="538" spans="1:2" ht="12.75" x14ac:dyDescent="0.35">
      <c r="A538" s="22" t="s">
        <v>1795</v>
      </c>
      <c r="B538" s="45" t="s">
        <v>2857</v>
      </c>
    </row>
    <row r="539" spans="1:2" ht="12.75" x14ac:dyDescent="0.35">
      <c r="A539" s="22" t="s">
        <v>1798</v>
      </c>
      <c r="B539" s="45" t="s">
        <v>2906</v>
      </c>
    </row>
    <row r="540" spans="1:2" ht="12.75" x14ac:dyDescent="0.35">
      <c r="A540" s="22" t="s">
        <v>1800</v>
      </c>
      <c r="B540" s="45" t="s">
        <v>2873</v>
      </c>
    </row>
    <row r="541" spans="1:2" ht="12.75" x14ac:dyDescent="0.35">
      <c r="A541" s="22" t="s">
        <v>1802</v>
      </c>
      <c r="B541" s="45" t="s">
        <v>2894</v>
      </c>
    </row>
    <row r="542" spans="1:2" ht="12.75" x14ac:dyDescent="0.35">
      <c r="A542" s="22" t="s">
        <v>1805</v>
      </c>
      <c r="B542" s="45" t="s">
        <v>2863</v>
      </c>
    </row>
    <row r="543" spans="1:2" ht="12.75" x14ac:dyDescent="0.35">
      <c r="A543" s="22"/>
      <c r="B543" s="44"/>
    </row>
    <row r="544" spans="1:2" ht="12.75" x14ac:dyDescent="0.35">
      <c r="A544" s="22" t="s">
        <v>1811</v>
      </c>
      <c r="B544" s="45" t="s">
        <v>2853</v>
      </c>
    </row>
    <row r="545" spans="1:2" ht="12.75" x14ac:dyDescent="0.35">
      <c r="A545" s="22" t="s">
        <v>1814</v>
      </c>
      <c r="B545" s="45" t="s">
        <v>2906</v>
      </c>
    </row>
    <row r="546" spans="1:2" ht="12.75" x14ac:dyDescent="0.35">
      <c r="A546" s="22" t="s">
        <v>1817</v>
      </c>
      <c r="B546" s="45" t="s">
        <v>2900</v>
      </c>
    </row>
    <row r="547" spans="1:2" ht="12.75" x14ac:dyDescent="0.35">
      <c r="A547" s="22" t="s">
        <v>1820</v>
      </c>
      <c r="B547" s="45" t="s">
        <v>2885</v>
      </c>
    </row>
    <row r="548" spans="1:2" ht="12.75" x14ac:dyDescent="0.35">
      <c r="A548" s="27" t="s">
        <v>1823</v>
      </c>
      <c r="B548" s="46" t="s">
        <v>2847</v>
      </c>
    </row>
    <row r="549" spans="1:2" ht="12.75" x14ac:dyDescent="0.35">
      <c r="A549" s="22" t="s">
        <v>1826</v>
      </c>
      <c r="B549" s="45" t="s">
        <v>2853</v>
      </c>
    </row>
    <row r="550" spans="1:2" ht="12.75" x14ac:dyDescent="0.35">
      <c r="A550" s="22" t="s">
        <v>1829</v>
      </c>
      <c r="B550" s="45" t="s">
        <v>2857</v>
      </c>
    </row>
    <row r="551" spans="1:2" ht="12.75" x14ac:dyDescent="0.35">
      <c r="A551" s="22" t="s">
        <v>1832</v>
      </c>
      <c r="B551" s="45" t="s">
        <v>2851</v>
      </c>
    </row>
    <row r="552" spans="1:2" ht="12.75" x14ac:dyDescent="0.35">
      <c r="A552" s="22" t="s">
        <v>1835</v>
      </c>
      <c r="B552" s="45" t="s">
        <v>2848</v>
      </c>
    </row>
    <row r="553" spans="1:2" ht="12.75" x14ac:dyDescent="0.35">
      <c r="A553" s="22" t="s">
        <v>1837</v>
      </c>
      <c r="B553" s="45" t="s">
        <v>2850</v>
      </c>
    </row>
    <row r="554" spans="1:2" ht="12.75" x14ac:dyDescent="0.35">
      <c r="A554" s="22" t="s">
        <v>1840</v>
      </c>
      <c r="B554" s="45" t="s">
        <v>2894</v>
      </c>
    </row>
    <row r="555" spans="1:2" ht="12.75" x14ac:dyDescent="0.35">
      <c r="A555" s="22" t="s">
        <v>1843</v>
      </c>
      <c r="B555" s="45" t="s">
        <v>2865</v>
      </c>
    </row>
    <row r="556" spans="1:2" ht="12.75" x14ac:dyDescent="0.35">
      <c r="A556" s="29" t="s">
        <v>1846</v>
      </c>
      <c r="B556" s="45" t="s">
        <v>2849</v>
      </c>
    </row>
    <row r="557" spans="1:2" ht="12.75" x14ac:dyDescent="0.35">
      <c r="A557" s="29" t="s">
        <v>1849</v>
      </c>
      <c r="B557" s="45" t="s">
        <v>2859</v>
      </c>
    </row>
    <row r="558" spans="1:2" ht="12.75" x14ac:dyDescent="0.35">
      <c r="A558" s="22" t="s">
        <v>1852</v>
      </c>
      <c r="B558" s="45" t="s">
        <v>2863</v>
      </c>
    </row>
    <row r="559" spans="1:2" ht="12.75" x14ac:dyDescent="0.35">
      <c r="A559" s="22" t="s">
        <v>1855</v>
      </c>
      <c r="B559" s="45" t="s">
        <v>2868</v>
      </c>
    </row>
    <row r="560" spans="1:2" ht="12.75" x14ac:dyDescent="0.35">
      <c r="A560" s="22" t="s">
        <v>1858</v>
      </c>
      <c r="B560" s="45" t="s">
        <v>2855</v>
      </c>
    </row>
    <row r="561" spans="1:2" ht="12.75" x14ac:dyDescent="0.35">
      <c r="A561" s="22" t="s">
        <v>1861</v>
      </c>
      <c r="B561" s="45" t="s">
        <v>2863</v>
      </c>
    </row>
    <row r="562" spans="1:2" ht="12.75" x14ac:dyDescent="0.35">
      <c r="A562" s="22" t="s">
        <v>1864</v>
      </c>
      <c r="B562" s="45" t="s">
        <v>2885</v>
      </c>
    </row>
    <row r="563" spans="1:2" ht="12.75" x14ac:dyDescent="0.35">
      <c r="A563" s="22" t="s">
        <v>1867</v>
      </c>
      <c r="B563" s="45" t="s">
        <v>2861</v>
      </c>
    </row>
    <row r="564" spans="1:2" ht="12.75" x14ac:dyDescent="0.35">
      <c r="A564" s="22" t="s">
        <v>1870</v>
      </c>
      <c r="B564" s="45" t="s">
        <v>2908</v>
      </c>
    </row>
    <row r="565" spans="1:2" ht="12.75" x14ac:dyDescent="0.35">
      <c r="A565" s="22" t="s">
        <v>1872</v>
      </c>
      <c r="B565" s="45" t="s">
        <v>2862</v>
      </c>
    </row>
    <row r="566" spans="1:2" ht="12.75" x14ac:dyDescent="0.35">
      <c r="A566" s="22" t="s">
        <v>1874</v>
      </c>
      <c r="B566" s="45" t="s">
        <v>2861</v>
      </c>
    </row>
    <row r="567" spans="1:2" ht="12.75" x14ac:dyDescent="0.35">
      <c r="A567" s="22" t="s">
        <v>1877</v>
      </c>
      <c r="B567" s="45" t="s">
        <v>2861</v>
      </c>
    </row>
    <row r="568" spans="1:2" ht="12.75" x14ac:dyDescent="0.35">
      <c r="A568" s="22" t="s">
        <v>1880</v>
      </c>
      <c r="B568" s="45" t="s">
        <v>2873</v>
      </c>
    </row>
    <row r="569" spans="1:2" ht="12.75" x14ac:dyDescent="0.35">
      <c r="A569" s="22" t="s">
        <v>1883</v>
      </c>
      <c r="B569" s="47" t="s">
        <v>2861</v>
      </c>
    </row>
    <row r="570" spans="1:2" ht="12.75" x14ac:dyDescent="0.35">
      <c r="A570" s="22"/>
      <c r="B570" s="44"/>
    </row>
    <row r="571" spans="1:2" ht="12.75" x14ac:dyDescent="0.35">
      <c r="A571" s="22" t="s">
        <v>1889</v>
      </c>
      <c r="B571" s="45" t="s">
        <v>2894</v>
      </c>
    </row>
    <row r="572" spans="1:2" ht="12.75" x14ac:dyDescent="0.35">
      <c r="A572" s="22" t="s">
        <v>1892</v>
      </c>
      <c r="B572" s="45" t="s">
        <v>2906</v>
      </c>
    </row>
    <row r="573" spans="1:2" ht="12.75" x14ac:dyDescent="0.35">
      <c r="A573" s="22" t="s">
        <v>1895</v>
      </c>
      <c r="B573" s="45" t="s">
        <v>2865</v>
      </c>
    </row>
    <row r="574" spans="1:2" ht="12.75" x14ac:dyDescent="0.35">
      <c r="A574" s="27" t="s">
        <v>1898</v>
      </c>
      <c r="B574" s="45" t="s">
        <v>2864</v>
      </c>
    </row>
    <row r="575" spans="1:2" ht="12.75" x14ac:dyDescent="0.35">
      <c r="A575" s="29" t="s">
        <v>1901</v>
      </c>
      <c r="B575" s="45" t="s">
        <v>2877</v>
      </c>
    </row>
    <row r="576" spans="1:2" ht="12.75" x14ac:dyDescent="0.35">
      <c r="A576" s="22" t="s">
        <v>1904</v>
      </c>
      <c r="B576" s="45" t="s">
        <v>2859</v>
      </c>
    </row>
    <row r="577" spans="1:2" ht="12.75" x14ac:dyDescent="0.35">
      <c r="A577" s="22" t="s">
        <v>1907</v>
      </c>
      <c r="B577" s="45" t="s">
        <v>2906</v>
      </c>
    </row>
    <row r="578" spans="1:2" ht="12.75" x14ac:dyDescent="0.35">
      <c r="A578" s="22" t="s">
        <v>1910</v>
      </c>
      <c r="B578" s="45" t="s">
        <v>2881</v>
      </c>
    </row>
    <row r="579" spans="1:2" ht="12.75" x14ac:dyDescent="0.35">
      <c r="A579" s="22" t="s">
        <v>1913</v>
      </c>
      <c r="B579" s="45" t="s">
        <v>2850</v>
      </c>
    </row>
    <row r="580" spans="1:2" ht="12.75" x14ac:dyDescent="0.35">
      <c r="A580" s="22" t="s">
        <v>1915</v>
      </c>
      <c r="B580" s="45" t="s">
        <v>2877</v>
      </c>
    </row>
    <row r="581" spans="1:2" ht="12.75" x14ac:dyDescent="0.35">
      <c r="A581" s="22" t="s">
        <v>1917</v>
      </c>
      <c r="B581" s="45" t="s">
        <v>2914</v>
      </c>
    </row>
    <row r="582" spans="1:2" ht="12.75" x14ac:dyDescent="0.35">
      <c r="A582" s="22" t="s">
        <v>1919</v>
      </c>
      <c r="B582" s="45" t="s">
        <v>2893</v>
      </c>
    </row>
    <row r="583" spans="1:2" ht="12.75" x14ac:dyDescent="0.35">
      <c r="A583" s="22" t="s">
        <v>1921</v>
      </c>
      <c r="B583" s="45" t="s">
        <v>2879</v>
      </c>
    </row>
    <row r="584" spans="1:2" ht="12.75" x14ac:dyDescent="0.35">
      <c r="A584" s="22" t="s">
        <v>1924</v>
      </c>
      <c r="B584" s="45" t="s">
        <v>2880</v>
      </c>
    </row>
    <row r="585" spans="1:2" ht="12.75" x14ac:dyDescent="0.35">
      <c r="A585" s="22" t="s">
        <v>1927</v>
      </c>
      <c r="B585" s="45" t="s">
        <v>2887</v>
      </c>
    </row>
    <row r="586" spans="1:2" ht="12.75" x14ac:dyDescent="0.35">
      <c r="A586" s="22" t="s">
        <v>1929</v>
      </c>
      <c r="B586" s="45" t="s">
        <v>2895</v>
      </c>
    </row>
    <row r="587" spans="1:2" ht="12.75" x14ac:dyDescent="0.35">
      <c r="A587" s="22" t="s">
        <v>1932</v>
      </c>
      <c r="B587" s="45" t="s">
        <v>2906</v>
      </c>
    </row>
    <row r="588" spans="1:2" ht="12.75" x14ac:dyDescent="0.35">
      <c r="A588" s="22" t="s">
        <v>1935</v>
      </c>
      <c r="B588" s="45" t="s">
        <v>2850</v>
      </c>
    </row>
    <row r="589" spans="1:2" ht="12.75" x14ac:dyDescent="0.35">
      <c r="A589" s="22" t="s">
        <v>2922</v>
      </c>
      <c r="B589" s="45" t="s">
        <v>2847</v>
      </c>
    </row>
    <row r="590" spans="1:2" ht="12.75" x14ac:dyDescent="0.35">
      <c r="A590" s="22" t="s">
        <v>1941</v>
      </c>
      <c r="B590" s="45" t="s">
        <v>2893</v>
      </c>
    </row>
    <row r="591" spans="1:2" ht="12.75" x14ac:dyDescent="0.35">
      <c r="A591" s="22" t="s">
        <v>1944</v>
      </c>
      <c r="B591" s="45" t="s">
        <v>2894</v>
      </c>
    </row>
    <row r="592" spans="1:2" ht="12.75" x14ac:dyDescent="0.35">
      <c r="A592" s="22" t="s">
        <v>1947</v>
      </c>
      <c r="B592" s="45" t="s">
        <v>2862</v>
      </c>
    </row>
    <row r="593" spans="1:2" ht="12.75" x14ac:dyDescent="0.35">
      <c r="A593" s="22" t="s">
        <v>1950</v>
      </c>
      <c r="B593" s="45" t="s">
        <v>2877</v>
      </c>
    </row>
    <row r="594" spans="1:2" ht="12.75" x14ac:dyDescent="0.35">
      <c r="A594" s="22" t="s">
        <v>1953</v>
      </c>
      <c r="B594" s="45" t="s">
        <v>2849</v>
      </c>
    </row>
    <row r="595" spans="1:2" ht="12.75" x14ac:dyDescent="0.35">
      <c r="A595" s="22" t="s">
        <v>1956</v>
      </c>
      <c r="B595" s="47" t="s">
        <v>2873</v>
      </c>
    </row>
    <row r="596" spans="1:2" ht="12.75" x14ac:dyDescent="0.35">
      <c r="A596" s="22" t="s">
        <v>1959</v>
      </c>
      <c r="B596" s="45" t="s">
        <v>2859</v>
      </c>
    </row>
    <row r="597" spans="1:2" ht="12.75" x14ac:dyDescent="0.35">
      <c r="A597" s="25"/>
      <c r="B597" s="44"/>
    </row>
    <row r="598" spans="1:2" ht="12.75" x14ac:dyDescent="0.35">
      <c r="A598" s="22" t="s">
        <v>1965</v>
      </c>
      <c r="B598" s="45" t="s">
        <v>2862</v>
      </c>
    </row>
    <row r="599" spans="1:2" ht="12.75" x14ac:dyDescent="0.35">
      <c r="A599" s="22" t="s">
        <v>1968</v>
      </c>
      <c r="B599" s="45" t="s">
        <v>2863</v>
      </c>
    </row>
    <row r="600" spans="1:2" ht="12.75" x14ac:dyDescent="0.35">
      <c r="A600" s="27" t="s">
        <v>1971</v>
      </c>
      <c r="B600" s="46" t="s">
        <v>2887</v>
      </c>
    </row>
    <row r="601" spans="1:2" ht="12.75" x14ac:dyDescent="0.35">
      <c r="A601" s="22" t="s">
        <v>1974</v>
      </c>
      <c r="B601" s="45" t="s">
        <v>2879</v>
      </c>
    </row>
    <row r="602" spans="1:2" ht="12.75" x14ac:dyDescent="0.35">
      <c r="A602" s="22" t="s">
        <v>1977</v>
      </c>
      <c r="B602" s="49" t="s">
        <v>2874</v>
      </c>
    </row>
    <row r="603" spans="1:2" ht="12.75" x14ac:dyDescent="0.35">
      <c r="A603" s="22" t="s">
        <v>1979</v>
      </c>
      <c r="B603" s="45" t="s">
        <v>2867</v>
      </c>
    </row>
    <row r="604" spans="1:2" ht="12.75" x14ac:dyDescent="0.35">
      <c r="A604" s="22" t="s">
        <v>1982</v>
      </c>
      <c r="B604" s="45" t="s">
        <v>2879</v>
      </c>
    </row>
    <row r="605" spans="1:2" ht="12.75" x14ac:dyDescent="0.35">
      <c r="A605" s="22" t="s">
        <v>1985</v>
      </c>
      <c r="B605" s="45" t="s">
        <v>2867</v>
      </c>
    </row>
    <row r="606" spans="1:2" ht="12.75" x14ac:dyDescent="0.35">
      <c r="A606" s="22" t="s">
        <v>1988</v>
      </c>
      <c r="B606" s="45" t="s">
        <v>2894</v>
      </c>
    </row>
    <row r="607" spans="1:2" ht="12.75" x14ac:dyDescent="0.35">
      <c r="A607" s="22" t="s">
        <v>1991</v>
      </c>
      <c r="B607" s="45" t="s">
        <v>2909</v>
      </c>
    </row>
    <row r="608" spans="1:2" ht="12.75" x14ac:dyDescent="0.35">
      <c r="A608" s="22" t="s">
        <v>1994</v>
      </c>
      <c r="B608" s="45" t="s">
        <v>2850</v>
      </c>
    </row>
    <row r="609" spans="1:2" ht="12.75" x14ac:dyDescent="0.35">
      <c r="A609" s="22" t="s">
        <v>1997</v>
      </c>
      <c r="B609" s="45" t="s">
        <v>2886</v>
      </c>
    </row>
    <row r="610" spans="1:2" ht="12.75" x14ac:dyDescent="0.35">
      <c r="A610" s="22" t="s">
        <v>2000</v>
      </c>
      <c r="B610" s="45" t="s">
        <v>2846</v>
      </c>
    </row>
    <row r="611" spans="1:2" ht="12.75" x14ac:dyDescent="0.35">
      <c r="A611" s="22" t="s">
        <v>2003</v>
      </c>
      <c r="B611" s="45" t="s">
        <v>2873</v>
      </c>
    </row>
    <row r="612" spans="1:2" ht="12.75" x14ac:dyDescent="0.35">
      <c r="A612" s="22" t="s">
        <v>2006</v>
      </c>
      <c r="B612" s="48" t="s">
        <v>2879</v>
      </c>
    </row>
    <row r="613" spans="1:2" ht="12.75" x14ac:dyDescent="0.35">
      <c r="A613" s="22" t="s">
        <v>2009</v>
      </c>
      <c r="B613" s="45" t="s">
        <v>2868</v>
      </c>
    </row>
    <row r="614" spans="1:2" ht="12.75" x14ac:dyDescent="0.35">
      <c r="A614" s="22" t="s">
        <v>2012</v>
      </c>
      <c r="B614" s="45" t="s">
        <v>2872</v>
      </c>
    </row>
    <row r="615" spans="1:2" ht="12.75" x14ac:dyDescent="0.35">
      <c r="A615" s="22" t="s">
        <v>2015</v>
      </c>
      <c r="B615" s="45" t="s">
        <v>2867</v>
      </c>
    </row>
    <row r="616" spans="1:2" ht="12.75" x14ac:dyDescent="0.35">
      <c r="A616" s="22" t="s">
        <v>2018</v>
      </c>
      <c r="B616" s="45" t="s">
        <v>2849</v>
      </c>
    </row>
    <row r="617" spans="1:2" ht="12.75" x14ac:dyDescent="0.35">
      <c r="A617" s="22" t="s">
        <v>2021</v>
      </c>
      <c r="B617" s="45" t="s">
        <v>2853</v>
      </c>
    </row>
    <row r="618" spans="1:2" ht="12.75" x14ac:dyDescent="0.35">
      <c r="A618" s="22" t="s">
        <v>2024</v>
      </c>
      <c r="B618" s="45" t="s">
        <v>2853</v>
      </c>
    </row>
    <row r="619" spans="1:2" ht="12.75" x14ac:dyDescent="0.35">
      <c r="A619" s="22" t="s">
        <v>2027</v>
      </c>
      <c r="B619" s="45" t="s">
        <v>2869</v>
      </c>
    </row>
    <row r="620" spans="1:2" ht="12.75" x14ac:dyDescent="0.35">
      <c r="A620" s="22" t="s">
        <v>2030</v>
      </c>
      <c r="B620" s="45" t="s">
        <v>2847</v>
      </c>
    </row>
    <row r="621" spans="1:2" ht="12.75" x14ac:dyDescent="0.35">
      <c r="A621" s="22" t="s">
        <v>2033</v>
      </c>
      <c r="B621" s="45" t="s">
        <v>2883</v>
      </c>
    </row>
    <row r="622" spans="1:2" ht="12.75" x14ac:dyDescent="0.35">
      <c r="A622" s="22" t="s">
        <v>2036</v>
      </c>
      <c r="B622" s="45" t="s">
        <v>2883</v>
      </c>
    </row>
    <row r="623" spans="1:2" ht="12.75" x14ac:dyDescent="0.35">
      <c r="A623" s="22" t="s">
        <v>2039</v>
      </c>
      <c r="B623" s="45" t="s">
        <v>2848</v>
      </c>
    </row>
    <row r="624" spans="1:2" ht="12.75" x14ac:dyDescent="0.35">
      <c r="A624" s="22"/>
      <c r="B624" s="44"/>
    </row>
    <row r="625" spans="1:2" ht="12.75" x14ac:dyDescent="0.35">
      <c r="A625" s="22" t="s">
        <v>2043</v>
      </c>
      <c r="B625" s="45" t="s">
        <v>2858</v>
      </c>
    </row>
    <row r="626" spans="1:2" ht="12.75" x14ac:dyDescent="0.35">
      <c r="A626" s="28" t="s">
        <v>2046</v>
      </c>
      <c r="B626" s="46" t="s">
        <v>2849</v>
      </c>
    </row>
    <row r="627" spans="1:2" ht="12.75" x14ac:dyDescent="0.35">
      <c r="A627" s="22" t="s">
        <v>2049</v>
      </c>
      <c r="B627" s="45" t="s">
        <v>2862</v>
      </c>
    </row>
    <row r="628" spans="1:2" ht="12.75" x14ac:dyDescent="0.35">
      <c r="A628" s="22" t="s">
        <v>2052</v>
      </c>
      <c r="B628" s="45" t="s">
        <v>2853</v>
      </c>
    </row>
    <row r="629" spans="1:2" ht="12.75" x14ac:dyDescent="0.35">
      <c r="A629" s="22" t="s">
        <v>2055</v>
      </c>
      <c r="B629" s="48" t="s">
        <v>2879</v>
      </c>
    </row>
    <row r="630" spans="1:2" ht="12.75" x14ac:dyDescent="0.35">
      <c r="A630" s="22" t="s">
        <v>2058</v>
      </c>
      <c r="B630" s="45" t="s">
        <v>2848</v>
      </c>
    </row>
    <row r="631" spans="1:2" ht="12.75" x14ac:dyDescent="0.35">
      <c r="A631" s="22" t="s">
        <v>2061</v>
      </c>
      <c r="B631" s="45" t="s">
        <v>2878</v>
      </c>
    </row>
    <row r="632" spans="1:2" ht="12.75" x14ac:dyDescent="0.35">
      <c r="A632" s="22" t="s">
        <v>2064</v>
      </c>
      <c r="B632" s="45" t="s">
        <v>2909</v>
      </c>
    </row>
    <row r="633" spans="1:2" ht="12.75" x14ac:dyDescent="0.35">
      <c r="A633" s="22" t="s">
        <v>2067</v>
      </c>
      <c r="B633" s="45" t="s">
        <v>2881</v>
      </c>
    </row>
    <row r="634" spans="1:2" ht="12.75" x14ac:dyDescent="0.35">
      <c r="A634" s="22" t="s">
        <v>2070</v>
      </c>
      <c r="B634" s="45" t="s">
        <v>2900</v>
      </c>
    </row>
    <row r="635" spans="1:2" ht="12.75" x14ac:dyDescent="0.35">
      <c r="A635" s="22" t="s">
        <v>2073</v>
      </c>
      <c r="B635" s="45" t="s">
        <v>2853</v>
      </c>
    </row>
    <row r="636" spans="1:2" ht="12.75" x14ac:dyDescent="0.35">
      <c r="A636" s="22" t="s">
        <v>2076</v>
      </c>
      <c r="B636" s="45" t="s">
        <v>2856</v>
      </c>
    </row>
    <row r="637" spans="1:2" ht="12.75" x14ac:dyDescent="0.35">
      <c r="A637" s="22" t="s">
        <v>2079</v>
      </c>
      <c r="B637" s="45" t="s">
        <v>2909</v>
      </c>
    </row>
    <row r="638" spans="1:2" ht="12.75" x14ac:dyDescent="0.35">
      <c r="A638" s="22" t="s">
        <v>2081</v>
      </c>
      <c r="B638" s="45" t="s">
        <v>2853</v>
      </c>
    </row>
    <row r="639" spans="1:2" ht="12.75" x14ac:dyDescent="0.35">
      <c r="A639" s="22" t="s">
        <v>2084</v>
      </c>
      <c r="B639" s="45" t="s">
        <v>2865</v>
      </c>
    </row>
    <row r="640" spans="1:2" ht="12.75" x14ac:dyDescent="0.35">
      <c r="A640" s="22" t="s">
        <v>2087</v>
      </c>
      <c r="B640" s="45" t="s">
        <v>2879</v>
      </c>
    </row>
    <row r="641" spans="1:2" ht="12.75" x14ac:dyDescent="0.35">
      <c r="A641" s="22" t="s">
        <v>2090</v>
      </c>
      <c r="B641" s="45" t="s">
        <v>2879</v>
      </c>
    </row>
    <row r="642" spans="1:2" ht="12.75" x14ac:dyDescent="0.35">
      <c r="A642" s="22" t="s">
        <v>2093</v>
      </c>
      <c r="B642" s="45" t="s">
        <v>2883</v>
      </c>
    </row>
    <row r="643" spans="1:2" ht="12.75" x14ac:dyDescent="0.35">
      <c r="A643" s="22" t="s">
        <v>2096</v>
      </c>
      <c r="B643" s="45" t="s">
        <v>2861</v>
      </c>
    </row>
    <row r="644" spans="1:2" ht="12.75" x14ac:dyDescent="0.35">
      <c r="A644" s="22" t="s">
        <v>2099</v>
      </c>
      <c r="B644" s="45" t="s">
        <v>2923</v>
      </c>
    </row>
    <row r="645" spans="1:2" ht="12.75" x14ac:dyDescent="0.35">
      <c r="A645" s="22" t="s">
        <v>2102</v>
      </c>
      <c r="B645" s="45" t="s">
        <v>2906</v>
      </c>
    </row>
    <row r="646" spans="1:2" ht="12.75" x14ac:dyDescent="0.35">
      <c r="A646" s="22" t="s">
        <v>2105</v>
      </c>
      <c r="B646" s="45" t="s">
        <v>2854</v>
      </c>
    </row>
    <row r="647" spans="1:2" ht="12.75" x14ac:dyDescent="0.35">
      <c r="A647" s="22" t="s">
        <v>2108</v>
      </c>
      <c r="B647" s="47" t="s">
        <v>2862</v>
      </c>
    </row>
    <row r="648" spans="1:2" ht="12.75" x14ac:dyDescent="0.35">
      <c r="A648" s="22" t="s">
        <v>2111</v>
      </c>
      <c r="B648" s="45" t="s">
        <v>2881</v>
      </c>
    </row>
    <row r="649" spans="1:2" ht="12.75" x14ac:dyDescent="0.35">
      <c r="A649" s="22" t="s">
        <v>2114</v>
      </c>
      <c r="B649" s="45" t="s">
        <v>2868</v>
      </c>
    </row>
    <row r="650" spans="1:2" ht="12.75" x14ac:dyDescent="0.35">
      <c r="A650" s="22" t="s">
        <v>2117</v>
      </c>
      <c r="B650" s="45" t="s">
        <v>2850</v>
      </c>
    </row>
    <row r="651" spans="1:2" ht="12.75" x14ac:dyDescent="0.35">
      <c r="A651" s="25"/>
      <c r="B651" s="44"/>
    </row>
    <row r="652" spans="1:2" ht="12.75" x14ac:dyDescent="0.35">
      <c r="A652" s="27" t="s">
        <v>2121</v>
      </c>
      <c r="B652" s="46" t="s">
        <v>2878</v>
      </c>
    </row>
    <row r="653" spans="1:2" ht="12.75" x14ac:dyDescent="0.35">
      <c r="A653" s="33" t="s">
        <v>2924</v>
      </c>
      <c r="B653" s="45" t="s">
        <v>2854</v>
      </c>
    </row>
    <row r="654" spans="1:2" ht="12.75" x14ac:dyDescent="0.35">
      <c r="A654" s="33" t="s">
        <v>2127</v>
      </c>
      <c r="B654" s="49" t="s">
        <v>2925</v>
      </c>
    </row>
    <row r="655" spans="1:2" ht="12.75" x14ac:dyDescent="0.35">
      <c r="A655" s="33" t="s">
        <v>2130</v>
      </c>
      <c r="B655" s="45" t="s">
        <v>2916</v>
      </c>
    </row>
    <row r="656" spans="1:2" ht="12.75" x14ac:dyDescent="0.35">
      <c r="A656" s="33" t="s">
        <v>2133</v>
      </c>
      <c r="B656" s="45" t="s">
        <v>2863</v>
      </c>
    </row>
    <row r="657" spans="1:2" ht="12.75" x14ac:dyDescent="0.35">
      <c r="A657" s="34" t="s">
        <v>2136</v>
      </c>
      <c r="B657" s="45" t="s">
        <v>2846</v>
      </c>
    </row>
    <row r="658" spans="1:2" ht="12.75" x14ac:dyDescent="0.35">
      <c r="A658" s="34" t="s">
        <v>2139</v>
      </c>
      <c r="B658" s="45" t="s">
        <v>2877</v>
      </c>
    </row>
    <row r="659" spans="1:2" ht="12.75" x14ac:dyDescent="0.35">
      <c r="A659" s="34" t="s">
        <v>2142</v>
      </c>
      <c r="B659" s="45" t="s">
        <v>2880</v>
      </c>
    </row>
    <row r="660" spans="1:2" ht="12.75" x14ac:dyDescent="0.35">
      <c r="A660" s="34" t="s">
        <v>2145</v>
      </c>
      <c r="B660" s="45" t="s">
        <v>2905</v>
      </c>
    </row>
    <row r="661" spans="1:2" ht="12.75" x14ac:dyDescent="0.35">
      <c r="A661" s="35" t="s">
        <v>2148</v>
      </c>
      <c r="B661" s="45" t="s">
        <v>2849</v>
      </c>
    </row>
    <row r="662" spans="1:2" ht="12.75" x14ac:dyDescent="0.35">
      <c r="A662" s="35" t="s">
        <v>2151</v>
      </c>
      <c r="B662" s="45" t="s">
        <v>2894</v>
      </c>
    </row>
    <row r="663" spans="1:2" ht="12.75" x14ac:dyDescent="0.35">
      <c r="A663" s="35" t="s">
        <v>2154</v>
      </c>
      <c r="B663" s="45" t="s">
        <v>2873</v>
      </c>
    </row>
    <row r="664" spans="1:2" ht="12.75" x14ac:dyDescent="0.35">
      <c r="A664" s="35" t="s">
        <v>2157</v>
      </c>
      <c r="B664" s="45" t="s">
        <v>2917</v>
      </c>
    </row>
    <row r="665" spans="1:2" ht="12.75" x14ac:dyDescent="0.35">
      <c r="A665" s="25" t="s">
        <v>2159</v>
      </c>
      <c r="B665" s="45" t="s">
        <v>2873</v>
      </c>
    </row>
    <row r="666" spans="1:2" ht="12.75" x14ac:dyDescent="0.35">
      <c r="A666" s="25" t="s">
        <v>2162</v>
      </c>
      <c r="B666" s="45" t="s">
        <v>2926</v>
      </c>
    </row>
    <row r="667" spans="1:2" ht="12.75" x14ac:dyDescent="0.35">
      <c r="A667" s="25" t="s">
        <v>2165</v>
      </c>
      <c r="B667" s="45" t="s">
        <v>2895</v>
      </c>
    </row>
    <row r="668" spans="1:2" ht="12.75" x14ac:dyDescent="0.35">
      <c r="A668" s="22" t="s">
        <v>2168</v>
      </c>
      <c r="B668" s="45" t="s">
        <v>2879</v>
      </c>
    </row>
    <row r="669" spans="1:2" ht="12.75" x14ac:dyDescent="0.35">
      <c r="A669" s="36" t="s">
        <v>2171</v>
      </c>
      <c r="B669" s="45" t="s">
        <v>2857</v>
      </c>
    </row>
    <row r="670" spans="1:2" ht="12.75" x14ac:dyDescent="0.35">
      <c r="A670" s="36" t="s">
        <v>2174</v>
      </c>
      <c r="B670" s="45" t="s">
        <v>2863</v>
      </c>
    </row>
    <row r="671" spans="1:2" ht="12.75" x14ac:dyDescent="0.35">
      <c r="A671" s="36" t="s">
        <v>2177</v>
      </c>
      <c r="B671" s="45" t="s">
        <v>2888</v>
      </c>
    </row>
    <row r="672" spans="1:2" ht="12.75" x14ac:dyDescent="0.35">
      <c r="A672" s="36" t="s">
        <v>2180</v>
      </c>
      <c r="B672" s="45" t="s">
        <v>2887</v>
      </c>
    </row>
    <row r="673" spans="1:2" ht="12.75" x14ac:dyDescent="0.35">
      <c r="A673" s="37" t="s">
        <v>2183</v>
      </c>
      <c r="B673" s="45" t="s">
        <v>2862</v>
      </c>
    </row>
    <row r="674" spans="1:2" ht="12.75" x14ac:dyDescent="0.35">
      <c r="A674" s="37" t="s">
        <v>2185</v>
      </c>
      <c r="B674" s="45" t="s">
        <v>2874</v>
      </c>
    </row>
    <row r="675" spans="1:2" ht="12.75" x14ac:dyDescent="0.35">
      <c r="A675" s="37" t="s">
        <v>2188</v>
      </c>
      <c r="B675" s="45" t="s">
        <v>2866</v>
      </c>
    </row>
    <row r="676" spans="1:2" ht="12.75" x14ac:dyDescent="0.35">
      <c r="A676" s="37" t="s">
        <v>2191</v>
      </c>
      <c r="B676" s="45" t="s">
        <v>2884</v>
      </c>
    </row>
    <row r="677" spans="1:2" ht="12.75" x14ac:dyDescent="0.35">
      <c r="A677" s="37" t="s">
        <v>2194</v>
      </c>
      <c r="B677" s="49" t="s">
        <v>2874</v>
      </c>
    </row>
    <row r="678" spans="1:2" ht="12.75" x14ac:dyDescent="0.35">
      <c r="A678" s="28"/>
      <c r="B678" s="50"/>
    </row>
    <row r="679" spans="1:2" ht="12.75" x14ac:dyDescent="0.35">
      <c r="B679" s="51"/>
    </row>
    <row r="680" spans="1:2" ht="12.75" x14ac:dyDescent="0.35">
      <c r="B680" s="51"/>
    </row>
    <row r="681" spans="1:2" ht="12.75" x14ac:dyDescent="0.35">
      <c r="B681" s="51"/>
    </row>
    <row r="682" spans="1:2" ht="12.75" x14ac:dyDescent="0.35">
      <c r="B682" s="51"/>
    </row>
    <row r="683" spans="1:2" ht="12.75" x14ac:dyDescent="0.35">
      <c r="B683" s="51"/>
    </row>
    <row r="684" spans="1:2" ht="12.75" x14ac:dyDescent="0.35">
      <c r="B684" s="51"/>
    </row>
    <row r="685" spans="1:2" ht="12.75" x14ac:dyDescent="0.35">
      <c r="B685" s="51"/>
    </row>
    <row r="686" spans="1:2" ht="12.75" x14ac:dyDescent="0.35">
      <c r="B686" s="51"/>
    </row>
    <row r="687" spans="1:2" ht="12.75" x14ac:dyDescent="0.35">
      <c r="B687" s="51"/>
    </row>
    <row r="688" spans="1:2" ht="12.75" x14ac:dyDescent="0.35">
      <c r="B688" s="51"/>
    </row>
    <row r="689" spans="2:2" ht="12.75" x14ac:dyDescent="0.35">
      <c r="B689" s="51"/>
    </row>
    <row r="690" spans="2:2" ht="12.75" x14ac:dyDescent="0.35">
      <c r="B690" s="51"/>
    </row>
    <row r="691" spans="2:2" ht="12.75" x14ac:dyDescent="0.35">
      <c r="B691" s="51"/>
    </row>
    <row r="692" spans="2:2" ht="12.75" x14ac:dyDescent="0.35">
      <c r="B692" s="51"/>
    </row>
    <row r="693" spans="2:2" ht="12.75" x14ac:dyDescent="0.35">
      <c r="B693" s="51"/>
    </row>
    <row r="694" spans="2:2" ht="12.75" x14ac:dyDescent="0.35">
      <c r="B694" s="51"/>
    </row>
    <row r="695" spans="2:2" ht="12.75" x14ac:dyDescent="0.35">
      <c r="B695" s="51"/>
    </row>
    <row r="696" spans="2:2" ht="12.75" x14ac:dyDescent="0.35">
      <c r="B696" s="51"/>
    </row>
    <row r="697" spans="2:2" ht="12.75" x14ac:dyDescent="0.35">
      <c r="B697" s="51"/>
    </row>
    <row r="698" spans="2:2" ht="12.75" x14ac:dyDescent="0.35">
      <c r="B698" s="51"/>
    </row>
    <row r="699" spans="2:2" ht="12.75" x14ac:dyDescent="0.35">
      <c r="B699" s="51"/>
    </row>
    <row r="700" spans="2:2" ht="12.75" x14ac:dyDescent="0.35">
      <c r="B700" s="51"/>
    </row>
    <row r="701" spans="2:2" ht="12.75" x14ac:dyDescent="0.35">
      <c r="B701" s="51"/>
    </row>
    <row r="702" spans="2:2" ht="12.75" x14ac:dyDescent="0.35">
      <c r="B702" s="51"/>
    </row>
    <row r="703" spans="2:2" ht="12.75" x14ac:dyDescent="0.35">
      <c r="B703" s="51"/>
    </row>
    <row r="704" spans="2:2" ht="12.75" x14ac:dyDescent="0.35">
      <c r="B704" s="51"/>
    </row>
    <row r="705" spans="2:2" ht="12.75" x14ac:dyDescent="0.35">
      <c r="B705" s="51"/>
    </row>
    <row r="706" spans="2:2" ht="12.75" x14ac:dyDescent="0.35">
      <c r="B706" s="51"/>
    </row>
    <row r="707" spans="2:2" ht="12.75" x14ac:dyDescent="0.35">
      <c r="B707" s="51"/>
    </row>
    <row r="708" spans="2:2" ht="12.75" x14ac:dyDescent="0.35">
      <c r="B708" s="51"/>
    </row>
    <row r="709" spans="2:2" ht="12.75" x14ac:dyDescent="0.35">
      <c r="B709" s="51"/>
    </row>
    <row r="710" spans="2:2" ht="12.75" x14ac:dyDescent="0.35">
      <c r="B710" s="51"/>
    </row>
    <row r="711" spans="2:2" ht="12.75" x14ac:dyDescent="0.35">
      <c r="B711" s="51"/>
    </row>
    <row r="712" spans="2:2" ht="12.75" x14ac:dyDescent="0.35">
      <c r="B712" s="51"/>
    </row>
    <row r="713" spans="2:2" ht="12.75" x14ac:dyDescent="0.35">
      <c r="B713" s="51"/>
    </row>
    <row r="714" spans="2:2" ht="12.75" x14ac:dyDescent="0.35">
      <c r="B714" s="51"/>
    </row>
    <row r="715" spans="2:2" ht="12.75" x14ac:dyDescent="0.35">
      <c r="B715" s="51"/>
    </row>
    <row r="716" spans="2:2" ht="12.75" x14ac:dyDescent="0.35">
      <c r="B716" s="51"/>
    </row>
    <row r="717" spans="2:2" ht="12.75" x14ac:dyDescent="0.35">
      <c r="B717" s="51"/>
    </row>
    <row r="718" spans="2:2" ht="12.75" x14ac:dyDescent="0.35">
      <c r="B718" s="51"/>
    </row>
    <row r="719" spans="2:2" ht="12.75" x14ac:dyDescent="0.35">
      <c r="B719" s="51"/>
    </row>
    <row r="720" spans="2:2" ht="12.75" x14ac:dyDescent="0.35">
      <c r="B720" s="51"/>
    </row>
    <row r="721" spans="2:2" ht="12.75" x14ac:dyDescent="0.35">
      <c r="B721" s="51"/>
    </row>
    <row r="722" spans="2:2" ht="12.75" x14ac:dyDescent="0.35">
      <c r="B722" s="51"/>
    </row>
    <row r="723" spans="2:2" ht="12.75" x14ac:dyDescent="0.35">
      <c r="B723" s="51"/>
    </row>
    <row r="724" spans="2:2" ht="12.75" x14ac:dyDescent="0.35">
      <c r="B724" s="51"/>
    </row>
    <row r="725" spans="2:2" ht="12.75" x14ac:dyDescent="0.35">
      <c r="B725" s="51"/>
    </row>
    <row r="726" spans="2:2" ht="12.75" x14ac:dyDescent="0.35">
      <c r="B726" s="51"/>
    </row>
    <row r="727" spans="2:2" ht="12.75" x14ac:dyDescent="0.35">
      <c r="B727" s="51"/>
    </row>
    <row r="728" spans="2:2" ht="12.75" x14ac:dyDescent="0.35">
      <c r="B728" s="51"/>
    </row>
    <row r="729" spans="2:2" ht="12.75" x14ac:dyDescent="0.35">
      <c r="B729" s="51"/>
    </row>
    <row r="730" spans="2:2" ht="12.75" x14ac:dyDescent="0.35">
      <c r="B730" s="51"/>
    </row>
    <row r="731" spans="2:2" ht="12.75" x14ac:dyDescent="0.35">
      <c r="B731" s="51"/>
    </row>
    <row r="732" spans="2:2" ht="12.75" x14ac:dyDescent="0.35">
      <c r="B732" s="51"/>
    </row>
    <row r="733" spans="2:2" ht="12.75" x14ac:dyDescent="0.35">
      <c r="B733" s="51"/>
    </row>
    <row r="734" spans="2:2" ht="12.75" x14ac:dyDescent="0.35">
      <c r="B734" s="51"/>
    </row>
    <row r="735" spans="2:2" ht="12.75" x14ac:dyDescent="0.35">
      <c r="B735" s="51"/>
    </row>
    <row r="736" spans="2:2" ht="12.75" x14ac:dyDescent="0.35">
      <c r="B736" s="51"/>
    </row>
    <row r="737" spans="2:2" ht="12.75" x14ac:dyDescent="0.35">
      <c r="B737" s="51"/>
    </row>
    <row r="738" spans="2:2" ht="12.75" x14ac:dyDescent="0.35">
      <c r="B738" s="51"/>
    </row>
    <row r="739" spans="2:2" ht="12.75" x14ac:dyDescent="0.35">
      <c r="B739" s="51"/>
    </row>
    <row r="740" spans="2:2" ht="12.75" x14ac:dyDescent="0.35">
      <c r="B740" s="51"/>
    </row>
    <row r="741" spans="2:2" ht="12.75" x14ac:dyDescent="0.35">
      <c r="B741" s="51"/>
    </row>
    <row r="742" spans="2:2" ht="12.75" x14ac:dyDescent="0.35">
      <c r="B742" s="51"/>
    </row>
    <row r="743" spans="2:2" ht="12.75" x14ac:dyDescent="0.35">
      <c r="B743" s="51"/>
    </row>
    <row r="744" spans="2:2" ht="12.75" x14ac:dyDescent="0.35">
      <c r="B744" s="51"/>
    </row>
    <row r="745" spans="2:2" ht="12.75" x14ac:dyDescent="0.35">
      <c r="B745" s="51"/>
    </row>
    <row r="746" spans="2:2" ht="12.75" x14ac:dyDescent="0.35">
      <c r="B746" s="51"/>
    </row>
    <row r="747" spans="2:2" ht="12.75" x14ac:dyDescent="0.35">
      <c r="B747" s="51"/>
    </row>
    <row r="748" spans="2:2" ht="12.75" x14ac:dyDescent="0.35">
      <c r="B748" s="51"/>
    </row>
    <row r="749" spans="2:2" ht="12.75" x14ac:dyDescent="0.35">
      <c r="B749" s="51"/>
    </row>
    <row r="750" spans="2:2" ht="12.75" x14ac:dyDescent="0.35">
      <c r="B750" s="51"/>
    </row>
    <row r="751" spans="2:2" ht="12.75" x14ac:dyDescent="0.35">
      <c r="B751" s="51"/>
    </row>
    <row r="752" spans="2:2" ht="12.75" x14ac:dyDescent="0.35">
      <c r="B752" s="51"/>
    </row>
    <row r="753" spans="2:2" ht="12.75" x14ac:dyDescent="0.35">
      <c r="B753" s="51"/>
    </row>
    <row r="754" spans="2:2" ht="12.75" x14ac:dyDescent="0.35">
      <c r="B754" s="51"/>
    </row>
    <row r="755" spans="2:2" ht="12.75" x14ac:dyDescent="0.35">
      <c r="B755" s="51"/>
    </row>
    <row r="756" spans="2:2" ht="12.75" x14ac:dyDescent="0.35">
      <c r="B756" s="51"/>
    </row>
    <row r="757" spans="2:2" ht="12.75" x14ac:dyDescent="0.35">
      <c r="B757" s="51"/>
    </row>
    <row r="758" spans="2:2" ht="12.75" x14ac:dyDescent="0.35">
      <c r="B758" s="51"/>
    </row>
    <row r="759" spans="2:2" ht="12.75" x14ac:dyDescent="0.35">
      <c r="B759" s="51"/>
    </row>
    <row r="760" spans="2:2" ht="12.75" x14ac:dyDescent="0.35">
      <c r="B760" s="51"/>
    </row>
    <row r="761" spans="2:2" ht="12.75" x14ac:dyDescent="0.35">
      <c r="B761" s="51"/>
    </row>
    <row r="762" spans="2:2" ht="12.75" x14ac:dyDescent="0.35">
      <c r="B762" s="51"/>
    </row>
    <row r="763" spans="2:2" ht="12.75" x14ac:dyDescent="0.35">
      <c r="B763" s="51"/>
    </row>
    <row r="764" spans="2:2" ht="12.75" x14ac:dyDescent="0.35">
      <c r="B764" s="51"/>
    </row>
    <row r="765" spans="2:2" ht="12.75" x14ac:dyDescent="0.35">
      <c r="B765" s="51"/>
    </row>
    <row r="766" spans="2:2" ht="12.75" x14ac:dyDescent="0.35">
      <c r="B766" s="51"/>
    </row>
    <row r="767" spans="2:2" ht="12.75" x14ac:dyDescent="0.35">
      <c r="B767" s="51"/>
    </row>
    <row r="768" spans="2:2" ht="12.75" x14ac:dyDescent="0.35">
      <c r="B768" s="51"/>
    </row>
    <row r="769" spans="2:2" ht="12.75" x14ac:dyDescent="0.35">
      <c r="B769" s="51"/>
    </row>
    <row r="770" spans="2:2" ht="12.75" x14ac:dyDescent="0.35">
      <c r="B770" s="51"/>
    </row>
    <row r="771" spans="2:2" ht="12.75" x14ac:dyDescent="0.35">
      <c r="B771" s="51"/>
    </row>
    <row r="772" spans="2:2" ht="12.75" x14ac:dyDescent="0.35">
      <c r="B772" s="51"/>
    </row>
    <row r="773" spans="2:2" ht="12.75" x14ac:dyDescent="0.35">
      <c r="B773" s="51"/>
    </row>
    <row r="774" spans="2:2" ht="12.75" x14ac:dyDescent="0.35">
      <c r="B774" s="51"/>
    </row>
    <row r="775" spans="2:2" ht="12.75" x14ac:dyDescent="0.35">
      <c r="B775" s="51"/>
    </row>
    <row r="776" spans="2:2" ht="12.75" x14ac:dyDescent="0.35">
      <c r="B776" s="51"/>
    </row>
    <row r="777" spans="2:2" ht="12.75" x14ac:dyDescent="0.35">
      <c r="B777" s="51"/>
    </row>
    <row r="778" spans="2:2" ht="12.75" x14ac:dyDescent="0.35">
      <c r="B778" s="51"/>
    </row>
    <row r="779" spans="2:2" ht="12.75" x14ac:dyDescent="0.35">
      <c r="B779" s="51"/>
    </row>
    <row r="780" spans="2:2" ht="12.75" x14ac:dyDescent="0.35">
      <c r="B780" s="51"/>
    </row>
    <row r="781" spans="2:2" ht="12.75" x14ac:dyDescent="0.35">
      <c r="B781" s="51"/>
    </row>
    <row r="782" spans="2:2" ht="12.75" x14ac:dyDescent="0.35">
      <c r="B782" s="51"/>
    </row>
    <row r="783" spans="2:2" ht="12.75" x14ac:dyDescent="0.35">
      <c r="B783" s="51"/>
    </row>
    <row r="784" spans="2:2" ht="12.75" x14ac:dyDescent="0.35">
      <c r="B784" s="51"/>
    </row>
    <row r="785" spans="2:2" ht="12.75" x14ac:dyDescent="0.35">
      <c r="B785" s="51"/>
    </row>
    <row r="786" spans="2:2" ht="12.75" x14ac:dyDescent="0.35">
      <c r="B786" s="51"/>
    </row>
    <row r="787" spans="2:2" ht="12.75" x14ac:dyDescent="0.35">
      <c r="B787" s="51"/>
    </row>
    <row r="788" spans="2:2" ht="12.75" x14ac:dyDescent="0.35">
      <c r="B788" s="51"/>
    </row>
    <row r="789" spans="2:2" ht="12.75" x14ac:dyDescent="0.35">
      <c r="B789" s="51"/>
    </row>
    <row r="790" spans="2:2" ht="12.75" x14ac:dyDescent="0.35">
      <c r="B790" s="51"/>
    </row>
    <row r="791" spans="2:2" ht="12.75" x14ac:dyDescent="0.35">
      <c r="B791" s="51"/>
    </row>
    <row r="792" spans="2:2" ht="12.75" x14ac:dyDescent="0.35">
      <c r="B792" s="51"/>
    </row>
    <row r="793" spans="2:2" ht="12.75" x14ac:dyDescent="0.35">
      <c r="B793" s="51"/>
    </row>
    <row r="794" spans="2:2" ht="12.75" x14ac:dyDescent="0.35">
      <c r="B794" s="51"/>
    </row>
    <row r="795" spans="2:2" ht="12.75" x14ac:dyDescent="0.35">
      <c r="B795" s="51"/>
    </row>
    <row r="796" spans="2:2" ht="12.75" x14ac:dyDescent="0.35">
      <c r="B796" s="51"/>
    </row>
    <row r="797" spans="2:2" ht="12.75" x14ac:dyDescent="0.35">
      <c r="B797" s="51"/>
    </row>
    <row r="798" spans="2:2" ht="12.75" x14ac:dyDescent="0.35">
      <c r="B798" s="51"/>
    </row>
    <row r="799" spans="2:2" ht="12.75" x14ac:dyDescent="0.35">
      <c r="B799" s="51"/>
    </row>
    <row r="800" spans="2:2" ht="12.75" x14ac:dyDescent="0.35">
      <c r="B800" s="51"/>
    </row>
    <row r="801" spans="2:2" ht="12.75" x14ac:dyDescent="0.35">
      <c r="B801" s="51"/>
    </row>
    <row r="802" spans="2:2" ht="12.75" x14ac:dyDescent="0.35">
      <c r="B802" s="51"/>
    </row>
    <row r="803" spans="2:2" ht="12.75" x14ac:dyDescent="0.35">
      <c r="B803" s="51"/>
    </row>
    <row r="804" spans="2:2" ht="12.75" x14ac:dyDescent="0.35">
      <c r="B804" s="51"/>
    </row>
    <row r="805" spans="2:2" ht="12.75" x14ac:dyDescent="0.35">
      <c r="B805" s="51"/>
    </row>
    <row r="806" spans="2:2" ht="12.75" x14ac:dyDescent="0.35">
      <c r="B806" s="51"/>
    </row>
    <row r="807" spans="2:2" ht="12.75" x14ac:dyDescent="0.35">
      <c r="B807" s="51"/>
    </row>
    <row r="808" spans="2:2" ht="12.75" x14ac:dyDescent="0.35">
      <c r="B808" s="51"/>
    </row>
    <row r="809" spans="2:2" ht="12.75" x14ac:dyDescent="0.35">
      <c r="B809" s="51"/>
    </row>
    <row r="810" spans="2:2" ht="12.75" x14ac:dyDescent="0.35">
      <c r="B810" s="51"/>
    </row>
    <row r="811" spans="2:2" ht="12.75" x14ac:dyDescent="0.35">
      <c r="B811" s="51"/>
    </row>
    <row r="812" spans="2:2" ht="12.75" x14ac:dyDescent="0.35">
      <c r="B812" s="51"/>
    </row>
    <row r="813" spans="2:2" ht="12.75" x14ac:dyDescent="0.35">
      <c r="B813" s="51"/>
    </row>
    <row r="814" spans="2:2" ht="12.75" x14ac:dyDescent="0.35">
      <c r="B814" s="51"/>
    </row>
    <row r="815" spans="2:2" ht="12.75" x14ac:dyDescent="0.35">
      <c r="B815" s="51"/>
    </row>
    <row r="816" spans="2:2" ht="12.75" x14ac:dyDescent="0.35">
      <c r="B816" s="51"/>
    </row>
    <row r="817" spans="2:2" ht="12.75" x14ac:dyDescent="0.35">
      <c r="B817" s="51"/>
    </row>
    <row r="818" spans="2:2" ht="12.75" x14ac:dyDescent="0.35">
      <c r="B818" s="51"/>
    </row>
    <row r="819" spans="2:2" ht="12.75" x14ac:dyDescent="0.35">
      <c r="B819" s="51"/>
    </row>
    <row r="820" spans="2:2" ht="12.75" x14ac:dyDescent="0.35">
      <c r="B820" s="51"/>
    </row>
    <row r="821" spans="2:2" ht="12.75" x14ac:dyDescent="0.35">
      <c r="B821" s="51"/>
    </row>
    <row r="822" spans="2:2" ht="12.75" x14ac:dyDescent="0.35">
      <c r="B822" s="51"/>
    </row>
    <row r="823" spans="2:2" ht="12.75" x14ac:dyDescent="0.35">
      <c r="B823" s="51"/>
    </row>
    <row r="824" spans="2:2" ht="12.75" x14ac:dyDescent="0.35">
      <c r="B824" s="51"/>
    </row>
    <row r="825" spans="2:2" ht="12.75" x14ac:dyDescent="0.35">
      <c r="B825" s="51"/>
    </row>
    <row r="826" spans="2:2" ht="12.75" x14ac:dyDescent="0.35">
      <c r="B826" s="51"/>
    </row>
    <row r="827" spans="2:2" ht="12.75" x14ac:dyDescent="0.35">
      <c r="B827" s="51"/>
    </row>
    <row r="828" spans="2:2" ht="12.75" x14ac:dyDescent="0.35">
      <c r="B828" s="51"/>
    </row>
    <row r="829" spans="2:2" ht="12.75" x14ac:dyDescent="0.35">
      <c r="B829" s="51"/>
    </row>
    <row r="830" spans="2:2" ht="12.75" x14ac:dyDescent="0.35">
      <c r="B830" s="51"/>
    </row>
    <row r="831" spans="2:2" ht="12.75" x14ac:dyDescent="0.35">
      <c r="B831" s="51"/>
    </row>
    <row r="832" spans="2:2" ht="12.75" x14ac:dyDescent="0.35">
      <c r="B832" s="51"/>
    </row>
    <row r="833" spans="2:2" ht="12.75" x14ac:dyDescent="0.35">
      <c r="B833" s="51"/>
    </row>
    <row r="834" spans="2:2" ht="12.75" x14ac:dyDescent="0.35">
      <c r="B834" s="51"/>
    </row>
    <row r="835" spans="2:2" ht="12.75" x14ac:dyDescent="0.35">
      <c r="B835" s="51"/>
    </row>
    <row r="836" spans="2:2" ht="12.75" x14ac:dyDescent="0.35">
      <c r="B836" s="51"/>
    </row>
    <row r="837" spans="2:2" ht="12.75" x14ac:dyDescent="0.35">
      <c r="B837" s="51"/>
    </row>
    <row r="838" spans="2:2" ht="12.75" x14ac:dyDescent="0.35">
      <c r="B838" s="51"/>
    </row>
    <row r="839" spans="2:2" ht="12.75" x14ac:dyDescent="0.35">
      <c r="B839" s="51"/>
    </row>
    <row r="840" spans="2:2" ht="12.75" x14ac:dyDescent="0.35">
      <c r="B840" s="51"/>
    </row>
    <row r="841" spans="2:2" ht="12.75" x14ac:dyDescent="0.35">
      <c r="B841" s="51"/>
    </row>
    <row r="842" spans="2:2" ht="12.75" x14ac:dyDescent="0.35">
      <c r="B842" s="51"/>
    </row>
    <row r="843" spans="2:2" ht="12.75" x14ac:dyDescent="0.35">
      <c r="B843" s="51"/>
    </row>
    <row r="844" spans="2:2" ht="12.75" x14ac:dyDescent="0.35">
      <c r="B844" s="51"/>
    </row>
    <row r="845" spans="2:2" ht="12.75" x14ac:dyDescent="0.35">
      <c r="B845" s="51"/>
    </row>
    <row r="846" spans="2:2" ht="12.75" x14ac:dyDescent="0.35">
      <c r="B846" s="51"/>
    </row>
    <row r="847" spans="2:2" ht="12.75" x14ac:dyDescent="0.35">
      <c r="B847" s="51"/>
    </row>
    <row r="848" spans="2:2" ht="12.75" x14ac:dyDescent="0.35">
      <c r="B848" s="51"/>
    </row>
    <row r="849" spans="2:2" ht="12.75" x14ac:dyDescent="0.35">
      <c r="B849" s="51"/>
    </row>
    <row r="850" spans="2:2" ht="12.75" x14ac:dyDescent="0.35">
      <c r="B850" s="51"/>
    </row>
    <row r="851" spans="2:2" ht="12.75" x14ac:dyDescent="0.35">
      <c r="B851" s="51"/>
    </row>
    <row r="852" spans="2:2" ht="12.75" x14ac:dyDescent="0.35">
      <c r="B852" s="51"/>
    </row>
    <row r="853" spans="2:2" ht="12.75" x14ac:dyDescent="0.35">
      <c r="B853" s="51"/>
    </row>
    <row r="854" spans="2:2" ht="12.75" x14ac:dyDescent="0.35">
      <c r="B854" s="51"/>
    </row>
    <row r="855" spans="2:2" ht="12.75" x14ac:dyDescent="0.35">
      <c r="B855" s="51"/>
    </row>
    <row r="856" spans="2:2" ht="12.75" x14ac:dyDescent="0.35">
      <c r="B856" s="51"/>
    </row>
    <row r="857" spans="2:2" ht="12.75" x14ac:dyDescent="0.35">
      <c r="B857" s="51"/>
    </row>
    <row r="858" spans="2:2" ht="12.75" x14ac:dyDescent="0.35">
      <c r="B858" s="51"/>
    </row>
    <row r="859" spans="2:2" ht="12.75" x14ac:dyDescent="0.35">
      <c r="B859" s="51"/>
    </row>
    <row r="860" spans="2:2" ht="12.75" x14ac:dyDescent="0.35">
      <c r="B860" s="51"/>
    </row>
    <row r="861" spans="2:2" ht="12.75" x14ac:dyDescent="0.35">
      <c r="B861" s="51"/>
    </row>
    <row r="862" spans="2:2" ht="12.75" x14ac:dyDescent="0.35">
      <c r="B862" s="51"/>
    </row>
    <row r="863" spans="2:2" ht="12.75" x14ac:dyDescent="0.35">
      <c r="B863" s="51"/>
    </row>
    <row r="864" spans="2:2" ht="12.75" x14ac:dyDescent="0.35">
      <c r="B864" s="51"/>
    </row>
    <row r="865" spans="2:2" ht="12.75" x14ac:dyDescent="0.35">
      <c r="B865" s="51"/>
    </row>
    <row r="866" spans="2:2" ht="12.75" x14ac:dyDescent="0.35">
      <c r="B866" s="51"/>
    </row>
    <row r="867" spans="2:2" ht="12.75" x14ac:dyDescent="0.35">
      <c r="B867" s="51"/>
    </row>
    <row r="868" spans="2:2" ht="12.75" x14ac:dyDescent="0.35">
      <c r="B868" s="51"/>
    </row>
    <row r="869" spans="2:2" ht="12.75" x14ac:dyDescent="0.35">
      <c r="B869" s="51"/>
    </row>
    <row r="870" spans="2:2" ht="12.75" x14ac:dyDescent="0.35">
      <c r="B870" s="51"/>
    </row>
    <row r="871" spans="2:2" ht="12.75" x14ac:dyDescent="0.35">
      <c r="B871" s="51"/>
    </row>
    <row r="872" spans="2:2" ht="12.75" x14ac:dyDescent="0.35">
      <c r="B872" s="51"/>
    </row>
    <row r="873" spans="2:2" ht="12.75" x14ac:dyDescent="0.35">
      <c r="B873" s="51"/>
    </row>
    <row r="874" spans="2:2" ht="12.75" x14ac:dyDescent="0.35">
      <c r="B874" s="51"/>
    </row>
    <row r="875" spans="2:2" ht="12.75" x14ac:dyDescent="0.35">
      <c r="B875" s="51"/>
    </row>
    <row r="876" spans="2:2" ht="12.75" x14ac:dyDescent="0.35">
      <c r="B876" s="51"/>
    </row>
    <row r="877" spans="2:2" ht="12.75" x14ac:dyDescent="0.35">
      <c r="B877" s="51"/>
    </row>
    <row r="878" spans="2:2" ht="12.75" x14ac:dyDescent="0.35">
      <c r="B878" s="51"/>
    </row>
    <row r="879" spans="2:2" ht="12.75" x14ac:dyDescent="0.35">
      <c r="B879" s="51"/>
    </row>
    <row r="880" spans="2:2" ht="12.75" x14ac:dyDescent="0.35">
      <c r="B880" s="51"/>
    </row>
    <row r="881" spans="2:2" ht="12.75" x14ac:dyDescent="0.35">
      <c r="B881" s="51"/>
    </row>
    <row r="882" spans="2:2" ht="12.75" x14ac:dyDescent="0.35">
      <c r="B882" s="51"/>
    </row>
    <row r="883" spans="2:2" ht="12.75" x14ac:dyDescent="0.35">
      <c r="B883" s="51"/>
    </row>
    <row r="884" spans="2:2" ht="12.75" x14ac:dyDescent="0.35">
      <c r="B884" s="51"/>
    </row>
    <row r="885" spans="2:2" ht="12.75" x14ac:dyDescent="0.35">
      <c r="B885" s="51"/>
    </row>
    <row r="886" spans="2:2" ht="12.75" x14ac:dyDescent="0.35">
      <c r="B886" s="51"/>
    </row>
    <row r="887" spans="2:2" ht="12.75" x14ac:dyDescent="0.35">
      <c r="B887" s="51"/>
    </row>
    <row r="888" spans="2:2" ht="12.75" x14ac:dyDescent="0.35">
      <c r="B888" s="51"/>
    </row>
    <row r="889" spans="2:2" ht="12.75" x14ac:dyDescent="0.35">
      <c r="B889" s="51"/>
    </row>
    <row r="890" spans="2:2" ht="12.75" x14ac:dyDescent="0.35">
      <c r="B890" s="51"/>
    </row>
    <row r="891" spans="2:2" ht="12.75" x14ac:dyDescent="0.35">
      <c r="B891" s="51"/>
    </row>
    <row r="892" spans="2:2" ht="12.75" x14ac:dyDescent="0.35">
      <c r="B892" s="51"/>
    </row>
    <row r="893" spans="2:2" ht="12.75" x14ac:dyDescent="0.35">
      <c r="B893" s="51"/>
    </row>
    <row r="894" spans="2:2" ht="12.75" x14ac:dyDescent="0.35">
      <c r="B894" s="51"/>
    </row>
    <row r="895" spans="2:2" ht="12.75" x14ac:dyDescent="0.35">
      <c r="B895" s="51"/>
    </row>
    <row r="896" spans="2:2" ht="12.75" x14ac:dyDescent="0.35">
      <c r="B896" s="51"/>
    </row>
    <row r="897" spans="2:2" ht="12.75" x14ac:dyDescent="0.35">
      <c r="B897" s="51"/>
    </row>
    <row r="898" spans="2:2" ht="12.75" x14ac:dyDescent="0.35">
      <c r="B898" s="51"/>
    </row>
    <row r="899" spans="2:2" ht="12.75" x14ac:dyDescent="0.35">
      <c r="B899" s="51"/>
    </row>
    <row r="900" spans="2:2" ht="12.75" x14ac:dyDescent="0.35">
      <c r="B900" s="51"/>
    </row>
    <row r="901" spans="2:2" ht="12.75" x14ac:dyDescent="0.35">
      <c r="B901" s="51"/>
    </row>
    <row r="902" spans="2:2" ht="12.75" x14ac:dyDescent="0.35">
      <c r="B902" s="51"/>
    </row>
    <row r="903" spans="2:2" ht="12.75" x14ac:dyDescent="0.35">
      <c r="B903" s="51"/>
    </row>
    <row r="904" spans="2:2" ht="12.75" x14ac:dyDescent="0.35">
      <c r="B904" s="51"/>
    </row>
    <row r="905" spans="2:2" ht="12.75" x14ac:dyDescent="0.35">
      <c r="B905" s="51"/>
    </row>
    <row r="906" spans="2:2" ht="12.75" x14ac:dyDescent="0.35">
      <c r="B906" s="51"/>
    </row>
    <row r="907" spans="2:2" ht="12.75" x14ac:dyDescent="0.35">
      <c r="B907" s="51"/>
    </row>
    <row r="908" spans="2:2" ht="12.75" x14ac:dyDescent="0.35">
      <c r="B908" s="51"/>
    </row>
    <row r="909" spans="2:2" ht="12.75" x14ac:dyDescent="0.35">
      <c r="B909" s="51"/>
    </row>
    <row r="910" spans="2:2" ht="12.75" x14ac:dyDescent="0.35">
      <c r="B910" s="51"/>
    </row>
    <row r="911" spans="2:2" ht="12.75" x14ac:dyDescent="0.35">
      <c r="B911" s="51"/>
    </row>
    <row r="912" spans="2:2" ht="12.75" x14ac:dyDescent="0.35">
      <c r="B912" s="51"/>
    </row>
    <row r="913" spans="2:2" ht="12.75" x14ac:dyDescent="0.35">
      <c r="B913" s="51"/>
    </row>
    <row r="914" spans="2:2" ht="12.75" x14ac:dyDescent="0.35">
      <c r="B914" s="51"/>
    </row>
    <row r="915" spans="2:2" ht="12.75" x14ac:dyDescent="0.35">
      <c r="B915" s="51"/>
    </row>
    <row r="916" spans="2:2" ht="12.75" x14ac:dyDescent="0.35">
      <c r="B916" s="51"/>
    </row>
    <row r="917" spans="2:2" ht="12.75" x14ac:dyDescent="0.35">
      <c r="B917" s="51"/>
    </row>
    <row r="918" spans="2:2" ht="12.75" x14ac:dyDescent="0.35">
      <c r="B918" s="51"/>
    </row>
    <row r="919" spans="2:2" ht="12.75" x14ac:dyDescent="0.35">
      <c r="B919" s="51"/>
    </row>
    <row r="920" spans="2:2" ht="12.75" x14ac:dyDescent="0.35">
      <c r="B920" s="51"/>
    </row>
    <row r="921" spans="2:2" ht="12.75" x14ac:dyDescent="0.35">
      <c r="B921" s="51"/>
    </row>
    <row r="922" spans="2:2" ht="12.75" x14ac:dyDescent="0.35">
      <c r="B922" s="51"/>
    </row>
    <row r="923" spans="2:2" ht="12.75" x14ac:dyDescent="0.35">
      <c r="B923" s="51"/>
    </row>
    <row r="924" spans="2:2" ht="12.75" x14ac:dyDescent="0.35">
      <c r="B924" s="51"/>
    </row>
    <row r="925" spans="2:2" ht="12.75" x14ac:dyDescent="0.35">
      <c r="B925" s="51"/>
    </row>
    <row r="926" spans="2:2" ht="12.75" x14ac:dyDescent="0.35">
      <c r="B926" s="51"/>
    </row>
    <row r="927" spans="2:2" ht="12.75" x14ac:dyDescent="0.35">
      <c r="B927" s="51"/>
    </row>
    <row r="928" spans="2:2" ht="12.75" x14ac:dyDescent="0.35">
      <c r="B928" s="51"/>
    </row>
    <row r="929" spans="2:2" ht="12.75" x14ac:dyDescent="0.35">
      <c r="B929" s="51"/>
    </row>
    <row r="930" spans="2:2" ht="12.75" x14ac:dyDescent="0.35">
      <c r="B930" s="51"/>
    </row>
    <row r="931" spans="2:2" ht="12.75" x14ac:dyDescent="0.35">
      <c r="B931" s="51"/>
    </row>
    <row r="932" spans="2:2" ht="12.75" x14ac:dyDescent="0.35">
      <c r="B932" s="51"/>
    </row>
    <row r="933" spans="2:2" ht="12.75" x14ac:dyDescent="0.35">
      <c r="B933" s="51"/>
    </row>
    <row r="934" spans="2:2" ht="12.75" x14ac:dyDescent="0.35">
      <c r="B934" s="51"/>
    </row>
    <row r="935" spans="2:2" ht="12.75" x14ac:dyDescent="0.35">
      <c r="B935" s="51"/>
    </row>
    <row r="936" spans="2:2" ht="12.75" x14ac:dyDescent="0.35">
      <c r="B936" s="51"/>
    </row>
    <row r="937" spans="2:2" ht="12.75" x14ac:dyDescent="0.35">
      <c r="B937" s="51"/>
    </row>
    <row r="938" spans="2:2" ht="12.75" x14ac:dyDescent="0.35">
      <c r="B938" s="51"/>
    </row>
    <row r="939" spans="2:2" ht="12.75" x14ac:dyDescent="0.35">
      <c r="B939" s="51"/>
    </row>
    <row r="940" spans="2:2" ht="12.75" x14ac:dyDescent="0.35">
      <c r="B940" s="51"/>
    </row>
    <row r="941" spans="2:2" ht="12.75" x14ac:dyDescent="0.35">
      <c r="B941" s="51"/>
    </row>
    <row r="942" spans="2:2" ht="12.75" x14ac:dyDescent="0.35">
      <c r="B942" s="51"/>
    </row>
    <row r="943" spans="2:2" ht="12.75" x14ac:dyDescent="0.35">
      <c r="B943" s="51"/>
    </row>
    <row r="944" spans="2:2" ht="12.75" x14ac:dyDescent="0.35">
      <c r="B944" s="51"/>
    </row>
    <row r="945" spans="2:2" ht="12.75" x14ac:dyDescent="0.35">
      <c r="B945" s="51"/>
    </row>
    <row r="946" spans="2:2" ht="12.75" x14ac:dyDescent="0.35">
      <c r="B946" s="51"/>
    </row>
    <row r="947" spans="2:2" ht="12.75" x14ac:dyDescent="0.35">
      <c r="B947" s="51"/>
    </row>
    <row r="948" spans="2:2" ht="12.75" x14ac:dyDescent="0.35">
      <c r="B948" s="51"/>
    </row>
    <row r="949" spans="2:2" ht="12.75" x14ac:dyDescent="0.35">
      <c r="B949" s="51"/>
    </row>
    <row r="950" spans="2:2" ht="12.75" x14ac:dyDescent="0.35">
      <c r="B950" s="51"/>
    </row>
    <row r="951" spans="2:2" ht="12.75" x14ac:dyDescent="0.35">
      <c r="B951" s="51"/>
    </row>
    <row r="952" spans="2:2" ht="12.75" x14ac:dyDescent="0.35">
      <c r="B952" s="51"/>
    </row>
    <row r="953" spans="2:2" ht="12.75" x14ac:dyDescent="0.35">
      <c r="B953" s="51"/>
    </row>
    <row r="954" spans="2:2" ht="12.75" x14ac:dyDescent="0.35">
      <c r="B954" s="51"/>
    </row>
    <row r="955" spans="2:2" ht="12.75" x14ac:dyDescent="0.35">
      <c r="B955" s="51"/>
    </row>
    <row r="956" spans="2:2" ht="12.75" x14ac:dyDescent="0.35">
      <c r="B956" s="51"/>
    </row>
    <row r="957" spans="2:2" ht="12.75" x14ac:dyDescent="0.35">
      <c r="B957" s="51"/>
    </row>
    <row r="958" spans="2:2" ht="12.75" x14ac:dyDescent="0.35">
      <c r="B958" s="51"/>
    </row>
    <row r="959" spans="2:2" ht="12.75" x14ac:dyDescent="0.35">
      <c r="B959" s="51"/>
    </row>
    <row r="960" spans="2:2" ht="12.75" x14ac:dyDescent="0.35">
      <c r="B960" s="51"/>
    </row>
    <row r="961" spans="2:2" ht="12.75" x14ac:dyDescent="0.35">
      <c r="B961" s="51"/>
    </row>
    <row r="962" spans="2:2" ht="12.75" x14ac:dyDescent="0.35">
      <c r="B962" s="51"/>
    </row>
    <row r="963" spans="2:2" ht="12.75" x14ac:dyDescent="0.35">
      <c r="B963" s="51"/>
    </row>
    <row r="964" spans="2:2" ht="12.75" x14ac:dyDescent="0.35">
      <c r="B964" s="51"/>
    </row>
    <row r="965" spans="2:2" ht="12.75" x14ac:dyDescent="0.35">
      <c r="B965" s="51"/>
    </row>
    <row r="966" spans="2:2" ht="12.75" x14ac:dyDescent="0.35">
      <c r="B966" s="51"/>
    </row>
    <row r="967" spans="2:2" ht="12.75" x14ac:dyDescent="0.35">
      <c r="B967" s="51"/>
    </row>
    <row r="968" spans="2:2" ht="12.75" x14ac:dyDescent="0.35">
      <c r="B968" s="51"/>
    </row>
    <row r="969" spans="2:2" ht="12.75" x14ac:dyDescent="0.35">
      <c r="B969" s="51"/>
    </row>
    <row r="970" spans="2:2" ht="12.75" x14ac:dyDescent="0.35">
      <c r="B970" s="51"/>
    </row>
    <row r="971" spans="2:2" ht="12.75" x14ac:dyDescent="0.35">
      <c r="B971" s="51"/>
    </row>
    <row r="972" spans="2:2" ht="12.75" x14ac:dyDescent="0.35">
      <c r="B972" s="51"/>
    </row>
    <row r="973" spans="2:2" ht="12.75" x14ac:dyDescent="0.35">
      <c r="B973" s="51"/>
    </row>
    <row r="974" spans="2:2" ht="12.75" x14ac:dyDescent="0.35">
      <c r="B974" s="51"/>
    </row>
    <row r="975" spans="2:2" ht="12.75" x14ac:dyDescent="0.35">
      <c r="B975" s="51"/>
    </row>
    <row r="976" spans="2:2" ht="12.75" x14ac:dyDescent="0.35">
      <c r="B976" s="51"/>
    </row>
    <row r="977" spans="2:2" ht="12.75" x14ac:dyDescent="0.35">
      <c r="B977" s="51"/>
    </row>
    <row r="978" spans="2:2" ht="12.75" x14ac:dyDescent="0.35">
      <c r="B978" s="51"/>
    </row>
    <row r="979" spans="2:2" ht="12.75" x14ac:dyDescent="0.35">
      <c r="B979" s="51"/>
    </row>
    <row r="980" spans="2:2" ht="12.75" x14ac:dyDescent="0.35">
      <c r="B980" s="51"/>
    </row>
    <row r="981" spans="2:2" ht="12.75" x14ac:dyDescent="0.35">
      <c r="B981" s="51"/>
    </row>
    <row r="982" spans="2:2" ht="12.75" x14ac:dyDescent="0.35">
      <c r="B982" s="51"/>
    </row>
    <row r="983" spans="2:2" ht="12.75" x14ac:dyDescent="0.35">
      <c r="B983" s="51"/>
    </row>
    <row r="984" spans="2:2" ht="12.75" x14ac:dyDescent="0.35">
      <c r="B984" s="51"/>
    </row>
    <row r="985" spans="2:2" ht="12.75" x14ac:dyDescent="0.35">
      <c r="B985" s="51"/>
    </row>
    <row r="986" spans="2:2" ht="12.75" x14ac:dyDescent="0.35">
      <c r="B986" s="51"/>
    </row>
    <row r="987" spans="2:2" ht="12.75" x14ac:dyDescent="0.35">
      <c r="B987" s="51"/>
    </row>
    <row r="988" spans="2:2" ht="12.75" x14ac:dyDescent="0.35">
      <c r="B988" s="51"/>
    </row>
    <row r="989" spans="2:2" ht="12.75" x14ac:dyDescent="0.35">
      <c r="B989" s="51"/>
    </row>
    <row r="990" spans="2:2" ht="12.75" x14ac:dyDescent="0.35">
      <c r="B990" s="51"/>
    </row>
    <row r="991" spans="2:2" ht="12.75" x14ac:dyDescent="0.35">
      <c r="B991" s="51"/>
    </row>
    <row r="992" spans="2:2" ht="12.75" x14ac:dyDescent="0.35">
      <c r="B992" s="51"/>
    </row>
    <row r="993" spans="2:2" ht="12.75" x14ac:dyDescent="0.35">
      <c r="B993" s="51"/>
    </row>
    <row r="994" spans="2:2" ht="12.75" x14ac:dyDescent="0.35">
      <c r="B994" s="51"/>
    </row>
    <row r="995" spans="2:2" ht="12.75" x14ac:dyDescent="0.35">
      <c r="B995" s="51"/>
    </row>
    <row r="996" spans="2:2" ht="12.75" x14ac:dyDescent="0.35">
      <c r="B996" s="51"/>
    </row>
    <row r="997" spans="2:2" ht="12.75" x14ac:dyDescent="0.35">
      <c r="B997" s="51"/>
    </row>
    <row r="998" spans="2:2" ht="12.75" x14ac:dyDescent="0.35">
      <c r="B998" s="51"/>
    </row>
    <row r="999" spans="2:2" ht="12.75" x14ac:dyDescent="0.35">
      <c r="B999" s="51"/>
    </row>
    <row r="1000" spans="2:2" ht="12.75" x14ac:dyDescent="0.35">
      <c r="B1000" s="51"/>
    </row>
    <row r="1001" spans="2:2" ht="12.75" x14ac:dyDescent="0.35">
      <c r="B1001" s="51"/>
    </row>
    <row r="1002" spans="2:2" ht="12.75" x14ac:dyDescent="0.35">
      <c r="B1002" s="51"/>
    </row>
    <row r="1003" spans="2:2" ht="12.75" x14ac:dyDescent="0.35">
      <c r="B1003" s="51"/>
    </row>
    <row r="1004" spans="2:2" ht="12.75" x14ac:dyDescent="0.35">
      <c r="B1004" s="51"/>
    </row>
    <row r="1005" spans="2:2" ht="12.75" x14ac:dyDescent="0.35">
      <c r="B1005" s="51"/>
    </row>
    <row r="1006" spans="2:2" ht="12.75" x14ac:dyDescent="0.35">
      <c r="B1006" s="51"/>
    </row>
    <row r="1007" spans="2:2" ht="12.75" x14ac:dyDescent="0.35">
      <c r="B1007" s="51"/>
    </row>
    <row r="1008" spans="2:2" ht="12.75" x14ac:dyDescent="0.35">
      <c r="B1008" s="51"/>
    </row>
    <row r="1009" spans="2:2" ht="12.75" x14ac:dyDescent="0.35">
      <c r="B1009" s="51"/>
    </row>
    <row r="1010" spans="2:2" ht="12.75" x14ac:dyDescent="0.35">
      <c r="B1010" s="51"/>
    </row>
    <row r="1011" spans="2:2" ht="12.75" x14ac:dyDescent="0.35">
      <c r="B1011" s="51"/>
    </row>
    <row r="1012" spans="2:2" ht="12.75" x14ac:dyDescent="0.35">
      <c r="B1012" s="51"/>
    </row>
    <row r="1013" spans="2:2" ht="12.75" x14ac:dyDescent="0.35">
      <c r="B1013" s="51"/>
    </row>
    <row r="1014" spans="2:2" ht="12.75" x14ac:dyDescent="0.35">
      <c r="B1014" s="51"/>
    </row>
    <row r="1015" spans="2:2" ht="12.75" x14ac:dyDescent="0.35">
      <c r="B1015" s="51"/>
    </row>
    <row r="1016" spans="2:2" ht="12.75" x14ac:dyDescent="0.35">
      <c r="B1016" s="51"/>
    </row>
    <row r="1017" spans="2:2" ht="12.75" x14ac:dyDescent="0.35">
      <c r="B1017" s="51"/>
    </row>
    <row r="1018" spans="2:2" ht="12.75" x14ac:dyDescent="0.35">
      <c r="B1018" s="51"/>
    </row>
    <row r="1019" spans="2:2" ht="12.75" x14ac:dyDescent="0.35">
      <c r="B1019" s="51"/>
    </row>
    <row r="1020" spans="2:2" ht="12.75" x14ac:dyDescent="0.35">
      <c r="B1020" s="51"/>
    </row>
    <row r="1021" spans="2:2" ht="12.75" x14ac:dyDescent="0.35">
      <c r="B1021" s="51"/>
    </row>
    <row r="1022" spans="2:2" ht="12.75" x14ac:dyDescent="0.35">
      <c r="B1022" s="51"/>
    </row>
    <row r="1023" spans="2:2" ht="12.75" x14ac:dyDescent="0.35">
      <c r="B1023" s="51"/>
    </row>
    <row r="1024" spans="2:2" ht="12.75" x14ac:dyDescent="0.35">
      <c r="B1024" s="51"/>
    </row>
    <row r="1025" spans="2:2" ht="12.75" x14ac:dyDescent="0.35">
      <c r="B1025" s="51"/>
    </row>
    <row r="1026" spans="2:2" ht="12.75" x14ac:dyDescent="0.35">
      <c r="B1026" s="51"/>
    </row>
    <row r="1027" spans="2:2" ht="12.75" x14ac:dyDescent="0.35">
      <c r="B1027" s="51"/>
    </row>
    <row r="1028" spans="2:2" ht="12.75" x14ac:dyDescent="0.35">
      <c r="B1028" s="51"/>
    </row>
    <row r="1029" spans="2:2" ht="12.75" x14ac:dyDescent="0.35">
      <c r="B1029" s="51"/>
    </row>
    <row r="1030" spans="2:2" ht="12.75" x14ac:dyDescent="0.35">
      <c r="B1030" s="51"/>
    </row>
    <row r="1031" spans="2:2" ht="12.75" x14ac:dyDescent="0.35">
      <c r="B1031" s="51"/>
    </row>
    <row r="1032" spans="2:2" ht="12.75" x14ac:dyDescent="0.35">
      <c r="B1032" s="51"/>
    </row>
    <row r="1033" spans="2:2" ht="12.75" x14ac:dyDescent="0.35">
      <c r="B1033" s="51"/>
    </row>
    <row r="1034" spans="2:2" ht="12.75" x14ac:dyDescent="0.35">
      <c r="B1034" s="51"/>
    </row>
    <row r="1035" spans="2:2" ht="12.75" x14ac:dyDescent="0.35">
      <c r="B1035" s="51"/>
    </row>
    <row r="1036" spans="2:2" ht="12.75" x14ac:dyDescent="0.35">
      <c r="B1036" s="51"/>
    </row>
    <row r="1037" spans="2:2" ht="12.75" x14ac:dyDescent="0.35">
      <c r="B1037" s="51"/>
    </row>
    <row r="1038" spans="2:2" ht="12.75" x14ac:dyDescent="0.35">
      <c r="B1038" s="51"/>
    </row>
    <row r="1039" spans="2:2" ht="12.75" x14ac:dyDescent="0.35">
      <c r="B1039" s="51"/>
    </row>
    <row r="1040" spans="2:2" ht="12.75" x14ac:dyDescent="0.35">
      <c r="B1040" s="51"/>
    </row>
    <row r="1041" spans="2:2" ht="12.75" x14ac:dyDescent="0.35">
      <c r="B1041" s="51"/>
    </row>
    <row r="1042" spans="2:2" ht="12.75" x14ac:dyDescent="0.35">
      <c r="B1042" s="51"/>
    </row>
    <row r="1043" spans="2:2" ht="12.75" x14ac:dyDescent="0.35">
      <c r="B1043" s="51"/>
    </row>
    <row r="1044" spans="2:2" ht="12.75" x14ac:dyDescent="0.35">
      <c r="B1044" s="51"/>
    </row>
    <row r="1045" spans="2:2" ht="12.75" x14ac:dyDescent="0.35">
      <c r="B1045" s="51"/>
    </row>
    <row r="1046" spans="2:2" ht="12.75" x14ac:dyDescent="0.35">
      <c r="B1046" s="51"/>
    </row>
    <row r="1047" spans="2:2" ht="12.75" x14ac:dyDescent="0.35">
      <c r="B1047" s="51"/>
    </row>
    <row r="1048" spans="2:2" ht="12.75" x14ac:dyDescent="0.35">
      <c r="B1048" s="51"/>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048"/>
  <sheetViews>
    <sheetView workbookViewId="0"/>
  </sheetViews>
  <sheetFormatPr defaultColWidth="12.59765625" defaultRowHeight="15.75" customHeight="1" x14ac:dyDescent="0.35"/>
  <sheetData>
    <row r="1" spans="1:11" ht="15.75" customHeight="1" x14ac:dyDescent="0.45">
      <c r="A1" s="52"/>
      <c r="B1" s="53"/>
      <c r="C1" s="54"/>
      <c r="D1" s="54"/>
      <c r="E1" s="55"/>
      <c r="F1" s="56"/>
      <c r="G1" s="56"/>
      <c r="H1" s="22"/>
      <c r="I1" s="24" t="s">
        <v>2927</v>
      </c>
      <c r="J1" s="57"/>
      <c r="K1" s="57"/>
    </row>
    <row r="2" spans="1:11" ht="15.75" customHeight="1" x14ac:dyDescent="0.45">
      <c r="A2" s="58" t="s">
        <v>2928</v>
      </c>
      <c r="B2" s="59" t="s">
        <v>2929</v>
      </c>
      <c r="C2" s="59" t="s">
        <v>2845</v>
      </c>
      <c r="D2" s="59" t="s">
        <v>2930</v>
      </c>
      <c r="E2" s="60" t="s">
        <v>2931</v>
      </c>
      <c r="F2" s="60" t="s">
        <v>2932</v>
      </c>
      <c r="G2" s="60" t="s">
        <v>2933</v>
      </c>
      <c r="H2" s="16" t="s">
        <v>2934</v>
      </c>
      <c r="I2" s="18" t="s">
        <v>2935</v>
      </c>
      <c r="J2" s="18" t="s">
        <v>2936</v>
      </c>
      <c r="K2" s="18" t="s">
        <v>2937</v>
      </c>
    </row>
    <row r="3" spans="1:11" ht="15.75" customHeight="1" x14ac:dyDescent="0.45">
      <c r="A3" s="61"/>
      <c r="B3" s="51" t="e">
        <v>#VALUE!</v>
      </c>
      <c r="C3" s="51"/>
      <c r="D3" s="51"/>
      <c r="E3" s="62" t="e">
        <v>#VALUE!</v>
      </c>
      <c r="F3" s="62"/>
      <c r="G3" s="62"/>
      <c r="H3" s="25" t="e">
        <v>#VALUE!</v>
      </c>
      <c r="I3" s="24" t="s">
        <v>2927</v>
      </c>
      <c r="J3" s="24"/>
      <c r="K3" s="24"/>
    </row>
    <row r="4" spans="1:11" ht="15.75" customHeight="1" x14ac:dyDescent="0.45">
      <c r="A4" s="61"/>
      <c r="B4" s="51" t="s">
        <v>2938</v>
      </c>
      <c r="C4" s="53"/>
      <c r="D4" s="53"/>
      <c r="E4" s="62" t="s">
        <v>2939</v>
      </c>
      <c r="F4" s="55" t="s">
        <v>2940</v>
      </c>
      <c r="G4" s="55" t="s">
        <v>2941</v>
      </c>
      <c r="H4" s="25" t="s">
        <v>2942</v>
      </c>
      <c r="I4" s="24" t="s">
        <v>2943</v>
      </c>
      <c r="J4" s="35"/>
      <c r="K4" s="35"/>
    </row>
    <row r="5" spans="1:11" ht="15.75" customHeight="1" x14ac:dyDescent="0.45">
      <c r="A5" s="63" t="s">
        <v>2944</v>
      </c>
      <c r="B5" s="51" t="s">
        <v>2945</v>
      </c>
      <c r="C5" s="53"/>
      <c r="D5" s="53"/>
      <c r="E5" s="62" t="s">
        <v>2946</v>
      </c>
      <c r="F5" s="55" t="s">
        <v>2947</v>
      </c>
      <c r="G5" s="55" t="s">
        <v>2948</v>
      </c>
      <c r="H5" s="25" t="s">
        <v>2942</v>
      </c>
      <c r="I5" s="24" t="s">
        <v>2949</v>
      </c>
      <c r="J5" s="35" t="s">
        <v>2950</v>
      </c>
      <c r="K5" s="35" t="s">
        <v>2951</v>
      </c>
    </row>
    <row r="6" spans="1:11" ht="15.75" customHeight="1" x14ac:dyDescent="0.45">
      <c r="A6" s="63" t="s">
        <v>2952</v>
      </c>
      <c r="B6" s="51" t="s">
        <v>2953</v>
      </c>
      <c r="C6" s="53"/>
      <c r="D6" s="53"/>
      <c r="E6" s="62" t="s">
        <v>2954</v>
      </c>
      <c r="F6" s="55"/>
      <c r="G6" s="55"/>
      <c r="H6" s="25" t="s">
        <v>2927</v>
      </c>
      <c r="I6" s="24" t="s">
        <v>2955</v>
      </c>
      <c r="J6" s="35" t="s">
        <v>2956</v>
      </c>
      <c r="K6" s="35" t="s">
        <v>2957</v>
      </c>
    </row>
    <row r="7" spans="1:11" ht="15.75" customHeight="1" x14ac:dyDescent="0.45">
      <c r="A7" s="63" t="s">
        <v>2958</v>
      </c>
      <c r="B7" s="51" t="s">
        <v>2959</v>
      </c>
      <c r="C7" s="51"/>
      <c r="D7" s="51"/>
      <c r="E7" s="62" t="s">
        <v>2960</v>
      </c>
      <c r="F7" s="62"/>
      <c r="G7" s="62"/>
      <c r="H7" s="25" t="s">
        <v>2927</v>
      </c>
      <c r="I7" s="24" t="s">
        <v>2961</v>
      </c>
      <c r="J7" s="24"/>
      <c r="K7" s="24"/>
    </row>
    <row r="8" spans="1:11" ht="15.75" customHeight="1" x14ac:dyDescent="0.45">
      <c r="A8" s="61"/>
      <c r="B8" s="51" t="s">
        <v>2962</v>
      </c>
      <c r="C8" s="51"/>
      <c r="D8" s="51"/>
      <c r="E8" s="62" t="s">
        <v>2963</v>
      </c>
      <c r="F8" s="62"/>
      <c r="G8" s="62"/>
      <c r="H8" s="25" t="s">
        <v>2942</v>
      </c>
      <c r="I8" s="24" t="s">
        <v>2964</v>
      </c>
      <c r="J8" s="35" t="s">
        <v>2965</v>
      </c>
      <c r="K8" s="35" t="s">
        <v>2966</v>
      </c>
    </row>
    <row r="9" spans="1:11" ht="15.75" customHeight="1" x14ac:dyDescent="0.45">
      <c r="A9" s="63" t="s">
        <v>2967</v>
      </c>
      <c r="B9" s="51" t="s">
        <v>2968</v>
      </c>
      <c r="C9" s="51"/>
      <c r="D9" s="51"/>
      <c r="E9" s="62" t="s">
        <v>2969</v>
      </c>
      <c r="F9" s="55" t="s">
        <v>2970</v>
      </c>
      <c r="G9" s="55" t="s">
        <v>2971</v>
      </c>
      <c r="H9" s="25" t="s">
        <v>2927</v>
      </c>
      <c r="I9" s="24" t="s">
        <v>2972</v>
      </c>
      <c r="J9" s="35" t="s">
        <v>2973</v>
      </c>
      <c r="K9" s="35" t="s">
        <v>2974</v>
      </c>
    </row>
    <row r="10" spans="1:11" ht="15.75" customHeight="1" x14ac:dyDescent="0.45">
      <c r="A10" s="63" t="s">
        <v>2975</v>
      </c>
      <c r="B10" s="51" t="s">
        <v>2976</v>
      </c>
      <c r="C10" s="51"/>
      <c r="D10" s="51"/>
      <c r="E10" s="62" t="s">
        <v>2977</v>
      </c>
      <c r="F10" s="55" t="s">
        <v>2978</v>
      </c>
      <c r="G10" s="55" t="s">
        <v>2979</v>
      </c>
      <c r="H10" s="25" t="s">
        <v>2927</v>
      </c>
      <c r="I10" s="24" t="s">
        <v>2980</v>
      </c>
      <c r="J10" s="64" t="s">
        <v>2978</v>
      </c>
      <c r="K10" s="35" t="s">
        <v>2980</v>
      </c>
    </row>
    <row r="11" spans="1:11" ht="15.75" customHeight="1" x14ac:dyDescent="0.45">
      <c r="A11" s="61"/>
      <c r="B11" s="51" t="s">
        <v>2981</v>
      </c>
      <c r="C11" s="51"/>
      <c r="D11" s="51"/>
      <c r="E11" s="62" t="s">
        <v>2982</v>
      </c>
      <c r="F11" s="55" t="s">
        <v>2983</v>
      </c>
      <c r="G11" s="55" t="s">
        <v>2984</v>
      </c>
      <c r="H11" s="25" t="s">
        <v>2942</v>
      </c>
      <c r="I11" s="24" t="s">
        <v>2985</v>
      </c>
      <c r="J11" s="35" t="s">
        <v>2986</v>
      </c>
      <c r="K11" s="35" t="s">
        <v>2985</v>
      </c>
    </row>
    <row r="12" spans="1:11" ht="15.75" customHeight="1" x14ac:dyDescent="0.45">
      <c r="A12" s="63" t="s">
        <v>2987</v>
      </c>
      <c r="B12" s="51" t="s">
        <v>2988</v>
      </c>
      <c r="C12" s="53"/>
      <c r="D12" s="53"/>
      <c r="E12" s="62" t="s">
        <v>2989</v>
      </c>
      <c r="F12" s="55" t="s">
        <v>2990</v>
      </c>
      <c r="G12" s="55" t="s">
        <v>2991</v>
      </c>
      <c r="H12" s="25" t="s">
        <v>2942</v>
      </c>
      <c r="I12" s="24" t="s">
        <v>2992</v>
      </c>
      <c r="J12" s="35"/>
      <c r="K12" s="35"/>
    </row>
    <row r="13" spans="1:11" ht="15.75" customHeight="1" x14ac:dyDescent="0.45">
      <c r="A13" s="61"/>
      <c r="B13" s="51" t="s">
        <v>2993</v>
      </c>
      <c r="C13" s="51"/>
      <c r="D13" s="51"/>
      <c r="E13" s="62" t="s">
        <v>2994</v>
      </c>
      <c r="F13" s="55" t="s">
        <v>2995</v>
      </c>
      <c r="G13" s="55" t="s">
        <v>2994</v>
      </c>
      <c r="H13" s="25" t="s">
        <v>2942</v>
      </c>
      <c r="I13" s="24" t="s">
        <v>2996</v>
      </c>
      <c r="J13" s="24"/>
      <c r="K13" s="24"/>
    </row>
    <row r="14" spans="1:11" ht="15.75" customHeight="1" x14ac:dyDescent="0.45">
      <c r="A14" s="63" t="s">
        <v>2997</v>
      </c>
      <c r="B14" s="51" t="s">
        <v>2998</v>
      </c>
      <c r="C14" s="53"/>
      <c r="D14" s="53"/>
      <c r="E14" s="62" t="s">
        <v>2999</v>
      </c>
      <c r="F14" s="55" t="s">
        <v>2983</v>
      </c>
      <c r="G14" s="55" t="s">
        <v>3000</v>
      </c>
      <c r="H14" s="25" t="s">
        <v>2942</v>
      </c>
      <c r="I14" s="24" t="s">
        <v>3001</v>
      </c>
      <c r="J14" s="35" t="s">
        <v>3002</v>
      </c>
      <c r="K14" s="35"/>
    </row>
    <row r="15" spans="1:11" ht="15.75" customHeight="1" x14ac:dyDescent="0.45">
      <c r="A15" s="61"/>
      <c r="B15" s="51" t="s">
        <v>3003</v>
      </c>
      <c r="C15" s="51"/>
      <c r="D15" s="51"/>
      <c r="E15" s="62" t="s">
        <v>3004</v>
      </c>
      <c r="F15" s="62"/>
      <c r="G15" s="62"/>
      <c r="H15" s="25" t="s">
        <v>2927</v>
      </c>
      <c r="I15" s="24" t="s">
        <v>3005</v>
      </c>
      <c r="J15" s="35" t="s">
        <v>3006</v>
      </c>
      <c r="K15" s="35" t="s">
        <v>3005</v>
      </c>
    </row>
    <row r="16" spans="1:11" ht="15.75" customHeight="1" x14ac:dyDescent="0.45">
      <c r="A16" s="61"/>
      <c r="B16" s="51" t="s">
        <v>3007</v>
      </c>
      <c r="C16" s="51"/>
      <c r="D16" s="51"/>
      <c r="E16" s="62" t="s">
        <v>3008</v>
      </c>
      <c r="F16" s="62"/>
      <c r="G16" s="62"/>
      <c r="H16" s="25" t="s">
        <v>2942</v>
      </c>
      <c r="I16" s="24" t="s">
        <v>3009</v>
      </c>
      <c r="J16" s="35" t="s">
        <v>3010</v>
      </c>
      <c r="K16" s="35" t="s">
        <v>3011</v>
      </c>
    </row>
    <row r="17" spans="1:11" ht="15.75" customHeight="1" x14ac:dyDescent="0.45">
      <c r="A17" s="61"/>
      <c r="B17" s="51" t="s">
        <v>3012</v>
      </c>
      <c r="C17" s="53" t="s">
        <v>3013</v>
      </c>
      <c r="D17" s="53" t="s">
        <v>3014</v>
      </c>
      <c r="E17" s="62" t="s">
        <v>3015</v>
      </c>
      <c r="F17" s="55"/>
      <c r="G17" s="55"/>
      <c r="H17" s="25" t="s">
        <v>2942</v>
      </c>
      <c r="I17" s="24" t="s">
        <v>3016</v>
      </c>
      <c r="J17" s="35"/>
      <c r="K17" s="35"/>
    </row>
    <row r="18" spans="1:11" ht="15.75" customHeight="1" x14ac:dyDescent="0.45">
      <c r="A18" s="63" t="s">
        <v>3017</v>
      </c>
      <c r="B18" s="51" t="s">
        <v>3018</v>
      </c>
      <c r="C18" s="51"/>
      <c r="D18" s="51"/>
      <c r="E18" s="62" t="s">
        <v>3019</v>
      </c>
      <c r="F18" s="55" t="s">
        <v>3020</v>
      </c>
      <c r="G18" s="55" t="s">
        <v>3021</v>
      </c>
      <c r="H18" s="25" t="s">
        <v>2942</v>
      </c>
      <c r="I18" s="24" t="s">
        <v>3022</v>
      </c>
      <c r="J18" s="35" t="s">
        <v>3023</v>
      </c>
      <c r="K18" s="35" t="s">
        <v>3022</v>
      </c>
    </row>
    <row r="19" spans="1:11" ht="14.25" x14ac:dyDescent="0.45">
      <c r="A19" s="61"/>
      <c r="B19" s="51" t="s">
        <v>3024</v>
      </c>
      <c r="C19" s="51"/>
      <c r="D19" s="51"/>
      <c r="E19" s="62" t="s">
        <v>3025</v>
      </c>
      <c r="F19" s="62"/>
      <c r="G19" s="62"/>
      <c r="H19" s="25" t="s">
        <v>2942</v>
      </c>
      <c r="I19" s="24" t="s">
        <v>3026</v>
      </c>
      <c r="J19" s="64" t="s">
        <v>3027</v>
      </c>
      <c r="K19" s="35" t="s">
        <v>3026</v>
      </c>
    </row>
    <row r="20" spans="1:11" ht="14.25" x14ac:dyDescent="0.45">
      <c r="A20" s="61"/>
      <c r="B20" s="51" t="s">
        <v>3028</v>
      </c>
      <c r="C20" s="51"/>
      <c r="D20" s="51"/>
      <c r="E20" s="62" t="s">
        <v>3029</v>
      </c>
      <c r="F20" s="62"/>
      <c r="G20" s="62"/>
      <c r="H20" s="25" t="s">
        <v>2942</v>
      </c>
      <c r="I20" s="24" t="s">
        <v>3030</v>
      </c>
      <c r="J20" s="35" t="s">
        <v>3031</v>
      </c>
      <c r="K20" s="35" t="s">
        <v>3032</v>
      </c>
    </row>
    <row r="21" spans="1:11" ht="14.25" x14ac:dyDescent="0.45">
      <c r="A21" s="63" t="s">
        <v>3033</v>
      </c>
      <c r="B21" s="51" t="s">
        <v>3034</v>
      </c>
      <c r="C21" s="51"/>
      <c r="D21" s="51"/>
      <c r="E21" s="62" t="s">
        <v>3035</v>
      </c>
      <c r="F21" s="55" t="s">
        <v>3036</v>
      </c>
      <c r="G21" s="62"/>
      <c r="H21" s="25" t="s">
        <v>2927</v>
      </c>
      <c r="I21" s="24" t="s">
        <v>3037</v>
      </c>
      <c r="J21" s="35" t="s">
        <v>3038</v>
      </c>
      <c r="K21" s="35" t="s">
        <v>3039</v>
      </c>
    </row>
    <row r="22" spans="1:11" ht="14.25" x14ac:dyDescent="0.45">
      <c r="A22" s="63" t="s">
        <v>3040</v>
      </c>
      <c r="B22" s="51" t="s">
        <v>3041</v>
      </c>
      <c r="C22" s="53" t="s">
        <v>3042</v>
      </c>
      <c r="D22" s="53" t="s">
        <v>3043</v>
      </c>
      <c r="E22" s="62" t="s">
        <v>3044</v>
      </c>
      <c r="F22" s="55" t="s">
        <v>3036</v>
      </c>
      <c r="G22" s="55" t="s">
        <v>3045</v>
      </c>
      <c r="H22" s="25" t="s">
        <v>2942</v>
      </c>
      <c r="I22" s="24" t="s">
        <v>3046</v>
      </c>
      <c r="J22" s="35"/>
      <c r="K22" s="35"/>
    </row>
    <row r="23" spans="1:11" ht="14.25" x14ac:dyDescent="0.45">
      <c r="A23" s="61"/>
      <c r="B23" s="51" t="s">
        <v>3047</v>
      </c>
      <c r="C23" s="53"/>
      <c r="D23" s="53"/>
      <c r="E23" s="62" t="s">
        <v>3048</v>
      </c>
      <c r="F23" s="55" t="s">
        <v>3049</v>
      </c>
      <c r="G23" s="55" t="s">
        <v>3050</v>
      </c>
      <c r="H23" s="25" t="s">
        <v>2942</v>
      </c>
      <c r="I23" s="24" t="s">
        <v>3051</v>
      </c>
      <c r="J23" s="35" t="s">
        <v>3052</v>
      </c>
      <c r="K23" s="35" t="s">
        <v>3053</v>
      </c>
    </row>
    <row r="24" spans="1:11" ht="14.25" x14ac:dyDescent="0.45">
      <c r="A24" s="63" t="s">
        <v>3054</v>
      </c>
      <c r="B24" s="51" t="s">
        <v>3055</v>
      </c>
      <c r="C24" s="51"/>
      <c r="D24" s="51"/>
      <c r="E24" s="62" t="s">
        <v>3056</v>
      </c>
      <c r="F24" s="55" t="s">
        <v>3057</v>
      </c>
      <c r="G24" s="55" t="s">
        <v>3058</v>
      </c>
      <c r="H24" s="25" t="s">
        <v>2942</v>
      </c>
      <c r="I24" s="24" t="s">
        <v>3059</v>
      </c>
      <c r="J24" s="24"/>
      <c r="K24" s="24"/>
    </row>
    <row r="25" spans="1:11" ht="14.25" x14ac:dyDescent="0.45">
      <c r="A25" s="61"/>
      <c r="B25" s="51" t="s">
        <v>3060</v>
      </c>
      <c r="C25" s="53"/>
      <c r="D25" s="51"/>
      <c r="E25" s="62" t="s">
        <v>3061</v>
      </c>
      <c r="F25" s="62"/>
      <c r="G25" s="62"/>
      <c r="H25" s="25" t="s">
        <v>2942</v>
      </c>
      <c r="I25" s="24" t="s">
        <v>3062</v>
      </c>
      <c r="J25" s="35" t="s">
        <v>3063</v>
      </c>
      <c r="K25" s="35" t="s">
        <v>3064</v>
      </c>
    </row>
    <row r="26" spans="1:11" ht="14.25" x14ac:dyDescent="0.45">
      <c r="A26" s="63" t="s">
        <v>3065</v>
      </c>
      <c r="B26" s="51" t="s">
        <v>3066</v>
      </c>
      <c r="C26" s="53" t="s">
        <v>3067</v>
      </c>
      <c r="D26" s="53"/>
      <c r="E26" s="62" t="s">
        <v>3068</v>
      </c>
      <c r="F26" s="55" t="s">
        <v>3069</v>
      </c>
      <c r="G26" s="55" t="s">
        <v>3070</v>
      </c>
      <c r="H26" s="25" t="s">
        <v>2942</v>
      </c>
      <c r="I26" s="24" t="s">
        <v>3071</v>
      </c>
      <c r="J26" s="35" t="s">
        <v>3072</v>
      </c>
      <c r="K26" s="35" t="s">
        <v>3073</v>
      </c>
    </row>
    <row r="27" spans="1:11" ht="14.25" x14ac:dyDescent="0.45">
      <c r="A27" s="61"/>
      <c r="B27" s="51" t="s">
        <v>3074</v>
      </c>
      <c r="C27" s="51"/>
      <c r="D27" s="51"/>
      <c r="E27" s="62" t="s">
        <v>3075</v>
      </c>
      <c r="F27" s="55" t="s">
        <v>3020</v>
      </c>
      <c r="G27" s="62"/>
      <c r="H27" s="25" t="s">
        <v>2927</v>
      </c>
      <c r="I27" s="24" t="s">
        <v>3076</v>
      </c>
      <c r="J27" s="24"/>
      <c r="K27" s="24"/>
    </row>
    <row r="28" spans="1:11" ht="14.25" x14ac:dyDescent="0.45">
      <c r="A28" s="63" t="s">
        <v>3077</v>
      </c>
      <c r="B28" s="51" t="s">
        <v>3078</v>
      </c>
      <c r="C28" s="65" t="s">
        <v>3079</v>
      </c>
      <c r="D28" s="65"/>
      <c r="E28" s="62" t="s">
        <v>3080</v>
      </c>
      <c r="F28" s="55" t="s">
        <v>3069</v>
      </c>
      <c r="G28" s="66" t="s">
        <v>3081</v>
      </c>
      <c r="H28" s="25" t="s">
        <v>2942</v>
      </c>
      <c r="I28" s="24" t="s">
        <v>3082</v>
      </c>
      <c r="J28" s="32" t="s">
        <v>3010</v>
      </c>
      <c r="K28" s="32"/>
    </row>
    <row r="29" spans="1:11" ht="14.25" x14ac:dyDescent="0.45">
      <c r="A29" s="61"/>
      <c r="B29" s="51" t="s">
        <v>3083</v>
      </c>
      <c r="C29" s="51"/>
      <c r="D29" s="51"/>
      <c r="E29" s="62" t="s">
        <v>3084</v>
      </c>
      <c r="F29" s="55" t="s">
        <v>2970</v>
      </c>
      <c r="G29" s="55" t="s">
        <v>3085</v>
      </c>
      <c r="H29" s="25" t="s">
        <v>3086</v>
      </c>
      <c r="I29" s="24" t="s">
        <v>3087</v>
      </c>
      <c r="J29" s="24"/>
      <c r="K29" s="24"/>
    </row>
    <row r="30" spans="1:11" ht="14.25" x14ac:dyDescent="0.45">
      <c r="A30" s="52"/>
      <c r="B30" s="51" t="e">
        <v>#VALUE!</v>
      </c>
      <c r="C30" s="53"/>
      <c r="D30" s="53"/>
      <c r="E30" s="62" t="e">
        <v>#VALUE!</v>
      </c>
      <c r="F30" s="55"/>
      <c r="G30" s="55"/>
      <c r="H30" s="25" t="e">
        <v>#VALUE!</v>
      </c>
      <c r="I30" s="24" t="s">
        <v>2927</v>
      </c>
      <c r="J30" s="35"/>
      <c r="K30" s="35"/>
    </row>
    <row r="31" spans="1:11" ht="14.25" x14ac:dyDescent="0.45">
      <c r="A31" s="63" t="s">
        <v>3088</v>
      </c>
      <c r="B31" s="51" t="s">
        <v>3089</v>
      </c>
      <c r="C31" s="53"/>
      <c r="D31" s="53"/>
      <c r="E31" s="62" t="s">
        <v>3090</v>
      </c>
      <c r="F31" s="55" t="s">
        <v>3091</v>
      </c>
      <c r="G31" s="55" t="s">
        <v>3092</v>
      </c>
      <c r="H31" s="25" t="s">
        <v>2927</v>
      </c>
      <c r="I31" s="24" t="s">
        <v>3093</v>
      </c>
      <c r="J31" s="35" t="s">
        <v>3094</v>
      </c>
      <c r="K31" s="35" t="s">
        <v>3095</v>
      </c>
    </row>
    <row r="32" spans="1:11" ht="14.25" x14ac:dyDescent="0.45">
      <c r="A32" s="61"/>
      <c r="B32" s="51" t="s">
        <v>3096</v>
      </c>
      <c r="C32" s="51"/>
      <c r="D32" s="51"/>
      <c r="E32" s="62" t="s">
        <v>3097</v>
      </c>
      <c r="F32" s="62"/>
      <c r="G32" s="62"/>
      <c r="H32" s="25" t="s">
        <v>3086</v>
      </c>
      <c r="I32" s="24" t="s">
        <v>3098</v>
      </c>
      <c r="J32" s="35" t="s">
        <v>3099</v>
      </c>
      <c r="K32" s="24"/>
    </row>
    <row r="33" spans="1:11" ht="14.25" x14ac:dyDescent="0.45">
      <c r="A33" s="63" t="s">
        <v>3100</v>
      </c>
      <c r="B33" s="51" t="s">
        <v>3101</v>
      </c>
      <c r="C33" s="53" t="s">
        <v>2870</v>
      </c>
      <c r="D33" s="51"/>
      <c r="E33" s="62" t="s">
        <v>3102</v>
      </c>
      <c r="F33" s="55" t="s">
        <v>3091</v>
      </c>
      <c r="G33" s="62"/>
      <c r="H33" s="25" t="s">
        <v>2927</v>
      </c>
      <c r="I33" s="24" t="s">
        <v>3103</v>
      </c>
      <c r="J33" s="35" t="s">
        <v>3094</v>
      </c>
      <c r="K33" s="24"/>
    </row>
    <row r="34" spans="1:11" ht="14.25" x14ac:dyDescent="0.45">
      <c r="A34" s="61"/>
      <c r="B34" s="51" t="s">
        <v>3104</v>
      </c>
      <c r="C34" s="51"/>
      <c r="D34" s="51"/>
      <c r="E34" s="62" t="s">
        <v>3105</v>
      </c>
      <c r="F34" s="62"/>
      <c r="G34" s="62"/>
      <c r="H34" s="25" t="s">
        <v>3086</v>
      </c>
      <c r="I34" s="24" t="s">
        <v>3106</v>
      </c>
      <c r="J34" s="35" t="s">
        <v>3107</v>
      </c>
      <c r="K34" s="35" t="s">
        <v>3108</v>
      </c>
    </row>
    <row r="35" spans="1:11" ht="14.25" x14ac:dyDescent="0.45">
      <c r="A35" s="61"/>
      <c r="B35" s="51" t="s">
        <v>3109</v>
      </c>
      <c r="C35" s="51"/>
      <c r="D35" s="51"/>
      <c r="E35" s="62" t="s">
        <v>3110</v>
      </c>
      <c r="F35" s="55" t="s">
        <v>3111</v>
      </c>
      <c r="G35" s="55" t="s">
        <v>3112</v>
      </c>
      <c r="H35" s="25" t="s">
        <v>3086</v>
      </c>
      <c r="I35" s="24" t="s">
        <v>3113</v>
      </c>
      <c r="J35" s="35" t="s">
        <v>3114</v>
      </c>
      <c r="K35" s="24"/>
    </row>
    <row r="36" spans="1:11" ht="14.25" x14ac:dyDescent="0.45">
      <c r="A36" s="63" t="s">
        <v>3115</v>
      </c>
      <c r="B36" s="51" t="s">
        <v>3116</v>
      </c>
      <c r="C36" s="53" t="s">
        <v>2869</v>
      </c>
      <c r="D36" s="51"/>
      <c r="E36" s="62" t="s">
        <v>3117</v>
      </c>
      <c r="F36" s="55" t="s">
        <v>3118</v>
      </c>
      <c r="G36" s="55" t="s">
        <v>3119</v>
      </c>
      <c r="H36" s="25" t="s">
        <v>3086</v>
      </c>
      <c r="I36" s="24" t="s">
        <v>3120</v>
      </c>
      <c r="J36" s="35" t="s">
        <v>3006</v>
      </c>
      <c r="K36" s="24"/>
    </row>
    <row r="37" spans="1:11" ht="14.25" x14ac:dyDescent="0.45">
      <c r="A37" s="63" t="s">
        <v>3121</v>
      </c>
      <c r="B37" s="51" t="s">
        <v>3122</v>
      </c>
      <c r="C37" s="51"/>
      <c r="D37" s="51"/>
      <c r="E37" s="62" t="s">
        <v>3123</v>
      </c>
      <c r="F37" s="62"/>
      <c r="G37" s="62"/>
      <c r="H37" s="25" t="s">
        <v>3086</v>
      </c>
      <c r="I37" s="24" t="s">
        <v>3124</v>
      </c>
      <c r="J37" s="35" t="s">
        <v>3125</v>
      </c>
      <c r="K37" s="35" t="s">
        <v>3126</v>
      </c>
    </row>
    <row r="38" spans="1:11" ht="14.25" x14ac:dyDescent="0.45">
      <c r="A38" s="61"/>
      <c r="B38" s="51" t="s">
        <v>3127</v>
      </c>
      <c r="C38" s="51"/>
      <c r="D38" s="51"/>
      <c r="E38" s="62" t="s">
        <v>3128</v>
      </c>
      <c r="F38" s="62"/>
      <c r="G38" s="62"/>
      <c r="H38" s="25" t="s">
        <v>3086</v>
      </c>
      <c r="I38" s="24" t="s">
        <v>3129</v>
      </c>
      <c r="J38" s="35" t="s">
        <v>2950</v>
      </c>
      <c r="K38" s="35" t="s">
        <v>3130</v>
      </c>
    </row>
    <row r="39" spans="1:11" ht="14.25" x14ac:dyDescent="0.45">
      <c r="A39" s="63" t="s">
        <v>3131</v>
      </c>
      <c r="B39" s="51" t="s">
        <v>3132</v>
      </c>
      <c r="C39" s="53"/>
      <c r="D39" s="53"/>
      <c r="E39" s="62" t="s">
        <v>3133</v>
      </c>
      <c r="F39" s="55" t="s">
        <v>2970</v>
      </c>
      <c r="G39" s="55" t="s">
        <v>3134</v>
      </c>
      <c r="H39" s="25" t="s">
        <v>3086</v>
      </c>
      <c r="I39" s="24" t="s">
        <v>3135</v>
      </c>
      <c r="J39" s="35" t="s">
        <v>3136</v>
      </c>
      <c r="K39" s="35"/>
    </row>
    <row r="40" spans="1:11" ht="14.25" x14ac:dyDescent="0.45">
      <c r="A40" s="63" t="s">
        <v>3115</v>
      </c>
      <c r="B40" s="51" t="s">
        <v>3137</v>
      </c>
      <c r="C40" s="53" t="s">
        <v>2869</v>
      </c>
      <c r="D40" s="53" t="s">
        <v>3138</v>
      </c>
      <c r="E40" s="62" t="s">
        <v>3139</v>
      </c>
      <c r="F40" s="55" t="s">
        <v>3111</v>
      </c>
      <c r="G40" s="55"/>
      <c r="H40" s="25" t="s">
        <v>3086</v>
      </c>
      <c r="I40" s="24" t="s">
        <v>3140</v>
      </c>
      <c r="J40" s="35" t="s">
        <v>3006</v>
      </c>
      <c r="K40" s="35" t="s">
        <v>3141</v>
      </c>
    </row>
    <row r="41" spans="1:11" ht="14.25" x14ac:dyDescent="0.45">
      <c r="A41" s="63" t="s">
        <v>3142</v>
      </c>
      <c r="B41" s="51" t="s">
        <v>3143</v>
      </c>
      <c r="C41" s="53" t="s">
        <v>2874</v>
      </c>
      <c r="D41" s="53"/>
      <c r="E41" s="62" t="s">
        <v>3144</v>
      </c>
      <c r="F41" s="55" t="s">
        <v>2990</v>
      </c>
      <c r="G41" s="55" t="s">
        <v>3145</v>
      </c>
      <c r="H41" s="25" t="s">
        <v>3086</v>
      </c>
      <c r="I41" s="24" t="s">
        <v>3146</v>
      </c>
      <c r="J41" s="35"/>
      <c r="K41" s="35"/>
    </row>
    <row r="42" spans="1:11" ht="14.25" x14ac:dyDescent="0.45">
      <c r="A42" s="63" t="s">
        <v>3147</v>
      </c>
      <c r="B42" s="51" t="s">
        <v>3148</v>
      </c>
      <c r="C42" s="53"/>
      <c r="D42" s="53"/>
      <c r="E42" s="62" t="s">
        <v>3149</v>
      </c>
      <c r="F42" s="55" t="s">
        <v>3150</v>
      </c>
      <c r="G42" s="55" t="s">
        <v>3151</v>
      </c>
      <c r="H42" s="25" t="s">
        <v>3086</v>
      </c>
      <c r="I42" s="24" t="s">
        <v>3152</v>
      </c>
      <c r="J42" s="35"/>
      <c r="K42" s="35"/>
    </row>
    <row r="43" spans="1:11" ht="14.25" x14ac:dyDescent="0.45">
      <c r="A43" s="63" t="s">
        <v>3153</v>
      </c>
      <c r="B43" s="51" t="s">
        <v>3154</v>
      </c>
      <c r="C43" s="67" t="s">
        <v>3155</v>
      </c>
      <c r="D43" s="53"/>
      <c r="E43" s="62" t="s">
        <v>3156</v>
      </c>
      <c r="F43" s="55" t="s">
        <v>3157</v>
      </c>
      <c r="G43" s="55" t="s">
        <v>3158</v>
      </c>
      <c r="H43" s="25" t="s">
        <v>3086</v>
      </c>
      <c r="I43" s="24" t="s">
        <v>3159</v>
      </c>
      <c r="J43" s="35" t="s">
        <v>3160</v>
      </c>
      <c r="K43" s="35" t="s">
        <v>3161</v>
      </c>
    </row>
    <row r="44" spans="1:11" ht="14.25" x14ac:dyDescent="0.45">
      <c r="A44" s="63" t="s">
        <v>3162</v>
      </c>
      <c r="B44" s="51" t="s">
        <v>3163</v>
      </c>
      <c r="C44" s="53"/>
      <c r="D44" s="53"/>
      <c r="E44" s="62" t="s">
        <v>3164</v>
      </c>
      <c r="F44" s="55" t="s">
        <v>3036</v>
      </c>
      <c r="G44" s="55" t="s">
        <v>3165</v>
      </c>
      <c r="H44" s="25" t="s">
        <v>3086</v>
      </c>
      <c r="I44" s="24" t="s">
        <v>3166</v>
      </c>
      <c r="J44" s="35" t="s">
        <v>3167</v>
      </c>
      <c r="K44" s="35"/>
    </row>
    <row r="45" spans="1:11" ht="14.25" x14ac:dyDescent="0.45">
      <c r="A45" s="63" t="s">
        <v>3168</v>
      </c>
      <c r="B45" s="51" t="s">
        <v>3169</v>
      </c>
      <c r="C45" s="53"/>
      <c r="D45" s="53"/>
      <c r="E45" s="62" t="s">
        <v>3170</v>
      </c>
      <c r="F45" s="55" t="s">
        <v>3063</v>
      </c>
      <c r="G45" s="55"/>
      <c r="H45" s="25" t="s">
        <v>3086</v>
      </c>
      <c r="I45" s="24" t="s">
        <v>3171</v>
      </c>
      <c r="J45" s="35" t="s">
        <v>3172</v>
      </c>
      <c r="K45" s="35" t="s">
        <v>3173</v>
      </c>
    </row>
    <row r="46" spans="1:11" ht="14.25" x14ac:dyDescent="0.45">
      <c r="A46" s="61"/>
      <c r="B46" s="51" t="s">
        <v>3174</v>
      </c>
      <c r="C46" s="53" t="s">
        <v>3175</v>
      </c>
      <c r="D46" s="51"/>
      <c r="E46" s="62" t="s">
        <v>3176</v>
      </c>
      <c r="F46" s="55" t="s">
        <v>3177</v>
      </c>
      <c r="G46" s="62"/>
      <c r="H46" s="25" t="s">
        <v>3086</v>
      </c>
      <c r="I46" s="24" t="s">
        <v>3178</v>
      </c>
      <c r="J46" s="35" t="s">
        <v>3107</v>
      </c>
      <c r="K46" s="35" t="s">
        <v>3179</v>
      </c>
    </row>
    <row r="47" spans="1:11" ht="14.25" x14ac:dyDescent="0.45">
      <c r="A47" s="63" t="s">
        <v>3180</v>
      </c>
      <c r="B47" s="51" t="s">
        <v>3181</v>
      </c>
      <c r="C47" s="53" t="s">
        <v>3182</v>
      </c>
      <c r="D47" s="53" t="s">
        <v>3183</v>
      </c>
      <c r="E47" s="62" t="s">
        <v>3184</v>
      </c>
      <c r="F47" s="55" t="s">
        <v>3185</v>
      </c>
      <c r="G47" s="55" t="s">
        <v>3186</v>
      </c>
      <c r="H47" s="25" t="s">
        <v>3086</v>
      </c>
      <c r="I47" s="24" t="s">
        <v>3187</v>
      </c>
      <c r="J47" s="35" t="s">
        <v>2950</v>
      </c>
      <c r="K47" s="35" t="s">
        <v>3188</v>
      </c>
    </row>
    <row r="48" spans="1:11" ht="14.25" x14ac:dyDescent="0.45">
      <c r="A48" s="63" t="s">
        <v>3189</v>
      </c>
      <c r="B48" s="51" t="s">
        <v>3190</v>
      </c>
      <c r="C48" s="51"/>
      <c r="D48" s="51"/>
      <c r="E48" s="62" t="s">
        <v>3191</v>
      </c>
      <c r="F48" s="55" t="s">
        <v>3036</v>
      </c>
      <c r="G48" s="62"/>
      <c r="H48" s="25" t="s">
        <v>3086</v>
      </c>
      <c r="I48" s="24" t="s">
        <v>3192</v>
      </c>
      <c r="J48" s="35" t="s">
        <v>3193</v>
      </c>
      <c r="K48" s="35" t="s">
        <v>3194</v>
      </c>
    </row>
    <row r="49" spans="1:11" ht="14.25" x14ac:dyDescent="0.45">
      <c r="A49" s="63" t="s">
        <v>3115</v>
      </c>
      <c r="B49" s="51" t="s">
        <v>3195</v>
      </c>
      <c r="C49" s="53" t="s">
        <v>2869</v>
      </c>
      <c r="D49" s="51"/>
      <c r="E49" s="62" t="s">
        <v>3196</v>
      </c>
      <c r="F49" s="55" t="s">
        <v>3118</v>
      </c>
      <c r="G49" s="62"/>
      <c r="H49" s="25" t="s">
        <v>3086</v>
      </c>
      <c r="I49" s="24" t="s">
        <v>3197</v>
      </c>
      <c r="J49" s="35" t="s">
        <v>3198</v>
      </c>
      <c r="K49" s="35" t="s">
        <v>3199</v>
      </c>
    </row>
    <row r="50" spans="1:11" ht="14.25" x14ac:dyDescent="0.45">
      <c r="A50" s="63" t="s">
        <v>3200</v>
      </c>
      <c r="B50" s="51" t="s">
        <v>3201</v>
      </c>
      <c r="C50" s="53" t="s">
        <v>3202</v>
      </c>
      <c r="D50" s="51"/>
      <c r="E50" s="62" t="s">
        <v>3203</v>
      </c>
      <c r="F50" s="55" t="s">
        <v>3020</v>
      </c>
      <c r="G50" s="62"/>
      <c r="H50" s="25" t="s">
        <v>3086</v>
      </c>
      <c r="I50" s="24" t="s">
        <v>3204</v>
      </c>
      <c r="J50" s="35" t="s">
        <v>3107</v>
      </c>
      <c r="K50" s="24"/>
    </row>
    <row r="51" spans="1:11" ht="14.25" x14ac:dyDescent="0.45">
      <c r="A51" s="63" t="s">
        <v>3205</v>
      </c>
      <c r="B51" s="51" t="s">
        <v>3206</v>
      </c>
      <c r="C51" s="53"/>
      <c r="D51" s="53"/>
      <c r="E51" s="62" t="s">
        <v>3207</v>
      </c>
      <c r="F51" s="55" t="s">
        <v>3208</v>
      </c>
      <c r="G51" s="55" t="s">
        <v>3209</v>
      </c>
      <c r="H51" s="25" t="s">
        <v>3086</v>
      </c>
      <c r="I51" s="24" t="s">
        <v>3210</v>
      </c>
      <c r="J51" s="35" t="s">
        <v>3031</v>
      </c>
      <c r="K51" s="35"/>
    </row>
    <row r="52" spans="1:11" ht="14.25" x14ac:dyDescent="0.45">
      <c r="A52" s="61"/>
      <c r="B52" s="51" t="s">
        <v>3211</v>
      </c>
      <c r="C52" s="51"/>
      <c r="D52" s="51"/>
      <c r="E52" s="62" t="s">
        <v>3212</v>
      </c>
      <c r="F52" s="55" t="s">
        <v>2983</v>
      </c>
      <c r="G52" s="55" t="s">
        <v>3213</v>
      </c>
      <c r="H52" s="25" t="s">
        <v>2927</v>
      </c>
      <c r="I52" s="24" t="s">
        <v>3214</v>
      </c>
      <c r="J52" s="24"/>
      <c r="K52" s="24"/>
    </row>
    <row r="53" spans="1:11" ht="14.25" x14ac:dyDescent="0.45">
      <c r="A53" s="63" t="s">
        <v>3215</v>
      </c>
      <c r="B53" s="51" t="s">
        <v>3216</v>
      </c>
      <c r="C53" s="51"/>
      <c r="D53" s="51"/>
      <c r="E53" s="62" t="s">
        <v>3217</v>
      </c>
      <c r="F53" s="55" t="s">
        <v>3218</v>
      </c>
      <c r="G53" s="62"/>
      <c r="H53" s="25" t="s">
        <v>3086</v>
      </c>
      <c r="I53" s="24" t="s">
        <v>3219</v>
      </c>
      <c r="J53" s="35" t="s">
        <v>3220</v>
      </c>
      <c r="K53" s="35" t="s">
        <v>3221</v>
      </c>
    </row>
    <row r="54" spans="1:11" ht="14.25" x14ac:dyDescent="0.45">
      <c r="A54" s="61"/>
      <c r="B54" s="51" t="s">
        <v>3222</v>
      </c>
      <c r="C54" s="68"/>
      <c r="D54" s="68"/>
      <c r="E54" s="62" t="s">
        <v>3223</v>
      </c>
      <c r="F54" s="55" t="s">
        <v>3224</v>
      </c>
      <c r="G54" s="66" t="s">
        <v>3225</v>
      </c>
      <c r="H54" s="25" t="s">
        <v>3086</v>
      </c>
      <c r="I54" s="24" t="s">
        <v>3226</v>
      </c>
      <c r="J54" s="32" t="s">
        <v>3167</v>
      </c>
      <c r="K54" s="32" t="s">
        <v>3227</v>
      </c>
    </row>
    <row r="55" spans="1:11" ht="14.25" x14ac:dyDescent="0.45">
      <c r="A55" s="63" t="s">
        <v>3228</v>
      </c>
      <c r="B55" s="51" t="s">
        <v>3229</v>
      </c>
      <c r="C55" s="51"/>
      <c r="D55" s="51"/>
      <c r="E55" s="62" t="s">
        <v>3230</v>
      </c>
      <c r="F55" s="55" t="s">
        <v>3231</v>
      </c>
      <c r="G55" s="62"/>
      <c r="H55" s="25" t="s">
        <v>3086</v>
      </c>
      <c r="I55" s="24" t="s">
        <v>3232</v>
      </c>
      <c r="J55" s="24"/>
      <c r="K55" s="24"/>
    </row>
    <row r="56" spans="1:11" ht="14.25" x14ac:dyDescent="0.45">
      <c r="A56" s="63" t="s">
        <v>3233</v>
      </c>
      <c r="B56" s="51" t="s">
        <v>3234</v>
      </c>
      <c r="C56" s="53" t="s">
        <v>2881</v>
      </c>
      <c r="D56" s="51"/>
      <c r="E56" s="62" t="s">
        <v>3235</v>
      </c>
      <c r="F56" s="55" t="s">
        <v>2940</v>
      </c>
      <c r="G56" s="55" t="s">
        <v>3236</v>
      </c>
      <c r="H56" s="25" t="s">
        <v>3086</v>
      </c>
      <c r="I56" s="24" t="s">
        <v>3237</v>
      </c>
      <c r="J56" s="35" t="s">
        <v>3224</v>
      </c>
      <c r="K56" s="35" t="s">
        <v>3238</v>
      </c>
    </row>
    <row r="57" spans="1:11" ht="14.25" x14ac:dyDescent="0.45">
      <c r="A57" s="61"/>
      <c r="B57" s="51" t="e">
        <v>#VALUE!</v>
      </c>
      <c r="C57" s="51"/>
      <c r="D57" s="51"/>
      <c r="E57" s="62" t="e">
        <v>#VALUE!</v>
      </c>
      <c r="F57" s="62"/>
      <c r="G57" s="62"/>
      <c r="H57" s="25" t="e">
        <v>#VALUE!</v>
      </c>
      <c r="I57" s="24" t="s">
        <v>2927</v>
      </c>
      <c r="J57" s="24"/>
      <c r="K57" s="24"/>
    </row>
    <row r="58" spans="1:11" ht="14.25" x14ac:dyDescent="0.45">
      <c r="A58" s="52"/>
      <c r="B58" s="51" t="s">
        <v>3239</v>
      </c>
      <c r="C58" s="53"/>
      <c r="D58" s="53"/>
      <c r="E58" s="62" t="s">
        <v>3240</v>
      </c>
      <c r="F58" s="55" t="s">
        <v>3241</v>
      </c>
      <c r="G58" s="55" t="s">
        <v>3242</v>
      </c>
      <c r="H58" s="25" t="s">
        <v>3086</v>
      </c>
      <c r="I58" s="24" t="s">
        <v>3243</v>
      </c>
      <c r="J58" s="35" t="s">
        <v>3244</v>
      </c>
      <c r="K58" s="35" t="s">
        <v>3245</v>
      </c>
    </row>
    <row r="59" spans="1:11" ht="14.25" x14ac:dyDescent="0.45">
      <c r="A59" s="63" t="s">
        <v>3246</v>
      </c>
      <c r="B59" s="51" t="s">
        <v>3247</v>
      </c>
      <c r="C59" s="69" t="s">
        <v>3248</v>
      </c>
      <c r="D59" s="69"/>
      <c r="E59" s="62" t="s">
        <v>3249</v>
      </c>
      <c r="F59" s="70" t="s">
        <v>3250</v>
      </c>
      <c r="G59" s="70" t="s">
        <v>3251</v>
      </c>
      <c r="H59" s="25" t="s">
        <v>3086</v>
      </c>
      <c r="I59" s="24" t="s">
        <v>3252</v>
      </c>
      <c r="J59" s="35" t="s">
        <v>3253</v>
      </c>
      <c r="K59" s="71"/>
    </row>
    <row r="60" spans="1:11" ht="14.25" x14ac:dyDescent="0.45">
      <c r="A60" s="61"/>
      <c r="B60" s="51" t="s">
        <v>3254</v>
      </c>
      <c r="C60" s="51"/>
      <c r="D60" s="51"/>
      <c r="E60" s="62" t="s">
        <v>3255</v>
      </c>
      <c r="F60" s="55" t="s">
        <v>3256</v>
      </c>
      <c r="G60" s="55" t="s">
        <v>3257</v>
      </c>
      <c r="H60" s="25" t="s">
        <v>2927</v>
      </c>
      <c r="I60" s="24" t="s">
        <v>3258</v>
      </c>
      <c r="J60" s="35" t="s">
        <v>3259</v>
      </c>
      <c r="K60" s="35" t="s">
        <v>3260</v>
      </c>
    </row>
    <row r="61" spans="1:11" ht="14.25" x14ac:dyDescent="0.45">
      <c r="A61" s="63" t="s">
        <v>3261</v>
      </c>
      <c r="B61" s="51" t="s">
        <v>3262</v>
      </c>
      <c r="C61" s="51"/>
      <c r="D61" s="51"/>
      <c r="E61" s="62" t="s">
        <v>3263</v>
      </c>
      <c r="F61" s="55" t="s">
        <v>3264</v>
      </c>
      <c r="G61" s="62"/>
      <c r="H61" s="25" t="s">
        <v>3086</v>
      </c>
      <c r="I61" s="24" t="s">
        <v>3265</v>
      </c>
      <c r="J61" s="35" t="s">
        <v>3172</v>
      </c>
      <c r="K61" s="35" t="s">
        <v>3266</v>
      </c>
    </row>
    <row r="62" spans="1:11" ht="14.25" x14ac:dyDescent="0.45">
      <c r="A62" s="61"/>
      <c r="B62" s="51" t="s">
        <v>3267</v>
      </c>
      <c r="C62" s="51"/>
      <c r="D62" s="51"/>
      <c r="E62" s="62" t="s">
        <v>3268</v>
      </c>
      <c r="F62" s="62"/>
      <c r="G62" s="62"/>
      <c r="H62" s="25" t="s">
        <v>3086</v>
      </c>
      <c r="I62" s="24" t="s">
        <v>3269</v>
      </c>
      <c r="J62" s="35" t="s">
        <v>3270</v>
      </c>
      <c r="K62" s="24"/>
    </row>
    <row r="63" spans="1:11" ht="14.25" x14ac:dyDescent="0.45">
      <c r="A63" s="61"/>
      <c r="B63" s="51" t="s">
        <v>3271</v>
      </c>
      <c r="C63" s="51"/>
      <c r="D63" s="51"/>
      <c r="E63" s="62" t="s">
        <v>3272</v>
      </c>
      <c r="F63" s="62"/>
      <c r="G63" s="62"/>
      <c r="H63" s="25" t="s">
        <v>3086</v>
      </c>
      <c r="I63" s="24" t="s">
        <v>3273</v>
      </c>
      <c r="J63" s="35" t="s">
        <v>3114</v>
      </c>
      <c r="K63" s="35" t="s">
        <v>3274</v>
      </c>
    </row>
    <row r="64" spans="1:11" ht="14.25" x14ac:dyDescent="0.45">
      <c r="A64" s="61"/>
      <c r="B64" s="51" t="s">
        <v>3275</v>
      </c>
      <c r="C64" s="51"/>
      <c r="D64" s="51"/>
      <c r="E64" s="62" t="s">
        <v>3276</v>
      </c>
      <c r="F64" s="55" t="s">
        <v>3208</v>
      </c>
      <c r="G64" s="55" t="s">
        <v>3277</v>
      </c>
      <c r="H64" s="25" t="s">
        <v>3086</v>
      </c>
      <c r="I64" s="24" t="s">
        <v>3278</v>
      </c>
      <c r="J64" s="35" t="s">
        <v>3031</v>
      </c>
      <c r="K64" s="24"/>
    </row>
    <row r="65" spans="1:11" ht="14.25" x14ac:dyDescent="0.45">
      <c r="A65" s="63" t="s">
        <v>3279</v>
      </c>
      <c r="B65" s="51" t="s">
        <v>3280</v>
      </c>
      <c r="C65" s="53"/>
      <c r="D65" s="53"/>
      <c r="E65" s="62" t="s">
        <v>3281</v>
      </c>
      <c r="F65" s="55" t="s">
        <v>3282</v>
      </c>
      <c r="G65" s="55" t="s">
        <v>3283</v>
      </c>
      <c r="H65" s="25" t="s">
        <v>3086</v>
      </c>
      <c r="I65" s="24" t="s">
        <v>3284</v>
      </c>
      <c r="J65" s="35" t="s">
        <v>3285</v>
      </c>
      <c r="K65" s="35" t="s">
        <v>3286</v>
      </c>
    </row>
    <row r="66" spans="1:11" ht="14.25" x14ac:dyDescent="0.45">
      <c r="A66" s="63" t="s">
        <v>3168</v>
      </c>
      <c r="B66" s="51" t="s">
        <v>3287</v>
      </c>
      <c r="C66" s="51"/>
      <c r="D66" s="51"/>
      <c r="E66" s="62" t="s">
        <v>3288</v>
      </c>
      <c r="F66" s="55" t="s">
        <v>3289</v>
      </c>
      <c r="G66" s="62"/>
      <c r="H66" s="25" t="s">
        <v>3086</v>
      </c>
      <c r="I66" s="24" t="s">
        <v>3290</v>
      </c>
      <c r="J66" s="35" t="s">
        <v>3172</v>
      </c>
      <c r="K66" s="35" t="s">
        <v>3291</v>
      </c>
    </row>
    <row r="67" spans="1:11" ht="14.25" x14ac:dyDescent="0.45">
      <c r="A67" s="63" t="s">
        <v>3292</v>
      </c>
      <c r="B67" s="51" t="s">
        <v>3293</v>
      </c>
      <c r="C67" s="51"/>
      <c r="D67" s="51"/>
      <c r="E67" s="62" t="s">
        <v>3294</v>
      </c>
      <c r="F67" s="55" t="s">
        <v>3295</v>
      </c>
      <c r="G67" s="62"/>
      <c r="H67" s="25" t="s">
        <v>3086</v>
      </c>
      <c r="I67" s="24" t="s">
        <v>3296</v>
      </c>
      <c r="J67" s="35" t="s">
        <v>3107</v>
      </c>
      <c r="K67" s="35" t="s">
        <v>3297</v>
      </c>
    </row>
    <row r="68" spans="1:11" ht="14.25" x14ac:dyDescent="0.45">
      <c r="A68" s="63" t="s">
        <v>3298</v>
      </c>
      <c r="B68" s="51" t="s">
        <v>3299</v>
      </c>
      <c r="C68" s="51"/>
      <c r="D68" s="51"/>
      <c r="E68" s="62" t="s">
        <v>3300</v>
      </c>
      <c r="F68" s="55" t="s">
        <v>3036</v>
      </c>
      <c r="G68" s="55" t="s">
        <v>3301</v>
      </c>
      <c r="H68" s="25" t="s">
        <v>3086</v>
      </c>
      <c r="I68" s="24" t="s">
        <v>3302</v>
      </c>
      <c r="J68" s="35" t="s">
        <v>3224</v>
      </c>
      <c r="K68" s="35" t="s">
        <v>3303</v>
      </c>
    </row>
    <row r="69" spans="1:11" ht="14.25" x14ac:dyDescent="0.45">
      <c r="A69" s="63" t="s">
        <v>3304</v>
      </c>
      <c r="B69" s="51" t="s">
        <v>3305</v>
      </c>
      <c r="C69" s="53"/>
      <c r="D69" s="53"/>
      <c r="E69" s="62" t="s">
        <v>3306</v>
      </c>
      <c r="F69" s="55"/>
      <c r="G69" s="55"/>
      <c r="H69" s="25" t="s">
        <v>3086</v>
      </c>
      <c r="I69" s="24" t="s">
        <v>3307</v>
      </c>
      <c r="J69" s="35" t="s">
        <v>3308</v>
      </c>
      <c r="K69" s="35" t="s">
        <v>3309</v>
      </c>
    </row>
    <row r="70" spans="1:11" ht="14.25" x14ac:dyDescent="0.45">
      <c r="A70" s="61"/>
      <c r="B70" s="51" t="s">
        <v>3310</v>
      </c>
      <c r="C70" s="51"/>
      <c r="D70" s="51"/>
      <c r="E70" s="62" t="s">
        <v>3311</v>
      </c>
      <c r="F70" s="55" t="s">
        <v>3177</v>
      </c>
      <c r="G70" s="62"/>
      <c r="H70" s="25" t="s">
        <v>3086</v>
      </c>
      <c r="I70" s="24" t="s">
        <v>3312</v>
      </c>
      <c r="J70" s="35" t="s">
        <v>3259</v>
      </c>
      <c r="K70" s="24"/>
    </row>
    <row r="71" spans="1:11" ht="14.25" x14ac:dyDescent="0.45">
      <c r="A71" s="63" t="s">
        <v>3313</v>
      </c>
      <c r="B71" s="51" t="s">
        <v>3314</v>
      </c>
      <c r="C71" s="51"/>
      <c r="D71" s="51"/>
      <c r="E71" s="62" t="s">
        <v>3315</v>
      </c>
      <c r="F71" s="55" t="s">
        <v>3316</v>
      </c>
      <c r="G71" s="62"/>
      <c r="H71" s="25" t="s">
        <v>2927</v>
      </c>
      <c r="I71" s="24" t="s">
        <v>3317</v>
      </c>
      <c r="J71" s="24"/>
      <c r="K71" s="24"/>
    </row>
    <row r="72" spans="1:11" ht="14.25" x14ac:dyDescent="0.45">
      <c r="A72" s="63" t="s">
        <v>3318</v>
      </c>
      <c r="B72" s="51" t="s">
        <v>3319</v>
      </c>
      <c r="C72" s="53"/>
      <c r="D72" s="53"/>
      <c r="E72" s="62" t="s">
        <v>3320</v>
      </c>
      <c r="F72" s="55" t="s">
        <v>3321</v>
      </c>
      <c r="G72" s="55" t="s">
        <v>3322</v>
      </c>
      <c r="H72" s="25" t="s">
        <v>3086</v>
      </c>
      <c r="I72" s="24" t="s">
        <v>3323</v>
      </c>
      <c r="J72" s="35" t="s">
        <v>3052</v>
      </c>
      <c r="K72" s="35" t="s">
        <v>3324</v>
      </c>
    </row>
    <row r="73" spans="1:11" ht="14.25" x14ac:dyDescent="0.45">
      <c r="A73" s="61"/>
      <c r="B73" s="51" t="s">
        <v>3325</v>
      </c>
      <c r="C73" s="51"/>
      <c r="D73" s="51"/>
      <c r="E73" s="62" t="s">
        <v>3326</v>
      </c>
      <c r="F73" s="55" t="s">
        <v>2983</v>
      </c>
      <c r="G73" s="62"/>
      <c r="H73" s="25" t="s">
        <v>3086</v>
      </c>
      <c r="I73" s="24" t="s">
        <v>3327</v>
      </c>
      <c r="J73" s="24"/>
      <c r="K73" s="24"/>
    </row>
    <row r="74" spans="1:11" ht="14.25" x14ac:dyDescent="0.45">
      <c r="A74" s="61"/>
      <c r="B74" s="51" t="s">
        <v>3328</v>
      </c>
      <c r="C74" s="51"/>
      <c r="D74" s="51"/>
      <c r="E74" s="62" t="s">
        <v>3329</v>
      </c>
      <c r="F74" s="55" t="s">
        <v>3330</v>
      </c>
      <c r="G74" s="62"/>
      <c r="H74" s="25" t="s">
        <v>3086</v>
      </c>
      <c r="I74" s="24" t="s">
        <v>3331</v>
      </c>
      <c r="J74" s="35" t="s">
        <v>3099</v>
      </c>
      <c r="K74" s="24"/>
    </row>
    <row r="75" spans="1:11" ht="14.25" x14ac:dyDescent="0.45">
      <c r="A75" s="52"/>
      <c r="B75" s="51" t="s">
        <v>3332</v>
      </c>
      <c r="C75" s="53"/>
      <c r="D75" s="53"/>
      <c r="E75" s="62" t="s">
        <v>3333</v>
      </c>
      <c r="F75" s="55" t="s">
        <v>3036</v>
      </c>
      <c r="G75" s="55"/>
      <c r="H75" s="25" t="s">
        <v>3086</v>
      </c>
      <c r="I75" s="24" t="s">
        <v>3334</v>
      </c>
      <c r="J75" s="35" t="s">
        <v>3335</v>
      </c>
      <c r="K75" s="35"/>
    </row>
    <row r="76" spans="1:11" ht="14.25" x14ac:dyDescent="0.45">
      <c r="A76" s="61"/>
      <c r="B76" s="51" t="s">
        <v>3336</v>
      </c>
      <c r="C76" s="51"/>
      <c r="D76" s="51"/>
      <c r="E76" s="62" t="s">
        <v>3337</v>
      </c>
      <c r="F76" s="55" t="s">
        <v>3338</v>
      </c>
      <c r="G76" s="62"/>
      <c r="H76" s="25" t="s">
        <v>2927</v>
      </c>
      <c r="I76" s="24" t="s">
        <v>3339</v>
      </c>
      <c r="J76" s="24"/>
      <c r="K76" s="24"/>
    </row>
    <row r="77" spans="1:11" ht="14.25" x14ac:dyDescent="0.45">
      <c r="A77" s="61"/>
      <c r="B77" s="51" t="s">
        <v>3340</v>
      </c>
      <c r="C77" s="51"/>
      <c r="D77" s="51"/>
      <c r="E77" s="62" t="s">
        <v>3341</v>
      </c>
      <c r="F77" s="55" t="s">
        <v>3036</v>
      </c>
      <c r="G77" s="55" t="s">
        <v>3342</v>
      </c>
      <c r="H77" s="25" t="s">
        <v>3086</v>
      </c>
      <c r="I77" s="24" t="s">
        <v>3343</v>
      </c>
      <c r="J77" s="35" t="s">
        <v>3107</v>
      </c>
      <c r="K77" s="24"/>
    </row>
    <row r="78" spans="1:11" ht="14.25" x14ac:dyDescent="0.45">
      <c r="A78" s="61"/>
      <c r="B78" s="51" t="s">
        <v>3344</v>
      </c>
      <c r="C78" s="51"/>
      <c r="D78" s="51"/>
      <c r="E78" s="62" t="s">
        <v>3345</v>
      </c>
      <c r="F78" s="55" t="s">
        <v>3193</v>
      </c>
      <c r="G78" s="62"/>
      <c r="H78" s="25" t="s">
        <v>3086</v>
      </c>
      <c r="I78" s="24" t="s">
        <v>3346</v>
      </c>
      <c r="J78" s="35" t="s">
        <v>2926</v>
      </c>
      <c r="K78" s="35" t="s">
        <v>3347</v>
      </c>
    </row>
    <row r="79" spans="1:11" ht="14.25" x14ac:dyDescent="0.45">
      <c r="A79" s="63" t="s">
        <v>3233</v>
      </c>
      <c r="B79" s="51" t="s">
        <v>3348</v>
      </c>
      <c r="C79" s="53" t="s">
        <v>2881</v>
      </c>
      <c r="D79" s="51"/>
      <c r="E79" s="62" t="s">
        <v>3349</v>
      </c>
      <c r="F79" s="62"/>
      <c r="G79" s="62"/>
      <c r="H79" s="25" t="s">
        <v>3086</v>
      </c>
      <c r="I79" s="24" t="s">
        <v>3350</v>
      </c>
      <c r="J79" s="35" t="s">
        <v>3351</v>
      </c>
      <c r="K79" s="35" t="s">
        <v>3352</v>
      </c>
    </row>
    <row r="80" spans="1:11" ht="14.25" x14ac:dyDescent="0.45">
      <c r="A80" s="61"/>
      <c r="B80" s="51" t="s">
        <v>3353</v>
      </c>
      <c r="C80" s="65" t="s">
        <v>3079</v>
      </c>
      <c r="D80" s="65" t="s">
        <v>3354</v>
      </c>
      <c r="E80" s="62" t="s">
        <v>3355</v>
      </c>
      <c r="F80" s="66" t="s">
        <v>3338</v>
      </c>
      <c r="G80" s="72"/>
      <c r="H80" s="25" t="s">
        <v>3086</v>
      </c>
      <c r="I80" s="24" t="s">
        <v>3356</v>
      </c>
      <c r="J80" s="32" t="s">
        <v>3357</v>
      </c>
      <c r="K80" s="32" t="s">
        <v>3358</v>
      </c>
    </row>
    <row r="81" spans="1:11" ht="14.25" x14ac:dyDescent="0.45">
      <c r="A81" s="63" t="s">
        <v>3359</v>
      </c>
      <c r="B81" s="51" t="s">
        <v>3360</v>
      </c>
      <c r="C81" s="53" t="s">
        <v>3361</v>
      </c>
      <c r="D81" s="51"/>
      <c r="E81" s="62" t="s">
        <v>3362</v>
      </c>
      <c r="F81" s="55" t="s">
        <v>3363</v>
      </c>
      <c r="G81" s="62"/>
      <c r="H81" s="25" t="s">
        <v>2927</v>
      </c>
      <c r="I81" s="24" t="s">
        <v>3364</v>
      </c>
      <c r="J81" s="24"/>
      <c r="K81" s="24"/>
    </row>
    <row r="82" spans="1:11" ht="14.25" x14ac:dyDescent="0.45">
      <c r="A82" s="63" t="s">
        <v>3365</v>
      </c>
      <c r="B82" s="51" t="s">
        <v>3366</v>
      </c>
      <c r="C82" s="53"/>
      <c r="D82" s="53"/>
      <c r="E82" s="62" t="s">
        <v>3367</v>
      </c>
      <c r="F82" s="55"/>
      <c r="G82" s="55"/>
      <c r="H82" s="25" t="s">
        <v>3086</v>
      </c>
      <c r="I82" s="24" t="s">
        <v>3368</v>
      </c>
      <c r="J82" s="35" t="s">
        <v>3172</v>
      </c>
      <c r="K82" s="35" t="s">
        <v>3369</v>
      </c>
    </row>
    <row r="83" spans="1:11" ht="14.25" x14ac:dyDescent="0.45">
      <c r="A83" s="63" t="s">
        <v>3370</v>
      </c>
      <c r="B83" s="51" t="s">
        <v>3371</v>
      </c>
      <c r="C83" s="53" t="s">
        <v>3372</v>
      </c>
      <c r="D83" s="53"/>
      <c r="E83" s="62" t="s">
        <v>3373</v>
      </c>
      <c r="F83" s="55" t="s">
        <v>2947</v>
      </c>
      <c r="G83" s="55" t="s">
        <v>3374</v>
      </c>
      <c r="H83" s="25" t="s">
        <v>2927</v>
      </c>
      <c r="I83" s="24" t="s">
        <v>3375</v>
      </c>
      <c r="J83" s="35" t="s">
        <v>3259</v>
      </c>
      <c r="K83" s="35"/>
    </row>
    <row r="84" spans="1:11" ht="14.25" x14ac:dyDescent="0.45">
      <c r="A84" s="61"/>
      <c r="B84" s="51" t="e">
        <v>#VALUE!</v>
      </c>
      <c r="C84" s="51"/>
      <c r="D84" s="51"/>
      <c r="E84" s="62" t="e">
        <v>#VALUE!</v>
      </c>
      <c r="F84" s="62"/>
      <c r="G84" s="62"/>
      <c r="H84" s="25" t="e">
        <v>#VALUE!</v>
      </c>
      <c r="I84" s="24" t="s">
        <v>2927</v>
      </c>
      <c r="J84" s="24"/>
      <c r="K84" s="24"/>
    </row>
    <row r="85" spans="1:11" ht="14.25" x14ac:dyDescent="0.45">
      <c r="A85" s="61"/>
      <c r="B85" s="51" t="s">
        <v>3376</v>
      </c>
      <c r="C85" s="51"/>
      <c r="D85" s="51"/>
      <c r="E85" s="62" t="s">
        <v>3377</v>
      </c>
      <c r="F85" s="55" t="s">
        <v>3378</v>
      </c>
      <c r="G85" s="55" t="s">
        <v>3379</v>
      </c>
      <c r="H85" s="25" t="s">
        <v>3086</v>
      </c>
      <c r="I85" s="24" t="s">
        <v>3380</v>
      </c>
      <c r="J85" s="64" t="s">
        <v>2925</v>
      </c>
      <c r="K85" s="24"/>
    </row>
    <row r="86" spans="1:11" ht="14.25" x14ac:dyDescent="0.45">
      <c r="A86" s="61"/>
      <c r="B86" s="51" t="s">
        <v>3381</v>
      </c>
      <c r="C86" s="51"/>
      <c r="D86" s="51"/>
      <c r="E86" s="62" t="s">
        <v>3382</v>
      </c>
      <c r="F86" s="62"/>
      <c r="G86" s="62"/>
      <c r="H86" s="25" t="s">
        <v>3086</v>
      </c>
      <c r="I86" s="24" t="s">
        <v>3383</v>
      </c>
      <c r="J86" s="35" t="s">
        <v>3111</v>
      </c>
      <c r="K86" s="24"/>
    </row>
    <row r="87" spans="1:11" ht="14.25" x14ac:dyDescent="0.45">
      <c r="A87" s="63" t="s">
        <v>3384</v>
      </c>
      <c r="B87" s="51" t="s">
        <v>3385</v>
      </c>
      <c r="C87" s="53" t="s">
        <v>2881</v>
      </c>
      <c r="D87" s="53"/>
      <c r="E87" s="62" t="s">
        <v>3386</v>
      </c>
      <c r="F87" s="55" t="s">
        <v>3177</v>
      </c>
      <c r="G87" s="55" t="s">
        <v>3387</v>
      </c>
      <c r="H87" s="25" t="s">
        <v>3086</v>
      </c>
      <c r="I87" s="24" t="s">
        <v>3388</v>
      </c>
      <c r="J87" s="35" t="s">
        <v>3193</v>
      </c>
      <c r="K87" s="35" t="s">
        <v>3389</v>
      </c>
    </row>
    <row r="88" spans="1:11" ht="14.25" x14ac:dyDescent="0.45">
      <c r="A88" s="61"/>
      <c r="B88" s="51" t="s">
        <v>3390</v>
      </c>
      <c r="C88" s="51"/>
      <c r="D88" s="51"/>
      <c r="E88" s="62" t="s">
        <v>3391</v>
      </c>
      <c r="F88" s="62"/>
      <c r="G88" s="62"/>
      <c r="H88" s="25" t="s">
        <v>3086</v>
      </c>
      <c r="I88" s="24" t="s">
        <v>3392</v>
      </c>
      <c r="J88" s="24"/>
      <c r="K88" s="24"/>
    </row>
    <row r="89" spans="1:11" ht="14.25" x14ac:dyDescent="0.45">
      <c r="A89" s="63" t="s">
        <v>3393</v>
      </c>
      <c r="B89" s="51" t="s">
        <v>3394</v>
      </c>
      <c r="C89" s="51"/>
      <c r="D89" s="51"/>
      <c r="E89" s="62" t="s">
        <v>3395</v>
      </c>
      <c r="F89" s="55" t="s">
        <v>3396</v>
      </c>
      <c r="G89" s="62"/>
      <c r="H89" s="25" t="s">
        <v>3086</v>
      </c>
      <c r="I89" s="24" t="s">
        <v>3397</v>
      </c>
      <c r="J89" s="35" t="s">
        <v>3285</v>
      </c>
      <c r="K89" s="35" t="s">
        <v>3398</v>
      </c>
    </row>
    <row r="90" spans="1:11" ht="14.25" x14ac:dyDescent="0.45">
      <c r="A90" s="63" t="s">
        <v>3399</v>
      </c>
      <c r="B90" s="51" t="s">
        <v>3400</v>
      </c>
      <c r="C90" s="51"/>
      <c r="D90" s="51"/>
      <c r="E90" s="62" t="s">
        <v>3401</v>
      </c>
      <c r="F90" s="55" t="s">
        <v>3218</v>
      </c>
      <c r="G90" s="62"/>
      <c r="H90" s="25" t="s">
        <v>2927</v>
      </c>
      <c r="I90" s="24" t="s">
        <v>3402</v>
      </c>
      <c r="J90" s="35" t="s">
        <v>3403</v>
      </c>
      <c r="K90" s="35" t="s">
        <v>3404</v>
      </c>
    </row>
    <row r="91" spans="1:11" ht="14.25" x14ac:dyDescent="0.45">
      <c r="A91" s="63" t="s">
        <v>3405</v>
      </c>
      <c r="B91" s="51" t="s">
        <v>3406</v>
      </c>
      <c r="C91" s="53" t="s">
        <v>3361</v>
      </c>
      <c r="D91" s="51"/>
      <c r="E91" s="62" t="s">
        <v>3407</v>
      </c>
      <c r="F91" s="55" t="s">
        <v>3408</v>
      </c>
      <c r="G91" s="55" t="s">
        <v>3409</v>
      </c>
      <c r="H91" s="25" t="s">
        <v>3086</v>
      </c>
      <c r="I91" s="24" t="s">
        <v>3410</v>
      </c>
      <c r="J91" s="35" t="s">
        <v>3167</v>
      </c>
      <c r="K91" s="35" t="s">
        <v>3411</v>
      </c>
    </row>
    <row r="92" spans="1:11" ht="14.25" x14ac:dyDescent="0.45">
      <c r="A92" s="63" t="s">
        <v>3412</v>
      </c>
      <c r="B92" s="51" t="s">
        <v>3413</v>
      </c>
      <c r="C92" s="53"/>
      <c r="D92" s="53"/>
      <c r="E92" s="62" t="s">
        <v>3414</v>
      </c>
      <c r="F92" s="55" t="s">
        <v>3415</v>
      </c>
      <c r="G92" s="55"/>
      <c r="H92" s="25" t="s">
        <v>3086</v>
      </c>
      <c r="I92" s="24" t="s">
        <v>3416</v>
      </c>
      <c r="J92" s="35" t="s">
        <v>3023</v>
      </c>
      <c r="K92" s="35" t="s">
        <v>3417</v>
      </c>
    </row>
    <row r="93" spans="1:11" ht="14.25" x14ac:dyDescent="0.45">
      <c r="A93" s="61"/>
      <c r="B93" s="51" t="s">
        <v>3418</v>
      </c>
      <c r="C93" s="51"/>
      <c r="D93" s="51"/>
      <c r="E93" s="62" t="s">
        <v>3419</v>
      </c>
      <c r="F93" s="55" t="s">
        <v>3036</v>
      </c>
      <c r="G93" s="55" t="s">
        <v>3420</v>
      </c>
      <c r="H93" s="25" t="s">
        <v>3086</v>
      </c>
      <c r="I93" s="24" t="s">
        <v>3421</v>
      </c>
      <c r="J93" s="35" t="s">
        <v>3422</v>
      </c>
      <c r="K93" s="35" t="s">
        <v>3423</v>
      </c>
    </row>
    <row r="94" spans="1:11" ht="14.25" x14ac:dyDescent="0.45">
      <c r="A94" s="63" t="s">
        <v>3424</v>
      </c>
      <c r="B94" s="51" t="s">
        <v>3425</v>
      </c>
      <c r="C94" s="53" t="s">
        <v>3426</v>
      </c>
      <c r="D94" s="53" t="s">
        <v>3427</v>
      </c>
      <c r="E94" s="62" t="s">
        <v>3428</v>
      </c>
      <c r="F94" s="55" t="s">
        <v>3429</v>
      </c>
      <c r="G94" s="55" t="s">
        <v>3430</v>
      </c>
      <c r="H94" s="25" t="s">
        <v>2927</v>
      </c>
      <c r="I94" s="24" t="s">
        <v>3431</v>
      </c>
      <c r="J94" s="35" t="s">
        <v>3432</v>
      </c>
      <c r="K94" s="35" t="s">
        <v>3433</v>
      </c>
    </row>
    <row r="95" spans="1:11" ht="14.25" x14ac:dyDescent="0.45">
      <c r="A95" s="63" t="s">
        <v>3434</v>
      </c>
      <c r="B95" s="51" t="s">
        <v>3435</v>
      </c>
      <c r="C95" s="53" t="s">
        <v>3436</v>
      </c>
      <c r="D95" s="53" t="s">
        <v>3437</v>
      </c>
      <c r="E95" s="62" t="s">
        <v>3438</v>
      </c>
      <c r="F95" s="55" t="s">
        <v>3439</v>
      </c>
      <c r="G95" s="55" t="s">
        <v>3440</v>
      </c>
      <c r="H95" s="25" t="s">
        <v>3086</v>
      </c>
      <c r="I95" s="24" t="s">
        <v>3441</v>
      </c>
      <c r="J95" s="35" t="s">
        <v>3107</v>
      </c>
      <c r="K95" s="35" t="s">
        <v>3442</v>
      </c>
    </row>
    <row r="96" spans="1:11" ht="14.25" x14ac:dyDescent="0.45">
      <c r="A96" s="63" t="s">
        <v>3443</v>
      </c>
      <c r="B96" s="51" t="s">
        <v>3444</v>
      </c>
      <c r="C96" s="53"/>
      <c r="D96" s="53"/>
      <c r="E96" s="62" t="s">
        <v>3445</v>
      </c>
      <c r="F96" s="55" t="s">
        <v>3250</v>
      </c>
      <c r="G96" s="55" t="s">
        <v>3446</v>
      </c>
      <c r="H96" s="25" t="s">
        <v>2927</v>
      </c>
      <c r="I96" s="24" t="s">
        <v>3447</v>
      </c>
      <c r="J96" s="35" t="s">
        <v>3448</v>
      </c>
      <c r="K96" s="35" t="s">
        <v>3447</v>
      </c>
    </row>
    <row r="97" spans="1:11" ht="14.25" x14ac:dyDescent="0.45">
      <c r="A97" s="61"/>
      <c r="B97" s="51" t="s">
        <v>3449</v>
      </c>
      <c r="C97" s="51"/>
      <c r="D97" s="51"/>
      <c r="E97" s="62" t="s">
        <v>3450</v>
      </c>
      <c r="F97" s="62"/>
      <c r="G97" s="62"/>
      <c r="H97" s="25" t="s">
        <v>3086</v>
      </c>
      <c r="I97" s="24" t="s">
        <v>3451</v>
      </c>
      <c r="J97" s="35" t="s">
        <v>3091</v>
      </c>
      <c r="K97" s="35" t="s">
        <v>3452</v>
      </c>
    </row>
    <row r="98" spans="1:11" ht="14.25" x14ac:dyDescent="0.45">
      <c r="A98" s="61"/>
      <c r="B98" s="51" t="s">
        <v>3453</v>
      </c>
      <c r="C98" s="51"/>
      <c r="D98" s="51"/>
      <c r="E98" s="62" t="s">
        <v>3454</v>
      </c>
      <c r="F98" s="55" t="s">
        <v>3455</v>
      </c>
      <c r="G98" s="62"/>
      <c r="H98" s="25" t="s">
        <v>3086</v>
      </c>
      <c r="I98" s="24" t="s">
        <v>3456</v>
      </c>
      <c r="J98" s="35" t="s">
        <v>3457</v>
      </c>
      <c r="K98" s="24"/>
    </row>
    <row r="99" spans="1:11" ht="14.25" x14ac:dyDescent="0.45">
      <c r="A99" s="61"/>
      <c r="B99" s="51" t="s">
        <v>3458</v>
      </c>
      <c r="C99" s="51"/>
      <c r="D99" s="51"/>
      <c r="E99" s="62" t="s">
        <v>3459</v>
      </c>
      <c r="F99" s="55" t="s">
        <v>3321</v>
      </c>
      <c r="G99" s="55" t="s">
        <v>3460</v>
      </c>
      <c r="H99" s="25" t="s">
        <v>3086</v>
      </c>
      <c r="I99" s="24" t="s">
        <v>3461</v>
      </c>
      <c r="J99" s="24"/>
      <c r="K99" s="24"/>
    </row>
    <row r="100" spans="1:11" ht="14.25" x14ac:dyDescent="0.45">
      <c r="A100" s="63" t="s">
        <v>3462</v>
      </c>
      <c r="B100" s="51" t="s">
        <v>3463</v>
      </c>
      <c r="C100" s="53"/>
      <c r="D100" s="53"/>
      <c r="E100" s="62" t="s">
        <v>3464</v>
      </c>
      <c r="F100" s="55" t="s">
        <v>3118</v>
      </c>
      <c r="G100" s="55" t="s">
        <v>3465</v>
      </c>
      <c r="H100" s="25" t="s">
        <v>3086</v>
      </c>
      <c r="I100" s="24" t="s">
        <v>3466</v>
      </c>
      <c r="J100" s="35" t="s">
        <v>3467</v>
      </c>
      <c r="K100" s="35" t="s">
        <v>3468</v>
      </c>
    </row>
    <row r="101" spans="1:11" ht="14.25" x14ac:dyDescent="0.45">
      <c r="A101" s="63" t="s">
        <v>3469</v>
      </c>
      <c r="B101" s="51" t="s">
        <v>3470</v>
      </c>
      <c r="C101" s="53"/>
      <c r="D101" s="53"/>
      <c r="E101" s="62" t="s">
        <v>3471</v>
      </c>
      <c r="F101" s="55" t="s">
        <v>3224</v>
      </c>
      <c r="G101" s="55" t="s">
        <v>3472</v>
      </c>
      <c r="H101" s="25" t="s">
        <v>3086</v>
      </c>
      <c r="I101" s="24" t="s">
        <v>3473</v>
      </c>
      <c r="J101" s="35" t="s">
        <v>3006</v>
      </c>
      <c r="K101" s="35" t="s">
        <v>3474</v>
      </c>
    </row>
    <row r="102" spans="1:11" ht="14.25" x14ac:dyDescent="0.45">
      <c r="A102" s="63" t="s">
        <v>3475</v>
      </c>
      <c r="B102" s="51" t="s">
        <v>3476</v>
      </c>
      <c r="C102" s="53"/>
      <c r="D102" s="53"/>
      <c r="E102" s="62" t="s">
        <v>3477</v>
      </c>
      <c r="F102" s="55" t="s">
        <v>3250</v>
      </c>
      <c r="G102" s="55" t="s">
        <v>3478</v>
      </c>
      <c r="H102" s="25" t="s">
        <v>3086</v>
      </c>
      <c r="I102" s="24" t="s">
        <v>3479</v>
      </c>
      <c r="J102" s="35" t="s">
        <v>3167</v>
      </c>
      <c r="K102" s="35"/>
    </row>
    <row r="103" spans="1:11" ht="14.25" x14ac:dyDescent="0.45">
      <c r="A103" s="61"/>
      <c r="B103" s="51" t="s">
        <v>3480</v>
      </c>
      <c r="C103" s="51"/>
      <c r="D103" s="51"/>
      <c r="E103" s="62" t="s">
        <v>3481</v>
      </c>
      <c r="F103" s="55" t="s">
        <v>3439</v>
      </c>
      <c r="G103" s="62"/>
      <c r="H103" s="25" t="s">
        <v>2927</v>
      </c>
      <c r="I103" s="24" t="s">
        <v>3482</v>
      </c>
      <c r="J103" s="24"/>
      <c r="K103" s="24"/>
    </row>
    <row r="104" spans="1:11" ht="14.25" x14ac:dyDescent="0.45">
      <c r="A104" s="63" t="s">
        <v>3168</v>
      </c>
      <c r="B104" s="51" t="s">
        <v>3483</v>
      </c>
      <c r="C104" s="51"/>
      <c r="D104" s="51"/>
      <c r="E104" s="62" t="s">
        <v>3484</v>
      </c>
      <c r="F104" s="55" t="s">
        <v>3378</v>
      </c>
      <c r="G104" s="55" t="s">
        <v>3485</v>
      </c>
      <c r="H104" s="25" t="s">
        <v>3086</v>
      </c>
      <c r="I104" s="24" t="s">
        <v>3486</v>
      </c>
      <c r="J104" s="35" t="s">
        <v>3172</v>
      </c>
      <c r="K104" s="24"/>
    </row>
    <row r="105" spans="1:11" ht="14.25" x14ac:dyDescent="0.45">
      <c r="A105" s="61"/>
      <c r="B105" s="51" t="s">
        <v>3487</v>
      </c>
      <c r="C105" s="51"/>
      <c r="D105" s="51"/>
      <c r="E105" s="62" t="s">
        <v>3488</v>
      </c>
      <c r="F105" s="55" t="s">
        <v>3489</v>
      </c>
      <c r="G105" s="62"/>
      <c r="H105" s="25" t="s">
        <v>3086</v>
      </c>
      <c r="I105" s="24" t="s">
        <v>3490</v>
      </c>
      <c r="J105" s="35" t="s">
        <v>3491</v>
      </c>
      <c r="K105" s="35" t="s">
        <v>3492</v>
      </c>
    </row>
    <row r="106" spans="1:11" ht="14.25" x14ac:dyDescent="0.45">
      <c r="A106" s="63" t="s">
        <v>3279</v>
      </c>
      <c r="B106" s="51" t="s">
        <v>3493</v>
      </c>
      <c r="C106" s="68"/>
      <c r="D106" s="68"/>
      <c r="E106" s="62" t="s">
        <v>3494</v>
      </c>
      <c r="F106" s="55" t="s">
        <v>3282</v>
      </c>
      <c r="G106" s="72"/>
      <c r="H106" s="25" t="s">
        <v>3086</v>
      </c>
      <c r="I106" s="24" t="s">
        <v>3495</v>
      </c>
      <c r="J106" s="32" t="s">
        <v>3496</v>
      </c>
      <c r="K106" s="32" t="s">
        <v>3497</v>
      </c>
    </row>
    <row r="107" spans="1:11" ht="14.25" x14ac:dyDescent="0.45">
      <c r="A107" s="63" t="s">
        <v>3498</v>
      </c>
      <c r="B107" s="51" t="s">
        <v>3499</v>
      </c>
      <c r="C107" s="53"/>
      <c r="D107" s="53"/>
      <c r="E107" s="62" t="s">
        <v>3500</v>
      </c>
      <c r="F107" s="55" t="s">
        <v>3250</v>
      </c>
      <c r="G107" s="55" t="s">
        <v>3501</v>
      </c>
      <c r="H107" s="25" t="s">
        <v>2942</v>
      </c>
      <c r="I107" s="24" t="s">
        <v>3502</v>
      </c>
      <c r="J107" s="35" t="s">
        <v>3335</v>
      </c>
      <c r="K107" s="35" t="s">
        <v>3503</v>
      </c>
    </row>
    <row r="108" spans="1:11" ht="14.25" x14ac:dyDescent="0.45">
      <c r="A108" s="63" t="s">
        <v>3504</v>
      </c>
      <c r="B108" s="51" t="s">
        <v>3505</v>
      </c>
      <c r="C108" s="51"/>
      <c r="D108" s="51"/>
      <c r="E108" s="62" t="s">
        <v>3506</v>
      </c>
      <c r="F108" s="55" t="s">
        <v>3507</v>
      </c>
      <c r="G108" s="55" t="s">
        <v>3508</v>
      </c>
      <c r="H108" s="25" t="s">
        <v>2942</v>
      </c>
      <c r="I108" s="24" t="s">
        <v>3509</v>
      </c>
      <c r="J108" s="24"/>
      <c r="K108" s="24"/>
    </row>
    <row r="109" spans="1:11" ht="14.25" x14ac:dyDescent="0.45">
      <c r="A109" s="61"/>
      <c r="B109" s="51" t="s">
        <v>3510</v>
      </c>
      <c r="C109" s="51"/>
      <c r="D109" s="51"/>
      <c r="E109" s="62" t="s">
        <v>3511</v>
      </c>
      <c r="F109" s="62"/>
      <c r="G109" s="62"/>
      <c r="H109" s="25" t="s">
        <v>2942</v>
      </c>
      <c r="I109" s="24" t="s">
        <v>3512</v>
      </c>
      <c r="J109" s="35" t="s">
        <v>3285</v>
      </c>
      <c r="K109" s="35" t="s">
        <v>3513</v>
      </c>
    </row>
    <row r="110" spans="1:11" ht="14.25" x14ac:dyDescent="0.45">
      <c r="A110" s="63" t="s">
        <v>3514</v>
      </c>
      <c r="B110" s="51" t="s">
        <v>3515</v>
      </c>
      <c r="C110" s="53" t="s">
        <v>2891</v>
      </c>
      <c r="D110" s="53" t="s">
        <v>3516</v>
      </c>
      <c r="E110" s="62" t="s">
        <v>3517</v>
      </c>
      <c r="F110" s="55" t="s">
        <v>2990</v>
      </c>
      <c r="G110" s="55" t="s">
        <v>3518</v>
      </c>
      <c r="H110" s="25" t="s">
        <v>2942</v>
      </c>
      <c r="I110" s="24" t="s">
        <v>3519</v>
      </c>
      <c r="J110" s="35" t="s">
        <v>3520</v>
      </c>
      <c r="K110" s="35" t="s">
        <v>3521</v>
      </c>
    </row>
    <row r="111" spans="1:11" ht="14.25" x14ac:dyDescent="0.45">
      <c r="A111" s="61"/>
      <c r="B111" s="51" t="e">
        <v>#VALUE!</v>
      </c>
      <c r="C111" s="51"/>
      <c r="D111" s="51"/>
      <c r="E111" s="62" t="e">
        <v>#VALUE!</v>
      </c>
      <c r="F111" s="62"/>
      <c r="G111" s="62"/>
      <c r="H111" s="25" t="e">
        <v>#VALUE!</v>
      </c>
      <c r="I111" s="24" t="s">
        <v>2927</v>
      </c>
      <c r="J111" s="24"/>
      <c r="K111" s="24"/>
    </row>
    <row r="112" spans="1:11" ht="14.25" x14ac:dyDescent="0.45">
      <c r="A112" s="61"/>
      <c r="B112" s="51" t="s">
        <v>3522</v>
      </c>
      <c r="C112" s="51"/>
      <c r="D112" s="51"/>
      <c r="E112" s="62" t="s">
        <v>3523</v>
      </c>
      <c r="F112" s="55" t="s">
        <v>3524</v>
      </c>
      <c r="G112" s="55" t="s">
        <v>3525</v>
      </c>
      <c r="H112" s="25" t="s">
        <v>2942</v>
      </c>
      <c r="I112" s="24" t="s">
        <v>3526</v>
      </c>
      <c r="J112" s="35" t="s">
        <v>3527</v>
      </c>
      <c r="K112" s="24"/>
    </row>
    <row r="113" spans="1:11" ht="14.25" x14ac:dyDescent="0.45">
      <c r="A113" s="63" t="s">
        <v>3528</v>
      </c>
      <c r="B113" s="51" t="s">
        <v>3529</v>
      </c>
      <c r="C113" s="53" t="s">
        <v>3530</v>
      </c>
      <c r="D113" s="53"/>
      <c r="E113" s="62" t="s">
        <v>3531</v>
      </c>
      <c r="F113" s="55" t="s">
        <v>3496</v>
      </c>
      <c r="G113" s="55" t="s">
        <v>3532</v>
      </c>
      <c r="H113" s="25" t="s">
        <v>2942</v>
      </c>
      <c r="I113" s="24" t="s">
        <v>3533</v>
      </c>
      <c r="J113" s="35" t="s">
        <v>3285</v>
      </c>
      <c r="K113" s="35" t="s">
        <v>3534</v>
      </c>
    </row>
    <row r="114" spans="1:11" ht="14.25" x14ac:dyDescent="0.45">
      <c r="A114" s="61"/>
      <c r="B114" s="51" t="s">
        <v>3535</v>
      </c>
      <c r="C114" s="51"/>
      <c r="D114" s="51"/>
      <c r="E114" s="62" t="s">
        <v>3536</v>
      </c>
      <c r="F114" s="62"/>
      <c r="G114" s="62"/>
      <c r="H114" s="25" t="s">
        <v>2942</v>
      </c>
      <c r="I114" s="24" t="s">
        <v>3537</v>
      </c>
      <c r="J114" s="35" t="s">
        <v>3031</v>
      </c>
      <c r="K114" s="35" t="s">
        <v>3538</v>
      </c>
    </row>
    <row r="115" spans="1:11" ht="14.25" x14ac:dyDescent="0.45">
      <c r="A115" s="63" t="s">
        <v>3539</v>
      </c>
      <c r="B115" s="51" t="s">
        <v>3540</v>
      </c>
      <c r="C115" s="53"/>
      <c r="D115" s="53"/>
      <c r="E115" s="62" t="s">
        <v>3541</v>
      </c>
      <c r="F115" s="55" t="s">
        <v>3542</v>
      </c>
      <c r="G115" s="55" t="s">
        <v>3543</v>
      </c>
      <c r="H115" s="25" t="s">
        <v>2942</v>
      </c>
      <c r="I115" s="24" t="s">
        <v>3544</v>
      </c>
      <c r="J115" s="35" t="s">
        <v>3545</v>
      </c>
      <c r="K115" s="35"/>
    </row>
    <row r="116" spans="1:11" ht="14.25" x14ac:dyDescent="0.45">
      <c r="A116" s="61"/>
      <c r="B116" s="51" t="s">
        <v>3546</v>
      </c>
      <c r="C116" s="51"/>
      <c r="D116" s="51"/>
      <c r="E116" s="62" t="s">
        <v>3547</v>
      </c>
      <c r="F116" s="55" t="s">
        <v>3057</v>
      </c>
      <c r="G116" s="55" t="s">
        <v>3548</v>
      </c>
      <c r="H116" s="25" t="s">
        <v>2942</v>
      </c>
      <c r="I116" s="24" t="s">
        <v>3549</v>
      </c>
      <c r="J116" s="35" t="s">
        <v>3550</v>
      </c>
      <c r="K116" s="24"/>
    </row>
    <row r="117" spans="1:11" ht="14.25" x14ac:dyDescent="0.45">
      <c r="A117" s="61"/>
      <c r="B117" s="51" t="s">
        <v>3551</v>
      </c>
      <c r="C117" s="51"/>
      <c r="D117" s="51"/>
      <c r="E117" s="62" t="s">
        <v>3552</v>
      </c>
      <c r="F117" s="55" t="s">
        <v>3218</v>
      </c>
      <c r="G117" s="62"/>
      <c r="H117" s="25" t="s">
        <v>2942</v>
      </c>
      <c r="I117" s="24" t="s">
        <v>3553</v>
      </c>
      <c r="J117" s="35" t="s">
        <v>3107</v>
      </c>
      <c r="K117" s="35" t="s">
        <v>3554</v>
      </c>
    </row>
    <row r="118" spans="1:11" ht="14.25" x14ac:dyDescent="0.45">
      <c r="A118" s="63" t="s">
        <v>3555</v>
      </c>
      <c r="B118" s="51" t="s">
        <v>3556</v>
      </c>
      <c r="C118" s="53" t="s">
        <v>3182</v>
      </c>
      <c r="D118" s="53" t="s">
        <v>3557</v>
      </c>
      <c r="E118" s="62" t="s">
        <v>3558</v>
      </c>
      <c r="F118" s="55" t="s">
        <v>3559</v>
      </c>
      <c r="G118" s="55" t="s">
        <v>3560</v>
      </c>
      <c r="H118" s="25" t="s">
        <v>2942</v>
      </c>
      <c r="I118" s="24" t="s">
        <v>3561</v>
      </c>
      <c r="J118" s="35" t="s">
        <v>2950</v>
      </c>
      <c r="K118" s="35" t="s">
        <v>3562</v>
      </c>
    </row>
    <row r="119" spans="1:11" ht="14.25" x14ac:dyDescent="0.45">
      <c r="A119" s="61"/>
      <c r="B119" s="51" t="s">
        <v>3563</v>
      </c>
      <c r="C119" s="51"/>
      <c r="D119" s="51"/>
      <c r="E119" s="62" t="s">
        <v>3564</v>
      </c>
      <c r="F119" s="55" t="s">
        <v>3415</v>
      </c>
      <c r="G119" s="62"/>
      <c r="H119" s="25" t="s">
        <v>2942</v>
      </c>
      <c r="I119" s="24" t="s">
        <v>3565</v>
      </c>
      <c r="J119" s="35" t="s">
        <v>3167</v>
      </c>
      <c r="K119" s="35" t="s">
        <v>3566</v>
      </c>
    </row>
    <row r="120" spans="1:11" ht="14.25" x14ac:dyDescent="0.45">
      <c r="A120" s="61"/>
      <c r="B120" s="51" t="s">
        <v>3567</v>
      </c>
      <c r="C120" s="51"/>
      <c r="D120" s="51"/>
      <c r="E120" s="62" t="s">
        <v>3568</v>
      </c>
      <c r="F120" s="55" t="s">
        <v>3569</v>
      </c>
      <c r="G120" s="55" t="s">
        <v>3570</v>
      </c>
      <c r="H120" s="25" t="s">
        <v>2942</v>
      </c>
      <c r="I120" s="24" t="s">
        <v>3571</v>
      </c>
      <c r="J120" s="35" t="s">
        <v>3572</v>
      </c>
      <c r="K120" s="35" t="s">
        <v>3573</v>
      </c>
    </row>
    <row r="121" spans="1:11" ht="14.25" x14ac:dyDescent="0.45">
      <c r="A121" s="61"/>
      <c r="B121" s="51" t="s">
        <v>3574</v>
      </c>
      <c r="C121" s="51"/>
      <c r="D121" s="51"/>
      <c r="E121" s="62" t="s">
        <v>3575</v>
      </c>
      <c r="F121" s="55" t="s">
        <v>3489</v>
      </c>
      <c r="G121" s="55" t="s">
        <v>3576</v>
      </c>
      <c r="H121" s="25" t="s">
        <v>2942</v>
      </c>
      <c r="I121" s="24" t="s">
        <v>3577</v>
      </c>
      <c r="J121" s="35" t="s">
        <v>2915</v>
      </c>
      <c r="K121" s="35" t="s">
        <v>3578</v>
      </c>
    </row>
    <row r="122" spans="1:11" ht="14.25" x14ac:dyDescent="0.45">
      <c r="A122" s="61"/>
      <c r="B122" s="51" t="s">
        <v>3579</v>
      </c>
      <c r="C122" s="51"/>
      <c r="D122" s="51"/>
      <c r="E122" s="62" t="s">
        <v>3580</v>
      </c>
      <c r="F122" s="55" t="s">
        <v>3581</v>
      </c>
      <c r="G122" s="55" t="s">
        <v>3582</v>
      </c>
      <c r="H122" s="25" t="s">
        <v>2942</v>
      </c>
      <c r="I122" s="24" t="s">
        <v>3583</v>
      </c>
      <c r="J122" s="24"/>
      <c r="K122" s="24"/>
    </row>
    <row r="123" spans="1:11" ht="14.25" x14ac:dyDescent="0.45">
      <c r="A123" s="61"/>
      <c r="B123" s="51" t="s">
        <v>3584</v>
      </c>
      <c r="C123" s="51"/>
      <c r="D123" s="51"/>
      <c r="E123" s="62" t="s">
        <v>3585</v>
      </c>
      <c r="F123" s="55" t="s">
        <v>3586</v>
      </c>
      <c r="G123" s="55" t="s">
        <v>3587</v>
      </c>
      <c r="H123" s="25" t="s">
        <v>2942</v>
      </c>
      <c r="I123" s="24" t="s">
        <v>3588</v>
      </c>
      <c r="J123" s="35" t="s">
        <v>3220</v>
      </c>
      <c r="K123" s="35" t="s">
        <v>3589</v>
      </c>
    </row>
    <row r="124" spans="1:11" ht="14.25" x14ac:dyDescent="0.45">
      <c r="A124" s="63" t="s">
        <v>3590</v>
      </c>
      <c r="B124" s="51" t="s">
        <v>3591</v>
      </c>
      <c r="C124" s="53"/>
      <c r="D124" s="53"/>
      <c r="E124" s="62" t="s">
        <v>3592</v>
      </c>
      <c r="F124" s="55" t="s">
        <v>3593</v>
      </c>
      <c r="G124" s="55" t="s">
        <v>3594</v>
      </c>
      <c r="H124" s="25" t="s">
        <v>2942</v>
      </c>
      <c r="I124" s="24" t="s">
        <v>3595</v>
      </c>
      <c r="J124" s="35"/>
      <c r="K124" s="35"/>
    </row>
    <row r="125" spans="1:11" ht="14.25" x14ac:dyDescent="0.45">
      <c r="A125" s="61"/>
      <c r="B125" s="51" t="s">
        <v>3596</v>
      </c>
      <c r="C125" s="51"/>
      <c r="D125" s="51"/>
      <c r="E125" s="62" t="s">
        <v>3597</v>
      </c>
      <c r="F125" s="55" t="s">
        <v>2947</v>
      </c>
      <c r="G125" s="55" t="s">
        <v>3598</v>
      </c>
      <c r="H125" s="25" t="s">
        <v>2942</v>
      </c>
      <c r="I125" s="24" t="s">
        <v>3599</v>
      </c>
      <c r="J125" s="35" t="s">
        <v>3600</v>
      </c>
      <c r="K125" s="35" t="s">
        <v>3601</v>
      </c>
    </row>
    <row r="126" spans="1:11" ht="14.25" x14ac:dyDescent="0.45">
      <c r="A126" s="63" t="s">
        <v>3602</v>
      </c>
      <c r="B126" s="51" t="s">
        <v>3603</v>
      </c>
      <c r="C126" s="53" t="s">
        <v>3182</v>
      </c>
      <c r="D126" s="51"/>
      <c r="E126" s="62" t="s">
        <v>3604</v>
      </c>
      <c r="F126" s="73" t="s">
        <v>3063</v>
      </c>
      <c r="G126" s="62"/>
      <c r="H126" s="25" t="s">
        <v>2942</v>
      </c>
      <c r="I126" s="24" t="s">
        <v>3605</v>
      </c>
      <c r="J126" s="35" t="s">
        <v>2965</v>
      </c>
      <c r="K126" s="24"/>
    </row>
    <row r="127" spans="1:11" ht="14.25" x14ac:dyDescent="0.45">
      <c r="A127" s="61"/>
      <c r="B127" s="51" t="s">
        <v>3606</v>
      </c>
      <c r="C127" s="51"/>
      <c r="D127" s="51"/>
      <c r="E127" s="62" t="s">
        <v>3607</v>
      </c>
      <c r="F127" s="62"/>
      <c r="G127" s="62"/>
      <c r="H127" s="25" t="s">
        <v>3086</v>
      </c>
      <c r="I127" s="24" t="s">
        <v>3608</v>
      </c>
      <c r="J127" s="35" t="s">
        <v>2950</v>
      </c>
      <c r="K127" s="35" t="s">
        <v>3609</v>
      </c>
    </row>
    <row r="128" spans="1:11" ht="14.25" x14ac:dyDescent="0.45">
      <c r="A128" s="63" t="s">
        <v>3610</v>
      </c>
      <c r="B128" s="51" t="s">
        <v>3611</v>
      </c>
      <c r="C128" s="51"/>
      <c r="D128" s="51"/>
      <c r="E128" s="62" t="s">
        <v>3612</v>
      </c>
      <c r="F128" s="55" t="s">
        <v>2995</v>
      </c>
      <c r="G128" s="55" t="s">
        <v>3612</v>
      </c>
      <c r="H128" s="25" t="s">
        <v>2942</v>
      </c>
      <c r="I128" s="24" t="s">
        <v>3613</v>
      </c>
      <c r="J128" s="35" t="s">
        <v>3614</v>
      </c>
      <c r="K128" s="35" t="s">
        <v>3615</v>
      </c>
    </row>
    <row r="129" spans="1:11" ht="14.25" x14ac:dyDescent="0.45">
      <c r="A129" s="61"/>
      <c r="B129" s="51" t="s">
        <v>3616</v>
      </c>
      <c r="C129" s="51"/>
      <c r="D129" s="51"/>
      <c r="E129" s="62" t="s">
        <v>3617</v>
      </c>
      <c r="F129" s="55" t="s">
        <v>3618</v>
      </c>
      <c r="G129" s="55" t="s">
        <v>3619</v>
      </c>
      <c r="H129" s="25" t="s">
        <v>3086</v>
      </c>
      <c r="I129" s="24" t="s">
        <v>3620</v>
      </c>
      <c r="J129" s="35" t="s">
        <v>3107</v>
      </c>
      <c r="K129" s="35" t="s">
        <v>3621</v>
      </c>
    </row>
    <row r="130" spans="1:11" ht="14.25" x14ac:dyDescent="0.45">
      <c r="A130" s="63" t="s">
        <v>3622</v>
      </c>
      <c r="B130" s="51" t="s">
        <v>3623</v>
      </c>
      <c r="C130" s="51"/>
      <c r="D130" s="51"/>
      <c r="E130" s="62" t="s">
        <v>3624</v>
      </c>
      <c r="F130" s="55" t="s">
        <v>3177</v>
      </c>
      <c r="G130" s="55" t="s">
        <v>3625</v>
      </c>
      <c r="H130" s="25" t="s">
        <v>2942</v>
      </c>
      <c r="I130" s="24" t="s">
        <v>3626</v>
      </c>
      <c r="J130" s="35" t="s">
        <v>3627</v>
      </c>
      <c r="K130" s="35" t="s">
        <v>3628</v>
      </c>
    </row>
    <row r="131" spans="1:11" ht="14.25" x14ac:dyDescent="0.45">
      <c r="A131" s="61"/>
      <c r="B131" s="51" t="s">
        <v>3629</v>
      </c>
      <c r="C131" s="51"/>
      <c r="D131" s="51"/>
      <c r="E131" s="62" t="s">
        <v>3630</v>
      </c>
      <c r="F131" s="55" t="s">
        <v>3631</v>
      </c>
      <c r="G131" s="62"/>
      <c r="H131" s="25" t="s">
        <v>2942</v>
      </c>
      <c r="I131" s="24" t="s">
        <v>3632</v>
      </c>
      <c r="J131" s="35" t="s">
        <v>3633</v>
      </c>
      <c r="K131" s="35" t="s">
        <v>3634</v>
      </c>
    </row>
    <row r="132" spans="1:11" ht="14.25" x14ac:dyDescent="0.45">
      <c r="A132" s="61"/>
      <c r="B132" s="51" t="s">
        <v>3635</v>
      </c>
      <c r="C132" s="68"/>
      <c r="D132" s="68"/>
      <c r="E132" s="62" t="s">
        <v>3636</v>
      </c>
      <c r="F132" s="66" t="s">
        <v>3057</v>
      </c>
      <c r="G132" s="66" t="s">
        <v>3637</v>
      </c>
      <c r="H132" s="25" t="s">
        <v>2942</v>
      </c>
      <c r="I132" s="24" t="s">
        <v>3638</v>
      </c>
      <c r="J132" s="74"/>
      <c r="K132" s="74"/>
    </row>
    <row r="133" spans="1:11" ht="14.25" x14ac:dyDescent="0.45">
      <c r="A133" s="63" t="s">
        <v>3639</v>
      </c>
      <c r="B133" s="51" t="s">
        <v>3640</v>
      </c>
      <c r="C133" s="53"/>
      <c r="D133" s="53"/>
      <c r="E133" s="62" t="s">
        <v>3641</v>
      </c>
      <c r="F133" s="55" t="s">
        <v>3020</v>
      </c>
      <c r="G133" s="55" t="s">
        <v>3642</v>
      </c>
      <c r="H133" s="25" t="s">
        <v>2927</v>
      </c>
      <c r="I133" s="24" t="s">
        <v>3643</v>
      </c>
      <c r="J133" s="35" t="s">
        <v>3644</v>
      </c>
      <c r="K133" s="35" t="s">
        <v>3645</v>
      </c>
    </row>
    <row r="134" spans="1:11" ht="14.25" x14ac:dyDescent="0.45">
      <c r="A134" s="63" t="s">
        <v>3646</v>
      </c>
      <c r="B134" s="51" t="s">
        <v>3647</v>
      </c>
      <c r="C134" s="51"/>
      <c r="D134" s="51"/>
      <c r="E134" s="62" t="s">
        <v>3648</v>
      </c>
      <c r="F134" s="55" t="s">
        <v>3569</v>
      </c>
      <c r="G134" s="55" t="s">
        <v>3649</v>
      </c>
      <c r="H134" s="25" t="s">
        <v>3086</v>
      </c>
      <c r="I134" s="24" t="s">
        <v>3650</v>
      </c>
      <c r="J134" s="35" t="s">
        <v>3027</v>
      </c>
      <c r="K134" s="35" t="s">
        <v>3651</v>
      </c>
    </row>
    <row r="135" spans="1:11" ht="14.25" x14ac:dyDescent="0.45">
      <c r="A135" s="63" t="s">
        <v>3652</v>
      </c>
      <c r="B135" s="51" t="s">
        <v>3653</v>
      </c>
      <c r="C135" s="53"/>
      <c r="D135" s="53"/>
      <c r="E135" s="62" t="s">
        <v>3654</v>
      </c>
      <c r="F135" s="55" t="s">
        <v>3150</v>
      </c>
      <c r="G135" s="55" t="s">
        <v>3655</v>
      </c>
      <c r="H135" s="25" t="s">
        <v>2927</v>
      </c>
      <c r="I135" s="24" t="s">
        <v>3656</v>
      </c>
      <c r="J135" s="35" t="s">
        <v>3657</v>
      </c>
      <c r="K135" s="35" t="s">
        <v>3658</v>
      </c>
    </row>
    <row r="136" spans="1:11" ht="14.25" x14ac:dyDescent="0.45">
      <c r="A136" s="61"/>
      <c r="B136" s="51" t="s">
        <v>3659</v>
      </c>
      <c r="C136" s="51"/>
      <c r="D136" s="51"/>
      <c r="E136" s="62" t="s">
        <v>3660</v>
      </c>
      <c r="F136" s="62"/>
      <c r="G136" s="62"/>
      <c r="H136" s="25" t="s">
        <v>3086</v>
      </c>
      <c r="I136" s="24" t="s">
        <v>3661</v>
      </c>
      <c r="J136" s="35" t="s">
        <v>2950</v>
      </c>
      <c r="K136" s="35" t="s">
        <v>3662</v>
      </c>
    </row>
    <row r="137" spans="1:11" ht="14.25" x14ac:dyDescent="0.45">
      <c r="A137" s="63" t="s">
        <v>3663</v>
      </c>
      <c r="B137" s="51" t="s">
        <v>3664</v>
      </c>
      <c r="C137" s="51"/>
      <c r="D137" s="51"/>
      <c r="E137" s="62" t="s">
        <v>3665</v>
      </c>
      <c r="F137" s="55" t="s">
        <v>3586</v>
      </c>
      <c r="G137" s="62"/>
      <c r="H137" s="25" t="s">
        <v>3086</v>
      </c>
      <c r="I137" s="24" t="s">
        <v>3666</v>
      </c>
      <c r="J137" s="24"/>
      <c r="K137" s="24"/>
    </row>
    <row r="138" spans="1:11" ht="14.25" x14ac:dyDescent="0.45">
      <c r="A138" s="61"/>
      <c r="B138" s="51" t="e">
        <v>#VALUE!</v>
      </c>
      <c r="C138" s="51"/>
      <c r="D138" s="51"/>
      <c r="E138" s="62" t="e">
        <v>#VALUE!</v>
      </c>
      <c r="F138" s="62"/>
      <c r="G138" s="62"/>
      <c r="H138" s="25" t="e">
        <v>#VALUE!</v>
      </c>
      <c r="I138" s="24" t="s">
        <v>2927</v>
      </c>
      <c r="J138" s="24"/>
      <c r="K138" s="24"/>
    </row>
    <row r="139" spans="1:11" ht="14.25" x14ac:dyDescent="0.45">
      <c r="A139" s="63" t="s">
        <v>3667</v>
      </c>
      <c r="B139" s="51" t="s">
        <v>3668</v>
      </c>
      <c r="C139" s="51"/>
      <c r="D139" s="51"/>
      <c r="E139" s="62" t="s">
        <v>3669</v>
      </c>
      <c r="F139" s="55" t="s">
        <v>3670</v>
      </c>
      <c r="G139" s="62"/>
      <c r="H139" s="25" t="s">
        <v>3086</v>
      </c>
      <c r="I139" s="24" t="s">
        <v>3671</v>
      </c>
      <c r="J139" s="35" t="s">
        <v>3467</v>
      </c>
      <c r="K139" s="24"/>
    </row>
    <row r="140" spans="1:11" ht="14.25" x14ac:dyDescent="0.45">
      <c r="A140" s="63" t="s">
        <v>3672</v>
      </c>
      <c r="B140" s="51" t="s">
        <v>3673</v>
      </c>
      <c r="C140" s="53"/>
      <c r="D140" s="53"/>
      <c r="E140" s="62" t="s">
        <v>3674</v>
      </c>
      <c r="F140" s="55" t="s">
        <v>3118</v>
      </c>
      <c r="G140" s="55" t="s">
        <v>3675</v>
      </c>
      <c r="H140" s="25" t="s">
        <v>3086</v>
      </c>
      <c r="I140" s="24" t="s">
        <v>3676</v>
      </c>
      <c r="J140" s="35" t="s">
        <v>3244</v>
      </c>
      <c r="K140" s="35" t="s">
        <v>3677</v>
      </c>
    </row>
    <row r="141" spans="1:11" ht="14.25" x14ac:dyDescent="0.45">
      <c r="A141" s="63" t="s">
        <v>3678</v>
      </c>
      <c r="B141" s="51" t="s">
        <v>3679</v>
      </c>
      <c r="C141" s="53" t="s">
        <v>3172</v>
      </c>
      <c r="D141" s="53"/>
      <c r="E141" s="62" t="s">
        <v>3680</v>
      </c>
      <c r="F141" s="55" t="s">
        <v>3036</v>
      </c>
      <c r="G141" s="55" t="s">
        <v>3681</v>
      </c>
      <c r="H141" s="25" t="s">
        <v>3086</v>
      </c>
      <c r="I141" s="24" t="s">
        <v>3682</v>
      </c>
      <c r="J141" s="35" t="s">
        <v>2950</v>
      </c>
      <c r="K141" s="35" t="s">
        <v>3683</v>
      </c>
    </row>
    <row r="142" spans="1:11" ht="14.25" x14ac:dyDescent="0.45">
      <c r="A142" s="63" t="s">
        <v>3684</v>
      </c>
      <c r="B142" s="51" t="s">
        <v>3685</v>
      </c>
      <c r="C142" s="53"/>
      <c r="D142" s="53"/>
      <c r="E142" s="62" t="s">
        <v>3686</v>
      </c>
      <c r="F142" s="55" t="s">
        <v>2890</v>
      </c>
      <c r="G142" s="55" t="s">
        <v>3687</v>
      </c>
      <c r="H142" s="25" t="s">
        <v>3086</v>
      </c>
      <c r="I142" s="24" t="s">
        <v>3688</v>
      </c>
      <c r="J142" s="35" t="s">
        <v>3285</v>
      </c>
      <c r="K142" s="35" t="s">
        <v>3688</v>
      </c>
    </row>
    <row r="143" spans="1:11" ht="14.25" x14ac:dyDescent="0.45">
      <c r="A143" s="63" t="s">
        <v>3689</v>
      </c>
      <c r="B143" s="51" t="s">
        <v>3690</v>
      </c>
      <c r="C143" s="53" t="s">
        <v>2895</v>
      </c>
      <c r="D143" s="51"/>
      <c r="E143" s="62" t="s">
        <v>3691</v>
      </c>
      <c r="F143" s="55" t="s">
        <v>3057</v>
      </c>
      <c r="G143" s="55" t="s">
        <v>3692</v>
      </c>
      <c r="H143" s="25" t="s">
        <v>3086</v>
      </c>
      <c r="I143" s="24" t="s">
        <v>3693</v>
      </c>
      <c r="J143" s="35" t="s">
        <v>3694</v>
      </c>
      <c r="K143" s="35" t="s">
        <v>3695</v>
      </c>
    </row>
    <row r="144" spans="1:11" ht="14.25" x14ac:dyDescent="0.45">
      <c r="A144" s="63" t="s">
        <v>3696</v>
      </c>
      <c r="B144" s="51" t="s">
        <v>3697</v>
      </c>
      <c r="C144" s="53"/>
      <c r="D144" s="53"/>
      <c r="E144" s="62" t="s">
        <v>3698</v>
      </c>
      <c r="F144" s="55" t="s">
        <v>3069</v>
      </c>
      <c r="G144" s="55" t="s">
        <v>3699</v>
      </c>
      <c r="H144" s="25" t="s">
        <v>3086</v>
      </c>
      <c r="I144" s="24" t="s">
        <v>3700</v>
      </c>
      <c r="J144" s="35" t="s">
        <v>3701</v>
      </c>
      <c r="K144" s="35" t="s">
        <v>3702</v>
      </c>
    </row>
    <row r="145" spans="1:11" ht="14.25" x14ac:dyDescent="0.45">
      <c r="A145" s="61"/>
      <c r="B145" s="51" t="s">
        <v>3703</v>
      </c>
      <c r="C145" s="51"/>
      <c r="D145" s="51"/>
      <c r="E145" s="62" t="s">
        <v>3704</v>
      </c>
      <c r="F145" s="55" t="s">
        <v>3289</v>
      </c>
      <c r="G145" s="55" t="s">
        <v>3705</v>
      </c>
      <c r="H145" s="25" t="s">
        <v>3086</v>
      </c>
      <c r="I145" s="24" t="s">
        <v>3706</v>
      </c>
      <c r="J145" s="24"/>
      <c r="K145" s="24"/>
    </row>
    <row r="146" spans="1:11" ht="14.25" x14ac:dyDescent="0.45">
      <c r="A146" s="61"/>
      <c r="B146" s="51" t="s">
        <v>3707</v>
      </c>
      <c r="C146" s="51"/>
      <c r="D146" s="51"/>
      <c r="E146" s="62" t="s">
        <v>3708</v>
      </c>
      <c r="F146" s="55" t="s">
        <v>3670</v>
      </c>
      <c r="G146" s="62"/>
      <c r="H146" s="25" t="s">
        <v>3086</v>
      </c>
      <c r="I146" s="24" t="s">
        <v>3709</v>
      </c>
      <c r="J146" s="24"/>
      <c r="K146" s="24"/>
    </row>
    <row r="147" spans="1:11" ht="14.25" x14ac:dyDescent="0.45">
      <c r="A147" s="63" t="s">
        <v>3710</v>
      </c>
      <c r="B147" s="51" t="s">
        <v>3711</v>
      </c>
      <c r="C147" s="51"/>
      <c r="D147" s="51"/>
      <c r="E147" s="62" t="s">
        <v>3712</v>
      </c>
      <c r="F147" s="55" t="s">
        <v>3157</v>
      </c>
      <c r="G147" s="62"/>
      <c r="H147" s="25" t="s">
        <v>2927</v>
      </c>
      <c r="I147" s="24" t="s">
        <v>3713</v>
      </c>
      <c r="J147" s="24"/>
      <c r="K147" s="24"/>
    </row>
    <row r="148" spans="1:11" ht="14.25" x14ac:dyDescent="0.45">
      <c r="A148" s="61"/>
      <c r="B148" s="51" t="s">
        <v>3714</v>
      </c>
      <c r="C148" s="51"/>
      <c r="D148" s="51"/>
      <c r="E148" s="62" t="s">
        <v>3715</v>
      </c>
      <c r="F148" s="55" t="s">
        <v>2990</v>
      </c>
      <c r="G148" s="55" t="s">
        <v>3716</v>
      </c>
      <c r="H148" s="25" t="s">
        <v>3086</v>
      </c>
      <c r="I148" s="24" t="s">
        <v>3717</v>
      </c>
      <c r="J148" s="35" t="s">
        <v>3259</v>
      </c>
      <c r="K148" s="35" t="s">
        <v>3718</v>
      </c>
    </row>
    <row r="149" spans="1:11" ht="14.25" x14ac:dyDescent="0.45">
      <c r="A149" s="63" t="s">
        <v>3719</v>
      </c>
      <c r="B149" s="51" t="s">
        <v>3720</v>
      </c>
      <c r="C149" s="51"/>
      <c r="D149" s="51"/>
      <c r="E149" s="62" t="s">
        <v>3721</v>
      </c>
      <c r="F149" s="55" t="s">
        <v>2940</v>
      </c>
      <c r="G149" s="55" t="s">
        <v>3722</v>
      </c>
      <c r="H149" s="25" t="s">
        <v>3086</v>
      </c>
      <c r="I149" s="24" t="s">
        <v>3723</v>
      </c>
      <c r="J149" s="35" t="s">
        <v>3094</v>
      </c>
      <c r="K149" s="35" t="s">
        <v>3724</v>
      </c>
    </row>
    <row r="150" spans="1:11" ht="14.25" x14ac:dyDescent="0.45">
      <c r="A150" s="63" t="s">
        <v>3725</v>
      </c>
      <c r="B150" s="51" t="s">
        <v>3726</v>
      </c>
      <c r="C150" s="53" t="s">
        <v>2896</v>
      </c>
      <c r="D150" s="53" t="s">
        <v>3727</v>
      </c>
      <c r="E150" s="62" t="s">
        <v>3728</v>
      </c>
      <c r="F150" s="55" t="s">
        <v>3150</v>
      </c>
      <c r="G150" s="55"/>
      <c r="H150" s="25" t="s">
        <v>3086</v>
      </c>
      <c r="I150" s="24" t="s">
        <v>3729</v>
      </c>
      <c r="J150" s="35" t="s">
        <v>3614</v>
      </c>
      <c r="K150" s="35" t="s">
        <v>3730</v>
      </c>
    </row>
    <row r="151" spans="1:11" ht="14.25" x14ac:dyDescent="0.45">
      <c r="A151" s="63" t="s">
        <v>3731</v>
      </c>
      <c r="B151" s="51" t="s">
        <v>3732</v>
      </c>
      <c r="C151" s="51"/>
      <c r="D151" s="51"/>
      <c r="E151" s="62" t="s">
        <v>3733</v>
      </c>
      <c r="F151" s="55" t="s">
        <v>3250</v>
      </c>
      <c r="G151" s="62"/>
      <c r="H151" s="25" t="s">
        <v>3086</v>
      </c>
      <c r="I151" s="24" t="s">
        <v>3734</v>
      </c>
      <c r="J151" s="24"/>
      <c r="K151" s="24"/>
    </row>
    <row r="152" spans="1:11" ht="14.25" x14ac:dyDescent="0.45">
      <c r="A152" s="61"/>
      <c r="B152" s="51" t="s">
        <v>3735</v>
      </c>
      <c r="C152" s="51"/>
      <c r="D152" s="51"/>
      <c r="E152" s="62" t="s">
        <v>3736</v>
      </c>
      <c r="F152" s="55" t="s">
        <v>3036</v>
      </c>
      <c r="G152" s="62"/>
      <c r="H152" s="25" t="s">
        <v>2927</v>
      </c>
      <c r="I152" s="24" t="s">
        <v>3737</v>
      </c>
      <c r="J152" s="24"/>
      <c r="K152" s="24"/>
    </row>
    <row r="153" spans="1:11" ht="14.25" x14ac:dyDescent="0.45">
      <c r="A153" s="63" t="s">
        <v>3738</v>
      </c>
      <c r="B153" s="51" t="s">
        <v>3739</v>
      </c>
      <c r="C153" s="67" t="s">
        <v>3155</v>
      </c>
      <c r="D153" s="67" t="s">
        <v>3740</v>
      </c>
      <c r="E153" s="62" t="s">
        <v>3741</v>
      </c>
      <c r="F153" s="55" t="s">
        <v>3020</v>
      </c>
      <c r="G153" s="75" t="s">
        <v>3742</v>
      </c>
      <c r="H153" s="25" t="s">
        <v>3086</v>
      </c>
      <c r="I153" s="24" t="s">
        <v>3743</v>
      </c>
      <c r="J153" s="35" t="s">
        <v>2915</v>
      </c>
      <c r="K153" s="76"/>
    </row>
    <row r="154" spans="1:11" ht="14.25" x14ac:dyDescent="0.45">
      <c r="A154" s="63" t="s">
        <v>3215</v>
      </c>
      <c r="B154" s="51" t="s">
        <v>3744</v>
      </c>
      <c r="C154" s="53"/>
      <c r="D154" s="53"/>
      <c r="E154" s="62" t="s">
        <v>3745</v>
      </c>
      <c r="F154" s="55" t="s">
        <v>3218</v>
      </c>
      <c r="G154" s="55" t="s">
        <v>3746</v>
      </c>
      <c r="H154" s="25" t="s">
        <v>3086</v>
      </c>
      <c r="I154" s="24" t="s">
        <v>3747</v>
      </c>
      <c r="J154" s="35" t="s">
        <v>2950</v>
      </c>
      <c r="K154" s="35" t="s">
        <v>3748</v>
      </c>
    </row>
    <row r="155" spans="1:11" ht="14.25" x14ac:dyDescent="0.45">
      <c r="A155" s="63" t="s">
        <v>3749</v>
      </c>
      <c r="B155" s="51" t="s">
        <v>3750</v>
      </c>
      <c r="C155" s="53"/>
      <c r="D155" s="53"/>
      <c r="E155" s="62" t="s">
        <v>3751</v>
      </c>
      <c r="F155" s="55" t="s">
        <v>3752</v>
      </c>
      <c r="G155" s="55" t="s">
        <v>3753</v>
      </c>
      <c r="H155" s="25" t="s">
        <v>2927</v>
      </c>
      <c r="I155" s="24" t="s">
        <v>3754</v>
      </c>
      <c r="J155" s="35" t="s">
        <v>3755</v>
      </c>
      <c r="K155" s="35" t="s">
        <v>3756</v>
      </c>
    </row>
    <row r="156" spans="1:11" ht="14.25" x14ac:dyDescent="0.45">
      <c r="A156" s="61"/>
      <c r="B156" s="51" t="s">
        <v>3757</v>
      </c>
      <c r="C156" s="51"/>
      <c r="D156" s="51"/>
      <c r="E156" s="62" t="s">
        <v>3758</v>
      </c>
      <c r="F156" s="55" t="s">
        <v>3759</v>
      </c>
      <c r="G156" s="55" t="s">
        <v>3760</v>
      </c>
      <c r="H156" s="25" t="s">
        <v>3086</v>
      </c>
      <c r="I156" s="24" t="s">
        <v>3761</v>
      </c>
      <c r="J156" s="35" t="s">
        <v>3107</v>
      </c>
      <c r="K156" s="35" t="s">
        <v>3762</v>
      </c>
    </row>
    <row r="157" spans="1:11" ht="14.25" x14ac:dyDescent="0.45">
      <c r="A157" s="63" t="s">
        <v>3763</v>
      </c>
      <c r="B157" s="51" t="s">
        <v>3764</v>
      </c>
      <c r="C157" s="65" t="s">
        <v>2897</v>
      </c>
      <c r="D157" s="51"/>
      <c r="E157" s="62" t="s">
        <v>3765</v>
      </c>
      <c r="F157" s="55" t="s">
        <v>3766</v>
      </c>
      <c r="G157" s="55" t="s">
        <v>3767</v>
      </c>
      <c r="H157" s="25" t="s">
        <v>3086</v>
      </c>
      <c r="I157" s="24" t="s">
        <v>3768</v>
      </c>
      <c r="J157" s="35" t="s">
        <v>3094</v>
      </c>
      <c r="K157" s="35" t="s">
        <v>3769</v>
      </c>
    </row>
    <row r="158" spans="1:11" ht="14.25" x14ac:dyDescent="0.45">
      <c r="A158" s="63" t="s">
        <v>3770</v>
      </c>
      <c r="B158" s="51" t="s">
        <v>3771</v>
      </c>
      <c r="C158" s="65" t="s">
        <v>3772</v>
      </c>
      <c r="D158" s="65" t="s">
        <v>3773</v>
      </c>
      <c r="E158" s="62" t="s">
        <v>3774</v>
      </c>
      <c r="F158" s="55" t="s">
        <v>3542</v>
      </c>
      <c r="G158" s="66"/>
      <c r="H158" s="25" t="s">
        <v>3086</v>
      </c>
      <c r="I158" s="24" t="s">
        <v>3775</v>
      </c>
      <c r="J158" s="32" t="s">
        <v>3776</v>
      </c>
      <c r="K158" s="32" t="s">
        <v>3777</v>
      </c>
    </row>
    <row r="159" spans="1:11" ht="14.25" x14ac:dyDescent="0.45">
      <c r="A159" s="61"/>
      <c r="B159" s="51" t="s">
        <v>3778</v>
      </c>
      <c r="C159" s="51"/>
      <c r="D159" s="51"/>
      <c r="E159" s="62" t="s">
        <v>3779</v>
      </c>
      <c r="F159" s="55" t="s">
        <v>3780</v>
      </c>
      <c r="G159" s="55" t="s">
        <v>3781</v>
      </c>
      <c r="H159" s="25" t="s">
        <v>3086</v>
      </c>
      <c r="I159" s="24" t="s">
        <v>3782</v>
      </c>
      <c r="J159" s="35" t="s">
        <v>3167</v>
      </c>
      <c r="K159" s="35" t="s">
        <v>3783</v>
      </c>
    </row>
    <row r="160" spans="1:11" ht="14.25" x14ac:dyDescent="0.45">
      <c r="A160" s="63" t="s">
        <v>3784</v>
      </c>
      <c r="B160" s="51" t="s">
        <v>3785</v>
      </c>
      <c r="C160" s="53"/>
      <c r="D160" s="53"/>
      <c r="E160" s="62" t="s">
        <v>3786</v>
      </c>
      <c r="F160" s="55" t="s">
        <v>3250</v>
      </c>
      <c r="G160" s="55" t="s">
        <v>3787</v>
      </c>
      <c r="H160" s="25" t="s">
        <v>2927</v>
      </c>
      <c r="I160" s="24" t="s">
        <v>3788</v>
      </c>
      <c r="J160" s="35"/>
      <c r="K160" s="35"/>
    </row>
    <row r="161" spans="1:11" ht="14.25" x14ac:dyDescent="0.45">
      <c r="A161" s="63" t="s">
        <v>3789</v>
      </c>
      <c r="B161" s="51" t="s">
        <v>3790</v>
      </c>
      <c r="C161" s="53" t="s">
        <v>2898</v>
      </c>
      <c r="D161" s="53" t="s">
        <v>3791</v>
      </c>
      <c r="E161" s="62" t="s">
        <v>3792</v>
      </c>
      <c r="F161" s="55" t="s">
        <v>3793</v>
      </c>
      <c r="G161" s="55" t="s">
        <v>3794</v>
      </c>
      <c r="H161" s="25" t="s">
        <v>3086</v>
      </c>
      <c r="I161" s="24" t="s">
        <v>3795</v>
      </c>
      <c r="J161" s="35" t="s">
        <v>3167</v>
      </c>
      <c r="K161" s="35" t="s">
        <v>3796</v>
      </c>
    </row>
    <row r="162" spans="1:11" ht="14.25" x14ac:dyDescent="0.45">
      <c r="A162" s="63" t="s">
        <v>3797</v>
      </c>
      <c r="B162" s="51" t="s">
        <v>3798</v>
      </c>
      <c r="C162" s="51"/>
      <c r="D162" s="51"/>
      <c r="E162" s="62" t="s">
        <v>3799</v>
      </c>
      <c r="F162" s="55" t="s">
        <v>2947</v>
      </c>
      <c r="G162" s="55" t="s">
        <v>3800</v>
      </c>
      <c r="H162" s="25" t="s">
        <v>2927</v>
      </c>
      <c r="I162" s="24" t="s">
        <v>3801</v>
      </c>
      <c r="J162" s="64" t="s">
        <v>3802</v>
      </c>
      <c r="K162" s="24"/>
    </row>
    <row r="163" spans="1:11" ht="14.25" x14ac:dyDescent="0.45">
      <c r="A163" s="63" t="s">
        <v>3803</v>
      </c>
      <c r="B163" s="51" t="s">
        <v>3804</v>
      </c>
      <c r="C163" s="53" t="s">
        <v>3042</v>
      </c>
      <c r="D163" s="53" t="s">
        <v>3805</v>
      </c>
      <c r="E163" s="62" t="s">
        <v>3806</v>
      </c>
      <c r="F163" s="55" t="s">
        <v>3118</v>
      </c>
      <c r="G163" s="55" t="s">
        <v>3807</v>
      </c>
      <c r="H163" s="25" t="s">
        <v>2927</v>
      </c>
      <c r="I163" s="24" t="s">
        <v>3808</v>
      </c>
      <c r="J163" s="35" t="s">
        <v>3809</v>
      </c>
      <c r="K163" s="35" t="s">
        <v>3810</v>
      </c>
    </row>
    <row r="164" spans="1:11" ht="14.25" x14ac:dyDescent="0.45">
      <c r="A164" s="61"/>
      <c r="B164" s="51" t="s">
        <v>3811</v>
      </c>
      <c r="C164" s="53" t="s">
        <v>3175</v>
      </c>
      <c r="D164" s="53" t="s">
        <v>3812</v>
      </c>
      <c r="E164" s="62" t="s">
        <v>3813</v>
      </c>
      <c r="F164" s="62"/>
      <c r="G164" s="62"/>
      <c r="H164" s="25" t="s">
        <v>3086</v>
      </c>
      <c r="I164" s="24" t="s">
        <v>3814</v>
      </c>
      <c r="J164" s="35" t="s">
        <v>2915</v>
      </c>
      <c r="K164" s="35" t="s">
        <v>3815</v>
      </c>
    </row>
    <row r="165" spans="1:11" ht="14.25" x14ac:dyDescent="0.45">
      <c r="A165" s="61"/>
      <c r="B165" s="51" t="e">
        <v>#VALUE!</v>
      </c>
      <c r="C165" s="51"/>
      <c r="D165" s="51"/>
      <c r="E165" s="62" t="e">
        <v>#VALUE!</v>
      </c>
      <c r="F165" s="62"/>
      <c r="G165" s="62"/>
      <c r="H165" s="25" t="e">
        <v>#VALUE!</v>
      </c>
      <c r="I165" s="24" t="s">
        <v>2927</v>
      </c>
      <c r="J165" s="24"/>
      <c r="K165" s="24"/>
    </row>
    <row r="166" spans="1:11" ht="14.25" x14ac:dyDescent="0.45">
      <c r="A166" s="52"/>
      <c r="B166" s="51" t="s">
        <v>3816</v>
      </c>
      <c r="C166" s="53"/>
      <c r="D166" s="53"/>
      <c r="E166" s="62" t="s">
        <v>3817</v>
      </c>
      <c r="F166" s="55" t="s">
        <v>3069</v>
      </c>
      <c r="G166" s="55" t="s">
        <v>3818</v>
      </c>
      <c r="H166" s="25" t="s">
        <v>3086</v>
      </c>
      <c r="I166" s="24" t="s">
        <v>3819</v>
      </c>
      <c r="J166" s="35" t="s">
        <v>2956</v>
      </c>
      <c r="K166" s="35" t="s">
        <v>3820</v>
      </c>
    </row>
    <row r="167" spans="1:11" ht="14.25" x14ac:dyDescent="0.45">
      <c r="A167" s="63" t="s">
        <v>3821</v>
      </c>
      <c r="B167" s="51" t="s">
        <v>3822</v>
      </c>
      <c r="C167" s="53"/>
      <c r="D167" s="53"/>
      <c r="E167" s="62" t="s">
        <v>3823</v>
      </c>
      <c r="F167" s="55" t="s">
        <v>3295</v>
      </c>
      <c r="G167" s="55" t="s">
        <v>3824</v>
      </c>
      <c r="H167" s="25" t="s">
        <v>3086</v>
      </c>
      <c r="I167" s="24" t="s">
        <v>3825</v>
      </c>
      <c r="J167" s="35" t="s">
        <v>3351</v>
      </c>
      <c r="K167" s="35" t="s">
        <v>3826</v>
      </c>
    </row>
    <row r="168" spans="1:11" ht="14.25" x14ac:dyDescent="0.45">
      <c r="A168" s="63" t="s">
        <v>3827</v>
      </c>
      <c r="B168" s="51" t="s">
        <v>3828</v>
      </c>
      <c r="C168" s="53"/>
      <c r="D168" s="53"/>
      <c r="E168" s="62" t="s">
        <v>3829</v>
      </c>
      <c r="F168" s="55" t="s">
        <v>3830</v>
      </c>
      <c r="G168" s="55"/>
      <c r="H168" s="25" t="s">
        <v>2927</v>
      </c>
      <c r="I168" s="24" t="s">
        <v>3831</v>
      </c>
      <c r="J168" s="35" t="s">
        <v>2891</v>
      </c>
      <c r="K168" s="35"/>
    </row>
    <row r="169" spans="1:11" ht="14.25" x14ac:dyDescent="0.45">
      <c r="A169" s="63" t="s">
        <v>3832</v>
      </c>
      <c r="B169" s="51" t="s">
        <v>3833</v>
      </c>
      <c r="C169" s="51"/>
      <c r="D169" s="51"/>
      <c r="E169" s="62" t="s">
        <v>3834</v>
      </c>
      <c r="F169" s="55" t="s">
        <v>3118</v>
      </c>
      <c r="G169" s="62"/>
      <c r="H169" s="25" t="s">
        <v>3086</v>
      </c>
      <c r="I169" s="24" t="s">
        <v>3835</v>
      </c>
      <c r="J169" s="35" t="s">
        <v>3836</v>
      </c>
      <c r="K169" s="24"/>
    </row>
    <row r="170" spans="1:11" ht="14.25" x14ac:dyDescent="0.45">
      <c r="A170" s="63" t="s">
        <v>3837</v>
      </c>
      <c r="B170" s="51" t="s">
        <v>3838</v>
      </c>
      <c r="C170" s="53"/>
      <c r="D170" s="53"/>
      <c r="E170" s="62" t="s">
        <v>3839</v>
      </c>
      <c r="F170" s="55"/>
      <c r="G170" s="55"/>
      <c r="H170" s="25" t="s">
        <v>3086</v>
      </c>
      <c r="I170" s="24" t="s">
        <v>3840</v>
      </c>
      <c r="J170" s="35" t="s">
        <v>3841</v>
      </c>
      <c r="K170" s="35" t="s">
        <v>3842</v>
      </c>
    </row>
    <row r="171" spans="1:11" ht="14.25" x14ac:dyDescent="0.45">
      <c r="A171" s="63" t="s">
        <v>3843</v>
      </c>
      <c r="B171" s="51" t="s">
        <v>3844</v>
      </c>
      <c r="C171" s="53" t="s">
        <v>2870</v>
      </c>
      <c r="D171" s="53"/>
      <c r="E171" s="62" t="s">
        <v>3845</v>
      </c>
      <c r="F171" s="55" t="s">
        <v>3250</v>
      </c>
      <c r="G171" s="55"/>
      <c r="H171" s="25" t="s">
        <v>3086</v>
      </c>
      <c r="I171" s="24" t="s">
        <v>3846</v>
      </c>
      <c r="J171" s="35" t="s">
        <v>3847</v>
      </c>
      <c r="K171" s="35"/>
    </row>
    <row r="172" spans="1:11" ht="14.25" x14ac:dyDescent="0.45">
      <c r="A172" s="63" t="s">
        <v>3848</v>
      </c>
      <c r="B172" s="51" t="s">
        <v>3849</v>
      </c>
      <c r="C172" s="53"/>
      <c r="D172" s="53"/>
      <c r="E172" s="62" t="s">
        <v>3850</v>
      </c>
      <c r="F172" s="55" t="s">
        <v>3250</v>
      </c>
      <c r="G172" s="55"/>
      <c r="H172" s="25" t="s">
        <v>3086</v>
      </c>
      <c r="I172" s="24" t="s">
        <v>3851</v>
      </c>
      <c r="J172" s="35" t="s">
        <v>3224</v>
      </c>
      <c r="K172" s="35"/>
    </row>
    <row r="173" spans="1:11" ht="14.25" x14ac:dyDescent="0.45">
      <c r="A173" s="63" t="s">
        <v>3852</v>
      </c>
      <c r="B173" s="51" t="s">
        <v>3853</v>
      </c>
      <c r="C173" s="77" t="s">
        <v>2870</v>
      </c>
      <c r="D173" s="51"/>
      <c r="E173" s="62" t="s">
        <v>3854</v>
      </c>
      <c r="F173" s="62"/>
      <c r="G173" s="62"/>
      <c r="H173" s="25" t="s">
        <v>3086</v>
      </c>
      <c r="I173" s="24" t="s">
        <v>3855</v>
      </c>
      <c r="J173" s="35" t="s">
        <v>3167</v>
      </c>
      <c r="K173" s="24"/>
    </row>
    <row r="174" spans="1:11" ht="14.25" x14ac:dyDescent="0.45">
      <c r="A174" s="63" t="s">
        <v>3856</v>
      </c>
      <c r="B174" s="51" t="s">
        <v>3857</v>
      </c>
      <c r="C174" s="51"/>
      <c r="D174" s="51"/>
      <c r="E174" s="62" t="s">
        <v>3858</v>
      </c>
      <c r="F174" s="62"/>
      <c r="G174" s="62"/>
      <c r="H174" s="25" t="s">
        <v>3086</v>
      </c>
      <c r="I174" s="24" t="s">
        <v>3859</v>
      </c>
      <c r="J174" s="35" t="s">
        <v>3467</v>
      </c>
      <c r="K174" s="24"/>
    </row>
    <row r="175" spans="1:11" ht="14.25" x14ac:dyDescent="0.45">
      <c r="A175" s="61"/>
      <c r="B175" s="51" t="s">
        <v>3860</v>
      </c>
      <c r="C175" s="53" t="s">
        <v>2901</v>
      </c>
      <c r="D175" s="51"/>
      <c r="E175" s="62" t="s">
        <v>3861</v>
      </c>
      <c r="F175" s="62"/>
      <c r="G175" s="62"/>
      <c r="H175" s="25" t="s">
        <v>3086</v>
      </c>
      <c r="I175" s="24" t="s">
        <v>3862</v>
      </c>
      <c r="J175" s="35" t="s">
        <v>3618</v>
      </c>
      <c r="K175" s="24"/>
    </row>
    <row r="176" spans="1:11" ht="14.25" x14ac:dyDescent="0.45">
      <c r="A176" s="63" t="s">
        <v>3863</v>
      </c>
      <c r="B176" s="51" t="s">
        <v>3864</v>
      </c>
      <c r="C176" s="53" t="s">
        <v>2902</v>
      </c>
      <c r="D176" s="53"/>
      <c r="E176" s="62" t="s">
        <v>3865</v>
      </c>
      <c r="F176" s="55" t="s">
        <v>3330</v>
      </c>
      <c r="G176" s="55"/>
      <c r="H176" s="25" t="s">
        <v>3086</v>
      </c>
      <c r="I176" s="24" t="s">
        <v>3866</v>
      </c>
      <c r="J176" s="35" t="s">
        <v>3244</v>
      </c>
      <c r="K176" s="35"/>
    </row>
    <row r="177" spans="1:11" ht="14.25" x14ac:dyDescent="0.45">
      <c r="A177" s="61"/>
      <c r="B177" s="51" t="s">
        <v>3867</v>
      </c>
      <c r="C177" s="51"/>
      <c r="D177" s="51"/>
      <c r="E177" s="62" t="s">
        <v>3868</v>
      </c>
      <c r="F177" s="62"/>
      <c r="G177" s="62"/>
      <c r="H177" s="25" t="s">
        <v>2927</v>
      </c>
      <c r="I177" s="24" t="s">
        <v>3869</v>
      </c>
      <c r="J177" s="24"/>
      <c r="K177" s="24"/>
    </row>
    <row r="178" spans="1:11" ht="14.25" x14ac:dyDescent="0.45">
      <c r="A178" s="63" t="s">
        <v>3870</v>
      </c>
      <c r="B178" s="51" t="s">
        <v>3871</v>
      </c>
      <c r="C178" s="53"/>
      <c r="D178" s="53"/>
      <c r="E178" s="62" t="s">
        <v>3872</v>
      </c>
      <c r="F178" s="55" t="s">
        <v>3224</v>
      </c>
      <c r="G178" s="55"/>
      <c r="H178" s="25" t="s">
        <v>3086</v>
      </c>
      <c r="I178" s="24" t="s">
        <v>3873</v>
      </c>
      <c r="J178" s="35" t="s">
        <v>3107</v>
      </c>
      <c r="K178" s="35"/>
    </row>
    <row r="179" spans="1:11" ht="14.25" x14ac:dyDescent="0.45">
      <c r="A179" s="63" t="s">
        <v>3874</v>
      </c>
      <c r="B179" s="51" t="s">
        <v>3875</v>
      </c>
      <c r="C179" s="53"/>
      <c r="D179" s="53"/>
      <c r="E179" s="62" t="s">
        <v>3876</v>
      </c>
      <c r="F179" s="55" t="s">
        <v>3250</v>
      </c>
      <c r="G179" s="55"/>
      <c r="H179" s="25" t="s">
        <v>3086</v>
      </c>
      <c r="I179" s="24" t="s">
        <v>3877</v>
      </c>
      <c r="J179" s="35" t="s">
        <v>3244</v>
      </c>
      <c r="K179" s="35"/>
    </row>
    <row r="180" spans="1:11" ht="14.25" x14ac:dyDescent="0.45">
      <c r="A180" s="63" t="s">
        <v>3667</v>
      </c>
      <c r="B180" s="51" t="s">
        <v>3878</v>
      </c>
      <c r="C180" s="53" t="s">
        <v>2902</v>
      </c>
      <c r="D180" s="51"/>
      <c r="E180" s="62" t="s">
        <v>3879</v>
      </c>
      <c r="F180" s="55" t="s">
        <v>3880</v>
      </c>
      <c r="G180" s="62"/>
      <c r="H180" s="25" t="s">
        <v>3086</v>
      </c>
      <c r="I180" s="24" t="s">
        <v>3881</v>
      </c>
      <c r="J180" s="24"/>
      <c r="K180" s="24"/>
    </row>
    <row r="181" spans="1:11" ht="14.25" x14ac:dyDescent="0.45">
      <c r="A181" s="63" t="s">
        <v>3882</v>
      </c>
      <c r="B181" s="51" t="s">
        <v>3883</v>
      </c>
      <c r="C181" s="53"/>
      <c r="D181" s="53"/>
      <c r="E181" s="62" t="s">
        <v>3884</v>
      </c>
      <c r="F181" s="55" t="s">
        <v>3150</v>
      </c>
      <c r="G181" s="55"/>
      <c r="H181" s="25" t="s">
        <v>3086</v>
      </c>
      <c r="I181" s="24" t="s">
        <v>3885</v>
      </c>
      <c r="J181" s="35" t="s">
        <v>3072</v>
      </c>
      <c r="K181" s="35"/>
    </row>
    <row r="182" spans="1:11" ht="14.25" x14ac:dyDescent="0.45">
      <c r="A182" s="63" t="s">
        <v>3882</v>
      </c>
      <c r="B182" s="51" t="s">
        <v>3886</v>
      </c>
      <c r="C182" s="53"/>
      <c r="D182" s="53"/>
      <c r="E182" s="62" t="s">
        <v>3887</v>
      </c>
      <c r="F182" s="55" t="s">
        <v>3150</v>
      </c>
      <c r="G182" s="55"/>
      <c r="H182" s="25" t="s">
        <v>2927</v>
      </c>
      <c r="I182" s="24" t="s">
        <v>3888</v>
      </c>
      <c r="J182" s="35" t="s">
        <v>3010</v>
      </c>
      <c r="K182" s="35"/>
    </row>
    <row r="183" spans="1:11" ht="14.25" x14ac:dyDescent="0.45">
      <c r="A183" s="63" t="s">
        <v>3889</v>
      </c>
      <c r="B183" s="51" t="s">
        <v>3890</v>
      </c>
      <c r="C183" s="51"/>
      <c r="D183" s="51"/>
      <c r="E183" s="62" t="s">
        <v>3891</v>
      </c>
      <c r="F183" s="55" t="s">
        <v>3793</v>
      </c>
      <c r="G183" s="62"/>
      <c r="H183" s="25" t="s">
        <v>3086</v>
      </c>
      <c r="I183" s="24" t="s">
        <v>3892</v>
      </c>
      <c r="J183" s="24"/>
      <c r="K183" s="24"/>
    </row>
    <row r="184" spans="1:11" ht="14.25" x14ac:dyDescent="0.45">
      <c r="A184" s="63" t="s">
        <v>3893</v>
      </c>
      <c r="B184" s="51" t="s">
        <v>3894</v>
      </c>
      <c r="C184" s="65" t="s">
        <v>2903</v>
      </c>
      <c r="D184" s="65"/>
      <c r="E184" s="62" t="s">
        <v>3895</v>
      </c>
      <c r="F184" s="66" t="s">
        <v>3569</v>
      </c>
      <c r="G184" s="66"/>
      <c r="H184" s="25" t="s">
        <v>3086</v>
      </c>
      <c r="I184" s="24" t="s">
        <v>3896</v>
      </c>
      <c r="J184" s="32"/>
      <c r="K184" s="32"/>
    </row>
    <row r="185" spans="1:11" ht="14.25" x14ac:dyDescent="0.45">
      <c r="A185" s="61"/>
      <c r="B185" s="51" t="s">
        <v>3897</v>
      </c>
      <c r="C185" s="51"/>
      <c r="D185" s="51"/>
      <c r="E185" s="62" t="s">
        <v>3898</v>
      </c>
      <c r="F185" s="62"/>
      <c r="G185" s="62"/>
      <c r="H185" s="25" t="s">
        <v>3086</v>
      </c>
      <c r="I185" s="24" t="s">
        <v>3899</v>
      </c>
      <c r="J185" s="24"/>
      <c r="K185" s="24"/>
    </row>
    <row r="186" spans="1:11" ht="14.25" x14ac:dyDescent="0.45">
      <c r="A186" s="61"/>
      <c r="B186" s="51" t="s">
        <v>3900</v>
      </c>
      <c r="C186" s="51"/>
      <c r="D186" s="51"/>
      <c r="E186" s="62" t="s">
        <v>3901</v>
      </c>
      <c r="F186" s="55" t="s">
        <v>2970</v>
      </c>
      <c r="G186" s="62"/>
      <c r="H186" s="25" t="s">
        <v>3086</v>
      </c>
      <c r="I186" s="24" t="s">
        <v>3902</v>
      </c>
      <c r="J186" s="35" t="s">
        <v>3094</v>
      </c>
      <c r="K186" s="24"/>
    </row>
    <row r="187" spans="1:11" ht="14.25" x14ac:dyDescent="0.45">
      <c r="A187" s="63" t="s">
        <v>3205</v>
      </c>
      <c r="B187" s="51" t="s">
        <v>3903</v>
      </c>
      <c r="C187" s="51"/>
      <c r="D187" s="51"/>
      <c r="E187" s="62" t="s">
        <v>3904</v>
      </c>
      <c r="F187" s="55" t="s">
        <v>3208</v>
      </c>
      <c r="G187" s="62"/>
      <c r="H187" s="25" t="s">
        <v>3086</v>
      </c>
      <c r="I187" s="24" t="s">
        <v>3905</v>
      </c>
      <c r="J187" s="35" t="s">
        <v>3285</v>
      </c>
      <c r="K187" s="24"/>
    </row>
    <row r="188" spans="1:11" ht="14.25" x14ac:dyDescent="0.45">
      <c r="A188" s="63" t="s">
        <v>3906</v>
      </c>
      <c r="B188" s="51" t="s">
        <v>3907</v>
      </c>
      <c r="C188" s="51"/>
      <c r="D188" s="51"/>
      <c r="E188" s="62" t="s">
        <v>3908</v>
      </c>
      <c r="F188" s="55" t="s">
        <v>3909</v>
      </c>
      <c r="G188" s="62"/>
      <c r="H188" s="25" t="s">
        <v>3086</v>
      </c>
      <c r="I188" s="24" t="s">
        <v>3910</v>
      </c>
      <c r="J188" s="24"/>
      <c r="K188" s="24"/>
    </row>
    <row r="189" spans="1:11" ht="14.25" x14ac:dyDescent="0.45">
      <c r="A189" s="63" t="s">
        <v>2952</v>
      </c>
      <c r="B189" s="51" t="s">
        <v>3911</v>
      </c>
      <c r="C189" s="53"/>
      <c r="D189" s="53"/>
      <c r="E189" s="62" t="s">
        <v>3912</v>
      </c>
      <c r="F189" s="55" t="s">
        <v>3913</v>
      </c>
      <c r="G189" s="55"/>
      <c r="H189" s="25" t="s">
        <v>2927</v>
      </c>
      <c r="I189" s="24" t="s">
        <v>3914</v>
      </c>
      <c r="J189" s="35" t="s">
        <v>2956</v>
      </c>
      <c r="K189" s="35"/>
    </row>
    <row r="190" spans="1:11" ht="14.25" x14ac:dyDescent="0.45">
      <c r="A190" s="63" t="s">
        <v>3663</v>
      </c>
      <c r="B190" s="51" t="s">
        <v>3915</v>
      </c>
      <c r="C190" s="53"/>
      <c r="D190" s="53"/>
      <c r="E190" s="62" t="s">
        <v>3916</v>
      </c>
      <c r="F190" s="55" t="s">
        <v>3586</v>
      </c>
      <c r="G190" s="55"/>
      <c r="H190" s="25" t="s">
        <v>3086</v>
      </c>
      <c r="I190" s="24" t="s">
        <v>3917</v>
      </c>
      <c r="J190" s="35" t="s">
        <v>3107</v>
      </c>
      <c r="K190" s="35"/>
    </row>
    <row r="191" spans="1:11" ht="14.25" x14ac:dyDescent="0.45">
      <c r="A191" s="63" t="s">
        <v>3918</v>
      </c>
      <c r="B191" s="51" t="s">
        <v>3919</v>
      </c>
      <c r="C191" s="53" t="s">
        <v>3426</v>
      </c>
      <c r="D191" s="51"/>
      <c r="E191" s="62" t="s">
        <v>3920</v>
      </c>
      <c r="F191" s="55" t="s">
        <v>3507</v>
      </c>
      <c r="G191" s="62"/>
      <c r="H191" s="25" t="s">
        <v>3086</v>
      </c>
      <c r="I191" s="24" t="s">
        <v>3921</v>
      </c>
      <c r="J191" s="35" t="s">
        <v>3922</v>
      </c>
      <c r="K191" s="24"/>
    </row>
    <row r="192" spans="1:11" ht="14.25" x14ac:dyDescent="0.45">
      <c r="A192" s="61"/>
      <c r="B192" s="51" t="e">
        <v>#VALUE!</v>
      </c>
      <c r="C192" s="51"/>
      <c r="D192" s="51"/>
      <c r="E192" s="62" t="e">
        <v>#VALUE!</v>
      </c>
      <c r="F192" s="62"/>
      <c r="G192" s="62"/>
      <c r="H192" s="25" t="e">
        <v>#VALUE!</v>
      </c>
      <c r="I192" s="24" t="s">
        <v>2927</v>
      </c>
      <c r="J192" s="24"/>
      <c r="K192" s="24"/>
    </row>
    <row r="193" spans="1:11" ht="14.25" x14ac:dyDescent="0.45">
      <c r="A193" s="63" t="s">
        <v>3923</v>
      </c>
      <c r="B193" s="51" t="s">
        <v>3924</v>
      </c>
      <c r="C193" s="53"/>
      <c r="D193" s="53"/>
      <c r="E193" s="62" t="s">
        <v>3925</v>
      </c>
      <c r="F193" s="55" t="s">
        <v>3224</v>
      </c>
      <c r="G193" s="55"/>
      <c r="H193" s="25" t="s">
        <v>3086</v>
      </c>
      <c r="I193" s="24" t="s">
        <v>3926</v>
      </c>
      <c r="J193" s="35" t="s">
        <v>2950</v>
      </c>
      <c r="K193" s="35"/>
    </row>
    <row r="194" spans="1:11" ht="14.25" x14ac:dyDescent="0.45">
      <c r="A194" s="61"/>
      <c r="B194" s="51" t="s">
        <v>3927</v>
      </c>
      <c r="C194" s="51"/>
      <c r="D194" s="51"/>
      <c r="E194" s="62" t="s">
        <v>3928</v>
      </c>
      <c r="F194" s="62"/>
      <c r="G194" s="62"/>
      <c r="H194" s="25" t="s">
        <v>3086</v>
      </c>
      <c r="I194" s="24" t="s">
        <v>3929</v>
      </c>
      <c r="J194" s="24"/>
      <c r="K194" s="24"/>
    </row>
    <row r="195" spans="1:11" ht="14.25" x14ac:dyDescent="0.45">
      <c r="A195" s="63" t="s">
        <v>3930</v>
      </c>
      <c r="B195" s="51" t="s">
        <v>3931</v>
      </c>
      <c r="C195" s="53" t="s">
        <v>3772</v>
      </c>
      <c r="D195" s="53"/>
      <c r="E195" s="62" t="s">
        <v>3932</v>
      </c>
      <c r="F195" s="55" t="s">
        <v>3057</v>
      </c>
      <c r="G195" s="55"/>
      <c r="H195" s="25" t="s">
        <v>3086</v>
      </c>
      <c r="I195" s="24" t="s">
        <v>3933</v>
      </c>
      <c r="J195" s="35"/>
      <c r="K195" s="35"/>
    </row>
    <row r="196" spans="1:11" ht="14.25" x14ac:dyDescent="0.45">
      <c r="A196" s="61"/>
      <c r="B196" s="51" t="s">
        <v>3934</v>
      </c>
      <c r="C196" s="51"/>
      <c r="D196" s="51"/>
      <c r="E196" s="62" t="s">
        <v>3935</v>
      </c>
      <c r="F196" s="62"/>
      <c r="G196" s="62"/>
      <c r="H196" s="25" t="s">
        <v>3086</v>
      </c>
      <c r="I196" s="24" t="s">
        <v>3936</v>
      </c>
      <c r="J196" s="24"/>
      <c r="K196" s="24"/>
    </row>
    <row r="197" spans="1:11" ht="14.25" x14ac:dyDescent="0.45">
      <c r="A197" s="61"/>
      <c r="B197" s="51" t="s">
        <v>3937</v>
      </c>
      <c r="C197" s="51"/>
      <c r="D197" s="51"/>
      <c r="E197" s="62" t="s">
        <v>3938</v>
      </c>
      <c r="F197" s="55" t="s">
        <v>3880</v>
      </c>
      <c r="G197" s="62"/>
      <c r="H197" s="25" t="s">
        <v>3086</v>
      </c>
      <c r="I197" s="24" t="s">
        <v>3939</v>
      </c>
      <c r="J197" s="35" t="s">
        <v>3094</v>
      </c>
      <c r="K197" s="24"/>
    </row>
    <row r="198" spans="1:11" ht="14.25" x14ac:dyDescent="0.45">
      <c r="A198" s="61"/>
      <c r="B198" s="51" t="s">
        <v>3940</v>
      </c>
      <c r="C198" s="51"/>
      <c r="D198" s="51"/>
      <c r="E198" s="62" t="s">
        <v>3941</v>
      </c>
      <c r="F198" s="55" t="s">
        <v>3942</v>
      </c>
      <c r="G198" s="62"/>
      <c r="H198" s="25" t="s">
        <v>3086</v>
      </c>
      <c r="I198" s="24" t="s">
        <v>3943</v>
      </c>
      <c r="J198" s="35" t="s">
        <v>3167</v>
      </c>
      <c r="K198" s="24"/>
    </row>
    <row r="199" spans="1:11" ht="14.25" x14ac:dyDescent="0.45">
      <c r="A199" s="63" t="s">
        <v>3944</v>
      </c>
      <c r="B199" s="51" t="s">
        <v>3945</v>
      </c>
      <c r="C199" s="53"/>
      <c r="D199" s="53"/>
      <c r="E199" s="62" t="s">
        <v>3946</v>
      </c>
      <c r="F199" s="55"/>
      <c r="G199" s="55"/>
      <c r="H199" s="25" t="s">
        <v>3086</v>
      </c>
      <c r="I199" s="24" t="s">
        <v>3947</v>
      </c>
      <c r="J199" s="35"/>
      <c r="K199" s="35"/>
    </row>
    <row r="200" spans="1:11" ht="14.25" x14ac:dyDescent="0.45">
      <c r="A200" s="61"/>
      <c r="B200" s="51" t="s">
        <v>3948</v>
      </c>
      <c r="C200" s="51"/>
      <c r="D200" s="51"/>
      <c r="E200" s="62" t="s">
        <v>3949</v>
      </c>
      <c r="F200" s="55" t="s">
        <v>3950</v>
      </c>
      <c r="G200" s="62"/>
      <c r="H200" s="25" t="s">
        <v>3086</v>
      </c>
      <c r="I200" s="24" t="s">
        <v>3951</v>
      </c>
      <c r="J200" s="35" t="s">
        <v>3107</v>
      </c>
      <c r="K200" s="24"/>
    </row>
    <row r="201" spans="1:11" ht="14.25" x14ac:dyDescent="0.45">
      <c r="A201" s="63" t="s">
        <v>3952</v>
      </c>
      <c r="B201" s="51" t="s">
        <v>3953</v>
      </c>
      <c r="C201" s="53" t="s">
        <v>3954</v>
      </c>
      <c r="D201" s="51"/>
      <c r="E201" s="62" t="s">
        <v>3955</v>
      </c>
      <c r="F201" s="62"/>
      <c r="G201" s="62"/>
      <c r="H201" s="25" t="s">
        <v>3086</v>
      </c>
      <c r="I201" s="24" t="s">
        <v>3956</v>
      </c>
      <c r="J201" s="24"/>
      <c r="K201" s="24"/>
    </row>
    <row r="202" spans="1:11" ht="14.25" x14ac:dyDescent="0.45">
      <c r="A202" s="63" t="s">
        <v>3957</v>
      </c>
      <c r="B202" s="51" t="s">
        <v>3958</v>
      </c>
      <c r="C202" s="53" t="s">
        <v>3426</v>
      </c>
      <c r="D202" s="53"/>
      <c r="E202" s="62" t="s">
        <v>3959</v>
      </c>
      <c r="F202" s="55"/>
      <c r="G202" s="55"/>
      <c r="H202" s="25" t="s">
        <v>3086</v>
      </c>
      <c r="I202" s="24" t="s">
        <v>3960</v>
      </c>
      <c r="J202" s="35"/>
      <c r="K202" s="35"/>
    </row>
    <row r="203" spans="1:11" ht="14.25" x14ac:dyDescent="0.45">
      <c r="A203" s="63" t="s">
        <v>3961</v>
      </c>
      <c r="B203" s="51" t="s">
        <v>3962</v>
      </c>
      <c r="C203" s="53" t="s">
        <v>2895</v>
      </c>
      <c r="D203" s="53"/>
      <c r="E203" s="62" t="s">
        <v>3963</v>
      </c>
      <c r="F203" s="55" t="s">
        <v>3593</v>
      </c>
      <c r="G203" s="55"/>
      <c r="H203" s="25" t="s">
        <v>3086</v>
      </c>
      <c r="I203" s="24" t="s">
        <v>3964</v>
      </c>
      <c r="J203" s="35" t="s">
        <v>3220</v>
      </c>
      <c r="K203" s="35"/>
    </row>
    <row r="204" spans="1:11" ht="14.25" x14ac:dyDescent="0.45">
      <c r="A204" s="63" t="s">
        <v>3965</v>
      </c>
      <c r="B204" s="51" t="s">
        <v>3966</v>
      </c>
      <c r="C204" s="51"/>
      <c r="D204" s="51"/>
      <c r="E204" s="62" t="s">
        <v>3967</v>
      </c>
      <c r="F204" s="55" t="s">
        <v>3036</v>
      </c>
      <c r="G204" s="62"/>
      <c r="H204" s="25" t="s">
        <v>3086</v>
      </c>
      <c r="I204" s="24" t="s">
        <v>3968</v>
      </c>
      <c r="J204" s="24"/>
      <c r="K204" s="24"/>
    </row>
    <row r="205" spans="1:11" ht="14.25" x14ac:dyDescent="0.45">
      <c r="A205" s="63" t="s">
        <v>3969</v>
      </c>
      <c r="B205" s="51" t="s">
        <v>3970</v>
      </c>
      <c r="C205" s="53" t="s">
        <v>3971</v>
      </c>
      <c r="D205" s="53"/>
      <c r="E205" s="62" t="s">
        <v>3972</v>
      </c>
      <c r="F205" s="55"/>
      <c r="G205" s="55"/>
      <c r="H205" s="25" t="s">
        <v>3086</v>
      </c>
      <c r="I205" s="24" t="s">
        <v>3973</v>
      </c>
      <c r="J205" s="35"/>
      <c r="K205" s="35"/>
    </row>
    <row r="206" spans="1:11" ht="14.25" x14ac:dyDescent="0.45">
      <c r="A206" s="52"/>
      <c r="B206" s="51" t="s">
        <v>3974</v>
      </c>
      <c r="C206" s="53"/>
      <c r="D206" s="53"/>
      <c r="E206" s="62" t="s">
        <v>3975</v>
      </c>
      <c r="F206" s="55"/>
      <c r="G206" s="55"/>
      <c r="H206" s="25" t="s">
        <v>3086</v>
      </c>
      <c r="I206" s="24" t="s">
        <v>3976</v>
      </c>
      <c r="J206" s="35"/>
      <c r="K206" s="35"/>
    </row>
    <row r="207" spans="1:11" ht="14.25" x14ac:dyDescent="0.45">
      <c r="A207" s="63" t="s">
        <v>3969</v>
      </c>
      <c r="B207" s="51" t="s">
        <v>3971</v>
      </c>
      <c r="C207" s="53" t="s">
        <v>3971</v>
      </c>
      <c r="D207" s="53"/>
      <c r="E207" s="62" t="s">
        <v>3977</v>
      </c>
      <c r="F207" s="55"/>
      <c r="G207" s="55"/>
      <c r="H207" s="25" t="s">
        <v>3086</v>
      </c>
      <c r="I207" s="24" t="s">
        <v>3978</v>
      </c>
      <c r="J207" s="35" t="s">
        <v>3224</v>
      </c>
      <c r="K207" s="35"/>
    </row>
    <row r="208" spans="1:11" ht="14.25" x14ac:dyDescent="0.45">
      <c r="A208" s="61"/>
      <c r="B208" s="51" t="s">
        <v>3979</v>
      </c>
      <c r="C208" s="51"/>
      <c r="D208" s="51"/>
      <c r="E208" s="62" t="s">
        <v>3980</v>
      </c>
      <c r="F208" s="55" t="s">
        <v>2983</v>
      </c>
      <c r="G208" s="62"/>
      <c r="H208" s="25" t="s">
        <v>3086</v>
      </c>
      <c r="I208" s="24" t="s">
        <v>3981</v>
      </c>
      <c r="J208" s="24"/>
      <c r="K208" s="24"/>
    </row>
    <row r="209" spans="1:11" ht="14.25" x14ac:dyDescent="0.45">
      <c r="A209" s="61"/>
      <c r="B209" s="51" t="s">
        <v>3982</v>
      </c>
      <c r="C209" s="51"/>
      <c r="D209" s="51"/>
      <c r="E209" s="62" t="s">
        <v>3983</v>
      </c>
      <c r="F209" s="55" t="s">
        <v>3052</v>
      </c>
      <c r="G209" s="62"/>
      <c r="H209" s="25" t="s">
        <v>3086</v>
      </c>
      <c r="I209" s="24" t="s">
        <v>3984</v>
      </c>
      <c r="J209" s="35" t="s">
        <v>3125</v>
      </c>
      <c r="K209" s="24"/>
    </row>
    <row r="210" spans="1:11" ht="14.25" x14ac:dyDescent="0.45">
      <c r="A210" s="63" t="s">
        <v>3985</v>
      </c>
      <c r="B210" s="51" t="s">
        <v>3986</v>
      </c>
      <c r="C210" s="65" t="s">
        <v>2897</v>
      </c>
      <c r="D210" s="65"/>
      <c r="E210" s="62" t="s">
        <v>3987</v>
      </c>
      <c r="F210" s="66"/>
      <c r="G210" s="66"/>
      <c r="H210" s="25" t="s">
        <v>3086</v>
      </c>
      <c r="I210" s="24" t="s">
        <v>3988</v>
      </c>
      <c r="J210" s="32" t="s">
        <v>3989</v>
      </c>
      <c r="K210" s="32"/>
    </row>
    <row r="211" spans="1:11" ht="14.25" x14ac:dyDescent="0.45">
      <c r="A211" s="52"/>
      <c r="B211" s="51" t="s">
        <v>3990</v>
      </c>
      <c r="C211" s="53"/>
      <c r="D211" s="53"/>
      <c r="E211" s="62" t="s">
        <v>3991</v>
      </c>
      <c r="F211" s="55"/>
      <c r="G211" s="55"/>
      <c r="H211" s="25" t="s">
        <v>2942</v>
      </c>
      <c r="I211" s="24" t="s">
        <v>3992</v>
      </c>
      <c r="J211" s="35" t="s">
        <v>3052</v>
      </c>
      <c r="K211" s="35"/>
    </row>
    <row r="212" spans="1:11" ht="14.25" x14ac:dyDescent="0.45">
      <c r="A212" s="63" t="s">
        <v>3993</v>
      </c>
      <c r="B212" s="51" t="s">
        <v>3994</v>
      </c>
      <c r="C212" s="53" t="s">
        <v>3436</v>
      </c>
      <c r="D212" s="53"/>
      <c r="E212" s="62" t="s">
        <v>3995</v>
      </c>
      <c r="F212" s="55" t="s">
        <v>3036</v>
      </c>
      <c r="G212" s="55"/>
      <c r="H212" s="25" t="s">
        <v>2942</v>
      </c>
      <c r="I212" s="24" t="s">
        <v>3994</v>
      </c>
      <c r="J212" s="35" t="s">
        <v>3167</v>
      </c>
      <c r="K212" s="35"/>
    </row>
    <row r="213" spans="1:11" ht="14.25" x14ac:dyDescent="0.45">
      <c r="A213" s="63" t="s">
        <v>3996</v>
      </c>
      <c r="B213" s="51" t="s">
        <v>3997</v>
      </c>
      <c r="C213" s="51"/>
      <c r="D213" s="51"/>
      <c r="E213" s="62" t="s">
        <v>3998</v>
      </c>
      <c r="F213" s="55" t="s">
        <v>3289</v>
      </c>
      <c r="G213" s="62"/>
      <c r="H213" s="25" t="s">
        <v>2942</v>
      </c>
      <c r="I213" s="24" t="s">
        <v>3999</v>
      </c>
      <c r="J213" s="35" t="s">
        <v>3289</v>
      </c>
      <c r="K213" s="24"/>
    </row>
    <row r="214" spans="1:11" ht="14.25" x14ac:dyDescent="0.45">
      <c r="A214" s="63" t="s">
        <v>4000</v>
      </c>
      <c r="B214" s="51" t="s">
        <v>4001</v>
      </c>
      <c r="C214" s="51"/>
      <c r="D214" s="51"/>
      <c r="E214" s="62" t="s">
        <v>4002</v>
      </c>
      <c r="F214" s="62"/>
      <c r="G214" s="62"/>
      <c r="H214" s="25" t="s">
        <v>2942</v>
      </c>
      <c r="I214" s="24" t="s">
        <v>4003</v>
      </c>
      <c r="J214" s="35"/>
      <c r="K214" s="35" t="s">
        <v>4004</v>
      </c>
    </row>
    <row r="215" spans="1:11" ht="14.25" x14ac:dyDescent="0.45">
      <c r="A215" s="63" t="s">
        <v>4005</v>
      </c>
      <c r="B215" s="51" t="s">
        <v>4006</v>
      </c>
      <c r="C215" s="53"/>
      <c r="D215" s="53"/>
      <c r="E215" s="62" t="s">
        <v>4007</v>
      </c>
      <c r="F215" s="55" t="s">
        <v>3793</v>
      </c>
      <c r="G215" s="55"/>
      <c r="H215" s="25" t="s">
        <v>3086</v>
      </c>
      <c r="I215" s="24" t="s">
        <v>4008</v>
      </c>
      <c r="J215" s="35" t="s">
        <v>2983</v>
      </c>
      <c r="K215" s="35"/>
    </row>
    <row r="216" spans="1:11" ht="14.25" x14ac:dyDescent="0.45">
      <c r="A216" s="61"/>
      <c r="B216" s="51" t="s">
        <v>4009</v>
      </c>
      <c r="C216" s="51"/>
      <c r="D216" s="51"/>
      <c r="E216" s="62" t="s">
        <v>4010</v>
      </c>
      <c r="F216" s="55" t="s">
        <v>3036</v>
      </c>
      <c r="G216" s="62"/>
      <c r="H216" s="25" t="s">
        <v>2942</v>
      </c>
      <c r="I216" s="24" t="s">
        <v>4011</v>
      </c>
      <c r="J216" s="35" t="s">
        <v>3193</v>
      </c>
      <c r="K216" s="24"/>
    </row>
    <row r="217" spans="1:11" ht="14.25" x14ac:dyDescent="0.45">
      <c r="A217" s="61"/>
      <c r="B217" s="51" t="s">
        <v>4012</v>
      </c>
      <c r="C217" s="51"/>
      <c r="D217" s="51"/>
      <c r="E217" s="62" t="s">
        <v>4013</v>
      </c>
      <c r="F217" s="62"/>
      <c r="G217" s="62"/>
      <c r="H217" s="25" t="s">
        <v>2942</v>
      </c>
      <c r="I217" s="24" t="s">
        <v>4014</v>
      </c>
      <c r="J217" s="35" t="s">
        <v>3836</v>
      </c>
      <c r="K217" s="24"/>
    </row>
    <row r="218" spans="1:11" ht="14.25" x14ac:dyDescent="0.45">
      <c r="A218" s="61"/>
      <c r="B218" s="51" t="s">
        <v>4015</v>
      </c>
      <c r="C218" s="51"/>
      <c r="D218" s="51"/>
      <c r="E218" s="62" t="s">
        <v>4016</v>
      </c>
      <c r="F218" s="55" t="s">
        <v>3218</v>
      </c>
      <c r="G218" s="62"/>
      <c r="H218" s="25" t="s">
        <v>2942</v>
      </c>
      <c r="I218" s="24" t="s">
        <v>4017</v>
      </c>
      <c r="J218" s="24"/>
      <c r="K218" s="24"/>
    </row>
    <row r="219" spans="1:11" ht="14.25" x14ac:dyDescent="0.45">
      <c r="A219" s="61"/>
      <c r="B219" s="51" t="e">
        <v>#VALUE!</v>
      </c>
      <c r="C219" s="51"/>
      <c r="D219" s="51"/>
      <c r="E219" s="62" t="e">
        <v>#VALUE!</v>
      </c>
      <c r="F219" s="62"/>
      <c r="G219" s="62"/>
      <c r="H219" s="25" t="e">
        <v>#VALUE!</v>
      </c>
      <c r="I219" s="24" t="s">
        <v>2927</v>
      </c>
      <c r="J219" s="24"/>
      <c r="K219" s="24"/>
    </row>
    <row r="220" spans="1:11" ht="14.25" x14ac:dyDescent="0.45">
      <c r="A220" s="63" t="s">
        <v>4018</v>
      </c>
      <c r="B220" s="51" t="s">
        <v>4019</v>
      </c>
      <c r="C220" s="53"/>
      <c r="D220" s="53"/>
      <c r="E220" s="62" t="s">
        <v>4020</v>
      </c>
      <c r="F220" s="55" t="s">
        <v>3581</v>
      </c>
      <c r="G220" s="55"/>
      <c r="H220" s="25" t="s">
        <v>2942</v>
      </c>
      <c r="I220" s="24" t="s">
        <v>4021</v>
      </c>
      <c r="J220" s="35" t="s">
        <v>2965</v>
      </c>
      <c r="K220" s="35"/>
    </row>
    <row r="221" spans="1:11" ht="14.25" x14ac:dyDescent="0.45">
      <c r="A221" s="61"/>
      <c r="B221" s="51" t="s">
        <v>4022</v>
      </c>
      <c r="C221" s="51"/>
      <c r="D221" s="51"/>
      <c r="E221" s="62" t="s">
        <v>4023</v>
      </c>
      <c r="F221" s="62"/>
      <c r="G221" s="62"/>
      <c r="H221" s="25" t="s">
        <v>2927</v>
      </c>
      <c r="I221" s="24" t="s">
        <v>4024</v>
      </c>
      <c r="J221" s="24"/>
      <c r="K221" s="24"/>
    </row>
    <row r="222" spans="1:11" ht="14.25" x14ac:dyDescent="0.45">
      <c r="A222" s="63" t="s">
        <v>4025</v>
      </c>
      <c r="B222" s="51" t="s">
        <v>4026</v>
      </c>
      <c r="C222" s="69" t="s">
        <v>3248</v>
      </c>
      <c r="D222" s="53"/>
      <c r="E222" s="62" t="s">
        <v>4027</v>
      </c>
      <c r="F222" s="55" t="s">
        <v>2890</v>
      </c>
      <c r="G222" s="55"/>
      <c r="H222" s="25" t="s">
        <v>2942</v>
      </c>
      <c r="I222" s="24" t="s">
        <v>4028</v>
      </c>
      <c r="J222" s="35" t="s">
        <v>3099</v>
      </c>
      <c r="K222" s="35"/>
    </row>
    <row r="223" spans="1:11" ht="14.25" x14ac:dyDescent="0.45">
      <c r="A223" s="61"/>
      <c r="B223" s="51" t="s">
        <v>4029</v>
      </c>
      <c r="C223" s="51"/>
      <c r="D223" s="51"/>
      <c r="E223" s="62" t="s">
        <v>4030</v>
      </c>
      <c r="F223" s="55" t="s">
        <v>3408</v>
      </c>
      <c r="G223" s="62"/>
      <c r="H223" s="25" t="s">
        <v>2942</v>
      </c>
      <c r="I223" s="24" t="s">
        <v>4031</v>
      </c>
      <c r="J223" s="35" t="s">
        <v>3289</v>
      </c>
      <c r="K223" s="24"/>
    </row>
    <row r="224" spans="1:11" ht="14.25" x14ac:dyDescent="0.45">
      <c r="A224" s="63" t="s">
        <v>4032</v>
      </c>
      <c r="B224" s="51" t="s">
        <v>4033</v>
      </c>
      <c r="C224" s="51"/>
      <c r="D224" s="51"/>
      <c r="E224" s="62" t="s">
        <v>4034</v>
      </c>
      <c r="F224" s="62"/>
      <c r="G224" s="62"/>
      <c r="H224" s="25" t="s">
        <v>2942</v>
      </c>
      <c r="I224" s="24" t="s">
        <v>4035</v>
      </c>
      <c r="J224" s="35" t="s">
        <v>4036</v>
      </c>
      <c r="K224" s="24"/>
    </row>
    <row r="225" spans="1:11" ht="14.25" x14ac:dyDescent="0.45">
      <c r="A225" s="63" t="s">
        <v>4037</v>
      </c>
      <c r="B225" s="51" t="s">
        <v>4038</v>
      </c>
      <c r="C225" s="51"/>
      <c r="D225" s="51"/>
      <c r="E225" s="62" t="s">
        <v>4039</v>
      </c>
      <c r="F225" s="55" t="s">
        <v>4040</v>
      </c>
      <c r="G225" s="62"/>
      <c r="H225" s="25" t="s">
        <v>2927</v>
      </c>
      <c r="I225" s="24" t="s">
        <v>4041</v>
      </c>
      <c r="J225" s="24"/>
      <c r="K225" s="24"/>
    </row>
    <row r="226" spans="1:11" ht="14.25" x14ac:dyDescent="0.45">
      <c r="A226" s="63" t="s">
        <v>4042</v>
      </c>
      <c r="B226" s="51" t="s">
        <v>4043</v>
      </c>
      <c r="C226" s="51"/>
      <c r="D226" s="51"/>
      <c r="E226" s="62" t="s">
        <v>4044</v>
      </c>
      <c r="F226" s="55" t="s">
        <v>3036</v>
      </c>
      <c r="G226" s="62"/>
      <c r="H226" s="25" t="s">
        <v>2942</v>
      </c>
      <c r="I226" s="24" t="s">
        <v>4045</v>
      </c>
      <c r="J226" s="35" t="s">
        <v>3023</v>
      </c>
      <c r="K226" s="24"/>
    </row>
    <row r="227" spans="1:11" ht="14.25" x14ac:dyDescent="0.45">
      <c r="A227" s="61"/>
      <c r="B227" s="51" t="s">
        <v>4046</v>
      </c>
      <c r="C227" s="51"/>
      <c r="D227" s="51"/>
      <c r="E227" s="62" t="s">
        <v>4047</v>
      </c>
      <c r="F227" s="55" t="s">
        <v>4048</v>
      </c>
      <c r="G227" s="62"/>
      <c r="H227" s="25" t="s">
        <v>2942</v>
      </c>
      <c r="I227" s="24" t="s">
        <v>4049</v>
      </c>
      <c r="J227" s="24"/>
      <c r="K227" s="24"/>
    </row>
    <row r="228" spans="1:11" ht="14.25" x14ac:dyDescent="0.45">
      <c r="A228" s="63" t="s">
        <v>4050</v>
      </c>
      <c r="B228" s="51" t="s">
        <v>4051</v>
      </c>
      <c r="C228" s="53"/>
      <c r="D228" s="53"/>
      <c r="E228" s="62" t="s">
        <v>4052</v>
      </c>
      <c r="F228" s="55" t="s">
        <v>3593</v>
      </c>
      <c r="G228" s="55"/>
      <c r="H228" s="25" t="s">
        <v>2942</v>
      </c>
      <c r="I228" s="24" t="s">
        <v>4053</v>
      </c>
      <c r="J228" s="35" t="s">
        <v>3010</v>
      </c>
      <c r="K228" s="35"/>
    </row>
    <row r="229" spans="1:11" ht="14.25" x14ac:dyDescent="0.45">
      <c r="A229" s="61"/>
      <c r="B229" s="51" t="s">
        <v>4054</v>
      </c>
      <c r="C229" s="51"/>
      <c r="D229" s="51"/>
      <c r="E229" s="62" t="s">
        <v>4055</v>
      </c>
      <c r="F229" s="55" t="s">
        <v>3264</v>
      </c>
      <c r="G229" s="62"/>
      <c r="H229" s="25" t="s">
        <v>2942</v>
      </c>
      <c r="I229" s="24" t="s">
        <v>4056</v>
      </c>
      <c r="J229" s="35" t="s">
        <v>3114</v>
      </c>
      <c r="K229" s="24"/>
    </row>
    <row r="230" spans="1:11" ht="14.25" x14ac:dyDescent="0.45">
      <c r="A230" s="63" t="s">
        <v>4032</v>
      </c>
      <c r="B230" s="51" t="s">
        <v>4057</v>
      </c>
      <c r="C230" s="53"/>
      <c r="D230" s="53"/>
      <c r="E230" s="62" t="s">
        <v>4058</v>
      </c>
      <c r="F230" s="73" t="s">
        <v>3177</v>
      </c>
      <c r="G230" s="55"/>
      <c r="H230" s="25" t="s">
        <v>2927</v>
      </c>
      <c r="I230" s="24" t="s">
        <v>4059</v>
      </c>
      <c r="J230" s="35" t="s">
        <v>4036</v>
      </c>
      <c r="K230" s="35"/>
    </row>
    <row r="231" spans="1:11" ht="14.25" x14ac:dyDescent="0.45">
      <c r="A231" s="61"/>
      <c r="B231" s="51" t="s">
        <v>4060</v>
      </c>
      <c r="C231" s="51"/>
      <c r="D231" s="51"/>
      <c r="E231" s="62" t="s">
        <v>4061</v>
      </c>
      <c r="F231" s="55" t="s">
        <v>2940</v>
      </c>
      <c r="G231" s="62"/>
      <c r="H231" s="25" t="s">
        <v>3086</v>
      </c>
      <c r="I231" s="24" t="s">
        <v>4062</v>
      </c>
      <c r="J231" s="24"/>
      <c r="K231" s="24"/>
    </row>
    <row r="232" spans="1:11" ht="14.25" x14ac:dyDescent="0.45">
      <c r="A232" s="63" t="s">
        <v>4063</v>
      </c>
      <c r="B232" s="51" t="s">
        <v>4064</v>
      </c>
      <c r="C232" s="53" t="s">
        <v>2901</v>
      </c>
      <c r="D232" s="51"/>
      <c r="E232" s="62" t="s">
        <v>4065</v>
      </c>
      <c r="F232" s="55" t="s">
        <v>2990</v>
      </c>
      <c r="G232" s="62"/>
      <c r="H232" s="25" t="s">
        <v>2942</v>
      </c>
      <c r="I232" s="24" t="s">
        <v>4066</v>
      </c>
      <c r="J232" s="35" t="s">
        <v>3253</v>
      </c>
      <c r="K232" s="24"/>
    </row>
    <row r="233" spans="1:11" ht="14.25" x14ac:dyDescent="0.45">
      <c r="A233" s="63" t="s">
        <v>4067</v>
      </c>
      <c r="B233" s="51" t="s">
        <v>4068</v>
      </c>
      <c r="C233" s="53"/>
      <c r="D233" s="53"/>
      <c r="E233" s="62" t="s">
        <v>4069</v>
      </c>
      <c r="F233" s="55" t="s">
        <v>3752</v>
      </c>
      <c r="G233" s="55"/>
      <c r="H233" s="25" t="s">
        <v>4070</v>
      </c>
      <c r="I233" s="24" t="s">
        <v>4071</v>
      </c>
      <c r="J233" s="35"/>
      <c r="K233" s="35"/>
    </row>
    <row r="234" spans="1:11" ht="14.25" x14ac:dyDescent="0.45">
      <c r="A234" s="63" t="s">
        <v>4072</v>
      </c>
      <c r="B234" s="51" t="s">
        <v>4073</v>
      </c>
      <c r="C234" s="53"/>
      <c r="D234" s="53"/>
      <c r="E234" s="62" t="s">
        <v>4074</v>
      </c>
      <c r="F234" s="55" t="s">
        <v>4075</v>
      </c>
      <c r="G234" s="55"/>
      <c r="H234" s="25" t="s">
        <v>2942</v>
      </c>
      <c r="I234" s="24" t="s">
        <v>4076</v>
      </c>
      <c r="J234" s="35"/>
      <c r="K234" s="35"/>
    </row>
    <row r="235" spans="1:11" ht="14.25" x14ac:dyDescent="0.45">
      <c r="A235" s="63" t="s">
        <v>4077</v>
      </c>
      <c r="B235" s="51" t="s">
        <v>4078</v>
      </c>
      <c r="C235" s="51"/>
      <c r="D235" s="51"/>
      <c r="E235" s="62" t="s">
        <v>4079</v>
      </c>
      <c r="F235" s="55" t="s">
        <v>3091</v>
      </c>
      <c r="G235" s="62"/>
      <c r="H235" s="25" t="s">
        <v>2942</v>
      </c>
      <c r="I235" s="24" t="s">
        <v>4080</v>
      </c>
      <c r="J235" s="35" t="s">
        <v>3244</v>
      </c>
      <c r="K235" s="24"/>
    </row>
    <row r="236" spans="1:11" ht="14.25" x14ac:dyDescent="0.45">
      <c r="A236" s="61"/>
      <c r="B236" s="51" t="s">
        <v>4081</v>
      </c>
      <c r="C236" s="68"/>
      <c r="D236" s="68"/>
      <c r="E236" s="62" t="s">
        <v>4082</v>
      </c>
      <c r="F236" s="72"/>
      <c r="G236" s="72"/>
      <c r="H236" s="25" t="s">
        <v>2942</v>
      </c>
      <c r="I236" s="24" t="s">
        <v>4083</v>
      </c>
      <c r="J236" s="32" t="s">
        <v>4084</v>
      </c>
      <c r="K236" s="74"/>
    </row>
    <row r="237" spans="1:11" ht="14.25" x14ac:dyDescent="0.45">
      <c r="A237" s="63" t="s">
        <v>4085</v>
      </c>
      <c r="B237" s="51" t="s">
        <v>4086</v>
      </c>
      <c r="C237" s="53"/>
      <c r="D237" s="53"/>
      <c r="E237" s="62" t="s">
        <v>4087</v>
      </c>
      <c r="F237" s="55" t="s">
        <v>3618</v>
      </c>
      <c r="G237" s="55"/>
      <c r="H237" s="25" t="s">
        <v>3086</v>
      </c>
      <c r="I237" s="24" t="s">
        <v>4088</v>
      </c>
      <c r="J237" s="35" t="s">
        <v>4084</v>
      </c>
      <c r="K237" s="35"/>
    </row>
    <row r="238" spans="1:11" ht="14.25" x14ac:dyDescent="0.45">
      <c r="A238" s="61"/>
      <c r="B238" s="51" t="s">
        <v>4089</v>
      </c>
      <c r="C238" s="51"/>
      <c r="D238" s="51"/>
      <c r="E238" s="62" t="s">
        <v>4090</v>
      </c>
      <c r="F238" s="55" t="s">
        <v>3036</v>
      </c>
      <c r="G238" s="62"/>
      <c r="H238" s="25" t="s">
        <v>3086</v>
      </c>
      <c r="I238" s="24" t="s">
        <v>4091</v>
      </c>
      <c r="J238" s="35" t="s">
        <v>3107</v>
      </c>
      <c r="K238" s="24"/>
    </row>
    <row r="239" spans="1:11" ht="14.25" x14ac:dyDescent="0.45">
      <c r="A239" s="63" t="s">
        <v>4092</v>
      </c>
      <c r="B239" s="51" t="s">
        <v>4093</v>
      </c>
      <c r="C239" s="53"/>
      <c r="D239" s="53"/>
      <c r="E239" s="62" t="s">
        <v>4094</v>
      </c>
      <c r="F239" s="55" t="s">
        <v>3408</v>
      </c>
      <c r="G239" s="55"/>
      <c r="H239" s="25" t="s">
        <v>3086</v>
      </c>
      <c r="I239" s="24" t="s">
        <v>4095</v>
      </c>
      <c r="J239" s="35" t="s">
        <v>3167</v>
      </c>
      <c r="K239" s="35"/>
    </row>
    <row r="240" spans="1:11" ht="14.25" x14ac:dyDescent="0.45">
      <c r="A240" s="61"/>
      <c r="B240" s="51" t="s">
        <v>4096</v>
      </c>
      <c r="C240" s="51"/>
      <c r="D240" s="51"/>
      <c r="E240" s="62" t="s">
        <v>4097</v>
      </c>
      <c r="F240" s="55" t="s">
        <v>3631</v>
      </c>
      <c r="G240" s="62"/>
      <c r="H240" s="25" t="s">
        <v>2927</v>
      </c>
      <c r="I240" s="24" t="s">
        <v>4098</v>
      </c>
      <c r="J240" s="35" t="s">
        <v>4099</v>
      </c>
      <c r="K240" s="24"/>
    </row>
    <row r="241" spans="1:11" ht="14.25" x14ac:dyDescent="0.45">
      <c r="A241" s="63" t="s">
        <v>4100</v>
      </c>
      <c r="B241" s="51" t="s">
        <v>4101</v>
      </c>
      <c r="C241" s="53"/>
      <c r="D241" s="53"/>
      <c r="E241" s="62" t="s">
        <v>4102</v>
      </c>
      <c r="F241" s="55" t="s">
        <v>3913</v>
      </c>
      <c r="G241" s="55"/>
      <c r="H241" s="25" t="s">
        <v>3086</v>
      </c>
      <c r="I241" s="24" t="s">
        <v>4103</v>
      </c>
      <c r="J241" s="35" t="s">
        <v>3125</v>
      </c>
      <c r="K241" s="35"/>
    </row>
    <row r="242" spans="1:11" ht="14.25" x14ac:dyDescent="0.45">
      <c r="A242" s="61"/>
      <c r="B242" s="51" t="s">
        <v>4104</v>
      </c>
      <c r="C242" s="51"/>
      <c r="D242" s="51"/>
      <c r="E242" s="62" t="s">
        <v>4105</v>
      </c>
      <c r="F242" s="55" t="s">
        <v>3250</v>
      </c>
      <c r="G242" s="62"/>
      <c r="H242" s="25" t="s">
        <v>2927</v>
      </c>
      <c r="I242" s="24" t="s">
        <v>4106</v>
      </c>
      <c r="J242" s="24"/>
      <c r="K242" s="24"/>
    </row>
    <row r="243" spans="1:11" ht="14.25" x14ac:dyDescent="0.45">
      <c r="A243" s="63" t="s">
        <v>3228</v>
      </c>
      <c r="B243" s="51" t="s">
        <v>4107</v>
      </c>
      <c r="C243" s="53"/>
      <c r="D243" s="53"/>
      <c r="E243" s="62" t="s">
        <v>4108</v>
      </c>
      <c r="F243" s="55" t="s">
        <v>3231</v>
      </c>
      <c r="G243" s="55"/>
      <c r="H243" s="25" t="s">
        <v>2927</v>
      </c>
      <c r="I243" s="24" t="s">
        <v>4109</v>
      </c>
      <c r="J243" s="35" t="s">
        <v>3618</v>
      </c>
      <c r="K243" s="35"/>
    </row>
    <row r="244" spans="1:11" ht="14.25" x14ac:dyDescent="0.45">
      <c r="A244" s="63" t="s">
        <v>4110</v>
      </c>
      <c r="B244" s="51" t="s">
        <v>4111</v>
      </c>
      <c r="C244" s="51"/>
      <c r="D244" s="51"/>
      <c r="E244" s="62" t="s">
        <v>4112</v>
      </c>
      <c r="F244" s="55" t="s">
        <v>3913</v>
      </c>
      <c r="G244" s="62"/>
      <c r="H244" s="25" t="s">
        <v>3086</v>
      </c>
      <c r="I244" s="24" t="s">
        <v>4113</v>
      </c>
      <c r="J244" s="35" t="s">
        <v>3072</v>
      </c>
      <c r="K244" s="24"/>
    </row>
    <row r="245" spans="1:11" ht="14.25" x14ac:dyDescent="0.45">
      <c r="A245" s="63" t="s">
        <v>4114</v>
      </c>
      <c r="B245" s="51" t="s">
        <v>4115</v>
      </c>
      <c r="C245" s="53"/>
      <c r="D245" s="53"/>
      <c r="E245" s="62" t="s">
        <v>4116</v>
      </c>
      <c r="F245" s="55" t="s">
        <v>4117</v>
      </c>
      <c r="G245" s="55"/>
      <c r="H245" s="25" t="s">
        <v>3086</v>
      </c>
      <c r="I245" s="24" t="s">
        <v>4118</v>
      </c>
      <c r="J245" s="35" t="s">
        <v>3052</v>
      </c>
      <c r="K245" s="35"/>
    </row>
    <row r="246" spans="1:11" ht="14.25" x14ac:dyDescent="0.45">
      <c r="A246" s="61"/>
      <c r="B246" s="51" t="e">
        <v>#VALUE!</v>
      </c>
      <c r="C246" s="51"/>
      <c r="D246" s="51"/>
      <c r="E246" s="62" t="e">
        <v>#VALUE!</v>
      </c>
      <c r="F246" s="62"/>
      <c r="G246" s="62"/>
      <c r="H246" s="25" t="e">
        <v>#VALUE!</v>
      </c>
      <c r="I246" s="24" t="s">
        <v>2927</v>
      </c>
      <c r="J246" s="24"/>
      <c r="K246" s="24"/>
    </row>
    <row r="247" spans="1:11" ht="14.25" x14ac:dyDescent="0.45">
      <c r="A247" s="63" t="s">
        <v>4119</v>
      </c>
      <c r="B247" s="51" t="s">
        <v>4120</v>
      </c>
      <c r="C247" s="53"/>
      <c r="D247" s="53"/>
      <c r="E247" s="62" t="s">
        <v>4121</v>
      </c>
      <c r="F247" s="55" t="s">
        <v>3036</v>
      </c>
      <c r="G247" s="55"/>
      <c r="H247" s="25" t="s">
        <v>3086</v>
      </c>
      <c r="I247" s="24" t="s">
        <v>4122</v>
      </c>
      <c r="J247" s="35" t="s">
        <v>3107</v>
      </c>
      <c r="K247" s="35"/>
    </row>
    <row r="248" spans="1:11" ht="14.25" x14ac:dyDescent="0.45">
      <c r="A248" s="63" t="s">
        <v>3996</v>
      </c>
      <c r="B248" s="51" t="s">
        <v>4123</v>
      </c>
      <c r="C248" s="53"/>
      <c r="D248" s="53"/>
      <c r="E248" s="62" t="s">
        <v>4124</v>
      </c>
      <c r="F248" s="55"/>
      <c r="G248" s="55"/>
      <c r="H248" s="25" t="s">
        <v>2927</v>
      </c>
      <c r="I248" s="24" t="s">
        <v>4125</v>
      </c>
      <c r="J248" s="35"/>
      <c r="K248" s="35"/>
    </row>
    <row r="249" spans="1:11" ht="14.25" x14ac:dyDescent="0.45">
      <c r="A249" s="63" t="s">
        <v>4126</v>
      </c>
      <c r="B249" s="51" t="s">
        <v>4127</v>
      </c>
      <c r="C249" s="53"/>
      <c r="D249" s="53"/>
      <c r="E249" s="62" t="s">
        <v>4128</v>
      </c>
      <c r="F249" s="55"/>
      <c r="G249" s="55"/>
      <c r="H249" s="25" t="s">
        <v>2927</v>
      </c>
      <c r="I249" s="24" t="s">
        <v>4129</v>
      </c>
      <c r="J249" s="35" t="s">
        <v>3847</v>
      </c>
      <c r="K249" s="35"/>
    </row>
    <row r="250" spans="1:11" ht="14.25" x14ac:dyDescent="0.45">
      <c r="A250" s="61"/>
      <c r="B250" s="51" t="s">
        <v>4130</v>
      </c>
      <c r="C250" s="51"/>
      <c r="D250" s="51"/>
      <c r="E250" s="62" t="s">
        <v>4131</v>
      </c>
      <c r="F250" s="55" t="s">
        <v>2965</v>
      </c>
      <c r="G250" s="62"/>
      <c r="H250" s="25" t="s">
        <v>2927</v>
      </c>
      <c r="I250" s="24" t="s">
        <v>4132</v>
      </c>
      <c r="J250" s="35" t="s">
        <v>3432</v>
      </c>
      <c r="K250" s="24"/>
    </row>
    <row r="251" spans="1:11" ht="14.25" x14ac:dyDescent="0.45">
      <c r="A251" s="63" t="s">
        <v>4133</v>
      </c>
      <c r="B251" s="51" t="s">
        <v>4134</v>
      </c>
      <c r="C251" s="51"/>
      <c r="D251" s="51"/>
      <c r="E251" s="62" t="s">
        <v>4135</v>
      </c>
      <c r="F251" s="55" t="s">
        <v>3802</v>
      </c>
      <c r="G251" s="62"/>
      <c r="H251" s="25" t="s">
        <v>2927</v>
      </c>
      <c r="I251" s="24" t="s">
        <v>4136</v>
      </c>
      <c r="J251" s="35" t="s">
        <v>3259</v>
      </c>
      <c r="K251" s="24"/>
    </row>
    <row r="252" spans="1:11" ht="14.25" x14ac:dyDescent="0.45">
      <c r="A252" s="63" t="s">
        <v>4137</v>
      </c>
      <c r="B252" s="51" t="s">
        <v>4138</v>
      </c>
      <c r="C252" s="53"/>
      <c r="D252" s="53"/>
      <c r="E252" s="62" t="s">
        <v>4139</v>
      </c>
      <c r="F252" s="55" t="s">
        <v>3950</v>
      </c>
      <c r="G252" s="55"/>
      <c r="H252" s="25" t="s">
        <v>3086</v>
      </c>
      <c r="I252" s="24" t="s">
        <v>4140</v>
      </c>
      <c r="J252" s="35" t="s">
        <v>4084</v>
      </c>
      <c r="K252" s="35"/>
    </row>
    <row r="253" spans="1:11" ht="14.25" x14ac:dyDescent="0.45">
      <c r="A253" s="61"/>
      <c r="B253" s="51" t="s">
        <v>4141</v>
      </c>
      <c r="C253" s="51"/>
      <c r="D253" s="51"/>
      <c r="E253" s="62" t="s">
        <v>4142</v>
      </c>
      <c r="F253" s="62"/>
      <c r="G253" s="62"/>
      <c r="H253" s="25" t="s">
        <v>3086</v>
      </c>
      <c r="I253" s="24" t="s">
        <v>4143</v>
      </c>
      <c r="J253" s="35" t="s">
        <v>3010</v>
      </c>
      <c r="K253" s="24"/>
    </row>
    <row r="254" spans="1:11" ht="14.25" x14ac:dyDescent="0.45">
      <c r="A254" s="61"/>
      <c r="B254" s="51" t="s">
        <v>4144</v>
      </c>
      <c r="C254" s="51"/>
      <c r="D254" s="51"/>
      <c r="E254" s="62" t="s">
        <v>4145</v>
      </c>
      <c r="F254" s="55" t="s">
        <v>4048</v>
      </c>
      <c r="G254" s="62"/>
      <c r="H254" s="25" t="s">
        <v>3086</v>
      </c>
      <c r="I254" s="24" t="s">
        <v>4146</v>
      </c>
      <c r="J254" s="35" t="s">
        <v>3618</v>
      </c>
      <c r="K254" s="24"/>
    </row>
    <row r="255" spans="1:11" ht="14.25" x14ac:dyDescent="0.45">
      <c r="A255" s="63" t="s">
        <v>4147</v>
      </c>
      <c r="B255" s="51" t="s">
        <v>4148</v>
      </c>
      <c r="C255" s="51"/>
      <c r="D255" s="51"/>
      <c r="E255" s="62" t="s">
        <v>4149</v>
      </c>
      <c r="F255" s="55" t="s">
        <v>3289</v>
      </c>
      <c r="G255" s="62"/>
      <c r="H255" s="25" t="s">
        <v>3086</v>
      </c>
      <c r="I255" s="24" t="s">
        <v>4150</v>
      </c>
      <c r="J255" s="64" t="s">
        <v>4151</v>
      </c>
      <c r="K255" s="24"/>
    </row>
    <row r="256" spans="1:11" ht="14.25" x14ac:dyDescent="0.45">
      <c r="A256" s="63" t="s">
        <v>4152</v>
      </c>
      <c r="B256" s="51" t="s">
        <v>4153</v>
      </c>
      <c r="C256" s="53"/>
      <c r="D256" s="53"/>
      <c r="E256" s="62" t="s">
        <v>4154</v>
      </c>
      <c r="F256" s="55" t="s">
        <v>3057</v>
      </c>
      <c r="G256" s="55"/>
      <c r="H256" s="25" t="s">
        <v>3086</v>
      </c>
      <c r="I256" s="24" t="s">
        <v>4155</v>
      </c>
      <c r="J256" s="35" t="s">
        <v>4156</v>
      </c>
      <c r="K256" s="35"/>
    </row>
    <row r="257" spans="1:11" ht="14.25" x14ac:dyDescent="0.45">
      <c r="A257" s="63" t="s">
        <v>4042</v>
      </c>
      <c r="B257" s="51" t="s">
        <v>4157</v>
      </c>
      <c r="C257" s="53"/>
      <c r="D257" s="53"/>
      <c r="E257" s="62" t="s">
        <v>4158</v>
      </c>
      <c r="F257" s="55" t="s">
        <v>3036</v>
      </c>
      <c r="G257" s="55"/>
      <c r="H257" s="25" t="s">
        <v>2927</v>
      </c>
      <c r="I257" s="24" t="s">
        <v>4159</v>
      </c>
      <c r="J257" s="35" t="s">
        <v>3847</v>
      </c>
      <c r="K257" s="35"/>
    </row>
    <row r="258" spans="1:11" ht="14.25" x14ac:dyDescent="0.45">
      <c r="A258" s="61"/>
      <c r="B258" s="51" t="s">
        <v>4160</v>
      </c>
      <c r="C258" s="51"/>
      <c r="D258" s="51"/>
      <c r="E258" s="62" t="s">
        <v>4161</v>
      </c>
      <c r="F258" s="55" t="s">
        <v>3330</v>
      </c>
      <c r="G258" s="62"/>
      <c r="H258" s="25" t="s">
        <v>3086</v>
      </c>
      <c r="I258" s="24" t="s">
        <v>4162</v>
      </c>
      <c r="J258" s="35" t="s">
        <v>3002</v>
      </c>
      <c r="K258" s="24"/>
    </row>
    <row r="259" spans="1:11" ht="14.25" x14ac:dyDescent="0.45">
      <c r="A259" s="63" t="s">
        <v>4163</v>
      </c>
      <c r="B259" s="51" t="s">
        <v>4164</v>
      </c>
      <c r="C259" s="51"/>
      <c r="D259" s="51"/>
      <c r="E259" s="62" t="s">
        <v>4165</v>
      </c>
      <c r="F259" s="55" t="s">
        <v>3036</v>
      </c>
      <c r="G259" s="62"/>
      <c r="H259" s="25" t="s">
        <v>3086</v>
      </c>
      <c r="I259" s="24" t="s">
        <v>4166</v>
      </c>
      <c r="J259" s="35" t="s">
        <v>3527</v>
      </c>
      <c r="K259" s="24"/>
    </row>
    <row r="260" spans="1:11" ht="14.25" x14ac:dyDescent="0.45">
      <c r="A260" s="63" t="s">
        <v>4167</v>
      </c>
      <c r="B260" s="51" t="s">
        <v>4168</v>
      </c>
      <c r="C260" s="51"/>
      <c r="D260" s="51"/>
      <c r="E260" s="62" t="s">
        <v>4169</v>
      </c>
      <c r="F260" s="55" t="s">
        <v>3208</v>
      </c>
      <c r="G260" s="62"/>
      <c r="H260" s="25" t="s">
        <v>3086</v>
      </c>
      <c r="I260" s="24" t="s">
        <v>4170</v>
      </c>
      <c r="J260" s="24"/>
      <c r="K260" s="24"/>
    </row>
    <row r="261" spans="1:11" ht="14.25" x14ac:dyDescent="0.45">
      <c r="A261" s="61"/>
      <c r="B261" s="51" t="s">
        <v>4171</v>
      </c>
      <c r="C261" s="51"/>
      <c r="D261" s="51"/>
      <c r="E261" s="62" t="s">
        <v>4172</v>
      </c>
      <c r="F261" s="55" t="s">
        <v>3550</v>
      </c>
      <c r="G261" s="62"/>
      <c r="H261" s="25" t="s">
        <v>3086</v>
      </c>
      <c r="I261" s="24" t="s">
        <v>4173</v>
      </c>
      <c r="J261" s="35" t="s">
        <v>3253</v>
      </c>
      <c r="K261" s="24"/>
    </row>
    <row r="262" spans="1:11" ht="14.25" x14ac:dyDescent="0.45">
      <c r="A262" s="63" t="s">
        <v>2944</v>
      </c>
      <c r="B262" s="51" t="s">
        <v>4174</v>
      </c>
      <c r="C262" s="65"/>
      <c r="D262" s="65"/>
      <c r="E262" s="62" t="s">
        <v>4175</v>
      </c>
      <c r="F262" s="55" t="s">
        <v>2947</v>
      </c>
      <c r="G262" s="66"/>
      <c r="H262" s="25" t="s">
        <v>3086</v>
      </c>
      <c r="I262" s="24" t="s">
        <v>4176</v>
      </c>
      <c r="J262" s="32" t="s">
        <v>3335</v>
      </c>
      <c r="K262" s="32"/>
    </row>
    <row r="263" spans="1:11" ht="14.25" x14ac:dyDescent="0.45">
      <c r="A263" s="61"/>
      <c r="B263" s="51" t="s">
        <v>4177</v>
      </c>
      <c r="C263" s="51"/>
      <c r="D263" s="51"/>
      <c r="E263" s="62" t="s">
        <v>4178</v>
      </c>
      <c r="F263" s="55" t="s">
        <v>3550</v>
      </c>
      <c r="G263" s="62"/>
      <c r="H263" s="25" t="s">
        <v>2927</v>
      </c>
      <c r="I263" s="24" t="s">
        <v>4179</v>
      </c>
      <c r="J263" s="35" t="s">
        <v>3432</v>
      </c>
      <c r="K263" s="24"/>
    </row>
    <row r="264" spans="1:11" ht="14.25" x14ac:dyDescent="0.45">
      <c r="A264" s="61"/>
      <c r="B264" s="51" t="s">
        <v>4180</v>
      </c>
      <c r="C264" s="53" t="s">
        <v>2874</v>
      </c>
      <c r="D264" s="51"/>
      <c r="E264" s="62" t="s">
        <v>4181</v>
      </c>
      <c r="F264" s="55" t="s">
        <v>3069</v>
      </c>
      <c r="G264" s="62"/>
      <c r="H264" s="25" t="s">
        <v>3086</v>
      </c>
      <c r="I264" s="24" t="s">
        <v>4182</v>
      </c>
      <c r="J264" s="35" t="s">
        <v>3545</v>
      </c>
      <c r="K264" s="24"/>
    </row>
    <row r="265" spans="1:11" ht="14.25" x14ac:dyDescent="0.45">
      <c r="A265" s="63" t="s">
        <v>4183</v>
      </c>
      <c r="B265" s="51" t="s">
        <v>4184</v>
      </c>
      <c r="C265" s="53"/>
      <c r="D265" s="53"/>
      <c r="E265" s="62" t="s">
        <v>4185</v>
      </c>
      <c r="F265" s="55" t="s">
        <v>3193</v>
      </c>
      <c r="G265" s="55"/>
      <c r="H265" s="25" t="s">
        <v>3086</v>
      </c>
      <c r="I265" s="24" t="s">
        <v>4186</v>
      </c>
      <c r="J265" s="35" t="s">
        <v>3295</v>
      </c>
      <c r="K265" s="35"/>
    </row>
    <row r="266" spans="1:11" ht="14.25" x14ac:dyDescent="0.45">
      <c r="A266" s="63" t="s">
        <v>3710</v>
      </c>
      <c r="B266" s="51" t="s">
        <v>4187</v>
      </c>
      <c r="C266" s="51"/>
      <c r="D266" s="51"/>
      <c r="E266" s="62" t="s">
        <v>4188</v>
      </c>
      <c r="F266" s="55" t="s">
        <v>3157</v>
      </c>
      <c r="G266" s="62"/>
      <c r="H266" s="25" t="s">
        <v>3086</v>
      </c>
      <c r="I266" s="24" t="s">
        <v>4189</v>
      </c>
      <c r="J266" s="35" t="s">
        <v>3107</v>
      </c>
      <c r="K266" s="24"/>
    </row>
    <row r="267" spans="1:11" ht="14.25" x14ac:dyDescent="0.45">
      <c r="A267" s="63" t="s">
        <v>3514</v>
      </c>
      <c r="B267" s="51" t="s">
        <v>4190</v>
      </c>
      <c r="C267" s="53" t="s">
        <v>2891</v>
      </c>
      <c r="D267" s="53"/>
      <c r="E267" s="62" t="s">
        <v>4191</v>
      </c>
      <c r="F267" s="55" t="s">
        <v>2990</v>
      </c>
      <c r="G267" s="55"/>
      <c r="H267" s="25" t="s">
        <v>3086</v>
      </c>
      <c r="I267" s="24" t="s">
        <v>4192</v>
      </c>
      <c r="J267" s="35" t="s">
        <v>3244</v>
      </c>
      <c r="K267" s="35"/>
    </row>
    <row r="268" spans="1:11" ht="14.25" x14ac:dyDescent="0.45">
      <c r="A268" s="63" t="s">
        <v>4193</v>
      </c>
      <c r="B268" s="51" t="s">
        <v>4194</v>
      </c>
      <c r="C268" s="51"/>
      <c r="D268" s="51"/>
      <c r="E268" s="62" t="s">
        <v>4195</v>
      </c>
      <c r="F268" s="55" t="s">
        <v>3363</v>
      </c>
      <c r="G268" s="62"/>
      <c r="H268" s="25" t="s">
        <v>3086</v>
      </c>
      <c r="I268" s="24" t="s">
        <v>4196</v>
      </c>
      <c r="J268" s="35" t="s">
        <v>3167</v>
      </c>
      <c r="K268" s="24"/>
    </row>
    <row r="269" spans="1:11" ht="14.25" x14ac:dyDescent="0.45">
      <c r="A269" s="63" t="s">
        <v>4197</v>
      </c>
      <c r="B269" s="51" t="s">
        <v>4198</v>
      </c>
      <c r="C269" s="53"/>
      <c r="D269" s="53"/>
      <c r="E269" s="62" t="s">
        <v>4199</v>
      </c>
      <c r="F269" s="55" t="s">
        <v>2983</v>
      </c>
      <c r="G269" s="55"/>
      <c r="H269" s="25" t="s">
        <v>3086</v>
      </c>
      <c r="I269" s="24" t="s">
        <v>4200</v>
      </c>
      <c r="J269" s="35" t="s">
        <v>3107</v>
      </c>
      <c r="K269" s="35"/>
    </row>
    <row r="270" spans="1:11" ht="14.25" x14ac:dyDescent="0.45">
      <c r="A270" s="61"/>
      <c r="B270" s="51" t="s">
        <v>4201</v>
      </c>
      <c r="C270" s="51"/>
      <c r="D270" s="51"/>
      <c r="E270" s="62" t="s">
        <v>4202</v>
      </c>
      <c r="F270" s="62"/>
      <c r="G270" s="62"/>
      <c r="H270" s="25" t="s">
        <v>3086</v>
      </c>
      <c r="I270" s="24" t="s">
        <v>4203</v>
      </c>
      <c r="J270" s="35" t="s">
        <v>3657</v>
      </c>
      <c r="K270" s="24"/>
    </row>
    <row r="271" spans="1:11" ht="14.25" x14ac:dyDescent="0.45">
      <c r="A271" s="63" t="s">
        <v>4204</v>
      </c>
      <c r="B271" s="51" t="s">
        <v>4205</v>
      </c>
      <c r="C271" s="53"/>
      <c r="D271" s="53"/>
      <c r="E271" s="62" t="s">
        <v>4206</v>
      </c>
      <c r="F271" s="55" t="s">
        <v>3250</v>
      </c>
      <c r="G271" s="55"/>
      <c r="H271" s="25" t="s">
        <v>3086</v>
      </c>
      <c r="I271" s="24" t="s">
        <v>4207</v>
      </c>
      <c r="J271" s="35" t="s">
        <v>3244</v>
      </c>
      <c r="K271" s="35"/>
    </row>
    <row r="272" spans="1:11" ht="14.25" x14ac:dyDescent="0.45">
      <c r="A272" s="63" t="s">
        <v>2997</v>
      </c>
      <c r="B272" s="51" t="s">
        <v>4208</v>
      </c>
      <c r="C272" s="53"/>
      <c r="D272" s="53"/>
      <c r="E272" s="62" t="s">
        <v>4209</v>
      </c>
      <c r="F272" s="55"/>
      <c r="G272" s="55"/>
      <c r="H272" s="25" t="s">
        <v>2927</v>
      </c>
      <c r="I272" s="24" t="s">
        <v>4210</v>
      </c>
      <c r="J272" s="35"/>
      <c r="K272" s="35"/>
    </row>
    <row r="273" spans="1:11" ht="14.25" x14ac:dyDescent="0.45">
      <c r="A273" s="61"/>
      <c r="B273" s="51" t="e">
        <v>#VALUE!</v>
      </c>
      <c r="C273" s="51"/>
      <c r="D273" s="51"/>
      <c r="E273" s="62" t="e">
        <v>#VALUE!</v>
      </c>
      <c r="F273" s="62"/>
      <c r="G273" s="62"/>
      <c r="H273" s="25" t="e">
        <v>#VALUE!</v>
      </c>
      <c r="I273" s="24" t="s">
        <v>2927</v>
      </c>
      <c r="J273" s="24"/>
      <c r="K273" s="24"/>
    </row>
    <row r="274" spans="1:11" ht="14.25" x14ac:dyDescent="0.45">
      <c r="A274" s="61"/>
      <c r="B274" s="51" t="s">
        <v>4211</v>
      </c>
      <c r="C274" s="51"/>
      <c r="D274" s="51"/>
      <c r="E274" s="62" t="s">
        <v>4212</v>
      </c>
      <c r="F274" s="62"/>
      <c r="G274" s="62"/>
      <c r="H274" s="25" t="s">
        <v>3086</v>
      </c>
      <c r="I274" s="24" t="s">
        <v>4213</v>
      </c>
      <c r="J274" s="24"/>
      <c r="K274" s="24"/>
    </row>
    <row r="275" spans="1:11" ht="14.25" x14ac:dyDescent="0.45">
      <c r="A275" s="63" t="s">
        <v>4214</v>
      </c>
      <c r="B275" s="51" t="s">
        <v>4215</v>
      </c>
      <c r="C275" s="51"/>
      <c r="D275" s="51"/>
      <c r="E275" s="62" t="s">
        <v>4216</v>
      </c>
      <c r="F275" s="73" t="s">
        <v>2956</v>
      </c>
      <c r="G275" s="62"/>
      <c r="H275" s="25" t="s">
        <v>3086</v>
      </c>
      <c r="I275" s="24" t="s">
        <v>4217</v>
      </c>
      <c r="J275" s="24"/>
      <c r="K275" s="24"/>
    </row>
    <row r="276" spans="1:11" ht="14.25" x14ac:dyDescent="0.45">
      <c r="A276" s="61"/>
      <c r="B276" s="51" t="s">
        <v>4218</v>
      </c>
      <c r="C276" s="65" t="s">
        <v>2897</v>
      </c>
      <c r="D276" s="51"/>
      <c r="E276" s="62" t="s">
        <v>4219</v>
      </c>
      <c r="F276" s="62"/>
      <c r="G276" s="62"/>
      <c r="H276" s="25" t="s">
        <v>3086</v>
      </c>
      <c r="I276" s="24" t="s">
        <v>4220</v>
      </c>
      <c r="J276" s="24"/>
      <c r="K276" s="24"/>
    </row>
    <row r="277" spans="1:11" ht="14.25" x14ac:dyDescent="0.45">
      <c r="A277" s="63" t="s">
        <v>4221</v>
      </c>
      <c r="B277" s="51" t="s">
        <v>4222</v>
      </c>
      <c r="C277" s="51"/>
      <c r="D277" s="51"/>
      <c r="E277" s="62" t="s">
        <v>4223</v>
      </c>
      <c r="F277" s="62"/>
      <c r="G277" s="62"/>
      <c r="H277" s="25" t="s">
        <v>3086</v>
      </c>
      <c r="I277" s="24" t="s">
        <v>4224</v>
      </c>
      <c r="J277" s="35" t="s">
        <v>3167</v>
      </c>
      <c r="K277" s="24"/>
    </row>
    <row r="278" spans="1:11" ht="14.25" x14ac:dyDescent="0.45">
      <c r="A278" s="63" t="s">
        <v>4225</v>
      </c>
      <c r="B278" s="51" t="s">
        <v>4226</v>
      </c>
      <c r="C278" s="51"/>
      <c r="D278" s="51"/>
      <c r="E278" s="62" t="s">
        <v>4227</v>
      </c>
      <c r="F278" s="62"/>
      <c r="G278" s="62"/>
      <c r="H278" s="25" t="s">
        <v>2927</v>
      </c>
      <c r="I278" s="24" t="s">
        <v>4228</v>
      </c>
      <c r="J278" s="24"/>
      <c r="K278" s="24"/>
    </row>
    <row r="279" spans="1:11" ht="14.25" x14ac:dyDescent="0.45">
      <c r="A279" s="63" t="s">
        <v>3667</v>
      </c>
      <c r="B279" s="51" t="s">
        <v>4229</v>
      </c>
      <c r="C279" s="51"/>
      <c r="D279" s="51"/>
      <c r="E279" s="62" t="s">
        <v>4230</v>
      </c>
      <c r="F279" s="62"/>
      <c r="G279" s="62"/>
      <c r="H279" s="25" t="s">
        <v>3086</v>
      </c>
      <c r="I279" s="24" t="s">
        <v>4231</v>
      </c>
      <c r="J279" s="24"/>
      <c r="K279" s="24"/>
    </row>
    <row r="280" spans="1:11" ht="14.25" x14ac:dyDescent="0.45">
      <c r="A280" s="61"/>
      <c r="B280" s="51" t="s">
        <v>4232</v>
      </c>
      <c r="C280" s="77" t="s">
        <v>2874</v>
      </c>
      <c r="D280" s="51"/>
      <c r="E280" s="62" t="s">
        <v>4233</v>
      </c>
      <c r="F280" s="62"/>
      <c r="G280" s="62"/>
      <c r="H280" s="25" t="s">
        <v>3086</v>
      </c>
      <c r="I280" s="24" t="s">
        <v>4234</v>
      </c>
      <c r="J280" s="24"/>
      <c r="K280" s="24"/>
    </row>
    <row r="281" spans="1:11" ht="14.25" x14ac:dyDescent="0.45">
      <c r="A281" s="61"/>
      <c r="B281" s="51" t="s">
        <v>4235</v>
      </c>
      <c r="C281" s="51"/>
      <c r="D281" s="51"/>
      <c r="E281" s="62" t="s">
        <v>4236</v>
      </c>
      <c r="F281" s="62"/>
      <c r="G281" s="62"/>
      <c r="H281" s="25" t="s">
        <v>3086</v>
      </c>
      <c r="I281" s="24" t="s">
        <v>4237</v>
      </c>
      <c r="J281" s="35" t="s">
        <v>3657</v>
      </c>
      <c r="K281" s="24"/>
    </row>
    <row r="282" spans="1:11" ht="14.25" x14ac:dyDescent="0.45">
      <c r="A282" s="63" t="s">
        <v>4238</v>
      </c>
      <c r="B282" s="51" t="s">
        <v>4239</v>
      </c>
      <c r="C282" s="53"/>
      <c r="D282" s="53"/>
      <c r="E282" s="62" t="s">
        <v>4240</v>
      </c>
      <c r="F282" s="55"/>
      <c r="G282" s="55"/>
      <c r="H282" s="25" t="s">
        <v>3086</v>
      </c>
      <c r="I282" s="24" t="s">
        <v>4241</v>
      </c>
      <c r="J282" s="35" t="s">
        <v>3701</v>
      </c>
      <c r="K282" s="35"/>
    </row>
    <row r="283" spans="1:11" ht="14.25" x14ac:dyDescent="0.45">
      <c r="A283" s="63" t="s">
        <v>4242</v>
      </c>
      <c r="B283" s="51" t="s">
        <v>4243</v>
      </c>
      <c r="C283" s="69"/>
      <c r="D283" s="69"/>
      <c r="E283" s="62" t="s">
        <v>4244</v>
      </c>
      <c r="F283" s="70"/>
      <c r="G283" s="70"/>
      <c r="H283" s="25" t="s">
        <v>2927</v>
      </c>
      <c r="I283" s="24" t="s">
        <v>4245</v>
      </c>
      <c r="J283" s="71"/>
      <c r="K283" s="71"/>
    </row>
    <row r="284" spans="1:11" ht="14.25" x14ac:dyDescent="0.45">
      <c r="A284" s="63" t="s">
        <v>4246</v>
      </c>
      <c r="B284" s="51" t="s">
        <v>4247</v>
      </c>
      <c r="C284" s="51"/>
      <c r="D284" s="51"/>
      <c r="E284" s="62" t="s">
        <v>4248</v>
      </c>
      <c r="F284" s="55" t="s">
        <v>4075</v>
      </c>
      <c r="G284" s="62"/>
      <c r="H284" s="25" t="s">
        <v>2927</v>
      </c>
      <c r="I284" s="24" t="s">
        <v>4249</v>
      </c>
      <c r="J284" s="24"/>
      <c r="K284" s="24"/>
    </row>
    <row r="285" spans="1:11" ht="14.25" x14ac:dyDescent="0.45">
      <c r="A285" s="63" t="s">
        <v>3504</v>
      </c>
      <c r="B285" s="51" t="s">
        <v>4250</v>
      </c>
      <c r="C285" s="51"/>
      <c r="D285" s="51"/>
      <c r="E285" s="62" t="s">
        <v>4251</v>
      </c>
      <c r="F285" s="62"/>
      <c r="G285" s="62"/>
      <c r="H285" s="25" t="s">
        <v>2927</v>
      </c>
      <c r="I285" s="24" t="s">
        <v>4252</v>
      </c>
      <c r="J285" s="35" t="s">
        <v>3755</v>
      </c>
      <c r="K285" s="24"/>
    </row>
    <row r="286" spans="1:11" ht="14.25" x14ac:dyDescent="0.45">
      <c r="A286" s="61"/>
      <c r="B286" s="51" t="s">
        <v>4253</v>
      </c>
      <c r="C286" s="51"/>
      <c r="D286" s="51"/>
      <c r="E286" s="62" t="s">
        <v>4254</v>
      </c>
      <c r="F286" s="62"/>
      <c r="G286" s="62"/>
      <c r="H286" s="25" t="s">
        <v>2927</v>
      </c>
      <c r="I286" s="24" t="s">
        <v>4255</v>
      </c>
      <c r="J286" s="24"/>
      <c r="K286" s="24"/>
    </row>
    <row r="287" spans="1:11" ht="14.25" x14ac:dyDescent="0.45">
      <c r="A287" s="61"/>
      <c r="B287" s="51" t="s">
        <v>4256</v>
      </c>
      <c r="C287" s="51"/>
      <c r="D287" s="51"/>
      <c r="E287" s="62" t="s">
        <v>4257</v>
      </c>
      <c r="F287" s="62"/>
      <c r="G287" s="62"/>
      <c r="H287" s="25" t="s">
        <v>3086</v>
      </c>
      <c r="I287" s="24" t="s">
        <v>4258</v>
      </c>
      <c r="J287" s="24"/>
      <c r="K287" s="24"/>
    </row>
    <row r="288" spans="1:11" ht="14.25" x14ac:dyDescent="0.45">
      <c r="A288" s="61"/>
      <c r="B288" s="51" t="s">
        <v>4259</v>
      </c>
      <c r="C288" s="68"/>
      <c r="D288" s="68"/>
      <c r="E288" s="62" t="s">
        <v>4260</v>
      </c>
      <c r="F288" s="72"/>
      <c r="G288" s="72"/>
      <c r="H288" s="25" t="s">
        <v>3086</v>
      </c>
      <c r="I288" s="24" t="s">
        <v>4261</v>
      </c>
      <c r="J288" s="74"/>
      <c r="K288" s="74"/>
    </row>
    <row r="289" spans="1:11" ht="14.25" x14ac:dyDescent="0.45">
      <c r="A289" s="63" t="s">
        <v>4262</v>
      </c>
      <c r="B289" s="51" t="s">
        <v>4263</v>
      </c>
      <c r="C289" s="53"/>
      <c r="D289" s="53"/>
      <c r="E289" s="62" t="s">
        <v>4264</v>
      </c>
      <c r="F289" s="55"/>
      <c r="G289" s="55"/>
      <c r="H289" s="25" t="s">
        <v>3086</v>
      </c>
      <c r="I289" s="24" t="s">
        <v>4265</v>
      </c>
      <c r="J289" s="35"/>
      <c r="K289" s="35"/>
    </row>
    <row r="290" spans="1:11" ht="14.25" x14ac:dyDescent="0.45">
      <c r="A290" s="63" t="s">
        <v>4266</v>
      </c>
      <c r="B290" s="51" t="s">
        <v>4267</v>
      </c>
      <c r="C290" s="53"/>
      <c r="D290" s="53"/>
      <c r="E290" s="62" t="s">
        <v>4268</v>
      </c>
      <c r="F290" s="55"/>
      <c r="G290" s="55"/>
      <c r="H290" s="25" t="s">
        <v>3086</v>
      </c>
      <c r="I290" s="24" t="s">
        <v>4269</v>
      </c>
      <c r="J290" s="35"/>
      <c r="K290" s="35"/>
    </row>
    <row r="291" spans="1:11" ht="14.25" x14ac:dyDescent="0.45">
      <c r="A291" s="63" t="s">
        <v>3906</v>
      </c>
      <c r="B291" s="51" t="s">
        <v>4270</v>
      </c>
      <c r="C291" s="53"/>
      <c r="D291" s="53"/>
      <c r="E291" s="62" t="s">
        <v>4271</v>
      </c>
      <c r="F291" s="55" t="s">
        <v>3909</v>
      </c>
      <c r="G291" s="55"/>
      <c r="H291" s="25" t="s">
        <v>3086</v>
      </c>
      <c r="I291" s="24" t="s">
        <v>4272</v>
      </c>
      <c r="J291" s="35"/>
      <c r="K291" s="35"/>
    </row>
    <row r="292" spans="1:11" ht="14.25" x14ac:dyDescent="0.45">
      <c r="A292" s="63" t="s">
        <v>4273</v>
      </c>
      <c r="B292" s="51" t="s">
        <v>4274</v>
      </c>
      <c r="C292" s="53"/>
      <c r="D292" s="53"/>
      <c r="E292" s="62" t="s">
        <v>4275</v>
      </c>
      <c r="F292" s="55"/>
      <c r="G292" s="55"/>
      <c r="H292" s="25" t="s">
        <v>3086</v>
      </c>
      <c r="I292" s="24" t="s">
        <v>4276</v>
      </c>
      <c r="J292" s="35" t="s">
        <v>3989</v>
      </c>
      <c r="K292" s="35"/>
    </row>
    <row r="293" spans="1:11" ht="14.25" x14ac:dyDescent="0.45">
      <c r="A293" s="63" t="s">
        <v>4277</v>
      </c>
      <c r="B293" s="51" t="s">
        <v>4278</v>
      </c>
      <c r="C293" s="53"/>
      <c r="D293" s="53"/>
      <c r="E293" s="62" t="s">
        <v>4279</v>
      </c>
      <c r="F293" s="55"/>
      <c r="G293" s="55"/>
      <c r="H293" s="25" t="s">
        <v>3086</v>
      </c>
      <c r="I293" s="24" t="s">
        <v>4280</v>
      </c>
      <c r="J293" s="35"/>
      <c r="K293" s="35"/>
    </row>
    <row r="294" spans="1:11" ht="14.25" x14ac:dyDescent="0.45">
      <c r="A294" s="63" t="s">
        <v>4281</v>
      </c>
      <c r="B294" s="51" t="s">
        <v>4282</v>
      </c>
      <c r="C294" s="53"/>
      <c r="D294" s="53"/>
      <c r="E294" s="62" t="s">
        <v>4283</v>
      </c>
      <c r="F294" s="55"/>
      <c r="G294" s="55"/>
      <c r="H294" s="25" t="s">
        <v>2927</v>
      </c>
      <c r="I294" s="24" t="s">
        <v>4284</v>
      </c>
      <c r="J294" s="35"/>
      <c r="K294" s="35"/>
    </row>
    <row r="295" spans="1:11" ht="14.25" x14ac:dyDescent="0.45">
      <c r="A295" s="63" t="s">
        <v>4285</v>
      </c>
      <c r="B295" s="51" t="s">
        <v>4286</v>
      </c>
      <c r="C295" s="53"/>
      <c r="D295" s="53"/>
      <c r="E295" s="62" t="s">
        <v>4287</v>
      </c>
      <c r="F295" s="55"/>
      <c r="G295" s="55"/>
      <c r="H295" s="25" t="s">
        <v>3086</v>
      </c>
      <c r="I295" s="24" t="s">
        <v>4288</v>
      </c>
      <c r="J295" s="35"/>
      <c r="K295" s="35"/>
    </row>
    <row r="296" spans="1:11" ht="14.25" x14ac:dyDescent="0.45">
      <c r="A296" s="61"/>
      <c r="B296" s="51" t="s">
        <v>4289</v>
      </c>
      <c r="C296" s="51"/>
      <c r="D296" s="51"/>
      <c r="E296" s="62" t="s">
        <v>4290</v>
      </c>
      <c r="F296" s="62"/>
      <c r="G296" s="62"/>
      <c r="H296" s="25" t="s">
        <v>3086</v>
      </c>
      <c r="I296" s="24" t="s">
        <v>4291</v>
      </c>
      <c r="J296" s="24"/>
      <c r="K296" s="24"/>
    </row>
    <row r="297" spans="1:11" ht="14.25" x14ac:dyDescent="0.45">
      <c r="A297" s="61"/>
      <c r="B297" s="51" t="s">
        <v>4292</v>
      </c>
      <c r="C297" s="51"/>
      <c r="D297" s="51"/>
      <c r="E297" s="62" t="s">
        <v>4293</v>
      </c>
      <c r="F297" s="62"/>
      <c r="G297" s="62"/>
      <c r="H297" s="25" t="s">
        <v>3086</v>
      </c>
      <c r="I297" s="24" t="s">
        <v>4294</v>
      </c>
      <c r="J297" s="24"/>
      <c r="K297" s="24"/>
    </row>
    <row r="298" spans="1:11" ht="14.25" x14ac:dyDescent="0.45">
      <c r="A298" s="63" t="s">
        <v>4295</v>
      </c>
      <c r="B298" s="51" t="s">
        <v>4296</v>
      </c>
      <c r="C298" s="78"/>
      <c r="D298" s="78"/>
      <c r="E298" s="62" t="s">
        <v>4297</v>
      </c>
      <c r="F298" s="55" t="s">
        <v>3950</v>
      </c>
      <c r="G298" s="79"/>
      <c r="H298" s="25" t="s">
        <v>3086</v>
      </c>
      <c r="I298" s="24" t="s">
        <v>4298</v>
      </c>
      <c r="J298" s="35" t="s">
        <v>4156</v>
      </c>
      <c r="K298" s="80"/>
    </row>
    <row r="299" spans="1:11" ht="14.25" x14ac:dyDescent="0.45">
      <c r="A299" s="63" t="s">
        <v>3874</v>
      </c>
      <c r="B299" s="51" t="s">
        <v>4299</v>
      </c>
      <c r="C299" s="51"/>
      <c r="D299" s="51"/>
      <c r="E299" s="62" t="s">
        <v>4300</v>
      </c>
      <c r="F299" s="55" t="s">
        <v>3250</v>
      </c>
      <c r="G299" s="62"/>
      <c r="H299" s="25" t="s">
        <v>3086</v>
      </c>
      <c r="I299" s="24" t="s">
        <v>4301</v>
      </c>
      <c r="J299" s="24"/>
      <c r="K299" s="24"/>
    </row>
    <row r="300" spans="1:11" ht="14.25" x14ac:dyDescent="0.45">
      <c r="A300" s="61"/>
      <c r="B300" s="51" t="e">
        <v>#VALUE!</v>
      </c>
      <c r="C300" s="51"/>
      <c r="D300" s="51"/>
      <c r="E300" s="62" t="e">
        <v>#VALUE!</v>
      </c>
      <c r="F300" s="62"/>
      <c r="G300" s="62"/>
      <c r="H300" s="25" t="e">
        <v>#VALUE!</v>
      </c>
      <c r="I300" s="24" t="s">
        <v>2927</v>
      </c>
      <c r="J300" s="24"/>
      <c r="K300" s="24"/>
    </row>
    <row r="301" spans="1:11" ht="14.25" x14ac:dyDescent="0.45">
      <c r="A301" s="63" t="s">
        <v>4302</v>
      </c>
      <c r="B301" s="51" t="s">
        <v>4303</v>
      </c>
      <c r="C301" s="53"/>
      <c r="D301" s="53"/>
      <c r="E301" s="62" t="s">
        <v>4304</v>
      </c>
      <c r="F301" s="55"/>
      <c r="G301" s="55"/>
      <c r="H301" s="25" t="s">
        <v>3086</v>
      </c>
      <c r="I301" s="24" t="s">
        <v>4305</v>
      </c>
      <c r="J301" s="35"/>
      <c r="K301" s="35"/>
    </row>
    <row r="302" spans="1:11" ht="14.25" x14ac:dyDescent="0.45">
      <c r="A302" s="63" t="s">
        <v>4306</v>
      </c>
      <c r="B302" s="51" t="s">
        <v>4307</v>
      </c>
      <c r="C302" s="53"/>
      <c r="D302" s="53"/>
      <c r="E302" s="62" t="s">
        <v>4308</v>
      </c>
      <c r="F302" s="55"/>
      <c r="G302" s="55"/>
      <c r="H302" s="25" t="s">
        <v>3086</v>
      </c>
      <c r="I302" s="24" t="s">
        <v>4309</v>
      </c>
      <c r="J302" s="35"/>
      <c r="K302" s="35"/>
    </row>
    <row r="303" spans="1:11" ht="14.25" x14ac:dyDescent="0.45">
      <c r="A303" s="61"/>
      <c r="B303" s="51" t="s">
        <v>4310</v>
      </c>
      <c r="C303" s="51"/>
      <c r="D303" s="51"/>
      <c r="E303" s="62" t="s">
        <v>4311</v>
      </c>
      <c r="F303" s="62"/>
      <c r="G303" s="62"/>
      <c r="H303" s="25" t="s">
        <v>3086</v>
      </c>
      <c r="I303" s="24" t="s">
        <v>4312</v>
      </c>
      <c r="J303" s="24"/>
      <c r="K303" s="24"/>
    </row>
    <row r="304" spans="1:11" ht="14.25" x14ac:dyDescent="0.45">
      <c r="A304" s="63" t="s">
        <v>4313</v>
      </c>
      <c r="B304" s="51" t="s">
        <v>4314</v>
      </c>
      <c r="C304" s="53"/>
      <c r="D304" s="53"/>
      <c r="E304" s="62" t="s">
        <v>4315</v>
      </c>
      <c r="F304" s="55"/>
      <c r="G304" s="55"/>
      <c r="H304" s="25" t="s">
        <v>3086</v>
      </c>
      <c r="I304" s="24" t="s">
        <v>4316</v>
      </c>
      <c r="J304" s="35" t="s">
        <v>3701</v>
      </c>
      <c r="K304" s="35"/>
    </row>
    <row r="305" spans="1:11" ht="14.25" x14ac:dyDescent="0.45">
      <c r="A305" s="63" t="s">
        <v>4317</v>
      </c>
      <c r="B305" s="51" t="s">
        <v>4318</v>
      </c>
      <c r="C305" s="53"/>
      <c r="D305" s="53"/>
      <c r="E305" s="62" t="s">
        <v>4319</v>
      </c>
      <c r="F305" s="55"/>
      <c r="G305" s="55"/>
      <c r="H305" s="25" t="s">
        <v>2927</v>
      </c>
      <c r="I305" s="24" t="s">
        <v>4320</v>
      </c>
      <c r="J305" s="35"/>
      <c r="K305" s="35"/>
    </row>
    <row r="306" spans="1:11" ht="14.25" x14ac:dyDescent="0.45">
      <c r="A306" s="63" t="s">
        <v>4321</v>
      </c>
      <c r="B306" s="51" t="s">
        <v>4322</v>
      </c>
      <c r="C306" s="51"/>
      <c r="D306" s="51"/>
      <c r="E306" s="62" t="s">
        <v>4323</v>
      </c>
      <c r="F306" s="62"/>
      <c r="G306" s="62"/>
      <c r="H306" s="25" t="s">
        <v>3086</v>
      </c>
      <c r="I306" s="24" t="s">
        <v>4324</v>
      </c>
      <c r="J306" s="24"/>
      <c r="K306" s="24"/>
    </row>
    <row r="307" spans="1:11" ht="14.25" x14ac:dyDescent="0.45">
      <c r="A307" s="63" t="s">
        <v>4325</v>
      </c>
      <c r="B307" s="51" t="s">
        <v>4326</v>
      </c>
      <c r="C307" s="51"/>
      <c r="D307" s="51"/>
      <c r="E307" s="62" t="s">
        <v>4327</v>
      </c>
      <c r="F307" s="55" t="s">
        <v>3909</v>
      </c>
      <c r="G307" s="62"/>
      <c r="H307" s="25" t="s">
        <v>3086</v>
      </c>
      <c r="I307" s="24" t="s">
        <v>4328</v>
      </c>
      <c r="J307" s="24"/>
      <c r="K307" s="24"/>
    </row>
    <row r="308" spans="1:11" ht="14.25" x14ac:dyDescent="0.45">
      <c r="A308" s="63" t="s">
        <v>4329</v>
      </c>
      <c r="B308" s="51" t="s">
        <v>4330</v>
      </c>
      <c r="C308" s="53"/>
      <c r="D308" s="53"/>
      <c r="E308" s="62" t="s">
        <v>4331</v>
      </c>
      <c r="F308" s="55"/>
      <c r="G308" s="55"/>
      <c r="H308" s="25" t="s">
        <v>2927</v>
      </c>
      <c r="I308" s="24" t="s">
        <v>4332</v>
      </c>
      <c r="J308" s="35" t="s">
        <v>3308</v>
      </c>
      <c r="K308" s="35"/>
    </row>
    <row r="309" spans="1:11" ht="14.25" x14ac:dyDescent="0.45">
      <c r="A309" s="63" t="s">
        <v>4333</v>
      </c>
      <c r="B309" s="51" t="s">
        <v>4334</v>
      </c>
      <c r="C309" s="53"/>
      <c r="D309" s="53"/>
      <c r="E309" s="62" t="s">
        <v>4335</v>
      </c>
      <c r="F309" s="55"/>
      <c r="G309" s="55"/>
      <c r="H309" s="25" t="s">
        <v>3086</v>
      </c>
      <c r="I309" s="24" t="s">
        <v>4336</v>
      </c>
      <c r="J309" s="35"/>
      <c r="K309" s="35"/>
    </row>
    <row r="310" spans="1:11" ht="14.25" x14ac:dyDescent="0.45">
      <c r="A310" s="61"/>
      <c r="B310" s="51" t="s">
        <v>4337</v>
      </c>
      <c r="C310" s="51"/>
      <c r="D310" s="51"/>
      <c r="E310" s="62" t="s">
        <v>4338</v>
      </c>
      <c r="F310" s="62"/>
      <c r="G310" s="62"/>
      <c r="H310" s="25" t="s">
        <v>4070</v>
      </c>
      <c r="I310" s="24" t="s">
        <v>4339</v>
      </c>
      <c r="J310" s="24"/>
      <c r="K310" s="24"/>
    </row>
    <row r="311" spans="1:11" ht="14.25" x14ac:dyDescent="0.45">
      <c r="A311" s="63" t="s">
        <v>3622</v>
      </c>
      <c r="B311" s="51" t="s">
        <v>4340</v>
      </c>
      <c r="C311" s="53"/>
      <c r="D311" s="53"/>
      <c r="E311" s="62" t="s">
        <v>4341</v>
      </c>
      <c r="F311" s="55"/>
      <c r="G311" s="55"/>
      <c r="H311" s="25" t="s">
        <v>2927</v>
      </c>
      <c r="I311" s="24" t="s">
        <v>4342</v>
      </c>
      <c r="J311" s="35" t="s">
        <v>3627</v>
      </c>
      <c r="K311" s="35"/>
    </row>
    <row r="312" spans="1:11" ht="14.25" x14ac:dyDescent="0.45">
      <c r="A312" s="63" t="s">
        <v>4343</v>
      </c>
      <c r="B312" s="51" t="s">
        <v>4344</v>
      </c>
      <c r="C312" s="53"/>
      <c r="D312" s="53"/>
      <c r="E312" s="62" t="s">
        <v>4345</v>
      </c>
      <c r="F312" s="55"/>
      <c r="G312" s="55"/>
      <c r="H312" s="25" t="s">
        <v>2927</v>
      </c>
      <c r="I312" s="24" t="s">
        <v>4346</v>
      </c>
      <c r="J312" s="35"/>
      <c r="K312" s="35"/>
    </row>
    <row r="313" spans="1:11" ht="14.25" x14ac:dyDescent="0.45">
      <c r="A313" s="61"/>
      <c r="B313" s="51" t="s">
        <v>4347</v>
      </c>
      <c r="C313" s="51"/>
      <c r="D313" s="51"/>
      <c r="E313" s="62" t="s">
        <v>4348</v>
      </c>
      <c r="F313" s="62"/>
      <c r="G313" s="62"/>
      <c r="H313" s="25" t="s">
        <v>2927</v>
      </c>
      <c r="I313" s="24" t="s">
        <v>4349</v>
      </c>
      <c r="J313" s="24"/>
      <c r="K313" s="24"/>
    </row>
    <row r="314" spans="1:11" ht="14.25" x14ac:dyDescent="0.45">
      <c r="A314" s="63" t="s">
        <v>4350</v>
      </c>
      <c r="B314" s="51" t="s">
        <v>4351</v>
      </c>
      <c r="C314" s="65" t="s">
        <v>2897</v>
      </c>
      <c r="D314" s="65"/>
      <c r="E314" s="62" t="s">
        <v>4352</v>
      </c>
      <c r="F314" s="66"/>
      <c r="G314" s="66"/>
      <c r="H314" s="25" t="s">
        <v>3086</v>
      </c>
      <c r="I314" s="24" t="s">
        <v>4353</v>
      </c>
      <c r="J314" s="35" t="s">
        <v>3836</v>
      </c>
      <c r="K314" s="32"/>
    </row>
    <row r="315" spans="1:11" ht="14.25" x14ac:dyDescent="0.45">
      <c r="A315" s="63" t="s">
        <v>3738</v>
      </c>
      <c r="B315" s="51" t="s">
        <v>4354</v>
      </c>
      <c r="C315" s="67" t="s">
        <v>3155</v>
      </c>
      <c r="D315" s="51"/>
      <c r="E315" s="62" t="s">
        <v>4355</v>
      </c>
      <c r="F315" s="62"/>
      <c r="G315" s="62"/>
      <c r="H315" s="25" t="s">
        <v>3086</v>
      </c>
      <c r="I315" s="24" t="s">
        <v>4356</v>
      </c>
      <c r="J315" s="24"/>
      <c r="K315" s="24"/>
    </row>
    <row r="316" spans="1:11" ht="14.25" x14ac:dyDescent="0.45">
      <c r="A316" s="63" t="s">
        <v>4357</v>
      </c>
      <c r="B316" s="51" t="s">
        <v>4358</v>
      </c>
      <c r="C316" s="53"/>
      <c r="D316" s="53"/>
      <c r="E316" s="62" t="s">
        <v>4359</v>
      </c>
      <c r="F316" s="55"/>
      <c r="G316" s="55"/>
      <c r="H316" s="25" t="s">
        <v>3086</v>
      </c>
      <c r="I316" s="24" t="s">
        <v>4360</v>
      </c>
      <c r="J316" s="35"/>
      <c r="K316" s="35"/>
    </row>
    <row r="317" spans="1:11" ht="14.25" x14ac:dyDescent="0.45">
      <c r="A317" s="52"/>
      <c r="B317" s="51" t="s">
        <v>4361</v>
      </c>
      <c r="C317" s="53"/>
      <c r="D317" s="53"/>
      <c r="E317" s="62" t="s">
        <v>4362</v>
      </c>
      <c r="F317" s="55"/>
      <c r="G317" s="55"/>
      <c r="H317" s="25" t="s">
        <v>4070</v>
      </c>
      <c r="I317" s="24" t="s">
        <v>4363</v>
      </c>
      <c r="J317" s="35"/>
      <c r="K317" s="35"/>
    </row>
    <row r="318" spans="1:11" ht="14.25" x14ac:dyDescent="0.45">
      <c r="A318" s="63" t="s">
        <v>4364</v>
      </c>
      <c r="B318" s="51" t="s">
        <v>4365</v>
      </c>
      <c r="C318" s="53"/>
      <c r="D318" s="53"/>
      <c r="E318" s="62" t="s">
        <v>4366</v>
      </c>
      <c r="F318" s="55"/>
      <c r="G318" s="55"/>
      <c r="H318" s="25" t="s">
        <v>3086</v>
      </c>
      <c r="I318" s="24" t="s">
        <v>4367</v>
      </c>
      <c r="J318" s="35" t="s">
        <v>3063</v>
      </c>
      <c r="K318" s="35"/>
    </row>
    <row r="319" spans="1:11" ht="14.25" x14ac:dyDescent="0.45">
      <c r="A319" s="61"/>
      <c r="B319" s="51" t="s">
        <v>4368</v>
      </c>
      <c r="C319" s="51"/>
      <c r="D319" s="51"/>
      <c r="E319" s="62" t="s">
        <v>4369</v>
      </c>
      <c r="F319" s="62"/>
      <c r="G319" s="62"/>
      <c r="H319" s="25" t="s">
        <v>3086</v>
      </c>
      <c r="I319" s="24" t="s">
        <v>4370</v>
      </c>
      <c r="J319" s="24"/>
      <c r="K319" s="24"/>
    </row>
    <row r="320" spans="1:11" ht="14.25" x14ac:dyDescent="0.45">
      <c r="A320" s="63" t="s">
        <v>4371</v>
      </c>
      <c r="B320" s="51" t="s">
        <v>4372</v>
      </c>
      <c r="C320" s="53" t="s">
        <v>3701</v>
      </c>
      <c r="D320" s="53"/>
      <c r="E320" s="62" t="s">
        <v>4373</v>
      </c>
      <c r="F320" s="55" t="s">
        <v>3542</v>
      </c>
      <c r="G320" s="55"/>
      <c r="H320" s="25" t="s">
        <v>4070</v>
      </c>
      <c r="I320" s="24" t="s">
        <v>4374</v>
      </c>
      <c r="J320" s="35"/>
      <c r="K320" s="35"/>
    </row>
    <row r="321" spans="1:11" ht="14.25" x14ac:dyDescent="0.45">
      <c r="A321" s="63" t="s">
        <v>4375</v>
      </c>
      <c r="B321" s="51" t="s">
        <v>4376</v>
      </c>
      <c r="C321" s="53"/>
      <c r="D321" s="53"/>
      <c r="E321" s="62" t="s">
        <v>4377</v>
      </c>
      <c r="F321" s="55" t="s">
        <v>3224</v>
      </c>
      <c r="G321" s="55"/>
      <c r="H321" s="25" t="s">
        <v>3086</v>
      </c>
      <c r="I321" s="24" t="s">
        <v>4378</v>
      </c>
      <c r="J321" s="35"/>
      <c r="K321" s="35"/>
    </row>
    <row r="322" spans="1:11" ht="14.25" x14ac:dyDescent="0.45">
      <c r="A322" s="63" t="s">
        <v>4379</v>
      </c>
      <c r="B322" s="51" t="s">
        <v>4380</v>
      </c>
      <c r="C322" s="53"/>
      <c r="D322" s="53"/>
      <c r="E322" s="62" t="s">
        <v>4381</v>
      </c>
      <c r="F322" s="55"/>
      <c r="G322" s="55"/>
      <c r="H322" s="25" t="s">
        <v>3086</v>
      </c>
      <c r="I322" s="24" t="s">
        <v>4382</v>
      </c>
      <c r="J322" s="35"/>
      <c r="K322" s="35"/>
    </row>
    <row r="323" spans="1:11" ht="14.25" x14ac:dyDescent="0.45">
      <c r="A323" s="63" t="s">
        <v>4383</v>
      </c>
      <c r="B323" s="51" t="s">
        <v>4384</v>
      </c>
      <c r="C323" s="53"/>
      <c r="D323" s="53"/>
      <c r="E323" s="62" t="s">
        <v>4385</v>
      </c>
      <c r="F323" s="55" t="s">
        <v>3091</v>
      </c>
      <c r="G323" s="55"/>
      <c r="H323" s="25" t="s">
        <v>3086</v>
      </c>
      <c r="I323" s="24" t="s">
        <v>4386</v>
      </c>
      <c r="J323" s="35" t="s">
        <v>3618</v>
      </c>
      <c r="K323" s="35"/>
    </row>
    <row r="324" spans="1:11" ht="14.25" x14ac:dyDescent="0.45">
      <c r="A324" s="63" t="s">
        <v>4387</v>
      </c>
      <c r="B324" s="51" t="s">
        <v>4388</v>
      </c>
      <c r="C324" s="53" t="s">
        <v>4389</v>
      </c>
      <c r="D324" s="53"/>
      <c r="E324" s="62" t="s">
        <v>4390</v>
      </c>
      <c r="F324" s="55" t="s">
        <v>2990</v>
      </c>
      <c r="G324" s="55"/>
      <c r="H324" s="25" t="s">
        <v>2927</v>
      </c>
      <c r="I324" s="24" t="s">
        <v>4391</v>
      </c>
      <c r="J324" s="35"/>
      <c r="K324" s="35"/>
    </row>
    <row r="325" spans="1:11" ht="14.25" x14ac:dyDescent="0.45">
      <c r="A325" s="63" t="s">
        <v>4392</v>
      </c>
      <c r="B325" s="51" t="s">
        <v>4393</v>
      </c>
      <c r="C325" s="51"/>
      <c r="D325" s="51"/>
      <c r="E325" s="62" t="s">
        <v>4394</v>
      </c>
      <c r="F325" s="62"/>
      <c r="G325" s="62"/>
      <c r="H325" s="25" t="s">
        <v>2927</v>
      </c>
      <c r="I325" s="24" t="s">
        <v>4395</v>
      </c>
      <c r="J325" s="35" t="s">
        <v>3841</v>
      </c>
      <c r="K325" s="24"/>
    </row>
    <row r="326" spans="1:11" ht="14.25" x14ac:dyDescent="0.45">
      <c r="A326" s="63" t="s">
        <v>4396</v>
      </c>
      <c r="B326" s="51" t="s">
        <v>4397</v>
      </c>
      <c r="C326" s="53"/>
      <c r="D326" s="53"/>
      <c r="E326" s="62" t="s">
        <v>4398</v>
      </c>
      <c r="F326" s="55"/>
      <c r="G326" s="55"/>
      <c r="H326" s="25" t="s">
        <v>3086</v>
      </c>
      <c r="I326" s="24" t="s">
        <v>4399</v>
      </c>
      <c r="J326" s="35" t="s">
        <v>3308</v>
      </c>
      <c r="K326" s="35"/>
    </row>
    <row r="327" spans="1:11" ht="14.25" x14ac:dyDescent="0.45">
      <c r="A327" s="61"/>
      <c r="B327" s="51" t="e">
        <v>#VALUE!</v>
      </c>
      <c r="C327" s="51"/>
      <c r="D327" s="51"/>
      <c r="E327" s="62" t="e">
        <v>#VALUE!</v>
      </c>
      <c r="F327" s="62"/>
      <c r="G327" s="62"/>
      <c r="H327" s="25" t="e">
        <v>#VALUE!</v>
      </c>
      <c r="I327" s="24" t="s">
        <v>2927</v>
      </c>
      <c r="J327" s="24"/>
      <c r="K327" s="24"/>
    </row>
    <row r="328" spans="1:11" ht="14.25" x14ac:dyDescent="0.45">
      <c r="A328" s="61"/>
      <c r="B328" s="51" t="s">
        <v>4400</v>
      </c>
      <c r="C328" s="51"/>
      <c r="D328" s="51"/>
      <c r="E328" s="62" t="s">
        <v>4401</v>
      </c>
      <c r="F328" s="55" t="s">
        <v>3256</v>
      </c>
      <c r="G328" s="62"/>
      <c r="H328" s="25" t="s">
        <v>3086</v>
      </c>
      <c r="I328" s="24" t="s">
        <v>4402</v>
      </c>
      <c r="J328" s="24"/>
      <c r="K328" s="24"/>
    </row>
    <row r="329" spans="1:11" ht="14.25" x14ac:dyDescent="0.45">
      <c r="A329" s="61"/>
      <c r="B329" s="51" t="s">
        <v>4403</v>
      </c>
      <c r="C329" s="51"/>
      <c r="D329" s="51"/>
      <c r="E329" s="62" t="s">
        <v>4404</v>
      </c>
      <c r="F329" s="62"/>
      <c r="G329" s="62"/>
      <c r="H329" s="25" t="s">
        <v>3086</v>
      </c>
      <c r="I329" s="24" t="s">
        <v>4405</v>
      </c>
      <c r="J329" s="24"/>
      <c r="K329" s="24"/>
    </row>
    <row r="330" spans="1:11" ht="14.25" x14ac:dyDescent="0.45">
      <c r="A330" s="61"/>
      <c r="B330" s="51" t="s">
        <v>4406</v>
      </c>
      <c r="C330" s="51"/>
      <c r="D330" s="51"/>
      <c r="E330" s="62" t="s">
        <v>4407</v>
      </c>
      <c r="F330" s="62"/>
      <c r="G330" s="62"/>
      <c r="H330" s="25" t="s">
        <v>3086</v>
      </c>
      <c r="I330" s="24" t="s">
        <v>4408</v>
      </c>
      <c r="J330" s="24"/>
      <c r="K330" s="24"/>
    </row>
    <row r="331" spans="1:11" ht="14.25" x14ac:dyDescent="0.45">
      <c r="A331" s="63" t="s">
        <v>4409</v>
      </c>
      <c r="B331" s="51" t="s">
        <v>4410</v>
      </c>
      <c r="C331" s="53" t="s">
        <v>3954</v>
      </c>
      <c r="D331" s="53"/>
      <c r="E331" s="62" t="s">
        <v>4411</v>
      </c>
      <c r="F331" s="55" t="s">
        <v>3020</v>
      </c>
      <c r="G331" s="55"/>
      <c r="H331" s="25" t="s">
        <v>2927</v>
      </c>
      <c r="I331" s="24" t="s">
        <v>4412</v>
      </c>
      <c r="J331" s="35" t="s">
        <v>3755</v>
      </c>
      <c r="K331" s="35"/>
    </row>
    <row r="332" spans="1:11" ht="14.25" x14ac:dyDescent="0.45">
      <c r="A332" s="61"/>
      <c r="B332" s="51" t="s">
        <v>4413</v>
      </c>
      <c r="C332" s="51"/>
      <c r="D332" s="51"/>
      <c r="E332" s="62" t="s">
        <v>4414</v>
      </c>
      <c r="F332" s="55" t="s">
        <v>3396</v>
      </c>
      <c r="G332" s="62"/>
      <c r="H332" s="25" t="s">
        <v>3086</v>
      </c>
      <c r="I332" s="24" t="s">
        <v>4415</v>
      </c>
      <c r="J332" s="24"/>
      <c r="K332" s="24"/>
    </row>
    <row r="333" spans="1:11" ht="14.25" x14ac:dyDescent="0.45">
      <c r="A333" s="63" t="s">
        <v>4416</v>
      </c>
      <c r="B333" s="51" t="s">
        <v>4417</v>
      </c>
      <c r="C333" s="53"/>
      <c r="D333" s="53"/>
      <c r="E333" s="62" t="s">
        <v>4418</v>
      </c>
      <c r="F333" s="55"/>
      <c r="G333" s="55"/>
      <c r="H333" s="25" t="s">
        <v>2927</v>
      </c>
      <c r="I333" s="24" t="s">
        <v>4419</v>
      </c>
      <c r="J333" s="35"/>
      <c r="K333" s="35"/>
    </row>
    <row r="334" spans="1:11" ht="14.25" x14ac:dyDescent="0.45">
      <c r="A334" s="63" t="s">
        <v>4420</v>
      </c>
      <c r="B334" s="51" t="s">
        <v>4421</v>
      </c>
      <c r="C334" s="51"/>
      <c r="D334" s="51"/>
      <c r="E334" s="62" t="s">
        <v>4422</v>
      </c>
      <c r="F334" s="62"/>
      <c r="G334" s="62"/>
      <c r="H334" s="25" t="s">
        <v>3086</v>
      </c>
      <c r="I334" s="24" t="s">
        <v>4423</v>
      </c>
      <c r="J334" s="24"/>
      <c r="K334" s="24"/>
    </row>
    <row r="335" spans="1:11" ht="14.25" x14ac:dyDescent="0.45">
      <c r="A335" s="61"/>
      <c r="B335" s="51" t="s">
        <v>4424</v>
      </c>
      <c r="C335" s="51"/>
      <c r="D335" s="51"/>
      <c r="E335" s="62" t="s">
        <v>4425</v>
      </c>
      <c r="F335" s="62"/>
      <c r="G335" s="62"/>
      <c r="H335" s="25" t="s">
        <v>3086</v>
      </c>
      <c r="I335" s="24" t="s">
        <v>4426</v>
      </c>
      <c r="J335" s="24"/>
      <c r="K335" s="24"/>
    </row>
    <row r="336" spans="1:11" ht="14.25" x14ac:dyDescent="0.45">
      <c r="A336" s="61"/>
      <c r="B336" s="51" t="s">
        <v>4427</v>
      </c>
      <c r="C336" s="51"/>
      <c r="D336" s="51"/>
      <c r="E336" s="62" t="s">
        <v>4428</v>
      </c>
      <c r="F336" s="62"/>
      <c r="G336" s="62"/>
      <c r="H336" s="25" t="s">
        <v>3086</v>
      </c>
      <c r="I336" s="24" t="s">
        <v>4429</v>
      </c>
      <c r="J336" s="24"/>
      <c r="K336" s="24"/>
    </row>
    <row r="337" spans="1:11" ht="14.25" x14ac:dyDescent="0.45">
      <c r="A337" s="63" t="s">
        <v>3622</v>
      </c>
      <c r="B337" s="51" t="s">
        <v>4430</v>
      </c>
      <c r="C337" s="51"/>
      <c r="D337" s="51"/>
      <c r="E337" s="62" t="s">
        <v>4431</v>
      </c>
      <c r="F337" s="62"/>
      <c r="G337" s="62"/>
      <c r="H337" s="25" t="s">
        <v>2927</v>
      </c>
      <c r="I337" s="24" t="s">
        <v>4432</v>
      </c>
      <c r="J337" s="35" t="s">
        <v>3627</v>
      </c>
      <c r="K337" s="24"/>
    </row>
    <row r="338" spans="1:11" ht="14.25" x14ac:dyDescent="0.45">
      <c r="A338" s="61"/>
      <c r="B338" s="51" t="s">
        <v>4433</v>
      </c>
      <c r="C338" s="51"/>
      <c r="D338" s="51"/>
      <c r="E338" s="62" t="s">
        <v>4434</v>
      </c>
      <c r="F338" s="62"/>
      <c r="G338" s="62"/>
      <c r="H338" s="25" t="s">
        <v>3086</v>
      </c>
      <c r="I338" s="24" t="s">
        <v>4435</v>
      </c>
      <c r="J338" s="24"/>
      <c r="K338" s="24"/>
    </row>
    <row r="339" spans="1:11" ht="14.25" x14ac:dyDescent="0.45">
      <c r="A339" s="61"/>
      <c r="B339" s="51" t="s">
        <v>4436</v>
      </c>
      <c r="C339" s="51"/>
      <c r="D339" s="51"/>
      <c r="E339" s="62" t="s">
        <v>4437</v>
      </c>
      <c r="F339" s="62"/>
      <c r="G339" s="62"/>
      <c r="H339" s="25" t="s">
        <v>3086</v>
      </c>
      <c r="I339" s="24" t="s">
        <v>4438</v>
      </c>
      <c r="J339" s="24"/>
      <c r="K339" s="24"/>
    </row>
    <row r="340" spans="1:11" ht="14.25" x14ac:dyDescent="0.45">
      <c r="A340" s="63" t="s">
        <v>4439</v>
      </c>
      <c r="B340" s="51" t="s">
        <v>2914</v>
      </c>
      <c r="C340" s="65"/>
      <c r="D340" s="65"/>
      <c r="E340" s="62" t="s">
        <v>4440</v>
      </c>
      <c r="F340" s="66"/>
      <c r="G340" s="66"/>
      <c r="H340" s="25" t="s">
        <v>2927</v>
      </c>
      <c r="I340" s="24" t="s">
        <v>4441</v>
      </c>
      <c r="J340" s="32"/>
      <c r="K340" s="32"/>
    </row>
    <row r="341" spans="1:11" ht="14.25" x14ac:dyDescent="0.45">
      <c r="A341" s="63" t="s">
        <v>4333</v>
      </c>
      <c r="B341" s="51" t="s">
        <v>4442</v>
      </c>
      <c r="C341" s="53"/>
      <c r="D341" s="53"/>
      <c r="E341" s="62" t="s">
        <v>4443</v>
      </c>
      <c r="F341" s="55"/>
      <c r="G341" s="55"/>
      <c r="H341" s="25" t="s">
        <v>2927</v>
      </c>
      <c r="I341" s="24" t="s">
        <v>4444</v>
      </c>
      <c r="J341" s="35"/>
      <c r="K341" s="35"/>
    </row>
    <row r="342" spans="1:11" ht="14.25" x14ac:dyDescent="0.45">
      <c r="A342" s="63" t="s">
        <v>4445</v>
      </c>
      <c r="B342" s="51" t="s">
        <v>4446</v>
      </c>
      <c r="C342" s="51"/>
      <c r="D342" s="51"/>
      <c r="E342" s="62" t="s">
        <v>4447</v>
      </c>
      <c r="F342" s="55" t="s">
        <v>3250</v>
      </c>
      <c r="G342" s="62"/>
      <c r="H342" s="25" t="s">
        <v>3086</v>
      </c>
      <c r="I342" s="24" t="s">
        <v>4448</v>
      </c>
      <c r="J342" s="24"/>
      <c r="K342" s="24"/>
    </row>
    <row r="343" spans="1:11" ht="14.25" x14ac:dyDescent="0.45">
      <c r="A343" s="63" t="s">
        <v>2975</v>
      </c>
      <c r="B343" s="51" t="s">
        <v>4449</v>
      </c>
      <c r="C343" s="53"/>
      <c r="D343" s="53"/>
      <c r="E343" s="62" t="s">
        <v>4450</v>
      </c>
      <c r="F343" s="55" t="s">
        <v>2978</v>
      </c>
      <c r="G343" s="55" t="s">
        <v>4451</v>
      </c>
      <c r="H343" s="25" t="s">
        <v>2927</v>
      </c>
      <c r="I343" s="24" t="s">
        <v>4452</v>
      </c>
      <c r="J343" s="35" t="s">
        <v>3448</v>
      </c>
      <c r="K343" s="35" t="s">
        <v>4452</v>
      </c>
    </row>
    <row r="344" spans="1:11" ht="14.25" x14ac:dyDescent="0.45">
      <c r="A344" s="61"/>
      <c r="B344" s="51" t="s">
        <v>4453</v>
      </c>
      <c r="C344" s="51"/>
      <c r="D344" s="51"/>
      <c r="E344" s="62" t="s">
        <v>4454</v>
      </c>
      <c r="F344" s="62"/>
      <c r="G344" s="62"/>
      <c r="H344" s="25" t="s">
        <v>3086</v>
      </c>
      <c r="I344" s="24" t="s">
        <v>4455</v>
      </c>
      <c r="J344" s="24"/>
      <c r="K344" s="24"/>
    </row>
    <row r="345" spans="1:11" ht="14.25" x14ac:dyDescent="0.45">
      <c r="A345" s="63" t="s">
        <v>4167</v>
      </c>
      <c r="B345" s="51" t="s">
        <v>4456</v>
      </c>
      <c r="C345" s="53"/>
      <c r="D345" s="53"/>
      <c r="E345" s="62" t="s">
        <v>4457</v>
      </c>
      <c r="F345" s="55"/>
      <c r="G345" s="55"/>
      <c r="H345" s="25" t="s">
        <v>3086</v>
      </c>
      <c r="I345" s="24" t="s">
        <v>4458</v>
      </c>
      <c r="J345" s="35" t="s">
        <v>3167</v>
      </c>
      <c r="K345" s="35"/>
    </row>
    <row r="346" spans="1:11" ht="14.25" x14ac:dyDescent="0.45">
      <c r="A346" s="61"/>
      <c r="B346" s="51" t="s">
        <v>4459</v>
      </c>
      <c r="C346" s="51"/>
      <c r="D346" s="51"/>
      <c r="E346" s="62" t="s">
        <v>4460</v>
      </c>
      <c r="F346" s="62"/>
      <c r="G346" s="62"/>
      <c r="H346" s="25" t="s">
        <v>3086</v>
      </c>
      <c r="I346" s="24" t="s">
        <v>4461</v>
      </c>
      <c r="J346" s="24"/>
      <c r="K346" s="24"/>
    </row>
    <row r="347" spans="1:11" ht="14.25" x14ac:dyDescent="0.45">
      <c r="A347" s="63" t="s">
        <v>4462</v>
      </c>
      <c r="B347" s="51" t="s">
        <v>4463</v>
      </c>
      <c r="C347" s="53"/>
      <c r="D347" s="53"/>
      <c r="E347" s="62" t="s">
        <v>4464</v>
      </c>
      <c r="F347" s="55" t="s">
        <v>3802</v>
      </c>
      <c r="G347" s="55"/>
      <c r="H347" s="25" t="s">
        <v>3086</v>
      </c>
      <c r="I347" s="24" t="s">
        <v>4465</v>
      </c>
      <c r="J347" s="35" t="s">
        <v>3802</v>
      </c>
      <c r="K347" s="35"/>
    </row>
    <row r="348" spans="1:11" ht="14.25" x14ac:dyDescent="0.45">
      <c r="A348" s="61"/>
      <c r="B348" s="51" t="s">
        <v>4466</v>
      </c>
      <c r="C348" s="51"/>
      <c r="D348" s="51"/>
      <c r="E348" s="62" t="s">
        <v>4467</v>
      </c>
      <c r="F348" s="62"/>
      <c r="G348" s="62"/>
      <c r="H348" s="25" t="s">
        <v>3086</v>
      </c>
      <c r="I348" s="24" t="s">
        <v>4468</v>
      </c>
      <c r="J348" s="35" t="s">
        <v>3270</v>
      </c>
      <c r="K348" s="24"/>
    </row>
    <row r="349" spans="1:11" ht="14.25" x14ac:dyDescent="0.45">
      <c r="A349" s="63" t="s">
        <v>4469</v>
      </c>
      <c r="B349" s="51" t="s">
        <v>4470</v>
      </c>
      <c r="C349" s="53" t="s">
        <v>3182</v>
      </c>
      <c r="D349" s="51"/>
      <c r="E349" s="62" t="s">
        <v>4471</v>
      </c>
      <c r="F349" s="73" t="s">
        <v>4084</v>
      </c>
      <c r="G349" s="62"/>
      <c r="H349" s="25" t="s">
        <v>3086</v>
      </c>
      <c r="I349" s="24" t="s">
        <v>4472</v>
      </c>
      <c r="J349" s="24"/>
      <c r="K349" s="24"/>
    </row>
    <row r="350" spans="1:11" ht="14.25" x14ac:dyDescent="0.45">
      <c r="A350" s="63" t="s">
        <v>4473</v>
      </c>
      <c r="B350" s="51" t="s">
        <v>4474</v>
      </c>
      <c r="C350" s="53"/>
      <c r="D350" s="53"/>
      <c r="E350" s="62" t="s">
        <v>4475</v>
      </c>
      <c r="F350" s="55"/>
      <c r="G350" s="55"/>
      <c r="H350" s="25" t="s">
        <v>3086</v>
      </c>
      <c r="I350" s="24" t="s">
        <v>4476</v>
      </c>
      <c r="J350" s="35"/>
      <c r="K350" s="35"/>
    </row>
    <row r="351" spans="1:11" ht="14.25" x14ac:dyDescent="0.45">
      <c r="A351" s="63" t="s">
        <v>4477</v>
      </c>
      <c r="B351" s="51" t="s">
        <v>4478</v>
      </c>
      <c r="C351" s="53"/>
      <c r="D351" s="53"/>
      <c r="E351" s="62" t="s">
        <v>4479</v>
      </c>
      <c r="F351" s="55"/>
      <c r="G351" s="55"/>
      <c r="H351" s="25" t="s">
        <v>3086</v>
      </c>
      <c r="I351" s="24" t="s">
        <v>4480</v>
      </c>
      <c r="J351" s="35"/>
      <c r="K351" s="35"/>
    </row>
    <row r="352" spans="1:11" ht="14.25" x14ac:dyDescent="0.45">
      <c r="A352" s="61"/>
      <c r="B352" s="51" t="s">
        <v>4481</v>
      </c>
      <c r="C352" s="51"/>
      <c r="D352" s="51"/>
      <c r="E352" s="62" t="s">
        <v>4482</v>
      </c>
      <c r="F352" s="62"/>
      <c r="G352" s="62"/>
      <c r="H352" s="25" t="s">
        <v>3086</v>
      </c>
      <c r="I352" s="24" t="s">
        <v>4483</v>
      </c>
      <c r="J352" s="24"/>
      <c r="K352" s="24"/>
    </row>
    <row r="353" spans="1:11" ht="14.25" x14ac:dyDescent="0.45">
      <c r="A353" s="61"/>
      <c r="B353" s="51" t="s">
        <v>4484</v>
      </c>
      <c r="C353" s="51"/>
      <c r="D353" s="51"/>
      <c r="E353" s="62" t="s">
        <v>4485</v>
      </c>
      <c r="F353" s="62"/>
      <c r="G353" s="62"/>
      <c r="H353" s="25" t="s">
        <v>3086</v>
      </c>
      <c r="I353" s="24" t="s">
        <v>4486</v>
      </c>
      <c r="J353" s="24"/>
      <c r="K353" s="24"/>
    </row>
    <row r="354" spans="1:11" ht="14.25" x14ac:dyDescent="0.45">
      <c r="A354" s="61"/>
      <c r="B354" s="51" t="e">
        <v>#VALUE!</v>
      </c>
      <c r="C354" s="51"/>
      <c r="D354" s="51"/>
      <c r="E354" s="62" t="e">
        <v>#VALUE!</v>
      </c>
      <c r="F354" s="62"/>
      <c r="G354" s="62"/>
      <c r="H354" s="25" t="e">
        <v>#VALUE!</v>
      </c>
      <c r="I354" s="24" t="s">
        <v>2927</v>
      </c>
      <c r="J354" s="24"/>
      <c r="K354" s="24"/>
    </row>
    <row r="355" spans="1:11" ht="14.25" x14ac:dyDescent="0.45">
      <c r="A355" s="63" t="s">
        <v>4487</v>
      </c>
      <c r="B355" s="51" t="s">
        <v>4488</v>
      </c>
      <c r="C355" s="53"/>
      <c r="D355" s="53"/>
      <c r="E355" s="62" t="s">
        <v>4489</v>
      </c>
      <c r="F355" s="55" t="s">
        <v>2995</v>
      </c>
      <c r="G355" s="55" t="s">
        <v>4489</v>
      </c>
      <c r="H355" s="25" t="s">
        <v>3086</v>
      </c>
      <c r="I355" s="24" t="s">
        <v>4490</v>
      </c>
      <c r="J355" s="35"/>
      <c r="K355" s="35"/>
    </row>
    <row r="356" spans="1:11" ht="14.25" x14ac:dyDescent="0.45">
      <c r="A356" s="61"/>
      <c r="B356" s="51" t="s">
        <v>4491</v>
      </c>
      <c r="C356" s="51"/>
      <c r="D356" s="51"/>
      <c r="E356" s="62" t="s">
        <v>4492</v>
      </c>
      <c r="F356" s="62"/>
      <c r="G356" s="62"/>
      <c r="H356" s="25" t="s">
        <v>3086</v>
      </c>
      <c r="I356" s="24" t="s">
        <v>4493</v>
      </c>
      <c r="J356" s="24"/>
      <c r="K356" s="24"/>
    </row>
    <row r="357" spans="1:11" ht="14.25" x14ac:dyDescent="0.45">
      <c r="A357" s="63" t="s">
        <v>4494</v>
      </c>
      <c r="B357" s="51" t="s">
        <v>4495</v>
      </c>
      <c r="C357" s="53"/>
      <c r="D357" s="53"/>
      <c r="E357" s="62" t="s">
        <v>4496</v>
      </c>
      <c r="F357" s="55"/>
      <c r="G357" s="55"/>
      <c r="H357" s="25" t="s">
        <v>3086</v>
      </c>
      <c r="I357" s="24" t="s">
        <v>4497</v>
      </c>
      <c r="J357" s="35"/>
      <c r="K357" s="35"/>
    </row>
    <row r="358" spans="1:11" ht="14.25" x14ac:dyDescent="0.45">
      <c r="A358" s="61"/>
      <c r="B358" s="51" t="s">
        <v>3530</v>
      </c>
      <c r="C358" s="53" t="s">
        <v>3530</v>
      </c>
      <c r="D358" s="51"/>
      <c r="E358" s="62" t="s">
        <v>4498</v>
      </c>
      <c r="F358" s="62"/>
      <c r="G358" s="62"/>
      <c r="H358" s="25" t="s">
        <v>3086</v>
      </c>
      <c r="I358" s="24" t="s">
        <v>4499</v>
      </c>
      <c r="J358" s="24"/>
      <c r="K358" s="24"/>
    </row>
    <row r="359" spans="1:11" ht="14.25" x14ac:dyDescent="0.45">
      <c r="A359" s="63" t="s">
        <v>4500</v>
      </c>
      <c r="B359" s="51" t="s">
        <v>4501</v>
      </c>
      <c r="C359" s="53"/>
      <c r="D359" s="53"/>
      <c r="E359" s="62" t="s">
        <v>4502</v>
      </c>
      <c r="F359" s="55"/>
      <c r="G359" s="55"/>
      <c r="H359" s="25" t="s">
        <v>3086</v>
      </c>
      <c r="I359" s="24" t="s">
        <v>4503</v>
      </c>
      <c r="J359" s="35"/>
      <c r="K359" s="35"/>
    </row>
    <row r="360" spans="1:11" ht="14.25" x14ac:dyDescent="0.45">
      <c r="A360" s="63" t="s">
        <v>4504</v>
      </c>
      <c r="B360" s="51" t="s">
        <v>4505</v>
      </c>
      <c r="C360" s="53"/>
      <c r="D360" s="53"/>
      <c r="E360" s="62" t="s">
        <v>4506</v>
      </c>
      <c r="F360" s="55" t="s">
        <v>3766</v>
      </c>
      <c r="G360" s="55"/>
      <c r="H360" s="25" t="s">
        <v>3086</v>
      </c>
      <c r="I360" s="24" t="s">
        <v>4507</v>
      </c>
      <c r="J360" s="35" t="s">
        <v>3633</v>
      </c>
      <c r="K360" s="35"/>
    </row>
    <row r="361" spans="1:11" ht="14.25" x14ac:dyDescent="0.45">
      <c r="A361" s="63" t="s">
        <v>4508</v>
      </c>
      <c r="B361" s="51" t="s">
        <v>4509</v>
      </c>
      <c r="C361" s="53"/>
      <c r="D361" s="53"/>
      <c r="E361" s="62" t="s">
        <v>4510</v>
      </c>
      <c r="F361" s="55"/>
      <c r="G361" s="55"/>
      <c r="H361" s="25" t="s">
        <v>3086</v>
      </c>
      <c r="I361" s="24" t="s">
        <v>4511</v>
      </c>
      <c r="J361" s="35"/>
      <c r="K361" s="35"/>
    </row>
    <row r="362" spans="1:11" ht="14.25" x14ac:dyDescent="0.45">
      <c r="A362" s="63" t="s">
        <v>4512</v>
      </c>
      <c r="B362" s="51" t="s">
        <v>4513</v>
      </c>
      <c r="C362" s="53" t="s">
        <v>3426</v>
      </c>
      <c r="D362" s="53"/>
      <c r="E362" s="62" t="s">
        <v>4514</v>
      </c>
      <c r="F362" s="55" t="s">
        <v>3793</v>
      </c>
      <c r="G362" s="55"/>
      <c r="H362" s="25" t="s">
        <v>3086</v>
      </c>
      <c r="I362" s="24" t="s">
        <v>4515</v>
      </c>
      <c r="J362" s="35"/>
      <c r="K362" s="35"/>
    </row>
    <row r="363" spans="1:11" ht="14.25" x14ac:dyDescent="0.45">
      <c r="A363" s="63" t="s">
        <v>4163</v>
      </c>
      <c r="B363" s="51" t="s">
        <v>4516</v>
      </c>
      <c r="C363" s="53"/>
      <c r="D363" s="53"/>
      <c r="E363" s="62" t="s">
        <v>4517</v>
      </c>
      <c r="F363" s="55" t="s">
        <v>3036</v>
      </c>
      <c r="G363" s="55"/>
      <c r="H363" s="25" t="s">
        <v>3086</v>
      </c>
      <c r="I363" s="24" t="s">
        <v>4518</v>
      </c>
      <c r="J363" s="35"/>
      <c r="K363" s="35"/>
    </row>
    <row r="364" spans="1:11" ht="14.25" x14ac:dyDescent="0.45">
      <c r="A364" s="63" t="s">
        <v>4519</v>
      </c>
      <c r="B364" s="51" t="s">
        <v>4520</v>
      </c>
      <c r="C364" s="53"/>
      <c r="D364" s="53"/>
      <c r="E364" s="62" t="s">
        <v>4521</v>
      </c>
      <c r="F364" s="55" t="s">
        <v>2995</v>
      </c>
      <c r="G364" s="55"/>
      <c r="H364" s="25" t="s">
        <v>3086</v>
      </c>
      <c r="I364" s="24" t="s">
        <v>4522</v>
      </c>
      <c r="J364" s="35"/>
      <c r="K364" s="35"/>
    </row>
    <row r="365" spans="1:11" ht="14.25" x14ac:dyDescent="0.45">
      <c r="A365" s="61"/>
      <c r="B365" s="51" t="s">
        <v>4523</v>
      </c>
      <c r="C365" s="51"/>
      <c r="D365" s="51"/>
      <c r="E365" s="62" t="s">
        <v>4524</v>
      </c>
      <c r="F365" s="62"/>
      <c r="G365" s="62"/>
      <c r="H365" s="25" t="s">
        <v>3086</v>
      </c>
      <c r="I365" s="24" t="s">
        <v>4525</v>
      </c>
      <c r="J365" s="24"/>
      <c r="K365" s="24"/>
    </row>
    <row r="366" spans="1:11" ht="14.25" x14ac:dyDescent="0.45">
      <c r="A366" s="63" t="s">
        <v>4526</v>
      </c>
      <c r="B366" s="51" t="s">
        <v>4527</v>
      </c>
      <c r="C366" s="65"/>
      <c r="D366" s="65"/>
      <c r="E366" s="62" t="s">
        <v>4528</v>
      </c>
      <c r="F366" s="66"/>
      <c r="G366" s="66"/>
      <c r="H366" s="25" t="s">
        <v>3086</v>
      </c>
      <c r="I366" s="24" t="s">
        <v>4529</v>
      </c>
      <c r="J366" s="32" t="s">
        <v>3593</v>
      </c>
      <c r="K366" s="32"/>
    </row>
    <row r="367" spans="1:11" ht="14.25" x14ac:dyDescent="0.45">
      <c r="A367" s="63" t="s">
        <v>4530</v>
      </c>
      <c r="B367" s="51" t="s">
        <v>4531</v>
      </c>
      <c r="C367" s="53"/>
      <c r="D367" s="53"/>
      <c r="E367" s="62" t="s">
        <v>4532</v>
      </c>
      <c r="F367" s="55" t="s">
        <v>3193</v>
      </c>
      <c r="G367" s="55"/>
      <c r="H367" s="25" t="s">
        <v>2927</v>
      </c>
      <c r="I367" s="24" t="s">
        <v>4533</v>
      </c>
      <c r="J367" s="35" t="s">
        <v>4534</v>
      </c>
      <c r="K367" s="35"/>
    </row>
    <row r="368" spans="1:11" ht="14.25" x14ac:dyDescent="0.45">
      <c r="A368" s="61"/>
      <c r="B368" s="51" t="s">
        <v>4535</v>
      </c>
      <c r="C368" s="53" t="s">
        <v>2869</v>
      </c>
      <c r="D368" s="51"/>
      <c r="E368" s="62" t="s">
        <v>4536</v>
      </c>
      <c r="F368" s="62"/>
      <c r="G368" s="62"/>
      <c r="H368" s="25" t="s">
        <v>2942</v>
      </c>
      <c r="I368" s="24" t="s">
        <v>4537</v>
      </c>
      <c r="J368" s="24"/>
      <c r="K368" s="24"/>
    </row>
    <row r="369" spans="1:11" ht="14.25" x14ac:dyDescent="0.45">
      <c r="A369" s="61"/>
      <c r="B369" s="51" t="s">
        <v>4538</v>
      </c>
      <c r="C369" s="51"/>
      <c r="D369" s="51"/>
      <c r="E369" s="62" t="s">
        <v>4539</v>
      </c>
      <c r="F369" s="62"/>
      <c r="G369" s="62"/>
      <c r="H369" s="25" t="s">
        <v>2942</v>
      </c>
      <c r="I369" s="24" t="s">
        <v>4540</v>
      </c>
      <c r="J369" s="24"/>
      <c r="K369" s="24"/>
    </row>
    <row r="370" spans="1:11" ht="14.25" x14ac:dyDescent="0.45">
      <c r="A370" s="63" t="s">
        <v>4541</v>
      </c>
      <c r="B370" s="51" t="s">
        <v>4542</v>
      </c>
      <c r="C370" s="51"/>
      <c r="D370" s="51"/>
      <c r="E370" s="62" t="s">
        <v>4543</v>
      </c>
      <c r="F370" s="62"/>
      <c r="G370" s="62"/>
      <c r="H370" s="25" t="s">
        <v>2942</v>
      </c>
      <c r="I370" s="24" t="s">
        <v>4544</v>
      </c>
      <c r="J370" s="24"/>
      <c r="K370" s="24"/>
    </row>
    <row r="371" spans="1:11" ht="14.25" x14ac:dyDescent="0.45">
      <c r="A371" s="63" t="s">
        <v>2997</v>
      </c>
      <c r="B371" s="51" t="s">
        <v>4545</v>
      </c>
      <c r="C371" s="51"/>
      <c r="D371" s="51"/>
      <c r="E371" s="62" t="s">
        <v>4546</v>
      </c>
      <c r="F371" s="62"/>
      <c r="G371" s="62"/>
      <c r="H371" s="25" t="s">
        <v>2927</v>
      </c>
      <c r="I371" s="24" t="s">
        <v>4545</v>
      </c>
      <c r="J371" s="24"/>
      <c r="K371" s="24"/>
    </row>
    <row r="372" spans="1:11" ht="14.25" x14ac:dyDescent="0.45">
      <c r="A372" s="63" t="s">
        <v>4547</v>
      </c>
      <c r="B372" s="51" t="s">
        <v>4548</v>
      </c>
      <c r="C372" s="53"/>
      <c r="D372" s="53"/>
      <c r="E372" s="62" t="s">
        <v>4549</v>
      </c>
      <c r="F372" s="55" t="s">
        <v>3224</v>
      </c>
      <c r="G372" s="55"/>
      <c r="H372" s="25" t="s">
        <v>2942</v>
      </c>
      <c r="I372" s="24" t="s">
        <v>4550</v>
      </c>
      <c r="J372" s="35" t="s">
        <v>2950</v>
      </c>
      <c r="K372" s="35"/>
    </row>
    <row r="373" spans="1:11" ht="14.25" x14ac:dyDescent="0.45">
      <c r="A373" s="61"/>
      <c r="B373" s="51" t="s">
        <v>4551</v>
      </c>
      <c r="C373" s="51"/>
      <c r="D373" s="51"/>
      <c r="E373" s="62" t="s">
        <v>4552</v>
      </c>
      <c r="F373" s="62"/>
      <c r="G373" s="62"/>
      <c r="H373" s="25" t="s">
        <v>2942</v>
      </c>
      <c r="I373" s="24" t="s">
        <v>4553</v>
      </c>
      <c r="J373" s="24"/>
      <c r="K373" s="24"/>
    </row>
    <row r="374" spans="1:11" ht="14.25" x14ac:dyDescent="0.45">
      <c r="A374" s="63" t="s">
        <v>4554</v>
      </c>
      <c r="B374" s="51" t="s">
        <v>4555</v>
      </c>
      <c r="C374" s="53"/>
      <c r="D374" s="53"/>
      <c r="E374" s="62" t="s">
        <v>4556</v>
      </c>
      <c r="F374" s="55"/>
      <c r="G374" s="55"/>
      <c r="H374" s="25" t="s">
        <v>2927</v>
      </c>
      <c r="I374" s="24" t="s">
        <v>4557</v>
      </c>
      <c r="J374" s="35"/>
      <c r="K374" s="35"/>
    </row>
    <row r="375" spans="1:11" ht="14.25" x14ac:dyDescent="0.45">
      <c r="A375" s="61"/>
      <c r="B375" s="51" t="s">
        <v>4558</v>
      </c>
      <c r="C375" s="51"/>
      <c r="D375" s="51"/>
      <c r="E375" s="62" t="s">
        <v>4559</v>
      </c>
      <c r="F375" s="62"/>
      <c r="G375" s="62"/>
      <c r="H375" s="25" t="s">
        <v>2942</v>
      </c>
      <c r="I375" s="24" t="s">
        <v>4560</v>
      </c>
      <c r="J375" s="24"/>
      <c r="K375" s="24"/>
    </row>
    <row r="376" spans="1:11" ht="14.25" x14ac:dyDescent="0.45">
      <c r="A376" s="61"/>
      <c r="B376" s="51" t="s">
        <v>4561</v>
      </c>
      <c r="C376" s="51"/>
      <c r="D376" s="51"/>
      <c r="E376" s="62" t="s">
        <v>4562</v>
      </c>
      <c r="F376" s="62"/>
      <c r="G376" s="62"/>
      <c r="H376" s="25" t="s">
        <v>2942</v>
      </c>
      <c r="I376" s="24" t="s">
        <v>4563</v>
      </c>
      <c r="J376" s="24"/>
      <c r="K376" s="24"/>
    </row>
    <row r="377" spans="1:11" ht="14.25" x14ac:dyDescent="0.45">
      <c r="A377" s="63" t="s">
        <v>4564</v>
      </c>
      <c r="B377" s="51" t="s">
        <v>4565</v>
      </c>
      <c r="C377" s="53"/>
      <c r="D377" s="53"/>
      <c r="E377" s="62" t="s">
        <v>4566</v>
      </c>
      <c r="F377" s="55"/>
      <c r="G377" s="55"/>
      <c r="H377" s="25" t="s">
        <v>2927</v>
      </c>
      <c r="I377" s="24" t="s">
        <v>4567</v>
      </c>
      <c r="J377" s="35"/>
      <c r="K377" s="35"/>
    </row>
    <row r="378" spans="1:11" ht="14.25" x14ac:dyDescent="0.45">
      <c r="A378" s="63" t="s">
        <v>4568</v>
      </c>
      <c r="B378" s="51" t="s">
        <v>4569</v>
      </c>
      <c r="C378" s="53"/>
      <c r="D378" s="53"/>
      <c r="E378" s="62" t="s">
        <v>4570</v>
      </c>
      <c r="F378" s="55"/>
      <c r="G378" s="55"/>
      <c r="H378" s="25" t="s">
        <v>2942</v>
      </c>
      <c r="I378" s="24" t="s">
        <v>4571</v>
      </c>
      <c r="J378" s="35" t="s">
        <v>4572</v>
      </c>
      <c r="K378" s="35"/>
    </row>
    <row r="379" spans="1:11" ht="14.25" x14ac:dyDescent="0.45">
      <c r="A379" s="63" t="s">
        <v>4573</v>
      </c>
      <c r="B379" s="51" t="s">
        <v>4574</v>
      </c>
      <c r="C379" s="53"/>
      <c r="D379" s="53"/>
      <c r="E379" s="62" t="s">
        <v>4575</v>
      </c>
      <c r="F379" s="55"/>
      <c r="G379" s="55"/>
      <c r="H379" s="25" t="s">
        <v>2942</v>
      </c>
      <c r="I379" s="24" t="s">
        <v>4576</v>
      </c>
      <c r="J379" s="35" t="s">
        <v>3701</v>
      </c>
      <c r="K379" s="35"/>
    </row>
    <row r="380" spans="1:11" ht="14.25" x14ac:dyDescent="0.45">
      <c r="A380" s="63" t="s">
        <v>4577</v>
      </c>
      <c r="B380" s="51" t="s">
        <v>4578</v>
      </c>
      <c r="C380" s="53"/>
      <c r="D380" s="53"/>
      <c r="E380" s="62" t="s">
        <v>4579</v>
      </c>
      <c r="F380" s="55"/>
      <c r="G380" s="55"/>
      <c r="H380" s="25" t="s">
        <v>2942</v>
      </c>
      <c r="I380" s="24" t="s">
        <v>4580</v>
      </c>
      <c r="J380" s="35"/>
      <c r="K380" s="35"/>
    </row>
    <row r="381" spans="1:11" ht="14.25" x14ac:dyDescent="0.45">
      <c r="A381" s="61"/>
      <c r="B381" s="51" t="e">
        <v>#VALUE!</v>
      </c>
      <c r="C381" s="51"/>
      <c r="D381" s="51"/>
      <c r="E381" s="62" t="e">
        <v>#VALUE!</v>
      </c>
      <c r="F381" s="62"/>
      <c r="G381" s="62"/>
      <c r="H381" s="25" t="e">
        <v>#VALUE!</v>
      </c>
      <c r="I381" s="24" t="s">
        <v>2927</v>
      </c>
      <c r="J381" s="24"/>
      <c r="K381" s="24"/>
    </row>
    <row r="382" spans="1:11" ht="14.25" x14ac:dyDescent="0.45">
      <c r="A382" s="63" t="s">
        <v>4581</v>
      </c>
      <c r="B382" s="51" t="s">
        <v>4582</v>
      </c>
      <c r="C382" s="51"/>
      <c r="D382" s="51"/>
      <c r="E382" s="62" t="s">
        <v>4583</v>
      </c>
      <c r="F382" s="62"/>
      <c r="G382" s="62"/>
      <c r="H382" s="25" t="s">
        <v>2942</v>
      </c>
      <c r="I382" s="24" t="s">
        <v>4584</v>
      </c>
      <c r="J382" s="24"/>
      <c r="K382" s="24"/>
    </row>
    <row r="383" spans="1:11" ht="14.25" x14ac:dyDescent="0.45">
      <c r="A383" s="63" t="s">
        <v>4585</v>
      </c>
      <c r="B383" s="51" t="s">
        <v>4586</v>
      </c>
      <c r="C383" s="53"/>
      <c r="D383" s="53"/>
      <c r="E383" s="62" t="s">
        <v>4587</v>
      </c>
      <c r="F383" s="55"/>
      <c r="G383" s="55"/>
      <c r="H383" s="25" t="s">
        <v>2942</v>
      </c>
      <c r="I383" s="24" t="s">
        <v>4588</v>
      </c>
      <c r="J383" s="35" t="s">
        <v>3193</v>
      </c>
      <c r="K383" s="35"/>
    </row>
    <row r="384" spans="1:11" ht="14.25" x14ac:dyDescent="0.45">
      <c r="A384" s="61"/>
      <c r="B384" s="51" t="s">
        <v>4589</v>
      </c>
      <c r="C384" s="51"/>
      <c r="D384" s="51"/>
      <c r="E384" s="62" t="s">
        <v>4590</v>
      </c>
      <c r="F384" s="62"/>
      <c r="G384" s="62"/>
      <c r="H384" s="25" t="s">
        <v>2942</v>
      </c>
      <c r="I384" s="24" t="s">
        <v>4591</v>
      </c>
      <c r="J384" s="24"/>
      <c r="K384" s="24"/>
    </row>
    <row r="385" spans="1:11" ht="14.25" x14ac:dyDescent="0.45">
      <c r="A385" s="61"/>
      <c r="B385" s="51" t="s">
        <v>4592</v>
      </c>
      <c r="C385" s="51"/>
      <c r="D385" s="51"/>
      <c r="E385" s="62" t="s">
        <v>4593</v>
      </c>
      <c r="F385" s="62"/>
      <c r="G385" s="62"/>
      <c r="H385" s="25" t="s">
        <v>2942</v>
      </c>
      <c r="I385" s="24" t="s">
        <v>4594</v>
      </c>
      <c r="J385" s="24"/>
      <c r="K385" s="24"/>
    </row>
    <row r="386" spans="1:11" ht="14.25" x14ac:dyDescent="0.45">
      <c r="A386" s="61"/>
      <c r="B386" s="51" t="s">
        <v>4595</v>
      </c>
      <c r="C386" s="51"/>
      <c r="D386" s="51"/>
      <c r="E386" s="62" t="s">
        <v>4596</v>
      </c>
      <c r="F386" s="62"/>
      <c r="G386" s="62"/>
      <c r="H386" s="25" t="s">
        <v>2942</v>
      </c>
      <c r="I386" s="24" t="s">
        <v>4597</v>
      </c>
      <c r="J386" s="24"/>
      <c r="K386" s="24"/>
    </row>
    <row r="387" spans="1:11" ht="14.25" x14ac:dyDescent="0.45">
      <c r="A387" s="61"/>
      <c r="B387" s="51" t="s">
        <v>4598</v>
      </c>
      <c r="C387" s="51"/>
      <c r="D387" s="51"/>
      <c r="E387" s="62" t="s">
        <v>4599</v>
      </c>
      <c r="F387" s="62"/>
      <c r="G387" s="62"/>
      <c r="H387" s="25" t="s">
        <v>2942</v>
      </c>
      <c r="I387" s="24" t="s">
        <v>4600</v>
      </c>
      <c r="J387" s="24"/>
      <c r="K387" s="24"/>
    </row>
    <row r="388" spans="1:11" ht="14.25" x14ac:dyDescent="0.45">
      <c r="A388" s="63" t="s">
        <v>4601</v>
      </c>
      <c r="B388" s="51" t="s">
        <v>4602</v>
      </c>
      <c r="C388" s="53"/>
      <c r="D388" s="53"/>
      <c r="E388" s="62" t="s">
        <v>4603</v>
      </c>
      <c r="F388" s="55" t="s">
        <v>2970</v>
      </c>
      <c r="G388" s="55"/>
      <c r="H388" s="25" t="s">
        <v>2942</v>
      </c>
      <c r="I388" s="24" t="s">
        <v>4604</v>
      </c>
      <c r="J388" s="35" t="s">
        <v>3496</v>
      </c>
      <c r="K388" s="35"/>
    </row>
    <row r="389" spans="1:11" ht="14.25" x14ac:dyDescent="0.45">
      <c r="A389" s="63" t="s">
        <v>3689</v>
      </c>
      <c r="B389" s="51" t="s">
        <v>4605</v>
      </c>
      <c r="C389" s="53" t="s">
        <v>2895</v>
      </c>
      <c r="D389" s="53"/>
      <c r="E389" s="62" t="s">
        <v>4606</v>
      </c>
      <c r="F389" s="55"/>
      <c r="G389" s="55"/>
      <c r="H389" s="25" t="s">
        <v>2942</v>
      </c>
      <c r="I389" s="24" t="s">
        <v>4607</v>
      </c>
      <c r="J389" s="35"/>
      <c r="K389" s="35"/>
    </row>
    <row r="390" spans="1:11" ht="14.25" x14ac:dyDescent="0.45">
      <c r="A390" s="61"/>
      <c r="B390" s="51" t="s">
        <v>4608</v>
      </c>
      <c r="C390" s="51"/>
      <c r="D390" s="51"/>
      <c r="E390" s="62" t="s">
        <v>4609</v>
      </c>
      <c r="F390" s="62"/>
      <c r="G390" s="62"/>
      <c r="H390" s="25" t="s">
        <v>2942</v>
      </c>
      <c r="I390" s="24" t="s">
        <v>4610</v>
      </c>
      <c r="J390" s="24"/>
      <c r="K390" s="24"/>
    </row>
    <row r="391" spans="1:11" ht="14.25" x14ac:dyDescent="0.45">
      <c r="A391" s="61"/>
      <c r="B391" s="51" t="s">
        <v>4611</v>
      </c>
      <c r="C391" s="51"/>
      <c r="D391" s="51"/>
      <c r="E391" s="62" t="s">
        <v>4612</v>
      </c>
      <c r="F391" s="62"/>
      <c r="G391" s="62"/>
      <c r="H391" s="25" t="s">
        <v>2942</v>
      </c>
      <c r="I391" s="24" t="s">
        <v>4613</v>
      </c>
      <c r="J391" s="24"/>
      <c r="K391" s="24"/>
    </row>
    <row r="392" spans="1:11" ht="14.25" x14ac:dyDescent="0.45">
      <c r="A392" s="61"/>
      <c r="B392" s="51" t="s">
        <v>4614</v>
      </c>
      <c r="C392" s="65" t="s">
        <v>2903</v>
      </c>
      <c r="D392" s="68"/>
      <c r="E392" s="62" t="s">
        <v>4615</v>
      </c>
      <c r="F392" s="72"/>
      <c r="G392" s="72"/>
      <c r="H392" s="25" t="s">
        <v>2927</v>
      </c>
      <c r="I392" s="24" t="s">
        <v>4616</v>
      </c>
      <c r="J392" s="74"/>
      <c r="K392" s="74"/>
    </row>
    <row r="393" spans="1:11" ht="14.25" x14ac:dyDescent="0.45">
      <c r="A393" s="61"/>
      <c r="B393" s="51" t="s">
        <v>4617</v>
      </c>
      <c r="C393" s="51"/>
      <c r="D393" s="51"/>
      <c r="E393" s="62" t="s">
        <v>4618</v>
      </c>
      <c r="F393" s="62"/>
      <c r="G393" s="62"/>
      <c r="H393" s="25" t="s">
        <v>2927</v>
      </c>
      <c r="I393" s="24" t="s">
        <v>4619</v>
      </c>
      <c r="J393" s="24"/>
      <c r="K393" s="24"/>
    </row>
    <row r="394" spans="1:11" ht="14.25" x14ac:dyDescent="0.45">
      <c r="A394" s="61"/>
      <c r="B394" s="51" t="s">
        <v>4620</v>
      </c>
      <c r="C394" s="51"/>
      <c r="D394" s="51"/>
      <c r="E394" s="62" t="s">
        <v>4621</v>
      </c>
      <c r="F394" s="62"/>
      <c r="G394" s="62"/>
      <c r="H394" s="25" t="s">
        <v>3086</v>
      </c>
      <c r="I394" s="24" t="s">
        <v>4622</v>
      </c>
      <c r="J394" s="24"/>
      <c r="K394" s="24"/>
    </row>
    <row r="395" spans="1:11" ht="14.25" x14ac:dyDescent="0.45">
      <c r="A395" s="63" t="s">
        <v>4623</v>
      </c>
      <c r="B395" s="51" t="s">
        <v>4624</v>
      </c>
      <c r="C395" s="53" t="s">
        <v>3202</v>
      </c>
      <c r="D395" s="51"/>
      <c r="E395" s="62" t="s">
        <v>4625</v>
      </c>
      <c r="F395" s="62"/>
      <c r="G395" s="62"/>
      <c r="H395" s="25" t="s">
        <v>3086</v>
      </c>
      <c r="I395" s="24" t="s">
        <v>4626</v>
      </c>
      <c r="J395" s="24"/>
      <c r="K395" s="24"/>
    </row>
    <row r="396" spans="1:11" ht="14.25" x14ac:dyDescent="0.45">
      <c r="A396" s="63" t="s">
        <v>4627</v>
      </c>
      <c r="B396" s="51" t="s">
        <v>4628</v>
      </c>
      <c r="C396" s="51"/>
      <c r="D396" s="51"/>
      <c r="E396" s="62" t="s">
        <v>4629</v>
      </c>
      <c r="F396" s="55" t="s">
        <v>3218</v>
      </c>
      <c r="G396" s="62"/>
      <c r="H396" s="25" t="s">
        <v>3086</v>
      </c>
      <c r="I396" s="24" t="s">
        <v>4630</v>
      </c>
      <c r="J396" s="24"/>
      <c r="K396" s="24"/>
    </row>
    <row r="397" spans="1:11" ht="14.25" x14ac:dyDescent="0.45">
      <c r="A397" s="63" t="s">
        <v>4631</v>
      </c>
      <c r="B397" s="51" t="s">
        <v>4632</v>
      </c>
      <c r="C397" s="53"/>
      <c r="D397" s="53"/>
      <c r="E397" s="62" t="s">
        <v>4633</v>
      </c>
      <c r="F397" s="55"/>
      <c r="G397" s="55"/>
      <c r="H397" s="25" t="s">
        <v>3086</v>
      </c>
      <c r="I397" s="24" t="s">
        <v>4634</v>
      </c>
      <c r="J397" s="35"/>
      <c r="K397" s="35"/>
    </row>
    <row r="398" spans="1:11" ht="14.25" x14ac:dyDescent="0.45">
      <c r="A398" s="61"/>
      <c r="B398" s="51" t="s">
        <v>4635</v>
      </c>
      <c r="C398" s="51"/>
      <c r="D398" s="51"/>
      <c r="E398" s="62" t="s">
        <v>4636</v>
      </c>
      <c r="F398" s="62"/>
      <c r="G398" s="62"/>
      <c r="H398" s="25" t="s">
        <v>3086</v>
      </c>
      <c r="I398" s="24" t="s">
        <v>4637</v>
      </c>
      <c r="J398" s="24"/>
      <c r="K398" s="24"/>
    </row>
    <row r="399" spans="1:11" ht="14.25" x14ac:dyDescent="0.45">
      <c r="A399" s="61"/>
      <c r="B399" s="51" t="s">
        <v>4638</v>
      </c>
      <c r="C399" s="51"/>
      <c r="D399" s="51"/>
      <c r="E399" s="62" t="s">
        <v>4639</v>
      </c>
      <c r="F399" s="62"/>
      <c r="G399" s="62"/>
      <c r="H399" s="25" t="s">
        <v>3086</v>
      </c>
      <c r="I399" s="24" t="s">
        <v>4640</v>
      </c>
      <c r="J399" s="24"/>
      <c r="K399" s="24"/>
    </row>
    <row r="400" spans="1:11" ht="14.25" x14ac:dyDescent="0.45">
      <c r="A400" s="61"/>
      <c r="B400" s="51" t="s">
        <v>4641</v>
      </c>
      <c r="C400" s="51"/>
      <c r="D400" s="51"/>
      <c r="E400" s="62" t="s">
        <v>4642</v>
      </c>
      <c r="F400" s="62"/>
      <c r="G400" s="62"/>
      <c r="H400" s="25" t="s">
        <v>3086</v>
      </c>
      <c r="I400" s="24" t="s">
        <v>4643</v>
      </c>
      <c r="J400" s="24"/>
      <c r="K400" s="24"/>
    </row>
    <row r="401" spans="1:11" ht="14.25" x14ac:dyDescent="0.45">
      <c r="A401" s="63" t="s">
        <v>4644</v>
      </c>
      <c r="B401" s="51" t="s">
        <v>4645</v>
      </c>
      <c r="C401" s="53"/>
      <c r="D401" s="53"/>
      <c r="E401" s="62" t="s">
        <v>4646</v>
      </c>
      <c r="F401" s="55"/>
      <c r="G401" s="55"/>
      <c r="H401" s="25" t="s">
        <v>3086</v>
      </c>
      <c r="I401" s="24" t="s">
        <v>4647</v>
      </c>
      <c r="J401" s="35" t="s">
        <v>3285</v>
      </c>
      <c r="K401" s="35"/>
    </row>
    <row r="402" spans="1:11" ht="14.25" x14ac:dyDescent="0.45">
      <c r="A402" s="63" t="s">
        <v>4648</v>
      </c>
      <c r="B402" s="51" t="s">
        <v>4649</v>
      </c>
      <c r="C402" s="53"/>
      <c r="D402" s="53"/>
      <c r="E402" s="62" t="s">
        <v>4650</v>
      </c>
      <c r="F402" s="55"/>
      <c r="G402" s="55"/>
      <c r="H402" s="25" t="s">
        <v>2927</v>
      </c>
      <c r="I402" s="24" t="s">
        <v>4651</v>
      </c>
      <c r="J402" s="35"/>
      <c r="K402" s="35"/>
    </row>
    <row r="403" spans="1:11" ht="14.25" x14ac:dyDescent="0.45">
      <c r="A403" s="61"/>
      <c r="B403" s="51" t="s">
        <v>4652</v>
      </c>
      <c r="C403" s="51"/>
      <c r="D403" s="51"/>
      <c r="E403" s="62" t="s">
        <v>4653</v>
      </c>
      <c r="F403" s="62"/>
      <c r="G403" s="62"/>
      <c r="H403" s="25" t="s">
        <v>3086</v>
      </c>
      <c r="I403" s="24" t="s">
        <v>4654</v>
      </c>
      <c r="J403" s="24"/>
      <c r="K403" s="24"/>
    </row>
    <row r="404" spans="1:11" ht="14.25" x14ac:dyDescent="0.45">
      <c r="A404" s="63" t="s">
        <v>4655</v>
      </c>
      <c r="B404" s="51" t="s">
        <v>4656</v>
      </c>
      <c r="C404" s="53"/>
      <c r="D404" s="53"/>
      <c r="E404" s="62" t="s">
        <v>4657</v>
      </c>
      <c r="F404" s="55" t="s">
        <v>3264</v>
      </c>
      <c r="G404" s="55"/>
      <c r="H404" s="25" t="s">
        <v>3086</v>
      </c>
      <c r="I404" s="24" t="s">
        <v>4658</v>
      </c>
      <c r="J404" s="35"/>
      <c r="K404" s="35"/>
    </row>
    <row r="405" spans="1:11" ht="14.25" x14ac:dyDescent="0.45">
      <c r="A405" s="61"/>
      <c r="B405" s="51" t="s">
        <v>4659</v>
      </c>
      <c r="C405" s="51"/>
      <c r="D405" s="51"/>
      <c r="E405" s="62" t="s">
        <v>4660</v>
      </c>
      <c r="F405" s="62"/>
      <c r="G405" s="62"/>
      <c r="H405" s="25" t="s">
        <v>3086</v>
      </c>
      <c r="I405" s="24" t="s">
        <v>4661</v>
      </c>
      <c r="J405" s="24"/>
      <c r="K405" s="24"/>
    </row>
    <row r="406" spans="1:11" ht="14.25" x14ac:dyDescent="0.45">
      <c r="A406" s="61"/>
      <c r="B406" s="51" t="s">
        <v>4662</v>
      </c>
      <c r="C406" s="51"/>
      <c r="D406" s="51"/>
      <c r="E406" s="62" t="s">
        <v>4663</v>
      </c>
      <c r="F406" s="62"/>
      <c r="G406" s="62"/>
      <c r="H406" s="25" t="s">
        <v>2927</v>
      </c>
      <c r="I406" s="24" t="s">
        <v>4664</v>
      </c>
      <c r="J406" s="24"/>
      <c r="K406" s="24"/>
    </row>
    <row r="407" spans="1:11" ht="14.25" x14ac:dyDescent="0.45">
      <c r="A407" s="63" t="s">
        <v>4665</v>
      </c>
      <c r="B407" s="51" t="s">
        <v>4666</v>
      </c>
      <c r="C407" s="51"/>
      <c r="D407" s="51"/>
      <c r="E407" s="62" t="s">
        <v>4667</v>
      </c>
      <c r="F407" s="55" t="s">
        <v>3208</v>
      </c>
      <c r="G407" s="62"/>
      <c r="H407" s="25" t="s">
        <v>3086</v>
      </c>
      <c r="I407" s="24" t="s">
        <v>4668</v>
      </c>
      <c r="J407" s="24"/>
      <c r="K407" s="24"/>
    </row>
    <row r="408" spans="1:11" ht="14.25" x14ac:dyDescent="0.45">
      <c r="A408" s="52"/>
      <c r="B408" s="51" t="e">
        <v>#VALUE!</v>
      </c>
      <c r="C408" s="53"/>
      <c r="D408" s="53"/>
      <c r="E408" s="62" t="e">
        <v>#VALUE!</v>
      </c>
      <c r="F408" s="55"/>
      <c r="G408" s="55"/>
      <c r="H408" s="25" t="e">
        <v>#VALUE!</v>
      </c>
      <c r="I408" s="24" t="s">
        <v>2927</v>
      </c>
      <c r="J408" s="35"/>
      <c r="K408" s="35"/>
    </row>
    <row r="409" spans="1:11" ht="14.25" x14ac:dyDescent="0.45">
      <c r="A409" s="63" t="s">
        <v>3952</v>
      </c>
      <c r="B409" s="51" t="s">
        <v>4669</v>
      </c>
      <c r="C409" s="53" t="s">
        <v>3954</v>
      </c>
      <c r="D409" s="53"/>
      <c r="E409" s="62" t="s">
        <v>4670</v>
      </c>
      <c r="F409" s="55"/>
      <c r="G409" s="55"/>
      <c r="H409" s="25" t="s">
        <v>3086</v>
      </c>
      <c r="I409" s="24" t="s">
        <v>4671</v>
      </c>
      <c r="J409" s="35"/>
      <c r="K409" s="35"/>
    </row>
    <row r="410" spans="1:11" ht="14.25" x14ac:dyDescent="0.45">
      <c r="A410" s="63" t="s">
        <v>4672</v>
      </c>
      <c r="B410" s="51" t="s">
        <v>4673</v>
      </c>
      <c r="C410" s="53"/>
      <c r="D410" s="53"/>
      <c r="E410" s="62" t="s">
        <v>4674</v>
      </c>
      <c r="F410" s="55"/>
      <c r="G410" s="55"/>
      <c r="H410" s="25" t="s">
        <v>3086</v>
      </c>
      <c r="I410" s="24" t="s">
        <v>4675</v>
      </c>
      <c r="J410" s="35"/>
      <c r="K410" s="35"/>
    </row>
    <row r="411" spans="1:11" ht="14.25" x14ac:dyDescent="0.45">
      <c r="A411" s="63" t="s">
        <v>4676</v>
      </c>
      <c r="B411" s="51" t="s">
        <v>4677</v>
      </c>
      <c r="C411" s="53"/>
      <c r="D411" s="53"/>
      <c r="E411" s="62" t="s">
        <v>4678</v>
      </c>
      <c r="F411" s="55"/>
      <c r="G411" s="55"/>
      <c r="H411" s="25" t="s">
        <v>3086</v>
      </c>
      <c r="I411" s="24" t="s">
        <v>4679</v>
      </c>
      <c r="J411" s="35"/>
      <c r="K411" s="35"/>
    </row>
    <row r="412" spans="1:11" ht="14.25" x14ac:dyDescent="0.45">
      <c r="A412" s="63" t="s">
        <v>4623</v>
      </c>
      <c r="B412" s="51" t="s">
        <v>4680</v>
      </c>
      <c r="C412" s="53" t="s">
        <v>3202</v>
      </c>
      <c r="D412" s="53"/>
      <c r="E412" s="62" t="s">
        <v>4681</v>
      </c>
      <c r="F412" s="55"/>
      <c r="G412" s="55"/>
      <c r="H412" s="25" t="s">
        <v>3086</v>
      </c>
      <c r="I412" s="24" t="s">
        <v>4682</v>
      </c>
      <c r="J412" s="35"/>
      <c r="K412" s="35"/>
    </row>
    <row r="413" spans="1:11" ht="14.25" x14ac:dyDescent="0.45">
      <c r="A413" s="63" t="s">
        <v>4683</v>
      </c>
      <c r="B413" s="51" t="s">
        <v>4684</v>
      </c>
      <c r="C413" s="65" t="s">
        <v>2903</v>
      </c>
      <c r="D413" s="53"/>
      <c r="E413" s="62" t="s">
        <v>4685</v>
      </c>
      <c r="F413" s="55"/>
      <c r="G413" s="55"/>
      <c r="H413" s="25" t="s">
        <v>3086</v>
      </c>
      <c r="I413" s="24" t="s">
        <v>4686</v>
      </c>
      <c r="J413" s="35"/>
      <c r="K413" s="35"/>
    </row>
    <row r="414" spans="1:11" ht="14.25" x14ac:dyDescent="0.45">
      <c r="A414" s="63" t="s">
        <v>4687</v>
      </c>
      <c r="B414" s="51" t="s">
        <v>4688</v>
      </c>
      <c r="C414" s="53"/>
      <c r="D414" s="53"/>
      <c r="E414" s="62" t="s">
        <v>4689</v>
      </c>
      <c r="F414" s="55"/>
      <c r="G414" s="55"/>
      <c r="H414" s="25" t="s">
        <v>3086</v>
      </c>
      <c r="I414" s="24" t="s">
        <v>4690</v>
      </c>
      <c r="J414" s="35"/>
      <c r="K414" s="35"/>
    </row>
    <row r="415" spans="1:11" ht="14.25" x14ac:dyDescent="0.45">
      <c r="A415" s="61"/>
      <c r="B415" s="51" t="s">
        <v>4691</v>
      </c>
      <c r="C415" s="51"/>
      <c r="D415" s="51"/>
      <c r="E415" s="62" t="s">
        <v>4692</v>
      </c>
      <c r="F415" s="62"/>
      <c r="G415" s="62"/>
      <c r="H415" s="25" t="s">
        <v>3086</v>
      </c>
      <c r="I415" s="24" t="s">
        <v>4693</v>
      </c>
      <c r="J415" s="24"/>
      <c r="K415" s="24"/>
    </row>
    <row r="416" spans="1:11" ht="14.25" x14ac:dyDescent="0.45">
      <c r="A416" s="61"/>
      <c r="B416" s="51" t="s">
        <v>4694</v>
      </c>
      <c r="C416" s="51"/>
      <c r="D416" s="51"/>
      <c r="E416" s="62" t="s">
        <v>4695</v>
      </c>
      <c r="F416" s="62"/>
      <c r="G416" s="62"/>
      <c r="H416" s="25" t="s">
        <v>3086</v>
      </c>
      <c r="I416" s="24" t="s">
        <v>4696</v>
      </c>
      <c r="J416" s="24"/>
      <c r="K416" s="24"/>
    </row>
    <row r="417" spans="1:11" ht="14.25" x14ac:dyDescent="0.45">
      <c r="A417" s="63" t="s">
        <v>4697</v>
      </c>
      <c r="B417" s="51" t="s">
        <v>4698</v>
      </c>
      <c r="C417" s="53" t="s">
        <v>2870</v>
      </c>
      <c r="D417" s="53"/>
      <c r="E417" s="62" t="s">
        <v>4699</v>
      </c>
      <c r="F417" s="55" t="s">
        <v>3150</v>
      </c>
      <c r="G417" s="55"/>
      <c r="H417" s="25" t="s">
        <v>3086</v>
      </c>
      <c r="I417" s="24" t="s">
        <v>4700</v>
      </c>
      <c r="J417" s="35"/>
      <c r="K417" s="35"/>
    </row>
    <row r="418" spans="1:11" ht="14.25" x14ac:dyDescent="0.45">
      <c r="A418" s="63" t="s">
        <v>4701</v>
      </c>
      <c r="B418" s="51" t="s">
        <v>4702</v>
      </c>
      <c r="C418" s="65"/>
      <c r="D418" s="65"/>
      <c r="E418" s="62" t="s">
        <v>4703</v>
      </c>
      <c r="F418" s="66"/>
      <c r="G418" s="66"/>
      <c r="H418" s="25" t="s">
        <v>2927</v>
      </c>
      <c r="I418" s="24" t="s">
        <v>3357</v>
      </c>
      <c r="J418" s="32"/>
      <c r="K418" s="32"/>
    </row>
    <row r="419" spans="1:11" ht="14.25" x14ac:dyDescent="0.45">
      <c r="A419" s="63" t="s">
        <v>4704</v>
      </c>
      <c r="B419" s="51" t="s">
        <v>4705</v>
      </c>
      <c r="C419" s="53"/>
      <c r="D419" s="53"/>
      <c r="E419" s="62" t="s">
        <v>4706</v>
      </c>
      <c r="F419" s="55"/>
      <c r="G419" s="55"/>
      <c r="H419" s="25" t="s">
        <v>3086</v>
      </c>
      <c r="I419" s="24" t="s">
        <v>4707</v>
      </c>
      <c r="J419" s="35" t="s">
        <v>2973</v>
      </c>
      <c r="K419" s="35"/>
    </row>
    <row r="420" spans="1:11" ht="14.25" x14ac:dyDescent="0.45">
      <c r="A420" s="63" t="s">
        <v>4708</v>
      </c>
      <c r="B420" s="51" t="s">
        <v>4709</v>
      </c>
      <c r="C420" s="53"/>
      <c r="D420" s="53"/>
      <c r="E420" s="62" t="s">
        <v>4710</v>
      </c>
      <c r="F420" s="55"/>
      <c r="G420" s="55"/>
      <c r="H420" s="25" t="s">
        <v>3086</v>
      </c>
      <c r="I420" s="24" t="s">
        <v>4711</v>
      </c>
      <c r="J420" s="35"/>
      <c r="K420" s="35"/>
    </row>
    <row r="421" spans="1:11" ht="14.25" x14ac:dyDescent="0.45">
      <c r="A421" s="63" t="s">
        <v>4712</v>
      </c>
      <c r="B421" s="51" t="s">
        <v>4713</v>
      </c>
      <c r="C421" s="51"/>
      <c r="D421" s="51"/>
      <c r="E421" s="62" t="s">
        <v>4714</v>
      </c>
      <c r="F421" s="62"/>
      <c r="G421" s="62"/>
      <c r="H421" s="25" t="s">
        <v>3086</v>
      </c>
      <c r="I421" s="24" t="s">
        <v>4715</v>
      </c>
      <c r="J421" s="24"/>
      <c r="K421" s="24"/>
    </row>
    <row r="422" spans="1:11" ht="14.25" x14ac:dyDescent="0.45">
      <c r="A422" s="63" t="s">
        <v>4716</v>
      </c>
      <c r="B422" s="51" t="s">
        <v>4717</v>
      </c>
      <c r="C422" s="53"/>
      <c r="D422" s="53"/>
      <c r="E422" s="62" t="s">
        <v>4718</v>
      </c>
      <c r="F422" s="55"/>
      <c r="G422" s="55"/>
      <c r="H422" s="25" t="s">
        <v>3086</v>
      </c>
      <c r="I422" s="24" t="s">
        <v>4719</v>
      </c>
      <c r="J422" s="35"/>
      <c r="K422" s="35"/>
    </row>
    <row r="423" spans="1:11" ht="14.25" x14ac:dyDescent="0.45">
      <c r="A423" s="61"/>
      <c r="B423" s="51" t="s">
        <v>4720</v>
      </c>
      <c r="C423" s="51"/>
      <c r="D423" s="51"/>
      <c r="E423" s="62" t="s">
        <v>4721</v>
      </c>
      <c r="F423" s="62"/>
      <c r="G423" s="62"/>
      <c r="H423" s="25" t="s">
        <v>3086</v>
      </c>
      <c r="I423" s="24" t="s">
        <v>4722</v>
      </c>
      <c r="J423" s="24"/>
      <c r="K423" s="24"/>
    </row>
    <row r="424" spans="1:11" ht="14.25" x14ac:dyDescent="0.45">
      <c r="A424" s="63" t="s">
        <v>4723</v>
      </c>
      <c r="B424" s="51" t="s">
        <v>4724</v>
      </c>
      <c r="C424" s="53"/>
      <c r="D424" s="53"/>
      <c r="E424" s="62" t="s">
        <v>4725</v>
      </c>
      <c r="F424" s="55"/>
      <c r="G424" s="55"/>
      <c r="H424" s="25" t="s">
        <v>3086</v>
      </c>
      <c r="I424" s="24" t="s">
        <v>4726</v>
      </c>
      <c r="J424" s="35"/>
      <c r="K424" s="35"/>
    </row>
    <row r="425" spans="1:11" ht="14.25" x14ac:dyDescent="0.45">
      <c r="A425" s="61"/>
      <c r="B425" s="51" t="s">
        <v>4727</v>
      </c>
      <c r="C425" s="51"/>
      <c r="D425" s="51"/>
      <c r="E425" s="62" t="s">
        <v>4728</v>
      </c>
      <c r="F425" s="62"/>
      <c r="G425" s="62"/>
      <c r="H425" s="25" t="s">
        <v>3086</v>
      </c>
      <c r="I425" s="24" t="s">
        <v>4729</v>
      </c>
      <c r="J425" s="24"/>
      <c r="K425" s="24"/>
    </row>
    <row r="426" spans="1:11" ht="14.25" x14ac:dyDescent="0.45">
      <c r="A426" s="63" t="s">
        <v>4730</v>
      </c>
      <c r="B426" s="51" t="s">
        <v>4731</v>
      </c>
      <c r="C426" s="53"/>
      <c r="D426" s="53"/>
      <c r="E426" s="62" t="s">
        <v>4732</v>
      </c>
      <c r="F426" s="55"/>
      <c r="G426" s="55"/>
      <c r="H426" s="25" t="s">
        <v>3086</v>
      </c>
      <c r="I426" s="24" t="s">
        <v>4733</v>
      </c>
      <c r="J426" s="35"/>
      <c r="K426" s="35"/>
    </row>
    <row r="427" spans="1:11" ht="14.25" x14ac:dyDescent="0.45">
      <c r="A427" s="63" t="s">
        <v>4734</v>
      </c>
      <c r="B427" s="51" t="s">
        <v>4735</v>
      </c>
      <c r="C427" s="67" t="s">
        <v>3155</v>
      </c>
      <c r="D427" s="53"/>
      <c r="E427" s="62" t="s">
        <v>4736</v>
      </c>
      <c r="F427" s="55" t="s">
        <v>3091</v>
      </c>
      <c r="G427" s="55"/>
      <c r="H427" s="25" t="s">
        <v>3086</v>
      </c>
      <c r="I427" s="24" t="s">
        <v>4737</v>
      </c>
      <c r="J427" s="35" t="s">
        <v>3002</v>
      </c>
      <c r="K427" s="35"/>
    </row>
    <row r="428" spans="1:11" ht="14.25" x14ac:dyDescent="0.45">
      <c r="A428" s="63" t="s">
        <v>4738</v>
      </c>
      <c r="B428" s="51" t="s">
        <v>4739</v>
      </c>
      <c r="C428" s="53"/>
      <c r="D428" s="53"/>
      <c r="E428" s="62" t="s">
        <v>4740</v>
      </c>
      <c r="F428" s="55"/>
      <c r="G428" s="55"/>
      <c r="H428" s="25" t="s">
        <v>3086</v>
      </c>
      <c r="I428" s="24" t="s">
        <v>4741</v>
      </c>
      <c r="J428" s="35" t="s">
        <v>4156</v>
      </c>
      <c r="K428" s="35"/>
    </row>
    <row r="429" spans="1:11" ht="14.25" x14ac:dyDescent="0.45">
      <c r="A429" s="63" t="s">
        <v>4742</v>
      </c>
      <c r="B429" s="51" t="s">
        <v>4743</v>
      </c>
      <c r="C429" s="53"/>
      <c r="D429" s="53"/>
      <c r="E429" s="62" t="s">
        <v>4744</v>
      </c>
      <c r="F429" s="55"/>
      <c r="G429" s="55"/>
      <c r="H429" s="25" t="s">
        <v>3086</v>
      </c>
      <c r="I429" s="24" t="s">
        <v>4745</v>
      </c>
      <c r="J429" s="35" t="s">
        <v>3167</v>
      </c>
      <c r="K429" s="35"/>
    </row>
    <row r="430" spans="1:11" ht="14.25" x14ac:dyDescent="0.45">
      <c r="A430" s="63" t="s">
        <v>4746</v>
      </c>
      <c r="B430" s="51" t="s">
        <v>4747</v>
      </c>
      <c r="C430" s="53"/>
      <c r="D430" s="53"/>
      <c r="E430" s="62" t="s">
        <v>4748</v>
      </c>
      <c r="F430" s="55" t="s">
        <v>3507</v>
      </c>
      <c r="G430" s="55"/>
      <c r="H430" s="25" t="s">
        <v>3086</v>
      </c>
      <c r="I430" s="24" t="s">
        <v>4749</v>
      </c>
      <c r="J430" s="35"/>
      <c r="K430" s="35"/>
    </row>
    <row r="431" spans="1:11" ht="14.25" x14ac:dyDescent="0.45">
      <c r="A431" s="63" t="s">
        <v>4750</v>
      </c>
      <c r="B431" s="51" t="s">
        <v>4751</v>
      </c>
      <c r="C431" s="77" t="s">
        <v>4389</v>
      </c>
      <c r="D431" s="51"/>
      <c r="E431" s="62" t="s">
        <v>4752</v>
      </c>
      <c r="F431" s="62"/>
      <c r="G431" s="62"/>
      <c r="H431" s="25" t="s">
        <v>3086</v>
      </c>
      <c r="I431" s="24" t="s">
        <v>4753</v>
      </c>
      <c r="J431" s="24"/>
      <c r="K431" s="24"/>
    </row>
    <row r="432" spans="1:11" ht="14.25" x14ac:dyDescent="0.45">
      <c r="A432" s="63" t="s">
        <v>4754</v>
      </c>
      <c r="B432" s="51" t="s">
        <v>4755</v>
      </c>
      <c r="C432" s="51"/>
      <c r="D432" s="51"/>
      <c r="E432" s="62" t="s">
        <v>4756</v>
      </c>
      <c r="F432" s="55" t="s">
        <v>3091</v>
      </c>
      <c r="G432" s="62"/>
      <c r="H432" s="25" t="s">
        <v>3086</v>
      </c>
      <c r="I432" s="24" t="s">
        <v>4757</v>
      </c>
      <c r="J432" s="24"/>
      <c r="K432" s="24"/>
    </row>
    <row r="433" spans="1:11" ht="14.25" x14ac:dyDescent="0.45">
      <c r="A433" s="61"/>
      <c r="B433" s="51" t="s">
        <v>4758</v>
      </c>
      <c r="C433" s="51"/>
      <c r="D433" s="51"/>
      <c r="E433" s="62" t="s">
        <v>4759</v>
      </c>
      <c r="F433" s="62"/>
      <c r="G433" s="62"/>
      <c r="H433" s="25" t="s">
        <v>3086</v>
      </c>
      <c r="I433" s="24" t="s">
        <v>4760</v>
      </c>
      <c r="J433" s="24"/>
      <c r="K433" s="24"/>
    </row>
    <row r="434" spans="1:11" ht="14.25" x14ac:dyDescent="0.45">
      <c r="A434" s="61"/>
      <c r="B434" s="51" t="s">
        <v>4761</v>
      </c>
      <c r="C434" s="51"/>
      <c r="D434" s="51"/>
      <c r="E434" s="62" t="s">
        <v>4762</v>
      </c>
      <c r="F434" s="62"/>
      <c r="G434" s="62"/>
      <c r="H434" s="25" t="s">
        <v>3086</v>
      </c>
      <c r="I434" s="24" t="s">
        <v>4763</v>
      </c>
      <c r="J434" s="24"/>
      <c r="K434" s="24"/>
    </row>
    <row r="435" spans="1:11" ht="14.25" x14ac:dyDescent="0.45">
      <c r="A435" s="61"/>
      <c r="B435" s="51" t="e">
        <v>#VALUE!</v>
      </c>
      <c r="C435" s="51"/>
      <c r="D435" s="51"/>
      <c r="E435" s="62" t="e">
        <v>#VALUE!</v>
      </c>
      <c r="F435" s="62"/>
      <c r="G435" s="62"/>
      <c r="H435" s="25" t="e">
        <v>#VALUE!</v>
      </c>
      <c r="I435" s="24" t="s">
        <v>2927</v>
      </c>
      <c r="J435" s="24"/>
      <c r="K435" s="24"/>
    </row>
    <row r="436" spans="1:11" ht="14.25" x14ac:dyDescent="0.45">
      <c r="A436" s="63" t="s">
        <v>3906</v>
      </c>
      <c r="B436" s="51" t="s">
        <v>4764</v>
      </c>
      <c r="C436" s="51"/>
      <c r="D436" s="51"/>
      <c r="E436" s="62" t="s">
        <v>4765</v>
      </c>
      <c r="F436" s="55" t="s">
        <v>3909</v>
      </c>
      <c r="G436" s="62"/>
      <c r="H436" s="25" t="s">
        <v>3086</v>
      </c>
      <c r="I436" s="24" t="s">
        <v>4766</v>
      </c>
      <c r="J436" s="24"/>
      <c r="K436" s="24"/>
    </row>
    <row r="437" spans="1:11" ht="14.25" x14ac:dyDescent="0.45">
      <c r="A437" s="61"/>
      <c r="B437" s="51" t="s">
        <v>4767</v>
      </c>
      <c r="C437" s="51"/>
      <c r="D437" s="51"/>
      <c r="E437" s="62" t="s">
        <v>4768</v>
      </c>
      <c r="F437" s="62"/>
      <c r="G437" s="62"/>
      <c r="H437" s="25" t="s">
        <v>3086</v>
      </c>
      <c r="I437" s="24" t="s">
        <v>4769</v>
      </c>
      <c r="J437" s="24"/>
      <c r="K437" s="24"/>
    </row>
    <row r="438" spans="1:11" ht="14.25" x14ac:dyDescent="0.45">
      <c r="A438" s="61"/>
      <c r="B438" s="51" t="s">
        <v>4770</v>
      </c>
      <c r="C438" s="51"/>
      <c r="D438" s="51"/>
      <c r="E438" s="62" t="s">
        <v>4771</v>
      </c>
      <c r="F438" s="62"/>
      <c r="G438" s="62"/>
      <c r="H438" s="25" t="s">
        <v>3086</v>
      </c>
      <c r="I438" s="24" t="s">
        <v>4772</v>
      </c>
      <c r="J438" s="24"/>
      <c r="K438" s="24"/>
    </row>
    <row r="439" spans="1:11" ht="14.25" x14ac:dyDescent="0.45">
      <c r="A439" s="63" t="s">
        <v>3738</v>
      </c>
      <c r="B439" s="51" t="s">
        <v>4773</v>
      </c>
      <c r="C439" s="67" t="s">
        <v>3155</v>
      </c>
      <c r="D439" s="51"/>
      <c r="E439" s="62" t="s">
        <v>4774</v>
      </c>
      <c r="F439" s="62"/>
      <c r="G439" s="62"/>
      <c r="H439" s="25" t="s">
        <v>3086</v>
      </c>
      <c r="I439" s="24" t="s">
        <v>4775</v>
      </c>
      <c r="J439" s="24"/>
      <c r="K439" s="24"/>
    </row>
    <row r="440" spans="1:11" ht="14.25" x14ac:dyDescent="0.45">
      <c r="A440" s="61"/>
      <c r="B440" s="51" t="s">
        <v>4776</v>
      </c>
      <c r="C440" s="51"/>
      <c r="D440" s="51"/>
      <c r="E440" s="62" t="s">
        <v>4777</v>
      </c>
      <c r="F440" s="62"/>
      <c r="G440" s="62"/>
      <c r="H440" s="25" t="s">
        <v>3086</v>
      </c>
      <c r="I440" s="24" t="s">
        <v>4778</v>
      </c>
      <c r="J440" s="24"/>
      <c r="K440" s="24"/>
    </row>
    <row r="441" spans="1:11" ht="14.25" x14ac:dyDescent="0.45">
      <c r="A441" s="63" t="s">
        <v>4779</v>
      </c>
      <c r="B441" s="51" t="s">
        <v>4780</v>
      </c>
      <c r="C441" s="53"/>
      <c r="D441" s="53"/>
      <c r="E441" s="62" t="s">
        <v>4781</v>
      </c>
      <c r="F441" s="55"/>
      <c r="G441" s="55"/>
      <c r="H441" s="25" t="s">
        <v>2927</v>
      </c>
      <c r="I441" s="24" t="s">
        <v>4782</v>
      </c>
      <c r="J441" s="35"/>
      <c r="K441" s="35"/>
    </row>
    <row r="442" spans="1:11" ht="14.25" x14ac:dyDescent="0.45">
      <c r="A442" s="63" t="s">
        <v>3504</v>
      </c>
      <c r="B442" s="51" t="s">
        <v>4783</v>
      </c>
      <c r="C442" s="53"/>
      <c r="D442" s="53"/>
      <c r="E442" s="62" t="s">
        <v>4784</v>
      </c>
      <c r="F442" s="55"/>
      <c r="G442" s="55"/>
      <c r="H442" s="25" t="s">
        <v>2927</v>
      </c>
      <c r="I442" s="24" t="s">
        <v>4785</v>
      </c>
      <c r="J442" s="35" t="s">
        <v>3755</v>
      </c>
      <c r="K442" s="35"/>
    </row>
    <row r="443" spans="1:11" ht="14.25" x14ac:dyDescent="0.45">
      <c r="A443" s="63" t="s">
        <v>4000</v>
      </c>
      <c r="B443" s="51" t="s">
        <v>4786</v>
      </c>
      <c r="C443" s="53"/>
      <c r="D443" s="53"/>
      <c r="E443" s="62" t="s">
        <v>4787</v>
      </c>
      <c r="F443" s="55" t="s">
        <v>3193</v>
      </c>
      <c r="G443" s="55"/>
      <c r="H443" s="25" t="s">
        <v>3086</v>
      </c>
      <c r="I443" s="24" t="s">
        <v>4788</v>
      </c>
      <c r="J443" s="35" t="s">
        <v>3244</v>
      </c>
      <c r="K443" s="35"/>
    </row>
    <row r="444" spans="1:11" ht="14.25" x14ac:dyDescent="0.45">
      <c r="A444" s="61"/>
      <c r="B444" s="51" t="s">
        <v>4789</v>
      </c>
      <c r="C444" s="68"/>
      <c r="D444" s="68"/>
      <c r="E444" s="62" t="s">
        <v>4790</v>
      </c>
      <c r="F444" s="72"/>
      <c r="G444" s="72"/>
      <c r="H444" s="25" t="s">
        <v>2927</v>
      </c>
      <c r="I444" s="24" t="s">
        <v>4791</v>
      </c>
      <c r="J444" s="74"/>
      <c r="K444" s="74"/>
    </row>
    <row r="445" spans="1:11" ht="14.25" x14ac:dyDescent="0.45">
      <c r="A445" s="63" t="s">
        <v>4792</v>
      </c>
      <c r="B445" s="51" t="s">
        <v>4793</v>
      </c>
      <c r="C445" s="67" t="s">
        <v>3155</v>
      </c>
      <c r="D445" s="53"/>
      <c r="E445" s="62" t="s">
        <v>4794</v>
      </c>
      <c r="F445" s="55"/>
      <c r="G445" s="55"/>
      <c r="H445" s="25" t="s">
        <v>3086</v>
      </c>
      <c r="I445" s="24" t="s">
        <v>4795</v>
      </c>
      <c r="J445" s="35"/>
      <c r="K445" s="35"/>
    </row>
    <row r="446" spans="1:11" ht="14.25" x14ac:dyDescent="0.45">
      <c r="A446" s="61"/>
      <c r="B446" s="51" t="s">
        <v>4796</v>
      </c>
      <c r="C446" s="51"/>
      <c r="D446" s="51"/>
      <c r="E446" s="62" t="s">
        <v>4797</v>
      </c>
      <c r="F446" s="62"/>
      <c r="G446" s="62"/>
      <c r="H446" s="25" t="s">
        <v>3086</v>
      </c>
      <c r="I446" s="24" t="s">
        <v>4798</v>
      </c>
      <c r="J446" s="24"/>
      <c r="K446" s="24"/>
    </row>
    <row r="447" spans="1:11" ht="14.25" x14ac:dyDescent="0.45">
      <c r="A447" s="63" t="s">
        <v>4799</v>
      </c>
      <c r="B447" s="51" t="s">
        <v>4800</v>
      </c>
      <c r="C447" s="53" t="s">
        <v>3361</v>
      </c>
      <c r="D447" s="53"/>
      <c r="E447" s="62" t="s">
        <v>4801</v>
      </c>
      <c r="F447" s="55" t="s">
        <v>3408</v>
      </c>
      <c r="G447" s="55"/>
      <c r="H447" s="25" t="s">
        <v>3086</v>
      </c>
      <c r="I447" s="24" t="s">
        <v>4802</v>
      </c>
      <c r="J447" s="35"/>
      <c r="K447" s="35"/>
    </row>
    <row r="448" spans="1:11" ht="14.25" x14ac:dyDescent="0.45">
      <c r="A448" s="63" t="s">
        <v>4803</v>
      </c>
      <c r="B448" s="51" t="s">
        <v>4804</v>
      </c>
      <c r="C448" s="53"/>
      <c r="D448" s="53"/>
      <c r="E448" s="62" t="s">
        <v>4805</v>
      </c>
      <c r="F448" s="55"/>
      <c r="G448" s="55"/>
      <c r="H448" s="25" t="s">
        <v>3086</v>
      </c>
      <c r="I448" s="24" t="s">
        <v>4806</v>
      </c>
      <c r="J448" s="35"/>
      <c r="K448" s="35"/>
    </row>
    <row r="449" spans="1:11" ht="14.25" x14ac:dyDescent="0.45">
      <c r="A449" s="63" t="s">
        <v>4807</v>
      </c>
      <c r="B449" s="51" t="s">
        <v>4808</v>
      </c>
      <c r="C449" s="51"/>
      <c r="D449" s="51"/>
      <c r="E449" s="62" t="s">
        <v>4809</v>
      </c>
      <c r="F449" s="62"/>
      <c r="G449" s="62"/>
      <c r="H449" s="25" t="s">
        <v>3086</v>
      </c>
      <c r="I449" s="24" t="s">
        <v>4810</v>
      </c>
      <c r="J449" s="24"/>
      <c r="K449" s="24"/>
    </row>
    <row r="450" spans="1:11" ht="14.25" x14ac:dyDescent="0.45">
      <c r="A450" s="61"/>
      <c r="B450" s="51" t="s">
        <v>4811</v>
      </c>
      <c r="C450" s="51"/>
      <c r="D450" s="51"/>
      <c r="E450" s="62" t="s">
        <v>4812</v>
      </c>
      <c r="F450" s="62"/>
      <c r="G450" s="62"/>
      <c r="H450" s="25" t="s">
        <v>2927</v>
      </c>
      <c r="I450" s="24" t="s">
        <v>4813</v>
      </c>
      <c r="J450" s="24"/>
      <c r="K450" s="24"/>
    </row>
    <row r="451" spans="1:11" ht="14.25" x14ac:dyDescent="0.45">
      <c r="A451" s="63" t="s">
        <v>3856</v>
      </c>
      <c r="B451" s="51" t="s">
        <v>4814</v>
      </c>
      <c r="C451" s="53" t="s">
        <v>2869</v>
      </c>
      <c r="D451" s="53"/>
      <c r="E451" s="62" t="s">
        <v>4815</v>
      </c>
      <c r="F451" s="55"/>
      <c r="G451" s="55"/>
      <c r="H451" s="25" t="s">
        <v>3086</v>
      </c>
      <c r="I451" s="24" t="s">
        <v>4816</v>
      </c>
      <c r="J451" s="35"/>
      <c r="K451" s="35"/>
    </row>
    <row r="452" spans="1:11" ht="14.25" x14ac:dyDescent="0.45">
      <c r="A452" s="52"/>
      <c r="B452" s="51" t="s">
        <v>4817</v>
      </c>
      <c r="C452" s="81"/>
      <c r="D452" s="81"/>
      <c r="E452" s="62" t="s">
        <v>4818</v>
      </c>
      <c r="F452" s="82"/>
      <c r="G452" s="82"/>
      <c r="H452" s="25" t="s">
        <v>3086</v>
      </c>
      <c r="I452" s="24" t="s">
        <v>4819</v>
      </c>
      <c r="J452" s="83"/>
      <c r="K452" s="83"/>
    </row>
    <row r="453" spans="1:11" ht="14.25" x14ac:dyDescent="0.45">
      <c r="A453" s="61"/>
      <c r="B453" s="51" t="s">
        <v>4820</v>
      </c>
      <c r="C453" s="51"/>
      <c r="D453" s="51"/>
      <c r="E453" s="62" t="s">
        <v>4821</v>
      </c>
      <c r="F453" s="62"/>
      <c r="G453" s="62"/>
      <c r="H453" s="25" t="s">
        <v>3086</v>
      </c>
      <c r="I453" s="24" t="s">
        <v>4822</v>
      </c>
      <c r="J453" s="24"/>
      <c r="K453" s="24"/>
    </row>
    <row r="454" spans="1:11" ht="14.25" x14ac:dyDescent="0.45">
      <c r="A454" s="63" t="s">
        <v>4823</v>
      </c>
      <c r="B454" s="51" t="s">
        <v>4824</v>
      </c>
      <c r="C454" s="53"/>
      <c r="D454" s="53"/>
      <c r="E454" s="62" t="s">
        <v>4825</v>
      </c>
      <c r="F454" s="55"/>
      <c r="G454" s="55"/>
      <c r="H454" s="25" t="s">
        <v>3086</v>
      </c>
      <c r="I454" s="24" t="s">
        <v>4826</v>
      </c>
      <c r="J454" s="35" t="s">
        <v>4156</v>
      </c>
      <c r="K454" s="35"/>
    </row>
    <row r="455" spans="1:11" ht="14.25" x14ac:dyDescent="0.45">
      <c r="A455" s="63" t="s">
        <v>4623</v>
      </c>
      <c r="B455" s="51" t="s">
        <v>4827</v>
      </c>
      <c r="C455" s="51"/>
      <c r="D455" s="51"/>
      <c r="E455" s="62" t="s">
        <v>4828</v>
      </c>
      <c r="F455" s="62"/>
      <c r="G455" s="62"/>
      <c r="H455" s="25" t="s">
        <v>3086</v>
      </c>
      <c r="I455" s="24" t="s">
        <v>4829</v>
      </c>
      <c r="J455" s="24"/>
      <c r="K455" s="24"/>
    </row>
    <row r="456" spans="1:11" ht="14.25" x14ac:dyDescent="0.45">
      <c r="A456" s="61"/>
      <c r="B456" s="51" t="s">
        <v>4830</v>
      </c>
      <c r="C456" s="51"/>
      <c r="D456" s="51"/>
      <c r="E456" s="62" t="s">
        <v>4831</v>
      </c>
      <c r="F456" s="62"/>
      <c r="G456" s="62"/>
      <c r="H456" s="25" t="s">
        <v>3086</v>
      </c>
      <c r="I456" s="24" t="s">
        <v>4832</v>
      </c>
      <c r="J456" s="24"/>
      <c r="K456" s="24"/>
    </row>
    <row r="457" spans="1:11" ht="14.25" x14ac:dyDescent="0.45">
      <c r="A457" s="63" t="s">
        <v>4379</v>
      </c>
      <c r="B457" s="51" t="s">
        <v>4833</v>
      </c>
      <c r="C457" s="51"/>
      <c r="D457" s="51"/>
      <c r="E457" s="62" t="s">
        <v>4834</v>
      </c>
      <c r="F457" s="55" t="s">
        <v>4835</v>
      </c>
      <c r="G457" s="62"/>
      <c r="H457" s="25" t="s">
        <v>3086</v>
      </c>
      <c r="I457" s="24" t="s">
        <v>4836</v>
      </c>
      <c r="J457" s="24"/>
      <c r="K457" s="24"/>
    </row>
    <row r="458" spans="1:11" ht="14.25" x14ac:dyDescent="0.45">
      <c r="A458" s="63" t="s">
        <v>3856</v>
      </c>
      <c r="B458" s="51" t="s">
        <v>4837</v>
      </c>
      <c r="C458" s="53" t="s">
        <v>2869</v>
      </c>
      <c r="D458" s="51"/>
      <c r="E458" s="62" t="s">
        <v>4838</v>
      </c>
      <c r="F458" s="62"/>
      <c r="G458" s="62"/>
      <c r="H458" s="25" t="s">
        <v>3086</v>
      </c>
      <c r="I458" s="24" t="s">
        <v>4839</v>
      </c>
      <c r="J458" s="24"/>
      <c r="K458" s="24"/>
    </row>
    <row r="459" spans="1:11" ht="14.25" x14ac:dyDescent="0.45">
      <c r="A459" s="63" t="s">
        <v>4840</v>
      </c>
      <c r="B459" s="51" t="s">
        <v>4841</v>
      </c>
      <c r="C459" s="53"/>
      <c r="D459" s="53"/>
      <c r="E459" s="62" t="s">
        <v>4842</v>
      </c>
      <c r="F459" s="55"/>
      <c r="G459" s="55"/>
      <c r="H459" s="25" t="s">
        <v>3086</v>
      </c>
      <c r="I459" s="24" t="s">
        <v>4843</v>
      </c>
      <c r="J459" s="35"/>
      <c r="K459" s="35"/>
    </row>
    <row r="460" spans="1:11" ht="14.25" x14ac:dyDescent="0.45">
      <c r="A460" s="63" t="s">
        <v>4844</v>
      </c>
      <c r="B460" s="51" t="s">
        <v>4845</v>
      </c>
      <c r="C460" s="51"/>
      <c r="D460" s="51"/>
      <c r="E460" s="62" t="s">
        <v>4846</v>
      </c>
      <c r="F460" s="62"/>
      <c r="G460" s="62"/>
      <c r="H460" s="25" t="s">
        <v>3086</v>
      </c>
      <c r="I460" s="24" t="s">
        <v>4847</v>
      </c>
      <c r="J460" s="24"/>
      <c r="K460" s="24"/>
    </row>
    <row r="461" spans="1:11" ht="14.25" x14ac:dyDescent="0.45">
      <c r="A461" s="61"/>
      <c r="B461" s="51" t="s">
        <v>4848</v>
      </c>
      <c r="C461" s="51"/>
      <c r="D461" s="51"/>
      <c r="E461" s="62" t="s">
        <v>4849</v>
      </c>
      <c r="F461" s="62"/>
      <c r="G461" s="62"/>
      <c r="H461" s="25" t="s">
        <v>3086</v>
      </c>
      <c r="I461" s="24" t="s">
        <v>4850</v>
      </c>
      <c r="J461" s="35" t="s">
        <v>3545</v>
      </c>
      <c r="K461" s="24"/>
    </row>
    <row r="462" spans="1:11" ht="14.25" x14ac:dyDescent="0.45">
      <c r="A462" s="61"/>
      <c r="B462" s="51" t="e">
        <v>#VALUE!</v>
      </c>
      <c r="C462" s="51"/>
      <c r="D462" s="51"/>
      <c r="E462" s="62" t="e">
        <v>#VALUE!</v>
      </c>
      <c r="F462" s="62"/>
      <c r="G462" s="62"/>
      <c r="H462" s="25" t="e">
        <v>#VALUE!</v>
      </c>
      <c r="I462" s="24" t="s">
        <v>2927</v>
      </c>
      <c r="J462" s="24"/>
      <c r="K462" s="24"/>
    </row>
    <row r="463" spans="1:11" ht="14.25" x14ac:dyDescent="0.45">
      <c r="A463" s="63" t="s">
        <v>4851</v>
      </c>
      <c r="B463" s="51" t="s">
        <v>4852</v>
      </c>
      <c r="C463" s="53"/>
      <c r="D463" s="53"/>
      <c r="E463" s="62" t="s">
        <v>4853</v>
      </c>
      <c r="F463" s="55"/>
      <c r="G463" s="55"/>
      <c r="H463" s="25" t="s">
        <v>3086</v>
      </c>
      <c r="I463" s="24" t="s">
        <v>4854</v>
      </c>
      <c r="J463" s="35"/>
      <c r="K463" s="35"/>
    </row>
    <row r="464" spans="1:11" ht="14.25" x14ac:dyDescent="0.45">
      <c r="A464" s="63" t="s">
        <v>4855</v>
      </c>
      <c r="B464" s="51" t="s">
        <v>4856</v>
      </c>
      <c r="C464" s="51"/>
      <c r="D464" s="51"/>
      <c r="E464" s="62" t="s">
        <v>4857</v>
      </c>
      <c r="F464" s="62"/>
      <c r="G464" s="62"/>
      <c r="H464" s="25" t="s">
        <v>3086</v>
      </c>
      <c r="I464" s="24" t="s">
        <v>4858</v>
      </c>
      <c r="J464" s="24"/>
      <c r="K464" s="24"/>
    </row>
    <row r="465" spans="1:11" ht="14.25" x14ac:dyDescent="0.45">
      <c r="A465" s="63" t="s">
        <v>4859</v>
      </c>
      <c r="B465" s="51" t="s">
        <v>4860</v>
      </c>
      <c r="C465" s="51"/>
      <c r="D465" s="51"/>
      <c r="E465" s="62" t="s">
        <v>4861</v>
      </c>
      <c r="F465" s="73" t="s">
        <v>3989</v>
      </c>
      <c r="G465" s="62"/>
      <c r="H465" s="25" t="s">
        <v>3086</v>
      </c>
      <c r="I465" s="24" t="s">
        <v>4862</v>
      </c>
      <c r="J465" s="35" t="s">
        <v>3167</v>
      </c>
      <c r="K465" s="24"/>
    </row>
    <row r="466" spans="1:11" ht="14.25" x14ac:dyDescent="0.45">
      <c r="A466" s="63" t="s">
        <v>4863</v>
      </c>
      <c r="B466" s="51" t="s">
        <v>4864</v>
      </c>
      <c r="C466" s="53"/>
      <c r="D466" s="53"/>
      <c r="E466" s="62" t="s">
        <v>4865</v>
      </c>
      <c r="F466" s="55" t="s">
        <v>3909</v>
      </c>
      <c r="G466" s="55"/>
      <c r="H466" s="25" t="s">
        <v>3086</v>
      </c>
      <c r="I466" s="24" t="s">
        <v>4866</v>
      </c>
      <c r="J466" s="35"/>
      <c r="K466" s="35"/>
    </row>
    <row r="467" spans="1:11" ht="14.25" x14ac:dyDescent="0.45">
      <c r="A467" s="63" t="s">
        <v>4867</v>
      </c>
      <c r="B467" s="51" t="s">
        <v>4868</v>
      </c>
      <c r="C467" s="51"/>
      <c r="D467" s="51"/>
      <c r="E467" s="62" t="s">
        <v>4869</v>
      </c>
      <c r="F467" s="62"/>
      <c r="G467" s="62"/>
      <c r="H467" s="25" t="s">
        <v>3086</v>
      </c>
      <c r="I467" s="24" t="s">
        <v>4870</v>
      </c>
      <c r="J467" s="24"/>
      <c r="K467" s="24"/>
    </row>
    <row r="468" spans="1:11" ht="14.25" x14ac:dyDescent="0.45">
      <c r="A468" s="63" t="s">
        <v>4871</v>
      </c>
      <c r="B468" s="51" t="s">
        <v>4872</v>
      </c>
      <c r="C468" s="53"/>
      <c r="D468" s="53"/>
      <c r="E468" s="62" t="s">
        <v>4873</v>
      </c>
      <c r="F468" s="55" t="s">
        <v>4874</v>
      </c>
      <c r="G468" s="55"/>
      <c r="H468" s="25" t="s">
        <v>3086</v>
      </c>
      <c r="I468" s="24" t="s">
        <v>4875</v>
      </c>
      <c r="J468" s="35"/>
      <c r="K468" s="35"/>
    </row>
    <row r="469" spans="1:11" ht="14.25" x14ac:dyDescent="0.45">
      <c r="A469" s="63" t="s">
        <v>4876</v>
      </c>
      <c r="B469" s="51" t="s">
        <v>4877</v>
      </c>
      <c r="C469" s="53"/>
      <c r="D469" s="53"/>
      <c r="E469" s="62" t="s">
        <v>4878</v>
      </c>
      <c r="F469" s="55" t="s">
        <v>4040</v>
      </c>
      <c r="G469" s="55"/>
      <c r="H469" s="25" t="s">
        <v>2927</v>
      </c>
      <c r="I469" s="24" t="s">
        <v>4879</v>
      </c>
      <c r="J469" s="35"/>
      <c r="K469" s="35"/>
    </row>
    <row r="470" spans="1:11" ht="14.25" x14ac:dyDescent="0.45">
      <c r="A470" s="63" t="s">
        <v>4880</v>
      </c>
      <c r="B470" s="51" t="s">
        <v>4881</v>
      </c>
      <c r="C470" s="65"/>
      <c r="D470" s="65"/>
      <c r="E470" s="62" t="s">
        <v>4882</v>
      </c>
      <c r="F470" s="66"/>
      <c r="G470" s="66"/>
      <c r="H470" s="25" t="s">
        <v>2927</v>
      </c>
      <c r="I470" s="24" t="s">
        <v>4883</v>
      </c>
      <c r="J470" s="32"/>
      <c r="K470" s="32"/>
    </row>
    <row r="471" spans="1:11" ht="14.25" x14ac:dyDescent="0.45">
      <c r="A471" s="61"/>
      <c r="B471" s="51" t="s">
        <v>4884</v>
      </c>
      <c r="C471" s="51"/>
      <c r="D471" s="51"/>
      <c r="E471" s="62" t="s">
        <v>4885</v>
      </c>
      <c r="F471" s="62"/>
      <c r="G471" s="62"/>
      <c r="H471" s="25" t="s">
        <v>2927</v>
      </c>
      <c r="I471" s="24" t="s">
        <v>4886</v>
      </c>
      <c r="J471" s="24"/>
      <c r="K471" s="24"/>
    </row>
    <row r="472" spans="1:11" ht="14.25" x14ac:dyDescent="0.45">
      <c r="A472" s="63" t="s">
        <v>4887</v>
      </c>
      <c r="B472" s="51" t="s">
        <v>4888</v>
      </c>
      <c r="C472" s="53"/>
      <c r="D472" s="53"/>
      <c r="E472" s="62" t="s">
        <v>4889</v>
      </c>
      <c r="F472" s="55" t="s">
        <v>3069</v>
      </c>
      <c r="G472" s="55"/>
      <c r="H472" s="25" t="s">
        <v>3086</v>
      </c>
      <c r="I472" s="24" t="s">
        <v>4890</v>
      </c>
      <c r="J472" s="35"/>
      <c r="K472" s="35"/>
    </row>
    <row r="473" spans="1:11" ht="14.25" x14ac:dyDescent="0.45">
      <c r="A473" s="61"/>
      <c r="B473" s="51" t="s">
        <v>4891</v>
      </c>
      <c r="C473" s="51"/>
      <c r="D473" s="51"/>
      <c r="E473" s="62" t="s">
        <v>4892</v>
      </c>
      <c r="F473" s="62"/>
      <c r="G473" s="62"/>
      <c r="H473" s="25" t="s">
        <v>3086</v>
      </c>
      <c r="I473" s="24" t="s">
        <v>4893</v>
      </c>
      <c r="J473" s="35" t="s">
        <v>3545</v>
      </c>
      <c r="K473" s="24"/>
    </row>
    <row r="474" spans="1:11" ht="14.25" x14ac:dyDescent="0.45">
      <c r="A474" s="63" t="s">
        <v>4894</v>
      </c>
      <c r="B474" s="51" t="s">
        <v>4895</v>
      </c>
      <c r="C474" s="53"/>
      <c r="D474" s="53"/>
      <c r="E474" s="62" t="s">
        <v>4896</v>
      </c>
      <c r="F474" s="55"/>
      <c r="G474" s="55"/>
      <c r="H474" s="25" t="s">
        <v>3086</v>
      </c>
      <c r="I474" s="24" t="s">
        <v>4897</v>
      </c>
      <c r="J474" s="35"/>
      <c r="K474" s="35"/>
    </row>
    <row r="475" spans="1:11" ht="14.25" x14ac:dyDescent="0.45">
      <c r="A475" s="63" t="s">
        <v>4898</v>
      </c>
      <c r="B475" s="51" t="s">
        <v>4899</v>
      </c>
      <c r="C475" s="51"/>
      <c r="D475" s="51"/>
      <c r="E475" s="62" t="s">
        <v>4900</v>
      </c>
      <c r="F475" s="62"/>
      <c r="G475" s="62"/>
      <c r="H475" s="25" t="s">
        <v>3086</v>
      </c>
      <c r="I475" s="24" t="s">
        <v>4901</v>
      </c>
      <c r="J475" s="35" t="s">
        <v>3308</v>
      </c>
      <c r="K475" s="24"/>
    </row>
    <row r="476" spans="1:11" ht="14.25" x14ac:dyDescent="0.45">
      <c r="A476" s="63" t="s">
        <v>4902</v>
      </c>
      <c r="B476" s="51" t="s">
        <v>4903</v>
      </c>
      <c r="C476" s="53"/>
      <c r="D476" s="53"/>
      <c r="E476" s="62" t="s">
        <v>4904</v>
      </c>
      <c r="F476" s="55" t="s">
        <v>2970</v>
      </c>
      <c r="G476" s="55"/>
      <c r="H476" s="25" t="s">
        <v>3086</v>
      </c>
      <c r="I476" s="24" t="s">
        <v>4905</v>
      </c>
      <c r="J476" s="35" t="s">
        <v>3023</v>
      </c>
      <c r="K476" s="35"/>
    </row>
    <row r="477" spans="1:11" ht="14.25" x14ac:dyDescent="0.45">
      <c r="A477" s="63" t="s">
        <v>4906</v>
      </c>
      <c r="B477" s="51" t="s">
        <v>4907</v>
      </c>
      <c r="C477" s="53"/>
      <c r="D477" s="53"/>
      <c r="E477" s="62" t="s">
        <v>4908</v>
      </c>
      <c r="F477" s="55"/>
      <c r="G477" s="55"/>
      <c r="H477" s="25" t="s">
        <v>3086</v>
      </c>
      <c r="I477" s="24" t="s">
        <v>4909</v>
      </c>
      <c r="J477" s="35" t="s">
        <v>4910</v>
      </c>
      <c r="K477" s="35"/>
    </row>
    <row r="478" spans="1:11" ht="14.25" x14ac:dyDescent="0.45">
      <c r="A478" s="61"/>
      <c r="B478" s="51" t="s">
        <v>4911</v>
      </c>
      <c r="C478" s="51"/>
      <c r="D478" s="51"/>
      <c r="E478" s="62" t="s">
        <v>4912</v>
      </c>
      <c r="F478" s="62"/>
      <c r="G478" s="62"/>
      <c r="H478" s="25" t="s">
        <v>2927</v>
      </c>
      <c r="I478" s="24" t="s">
        <v>4913</v>
      </c>
      <c r="J478" s="24"/>
      <c r="K478" s="24"/>
    </row>
    <row r="479" spans="1:11" ht="14.25" x14ac:dyDescent="0.45">
      <c r="A479" s="63" t="s">
        <v>4914</v>
      </c>
      <c r="B479" s="51" t="s">
        <v>4915</v>
      </c>
      <c r="C479" s="51"/>
      <c r="D479" s="51"/>
      <c r="E479" s="62" t="s">
        <v>4916</v>
      </c>
      <c r="F479" s="62"/>
      <c r="G479" s="62"/>
      <c r="H479" s="25" t="s">
        <v>2927</v>
      </c>
      <c r="I479" s="24" t="s">
        <v>4917</v>
      </c>
      <c r="J479" s="24"/>
      <c r="K479" s="24"/>
    </row>
    <row r="480" spans="1:11" ht="14.25" x14ac:dyDescent="0.45">
      <c r="A480" s="63" t="s">
        <v>4918</v>
      </c>
      <c r="B480" s="51" t="s">
        <v>4919</v>
      </c>
      <c r="C480" s="51"/>
      <c r="D480" s="51"/>
      <c r="E480" s="62" t="s">
        <v>4920</v>
      </c>
      <c r="F480" s="62"/>
      <c r="G480" s="62"/>
      <c r="H480" s="25" t="s">
        <v>3086</v>
      </c>
      <c r="I480" s="24" t="s">
        <v>4921</v>
      </c>
      <c r="J480" s="35" t="s">
        <v>4156</v>
      </c>
      <c r="K480" s="24"/>
    </row>
    <row r="481" spans="1:11" ht="14.25" x14ac:dyDescent="0.45">
      <c r="A481" s="61"/>
      <c r="B481" s="51" t="s">
        <v>4922</v>
      </c>
      <c r="C481" s="51"/>
      <c r="D481" s="51"/>
      <c r="E481" s="62" t="s">
        <v>4923</v>
      </c>
      <c r="F481" s="62"/>
      <c r="G481" s="62"/>
      <c r="H481" s="25" t="s">
        <v>3086</v>
      </c>
      <c r="I481" s="24" t="s">
        <v>4924</v>
      </c>
      <c r="J481" s="35" t="s">
        <v>3111</v>
      </c>
      <c r="K481" s="24"/>
    </row>
    <row r="482" spans="1:11" ht="14.25" x14ac:dyDescent="0.45">
      <c r="A482" s="63" t="s">
        <v>4925</v>
      </c>
      <c r="B482" s="51" t="s">
        <v>4926</v>
      </c>
      <c r="C482" s="51"/>
      <c r="D482" s="51"/>
      <c r="E482" s="62" t="s">
        <v>4927</v>
      </c>
      <c r="F482" s="62"/>
      <c r="G482" s="62"/>
      <c r="H482" s="25" t="s">
        <v>3086</v>
      </c>
      <c r="I482" s="24" t="s">
        <v>4928</v>
      </c>
      <c r="J482" s="24"/>
      <c r="K482" s="24"/>
    </row>
    <row r="483" spans="1:11" ht="14.25" x14ac:dyDescent="0.45">
      <c r="A483" s="61"/>
      <c r="B483" s="51" t="s">
        <v>4929</v>
      </c>
      <c r="C483" s="51"/>
      <c r="D483" s="51"/>
      <c r="E483" s="62" t="s">
        <v>4930</v>
      </c>
      <c r="F483" s="62"/>
      <c r="G483" s="62"/>
      <c r="H483" s="25" t="s">
        <v>2927</v>
      </c>
      <c r="I483" s="24" t="s">
        <v>4931</v>
      </c>
      <c r="J483" s="24"/>
      <c r="K483" s="24"/>
    </row>
    <row r="484" spans="1:11" ht="14.25" x14ac:dyDescent="0.45">
      <c r="A484" s="63" t="s">
        <v>4932</v>
      </c>
      <c r="B484" s="51" t="s">
        <v>4933</v>
      </c>
      <c r="C484" s="53"/>
      <c r="D484" s="53"/>
      <c r="E484" s="62" t="s">
        <v>4934</v>
      </c>
      <c r="F484" s="55"/>
      <c r="G484" s="55"/>
      <c r="H484" s="25" t="s">
        <v>3086</v>
      </c>
      <c r="I484" s="24" t="s">
        <v>4935</v>
      </c>
      <c r="J484" s="35"/>
      <c r="K484" s="35"/>
    </row>
    <row r="485" spans="1:11" ht="14.25" x14ac:dyDescent="0.45">
      <c r="A485" s="63" t="s">
        <v>4936</v>
      </c>
      <c r="B485" s="51" t="s">
        <v>4937</v>
      </c>
      <c r="C485" s="51"/>
      <c r="D485" s="51"/>
      <c r="E485" s="62" t="s">
        <v>4938</v>
      </c>
      <c r="F485" s="62"/>
      <c r="G485" s="62"/>
      <c r="H485" s="25" t="s">
        <v>3086</v>
      </c>
      <c r="I485" s="24" t="s">
        <v>4939</v>
      </c>
      <c r="J485" s="24"/>
      <c r="K485" s="24"/>
    </row>
    <row r="486" spans="1:11" ht="14.25" x14ac:dyDescent="0.45">
      <c r="A486" s="61"/>
      <c r="B486" s="51" t="s">
        <v>4940</v>
      </c>
      <c r="C486" s="51"/>
      <c r="D486" s="51"/>
      <c r="E486" s="62" t="s">
        <v>4941</v>
      </c>
      <c r="F486" s="62"/>
      <c r="G486" s="62"/>
      <c r="H486" s="25" t="s">
        <v>2927</v>
      </c>
      <c r="I486" s="24" t="s">
        <v>4942</v>
      </c>
      <c r="J486" s="24"/>
      <c r="K486" s="24"/>
    </row>
    <row r="487" spans="1:11" ht="14.25" x14ac:dyDescent="0.45">
      <c r="A487" s="61"/>
      <c r="B487" s="51" t="s">
        <v>4943</v>
      </c>
      <c r="C487" s="51"/>
      <c r="D487" s="51"/>
      <c r="E487" s="62" t="s">
        <v>4944</v>
      </c>
      <c r="F487" s="62"/>
      <c r="G487" s="62"/>
      <c r="H487" s="25" t="s">
        <v>3086</v>
      </c>
      <c r="I487" s="24" t="s">
        <v>4945</v>
      </c>
      <c r="J487" s="24"/>
      <c r="K487" s="24"/>
    </row>
    <row r="488" spans="1:11" ht="14.25" x14ac:dyDescent="0.45">
      <c r="A488" s="61"/>
      <c r="B488" s="51" t="s">
        <v>4946</v>
      </c>
      <c r="C488" s="51"/>
      <c r="D488" s="51"/>
      <c r="E488" s="62" t="s">
        <v>4947</v>
      </c>
      <c r="F488" s="55" t="s">
        <v>2983</v>
      </c>
      <c r="G488" s="55" t="s">
        <v>4948</v>
      </c>
      <c r="H488" s="25" t="s">
        <v>2927</v>
      </c>
      <c r="I488" s="24" t="s">
        <v>4949</v>
      </c>
      <c r="J488" s="24"/>
      <c r="K488" s="24"/>
    </row>
    <row r="489" spans="1:11" ht="14.25" x14ac:dyDescent="0.45">
      <c r="A489" s="52"/>
      <c r="B489" s="51" t="e">
        <v>#VALUE!</v>
      </c>
      <c r="C489" s="53"/>
      <c r="D489" s="53"/>
      <c r="E489" s="62" t="e">
        <v>#VALUE!</v>
      </c>
      <c r="F489" s="55"/>
      <c r="G489" s="55"/>
      <c r="H489" s="25" t="e">
        <v>#VALUE!</v>
      </c>
      <c r="I489" s="24" t="s">
        <v>2927</v>
      </c>
      <c r="J489" s="35"/>
      <c r="K489" s="35"/>
    </row>
    <row r="490" spans="1:11" ht="14.25" x14ac:dyDescent="0.45">
      <c r="A490" s="63" t="s">
        <v>4950</v>
      </c>
      <c r="B490" s="51" t="s">
        <v>4951</v>
      </c>
      <c r="C490" s="53"/>
      <c r="D490" s="53"/>
      <c r="E490" s="62" t="s">
        <v>4952</v>
      </c>
      <c r="F490" s="55"/>
      <c r="G490" s="55"/>
      <c r="H490" s="25" t="s">
        <v>3086</v>
      </c>
      <c r="I490" s="24" t="s">
        <v>4953</v>
      </c>
      <c r="J490" s="35"/>
      <c r="K490" s="35"/>
    </row>
    <row r="491" spans="1:11" ht="14.25" x14ac:dyDescent="0.45">
      <c r="A491" s="61"/>
      <c r="B491" s="51" t="s">
        <v>4954</v>
      </c>
      <c r="C491" s="51"/>
      <c r="D491" s="51"/>
      <c r="E491" s="62" t="s">
        <v>4955</v>
      </c>
      <c r="F491" s="62"/>
      <c r="G491" s="62"/>
      <c r="H491" s="25" t="s">
        <v>3086</v>
      </c>
      <c r="I491" s="24" t="s">
        <v>4956</v>
      </c>
      <c r="J491" s="24"/>
      <c r="K491" s="24"/>
    </row>
    <row r="492" spans="1:11" ht="14.25" x14ac:dyDescent="0.45">
      <c r="A492" s="63" t="s">
        <v>4957</v>
      </c>
      <c r="B492" s="51" t="s">
        <v>4958</v>
      </c>
      <c r="C492" s="53"/>
      <c r="D492" s="53"/>
      <c r="E492" s="62" t="s">
        <v>4959</v>
      </c>
      <c r="F492" s="55"/>
      <c r="G492" s="55"/>
      <c r="H492" s="25" t="s">
        <v>2927</v>
      </c>
      <c r="I492" s="24" t="s">
        <v>4960</v>
      </c>
      <c r="J492" s="35"/>
      <c r="K492" s="35"/>
    </row>
    <row r="493" spans="1:11" ht="14.25" x14ac:dyDescent="0.45">
      <c r="A493" s="63" t="s">
        <v>4961</v>
      </c>
      <c r="B493" s="51" t="s">
        <v>4962</v>
      </c>
      <c r="C493" s="51"/>
      <c r="D493" s="51"/>
      <c r="E493" s="62" t="s">
        <v>4963</v>
      </c>
      <c r="F493" s="62"/>
      <c r="G493" s="62"/>
      <c r="H493" s="25" t="s">
        <v>3086</v>
      </c>
      <c r="I493" s="24" t="s">
        <v>4964</v>
      </c>
      <c r="J493" s="35" t="s">
        <v>3657</v>
      </c>
      <c r="K493" s="24"/>
    </row>
    <row r="494" spans="1:11" ht="14.25" x14ac:dyDescent="0.45">
      <c r="A494" s="63" t="s">
        <v>4965</v>
      </c>
      <c r="B494" s="51" t="s">
        <v>4966</v>
      </c>
      <c r="C494" s="53"/>
      <c r="D494" s="53"/>
      <c r="E494" s="62" t="s">
        <v>4967</v>
      </c>
      <c r="F494" s="55"/>
      <c r="G494" s="55"/>
      <c r="H494" s="25" t="s">
        <v>3086</v>
      </c>
      <c r="I494" s="24" t="s">
        <v>4968</v>
      </c>
      <c r="J494" s="35"/>
      <c r="K494" s="35"/>
    </row>
    <row r="495" spans="1:11" ht="14.25" x14ac:dyDescent="0.45">
      <c r="A495" s="61"/>
      <c r="B495" s="51" t="s">
        <v>4969</v>
      </c>
      <c r="C495" s="51"/>
      <c r="D495" s="51"/>
      <c r="E495" s="62" t="s">
        <v>4970</v>
      </c>
      <c r="F495" s="73" t="s">
        <v>4835</v>
      </c>
      <c r="G495" s="62"/>
      <c r="H495" s="25" t="s">
        <v>3086</v>
      </c>
      <c r="I495" s="24" t="s">
        <v>4971</v>
      </c>
      <c r="J495" s="24"/>
      <c r="K495" s="24"/>
    </row>
    <row r="496" spans="1:11" ht="14.25" x14ac:dyDescent="0.45">
      <c r="A496" s="63" t="s">
        <v>4972</v>
      </c>
      <c r="B496" s="51" t="s">
        <v>4973</v>
      </c>
      <c r="C496" s="65"/>
      <c r="D496" s="65"/>
      <c r="E496" s="62" t="s">
        <v>4974</v>
      </c>
      <c r="F496" s="66"/>
      <c r="G496" s="66"/>
      <c r="H496" s="25" t="s">
        <v>2927</v>
      </c>
      <c r="I496" s="24" t="s">
        <v>4975</v>
      </c>
      <c r="J496" s="32"/>
      <c r="K496" s="32"/>
    </row>
    <row r="497" spans="1:11" ht="14.25" x14ac:dyDescent="0.45">
      <c r="A497" s="63" t="s">
        <v>4976</v>
      </c>
      <c r="B497" s="51" t="s">
        <v>4977</v>
      </c>
      <c r="C497" s="53"/>
      <c r="D497" s="53"/>
      <c r="E497" s="62" t="s">
        <v>4978</v>
      </c>
      <c r="F497" s="55" t="s">
        <v>3942</v>
      </c>
      <c r="G497" s="55"/>
      <c r="H497" s="25" t="s">
        <v>3086</v>
      </c>
      <c r="I497" s="24" t="s">
        <v>4979</v>
      </c>
      <c r="J497" s="35"/>
      <c r="K497" s="35"/>
    </row>
    <row r="498" spans="1:11" ht="14.25" x14ac:dyDescent="0.45">
      <c r="A498" s="61"/>
      <c r="B498" s="51" t="s">
        <v>4980</v>
      </c>
      <c r="C498" s="51"/>
      <c r="D498" s="51"/>
      <c r="E498" s="62" t="s">
        <v>4981</v>
      </c>
      <c r="F498" s="62"/>
      <c r="G498" s="62"/>
      <c r="H498" s="25" t="s">
        <v>3086</v>
      </c>
      <c r="I498" s="24" t="s">
        <v>4982</v>
      </c>
      <c r="J498" s="24"/>
      <c r="K498" s="24"/>
    </row>
    <row r="499" spans="1:11" ht="14.25" x14ac:dyDescent="0.45">
      <c r="A499" s="63" t="s">
        <v>4983</v>
      </c>
      <c r="B499" s="51" t="s">
        <v>4984</v>
      </c>
      <c r="C499" s="53"/>
      <c r="D499" s="53"/>
      <c r="E499" s="62" t="s">
        <v>4985</v>
      </c>
      <c r="F499" s="55"/>
      <c r="G499" s="55"/>
      <c r="H499" s="25" t="s">
        <v>3086</v>
      </c>
      <c r="I499" s="24" t="s">
        <v>4986</v>
      </c>
      <c r="J499" s="35" t="s">
        <v>3701</v>
      </c>
      <c r="K499" s="35"/>
    </row>
    <row r="500" spans="1:11" ht="14.25" x14ac:dyDescent="0.45">
      <c r="A500" s="63" t="s">
        <v>4987</v>
      </c>
      <c r="B500" s="51" t="s">
        <v>4988</v>
      </c>
      <c r="C500" s="51"/>
      <c r="D500" s="51"/>
      <c r="E500" s="62" t="s">
        <v>4989</v>
      </c>
      <c r="F500" s="62"/>
      <c r="G500" s="62"/>
      <c r="H500" s="25" t="s">
        <v>3086</v>
      </c>
      <c r="I500" s="24" t="s">
        <v>4990</v>
      </c>
      <c r="J500" s="24"/>
      <c r="K500" s="24"/>
    </row>
    <row r="501" spans="1:11" ht="14.25" x14ac:dyDescent="0.45">
      <c r="A501" s="63" t="s">
        <v>4991</v>
      </c>
      <c r="B501" s="51" t="s">
        <v>4992</v>
      </c>
      <c r="C501" s="53"/>
      <c r="D501" s="53"/>
      <c r="E501" s="62" t="s">
        <v>4993</v>
      </c>
      <c r="F501" s="55"/>
      <c r="G501" s="55"/>
      <c r="H501" s="25" t="s">
        <v>3086</v>
      </c>
      <c r="I501" s="24" t="s">
        <v>4994</v>
      </c>
      <c r="J501" s="35"/>
      <c r="K501" s="35"/>
    </row>
    <row r="502" spans="1:11" ht="14.25" x14ac:dyDescent="0.45">
      <c r="A502" s="52"/>
      <c r="B502" s="51" t="s">
        <v>4995</v>
      </c>
      <c r="C502" s="53"/>
      <c r="D502" s="53"/>
      <c r="E502" s="62" t="s">
        <v>4996</v>
      </c>
      <c r="F502" s="55"/>
      <c r="G502" s="55"/>
      <c r="H502" s="25" t="s">
        <v>2927</v>
      </c>
      <c r="I502" s="24" t="s">
        <v>4997</v>
      </c>
      <c r="J502" s="35"/>
      <c r="K502" s="35"/>
    </row>
    <row r="503" spans="1:11" ht="14.25" x14ac:dyDescent="0.45">
      <c r="A503" s="63" t="s">
        <v>4998</v>
      </c>
      <c r="B503" s="51" t="s">
        <v>4999</v>
      </c>
      <c r="C503" s="51"/>
      <c r="D503" s="51"/>
      <c r="E503" s="62" t="s">
        <v>5000</v>
      </c>
      <c r="F503" s="62"/>
      <c r="G503" s="62"/>
      <c r="H503" s="25" t="s">
        <v>3086</v>
      </c>
      <c r="I503" s="24" t="s">
        <v>5001</v>
      </c>
      <c r="J503" s="24"/>
      <c r="K503" s="24"/>
    </row>
    <row r="504" spans="1:11" ht="14.25" x14ac:dyDescent="0.45">
      <c r="A504" s="61"/>
      <c r="B504" s="51" t="s">
        <v>5002</v>
      </c>
      <c r="C504" s="51"/>
      <c r="D504" s="51"/>
      <c r="E504" s="62" t="s">
        <v>5003</v>
      </c>
      <c r="F504" s="62"/>
      <c r="G504" s="62"/>
      <c r="H504" s="25" t="s">
        <v>3086</v>
      </c>
      <c r="I504" s="24" t="s">
        <v>5004</v>
      </c>
      <c r="J504" s="24"/>
      <c r="K504" s="24"/>
    </row>
    <row r="505" spans="1:11" ht="14.25" x14ac:dyDescent="0.45">
      <c r="A505" s="61"/>
      <c r="B505" s="51" t="s">
        <v>5005</v>
      </c>
      <c r="C505" s="51"/>
      <c r="D505" s="51"/>
      <c r="E505" s="62" t="s">
        <v>5006</v>
      </c>
      <c r="F505" s="62"/>
      <c r="G505" s="62"/>
      <c r="H505" s="25" t="s">
        <v>3086</v>
      </c>
      <c r="I505" s="24" t="s">
        <v>5007</v>
      </c>
      <c r="J505" s="24"/>
      <c r="K505" s="24"/>
    </row>
    <row r="506" spans="1:11" ht="14.25" x14ac:dyDescent="0.45">
      <c r="A506" s="63" t="s">
        <v>5008</v>
      </c>
      <c r="B506" s="51" t="s">
        <v>5009</v>
      </c>
      <c r="C506" s="53"/>
      <c r="D506" s="53"/>
      <c r="E506" s="62" t="s">
        <v>5010</v>
      </c>
      <c r="F506" s="55" t="s">
        <v>4156</v>
      </c>
      <c r="G506" s="55"/>
      <c r="H506" s="25" t="s">
        <v>3086</v>
      </c>
      <c r="I506" s="24" t="s">
        <v>5011</v>
      </c>
      <c r="J506" s="35"/>
      <c r="K506" s="35"/>
    </row>
    <row r="507" spans="1:11" ht="14.25" x14ac:dyDescent="0.45">
      <c r="A507" s="61"/>
      <c r="B507" s="51" t="s">
        <v>5012</v>
      </c>
      <c r="C507" s="51"/>
      <c r="D507" s="51"/>
      <c r="E507" s="62" t="s">
        <v>5013</v>
      </c>
      <c r="F507" s="62"/>
      <c r="G507" s="62"/>
      <c r="H507" s="25" t="s">
        <v>3086</v>
      </c>
      <c r="I507" s="24" t="s">
        <v>5014</v>
      </c>
      <c r="J507" s="24"/>
      <c r="K507" s="24"/>
    </row>
    <row r="508" spans="1:11" ht="14.25" x14ac:dyDescent="0.45">
      <c r="A508" s="61"/>
      <c r="B508" s="51" t="s">
        <v>5015</v>
      </c>
      <c r="C508" s="51"/>
      <c r="D508" s="51"/>
      <c r="E508" s="62" t="s">
        <v>5016</v>
      </c>
      <c r="F508" s="62"/>
      <c r="G508" s="62"/>
      <c r="H508" s="25" t="s">
        <v>3086</v>
      </c>
      <c r="I508" s="24" t="s">
        <v>5017</v>
      </c>
      <c r="J508" s="24"/>
      <c r="K508" s="24"/>
    </row>
    <row r="509" spans="1:11" ht="14.25" x14ac:dyDescent="0.45">
      <c r="A509" s="63" t="s">
        <v>5018</v>
      </c>
      <c r="B509" s="51" t="s">
        <v>5019</v>
      </c>
      <c r="C509" s="53"/>
      <c r="D509" s="53"/>
      <c r="E509" s="62" t="s">
        <v>5020</v>
      </c>
      <c r="F509" s="55" t="s">
        <v>3224</v>
      </c>
      <c r="G509" s="55"/>
      <c r="H509" s="25" t="s">
        <v>3086</v>
      </c>
      <c r="I509" s="24" t="s">
        <v>5021</v>
      </c>
      <c r="J509" s="35"/>
      <c r="K509" s="35"/>
    </row>
    <row r="510" spans="1:11" ht="14.25" x14ac:dyDescent="0.45">
      <c r="A510" s="61"/>
      <c r="B510" s="51" t="s">
        <v>5022</v>
      </c>
      <c r="C510" s="51"/>
      <c r="D510" s="51"/>
      <c r="E510" s="62" t="s">
        <v>5023</v>
      </c>
      <c r="F510" s="62"/>
      <c r="G510" s="62"/>
      <c r="H510" s="25" t="s">
        <v>3086</v>
      </c>
      <c r="I510" s="24" t="s">
        <v>5024</v>
      </c>
      <c r="J510" s="24"/>
      <c r="K510" s="24"/>
    </row>
    <row r="511" spans="1:11" ht="14.25" x14ac:dyDescent="0.45">
      <c r="A511" s="63" t="s">
        <v>5025</v>
      </c>
      <c r="B511" s="51" t="s">
        <v>5026</v>
      </c>
      <c r="C511" s="53"/>
      <c r="D511" s="53"/>
      <c r="E511" s="62" t="s">
        <v>5027</v>
      </c>
      <c r="F511" s="55"/>
      <c r="G511" s="55"/>
      <c r="H511" s="25" t="s">
        <v>3086</v>
      </c>
      <c r="I511" s="24" t="s">
        <v>5028</v>
      </c>
      <c r="J511" s="35"/>
      <c r="K511" s="35"/>
    </row>
    <row r="512" spans="1:11" ht="14.25" x14ac:dyDescent="0.45">
      <c r="A512" s="63" t="s">
        <v>5029</v>
      </c>
      <c r="B512" s="51" t="s">
        <v>5030</v>
      </c>
      <c r="C512" s="53" t="s">
        <v>2902</v>
      </c>
      <c r="D512" s="53"/>
      <c r="E512" s="62" t="s">
        <v>5031</v>
      </c>
      <c r="F512" s="55"/>
      <c r="G512" s="55"/>
      <c r="H512" s="25" t="s">
        <v>2927</v>
      </c>
      <c r="I512" s="24" t="s">
        <v>5032</v>
      </c>
      <c r="J512" s="35"/>
      <c r="K512" s="35"/>
    </row>
    <row r="513" spans="1:11" ht="14.25" x14ac:dyDescent="0.45">
      <c r="A513" s="63" t="s">
        <v>5033</v>
      </c>
      <c r="B513" s="51" t="s">
        <v>5034</v>
      </c>
      <c r="C513" s="53"/>
      <c r="D513" s="53"/>
      <c r="E513" s="62" t="s">
        <v>5035</v>
      </c>
      <c r="F513" s="55"/>
      <c r="G513" s="55"/>
      <c r="H513" s="25" t="s">
        <v>2927</v>
      </c>
      <c r="I513" s="24" t="s">
        <v>5036</v>
      </c>
      <c r="J513" s="35" t="s">
        <v>4099</v>
      </c>
      <c r="K513" s="35"/>
    </row>
    <row r="514" spans="1:11" ht="14.25" x14ac:dyDescent="0.45">
      <c r="A514" s="63" t="s">
        <v>5037</v>
      </c>
      <c r="B514" s="51" t="s">
        <v>5038</v>
      </c>
      <c r="C514" s="53"/>
      <c r="D514" s="53"/>
      <c r="E514" s="62" t="s">
        <v>5039</v>
      </c>
      <c r="F514" s="55"/>
      <c r="G514" s="55"/>
      <c r="H514" s="25" t="s">
        <v>3086</v>
      </c>
      <c r="I514" s="24" t="s">
        <v>5040</v>
      </c>
      <c r="J514" s="35"/>
      <c r="K514" s="35"/>
    </row>
    <row r="515" spans="1:11" ht="14.25" x14ac:dyDescent="0.45">
      <c r="A515" s="63" t="s">
        <v>4581</v>
      </c>
      <c r="B515" s="51" t="s">
        <v>5041</v>
      </c>
      <c r="C515" s="53"/>
      <c r="D515" s="53"/>
      <c r="E515" s="62" t="s">
        <v>5042</v>
      </c>
      <c r="F515" s="55"/>
      <c r="G515" s="55"/>
      <c r="H515" s="25" t="s">
        <v>3086</v>
      </c>
      <c r="I515" s="24" t="s">
        <v>5043</v>
      </c>
      <c r="J515" s="35"/>
      <c r="K515" s="35"/>
    </row>
    <row r="516" spans="1:11" ht="14.25" x14ac:dyDescent="0.45">
      <c r="A516" s="61"/>
      <c r="B516" s="51" t="e">
        <v>#VALUE!</v>
      </c>
      <c r="C516" s="51"/>
      <c r="D516" s="51"/>
      <c r="E516" s="62" t="e">
        <v>#VALUE!</v>
      </c>
      <c r="F516" s="62"/>
      <c r="G516" s="62"/>
      <c r="H516" s="25" t="e">
        <v>#VALUE!</v>
      </c>
      <c r="I516" s="24" t="s">
        <v>2927</v>
      </c>
      <c r="J516" s="24"/>
      <c r="K516" s="24"/>
    </row>
    <row r="517" spans="1:11" ht="14.25" x14ac:dyDescent="0.45">
      <c r="A517" s="63" t="s">
        <v>2987</v>
      </c>
      <c r="B517" s="51" t="s">
        <v>5044</v>
      </c>
      <c r="C517" s="53"/>
      <c r="D517" s="53"/>
      <c r="E517" s="62" t="s">
        <v>5045</v>
      </c>
      <c r="F517" s="55" t="s">
        <v>2990</v>
      </c>
      <c r="G517" s="55"/>
      <c r="H517" s="25" t="s">
        <v>3086</v>
      </c>
      <c r="I517" s="24" t="s">
        <v>5046</v>
      </c>
      <c r="J517" s="35" t="s">
        <v>4084</v>
      </c>
      <c r="K517" s="35"/>
    </row>
    <row r="518" spans="1:11" ht="14.25" x14ac:dyDescent="0.45">
      <c r="A518" s="63" t="s">
        <v>5047</v>
      </c>
      <c r="B518" s="51" t="s">
        <v>5048</v>
      </c>
      <c r="C518" s="51"/>
      <c r="D518" s="51"/>
      <c r="E518" s="62" t="s">
        <v>5049</v>
      </c>
      <c r="F518" s="73" t="s">
        <v>2956</v>
      </c>
      <c r="G518" s="62"/>
      <c r="H518" s="25" t="s">
        <v>3086</v>
      </c>
      <c r="I518" s="24" t="s">
        <v>5050</v>
      </c>
      <c r="J518" s="24"/>
      <c r="K518" s="24"/>
    </row>
    <row r="519" spans="1:11" ht="14.25" x14ac:dyDescent="0.45">
      <c r="A519" s="61"/>
      <c r="B519" s="51" t="s">
        <v>5051</v>
      </c>
      <c r="C519" s="51"/>
      <c r="D519" s="51"/>
      <c r="E519" s="62" t="s">
        <v>5052</v>
      </c>
      <c r="F519" s="62"/>
      <c r="G519" s="62"/>
      <c r="H519" s="25" t="s">
        <v>3086</v>
      </c>
      <c r="I519" s="24" t="s">
        <v>5053</v>
      </c>
      <c r="J519" s="24"/>
      <c r="K519" s="24"/>
    </row>
    <row r="520" spans="1:11" ht="14.25" x14ac:dyDescent="0.45">
      <c r="A520" s="61"/>
      <c r="B520" s="51" t="s">
        <v>5054</v>
      </c>
      <c r="C520" s="51"/>
      <c r="D520" s="51"/>
      <c r="E520" s="62" t="s">
        <v>5055</v>
      </c>
      <c r="F520" s="62"/>
      <c r="G520" s="62"/>
      <c r="H520" s="25" t="s">
        <v>3086</v>
      </c>
      <c r="I520" s="24" t="s">
        <v>5056</v>
      </c>
      <c r="J520" s="24"/>
      <c r="K520" s="24"/>
    </row>
    <row r="521" spans="1:11" ht="14.25" x14ac:dyDescent="0.45">
      <c r="A521" s="61"/>
      <c r="B521" s="51" t="s">
        <v>5057</v>
      </c>
      <c r="C521" s="51"/>
      <c r="D521" s="51"/>
      <c r="E521" s="62" t="s">
        <v>5058</v>
      </c>
      <c r="F521" s="62"/>
      <c r="G521" s="62"/>
      <c r="H521" s="25" t="s">
        <v>3086</v>
      </c>
      <c r="I521" s="24" t="s">
        <v>5059</v>
      </c>
      <c r="J521" s="24"/>
      <c r="K521" s="24"/>
    </row>
    <row r="522" spans="1:11" ht="14.25" x14ac:dyDescent="0.45">
      <c r="A522" s="61"/>
      <c r="B522" s="51" t="s">
        <v>5060</v>
      </c>
      <c r="C522" s="68"/>
      <c r="D522" s="68"/>
      <c r="E522" s="62" t="s">
        <v>5061</v>
      </c>
      <c r="F522" s="72"/>
      <c r="G522" s="72"/>
      <c r="H522" s="25" t="s">
        <v>2927</v>
      </c>
      <c r="I522" s="24" t="s">
        <v>5062</v>
      </c>
      <c r="J522" s="35" t="s">
        <v>4099</v>
      </c>
      <c r="K522" s="74"/>
    </row>
    <row r="523" spans="1:11" ht="14.25" x14ac:dyDescent="0.45">
      <c r="A523" s="63" t="s">
        <v>5063</v>
      </c>
      <c r="B523" s="51" t="s">
        <v>5064</v>
      </c>
      <c r="C523" s="51"/>
      <c r="D523" s="51"/>
      <c r="E523" s="62" t="s">
        <v>5065</v>
      </c>
      <c r="F523" s="62"/>
      <c r="G523" s="62"/>
      <c r="H523" s="25" t="s">
        <v>3086</v>
      </c>
      <c r="I523" s="24" t="s">
        <v>5066</v>
      </c>
      <c r="J523" s="24"/>
      <c r="K523" s="24"/>
    </row>
    <row r="524" spans="1:11" ht="14.25" x14ac:dyDescent="0.45">
      <c r="A524" s="61"/>
      <c r="B524" s="51" t="s">
        <v>5067</v>
      </c>
      <c r="C524" s="51"/>
      <c r="D524" s="51"/>
      <c r="E524" s="62" t="s">
        <v>5068</v>
      </c>
      <c r="F524" s="62"/>
      <c r="G524" s="62"/>
      <c r="H524" s="25" t="s">
        <v>2942</v>
      </c>
      <c r="I524" s="24" t="s">
        <v>5069</v>
      </c>
      <c r="J524" s="24"/>
      <c r="K524" s="24"/>
    </row>
    <row r="525" spans="1:11" ht="14.25" x14ac:dyDescent="0.45">
      <c r="A525" s="63" t="s">
        <v>5070</v>
      </c>
      <c r="B525" s="51" t="s">
        <v>5071</v>
      </c>
      <c r="C525" s="51"/>
      <c r="D525" s="51"/>
      <c r="E525" s="62" t="s">
        <v>5072</v>
      </c>
      <c r="F525" s="55" t="s">
        <v>2983</v>
      </c>
      <c r="G525" s="62"/>
      <c r="H525" s="25" t="s">
        <v>2927</v>
      </c>
      <c r="I525" s="24" t="s">
        <v>5073</v>
      </c>
      <c r="J525" s="24"/>
      <c r="K525" s="24"/>
    </row>
    <row r="526" spans="1:11" ht="14.25" x14ac:dyDescent="0.45">
      <c r="A526" s="61"/>
      <c r="B526" s="51" t="s">
        <v>5074</v>
      </c>
      <c r="C526" s="51"/>
      <c r="D526" s="51"/>
      <c r="E526" s="62" t="s">
        <v>5075</v>
      </c>
      <c r="F526" s="62"/>
      <c r="G526" s="62"/>
      <c r="H526" s="25" t="s">
        <v>2942</v>
      </c>
      <c r="I526" s="24" t="s">
        <v>5076</v>
      </c>
      <c r="J526" s="24"/>
      <c r="K526" s="24"/>
    </row>
    <row r="527" spans="1:11" ht="14.25" x14ac:dyDescent="0.45">
      <c r="A527" s="61"/>
      <c r="B527" s="51" t="s">
        <v>5077</v>
      </c>
      <c r="C527" s="51"/>
      <c r="D527" s="51"/>
      <c r="E527" s="62" t="s">
        <v>5078</v>
      </c>
      <c r="F527" s="62"/>
      <c r="G527" s="62"/>
      <c r="H527" s="25" t="s">
        <v>2927</v>
      </c>
      <c r="I527" s="24" t="s">
        <v>5079</v>
      </c>
      <c r="J527" s="24"/>
      <c r="K527" s="24"/>
    </row>
    <row r="528" spans="1:11" ht="14.25" x14ac:dyDescent="0.45">
      <c r="A528" s="63" t="s">
        <v>5080</v>
      </c>
      <c r="B528" s="51" t="s">
        <v>5081</v>
      </c>
      <c r="C528" s="51"/>
      <c r="D528" s="51"/>
      <c r="E528" s="62" t="s">
        <v>5082</v>
      </c>
      <c r="F528" s="55" t="s">
        <v>4075</v>
      </c>
      <c r="G528" s="62"/>
      <c r="H528" s="25" t="s">
        <v>2927</v>
      </c>
      <c r="I528" s="24" t="s">
        <v>5083</v>
      </c>
      <c r="J528" s="24"/>
      <c r="K528" s="24"/>
    </row>
    <row r="529" spans="1:11" ht="14.25" x14ac:dyDescent="0.45">
      <c r="A529" s="61"/>
      <c r="B529" s="51" t="s">
        <v>5084</v>
      </c>
      <c r="C529" s="51"/>
      <c r="D529" s="51"/>
      <c r="E529" s="62" t="s">
        <v>5085</v>
      </c>
      <c r="F529" s="62"/>
      <c r="G529" s="62"/>
      <c r="H529" s="25" t="s">
        <v>2927</v>
      </c>
      <c r="I529" s="24" t="s">
        <v>5086</v>
      </c>
      <c r="J529" s="24"/>
      <c r="K529" s="24"/>
    </row>
    <row r="530" spans="1:11" ht="14.25" x14ac:dyDescent="0.45">
      <c r="A530" s="61"/>
      <c r="B530" s="51" t="s">
        <v>5087</v>
      </c>
      <c r="C530" s="51"/>
      <c r="D530" s="51"/>
      <c r="E530" s="62" t="s">
        <v>5088</v>
      </c>
      <c r="F530" s="62"/>
      <c r="G530" s="62"/>
      <c r="H530" s="25" t="s">
        <v>2942</v>
      </c>
      <c r="I530" s="24" t="s">
        <v>5089</v>
      </c>
      <c r="J530" s="24"/>
      <c r="K530" s="24"/>
    </row>
    <row r="531" spans="1:11" ht="14.25" x14ac:dyDescent="0.45">
      <c r="A531" s="61"/>
      <c r="B531" s="51" t="s">
        <v>5090</v>
      </c>
      <c r="C531" s="51"/>
      <c r="D531" s="51"/>
      <c r="E531" s="62" t="s">
        <v>5091</v>
      </c>
      <c r="F531" s="62"/>
      <c r="G531" s="62"/>
      <c r="H531" s="25" t="s">
        <v>3086</v>
      </c>
      <c r="I531" s="24" t="s">
        <v>5092</v>
      </c>
      <c r="J531" s="24"/>
      <c r="K531" s="24"/>
    </row>
    <row r="532" spans="1:11" ht="14.25" x14ac:dyDescent="0.45">
      <c r="A532" s="63" t="s">
        <v>5063</v>
      </c>
      <c r="B532" s="51" t="s">
        <v>5093</v>
      </c>
      <c r="C532" s="53"/>
      <c r="D532" s="53"/>
      <c r="E532" s="62" t="s">
        <v>5094</v>
      </c>
      <c r="F532" s="55"/>
      <c r="G532" s="55"/>
      <c r="H532" s="25" t="s">
        <v>2942</v>
      </c>
      <c r="I532" s="24" t="s">
        <v>5095</v>
      </c>
      <c r="J532" s="35"/>
      <c r="K532" s="35"/>
    </row>
    <row r="533" spans="1:11" ht="14.25" x14ac:dyDescent="0.45">
      <c r="A533" s="61"/>
      <c r="B533" s="51" t="s">
        <v>5096</v>
      </c>
      <c r="C533" s="51"/>
      <c r="D533" s="51"/>
      <c r="E533" s="62" t="s">
        <v>5097</v>
      </c>
      <c r="F533" s="62"/>
      <c r="G533" s="62"/>
      <c r="H533" s="25" t="s">
        <v>3086</v>
      </c>
      <c r="I533" s="24" t="s">
        <v>5098</v>
      </c>
      <c r="J533" s="24"/>
      <c r="K533" s="24"/>
    </row>
    <row r="534" spans="1:11" ht="14.25" x14ac:dyDescent="0.45">
      <c r="A534" s="63" t="s">
        <v>4000</v>
      </c>
      <c r="B534" s="51" t="s">
        <v>5099</v>
      </c>
      <c r="C534" s="51"/>
      <c r="D534" s="51"/>
      <c r="E534" s="62" t="s">
        <v>5100</v>
      </c>
      <c r="F534" s="62"/>
      <c r="G534" s="62"/>
      <c r="H534" s="25" t="s">
        <v>2942</v>
      </c>
      <c r="I534" s="24" t="s">
        <v>5101</v>
      </c>
      <c r="J534" s="24"/>
      <c r="K534" s="24"/>
    </row>
    <row r="535" spans="1:11" ht="14.25" x14ac:dyDescent="0.45">
      <c r="A535" s="63" t="s">
        <v>3667</v>
      </c>
      <c r="B535" s="51" t="s">
        <v>5102</v>
      </c>
      <c r="C535" s="53"/>
      <c r="D535" s="53"/>
      <c r="E535" s="62" t="s">
        <v>5103</v>
      </c>
      <c r="F535" s="55"/>
      <c r="G535" s="55"/>
      <c r="H535" s="25" t="s">
        <v>2942</v>
      </c>
      <c r="I535" s="24" t="s">
        <v>5104</v>
      </c>
      <c r="J535" s="35"/>
      <c r="K535" s="35"/>
    </row>
    <row r="536" spans="1:11" ht="14.25" x14ac:dyDescent="0.45">
      <c r="A536" s="61"/>
      <c r="B536" s="51" t="s">
        <v>5105</v>
      </c>
      <c r="C536" s="51"/>
      <c r="D536" s="51"/>
      <c r="E536" s="62" t="s">
        <v>5106</v>
      </c>
      <c r="F536" s="55" t="s">
        <v>3766</v>
      </c>
      <c r="G536" s="62"/>
      <c r="H536" s="25" t="s">
        <v>2927</v>
      </c>
      <c r="I536" s="24" t="s">
        <v>5105</v>
      </c>
      <c r="J536" s="24"/>
      <c r="K536" s="24"/>
    </row>
    <row r="537" spans="1:11" ht="14.25" x14ac:dyDescent="0.45">
      <c r="A537" s="61"/>
      <c r="B537" s="51" t="s">
        <v>5107</v>
      </c>
      <c r="C537" s="51"/>
      <c r="D537" s="51"/>
      <c r="E537" s="62" t="s">
        <v>5108</v>
      </c>
      <c r="F537" s="62"/>
      <c r="G537" s="62"/>
      <c r="H537" s="25" t="s">
        <v>3086</v>
      </c>
      <c r="I537" s="24" t="s">
        <v>5109</v>
      </c>
      <c r="J537" s="24"/>
      <c r="K537" s="24"/>
    </row>
    <row r="538" spans="1:11" ht="14.25" x14ac:dyDescent="0.45">
      <c r="A538" s="63" t="s">
        <v>5110</v>
      </c>
      <c r="B538" s="51" t="s">
        <v>5111</v>
      </c>
      <c r="C538" s="53" t="s">
        <v>3013</v>
      </c>
      <c r="D538" s="53" t="s">
        <v>5111</v>
      </c>
      <c r="E538" s="62" t="s">
        <v>5112</v>
      </c>
      <c r="F538" s="55"/>
      <c r="G538" s="55"/>
      <c r="H538" s="25" t="s">
        <v>2942</v>
      </c>
      <c r="I538" s="24" t="s">
        <v>5113</v>
      </c>
      <c r="J538" s="35" t="s">
        <v>3099</v>
      </c>
      <c r="K538" s="35"/>
    </row>
    <row r="539" spans="1:11" ht="14.25" x14ac:dyDescent="0.45">
      <c r="A539" s="63" t="s">
        <v>5114</v>
      </c>
      <c r="B539" s="51" t="s">
        <v>5115</v>
      </c>
      <c r="C539" s="53"/>
      <c r="D539" s="53"/>
      <c r="E539" s="62" t="s">
        <v>5116</v>
      </c>
      <c r="F539" s="55"/>
      <c r="G539" s="55"/>
      <c r="H539" s="25" t="s">
        <v>2942</v>
      </c>
      <c r="I539" s="24" t="s">
        <v>5117</v>
      </c>
      <c r="J539" s="35"/>
      <c r="K539" s="35"/>
    </row>
    <row r="540" spans="1:11" ht="14.25" x14ac:dyDescent="0.45">
      <c r="A540" s="61"/>
      <c r="B540" s="51" t="s">
        <v>5118</v>
      </c>
      <c r="C540" s="51"/>
      <c r="D540" s="51"/>
      <c r="E540" s="62" t="s">
        <v>5119</v>
      </c>
      <c r="F540" s="55" t="s">
        <v>3550</v>
      </c>
      <c r="G540" s="62"/>
      <c r="H540" s="25" t="s">
        <v>3086</v>
      </c>
      <c r="I540" s="24" t="s">
        <v>5120</v>
      </c>
      <c r="J540" s="64" t="s">
        <v>3550</v>
      </c>
      <c r="K540" s="24"/>
    </row>
    <row r="541" spans="1:11" ht="14.25" x14ac:dyDescent="0.45">
      <c r="A541" s="63" t="s">
        <v>5121</v>
      </c>
      <c r="B541" s="51" t="s">
        <v>5122</v>
      </c>
      <c r="C541" s="53"/>
      <c r="D541" s="53"/>
      <c r="E541" s="62" t="s">
        <v>5123</v>
      </c>
      <c r="F541" s="55" t="s">
        <v>2983</v>
      </c>
      <c r="G541" s="55"/>
      <c r="H541" s="25" t="s">
        <v>2942</v>
      </c>
      <c r="I541" s="24" t="s">
        <v>5124</v>
      </c>
      <c r="J541" s="35" t="s">
        <v>3270</v>
      </c>
      <c r="K541" s="35"/>
    </row>
    <row r="542" spans="1:11" ht="14.25" x14ac:dyDescent="0.45">
      <c r="A542" s="63" t="s">
        <v>5125</v>
      </c>
      <c r="B542" s="51" t="s">
        <v>5126</v>
      </c>
      <c r="C542" s="53"/>
      <c r="D542" s="53"/>
      <c r="E542" s="62" t="s">
        <v>5127</v>
      </c>
      <c r="F542" s="55"/>
      <c r="G542" s="55"/>
      <c r="H542" s="25" t="s">
        <v>3086</v>
      </c>
      <c r="I542" s="24" t="s">
        <v>5128</v>
      </c>
      <c r="J542" s="35"/>
      <c r="K542" s="35"/>
    </row>
    <row r="543" spans="1:11" ht="14.25" x14ac:dyDescent="0.45">
      <c r="A543" s="61"/>
      <c r="B543" s="51" t="e">
        <v>#VALUE!</v>
      </c>
      <c r="C543" s="51"/>
      <c r="D543" s="51"/>
      <c r="E543" s="62" t="e">
        <v>#VALUE!</v>
      </c>
      <c r="F543" s="62"/>
      <c r="G543" s="62"/>
      <c r="H543" s="25" t="e">
        <v>#VALUE!</v>
      </c>
      <c r="I543" s="24" t="s">
        <v>2927</v>
      </c>
      <c r="J543" s="24"/>
      <c r="K543" s="24"/>
    </row>
    <row r="544" spans="1:11" ht="14.25" x14ac:dyDescent="0.45">
      <c r="A544" s="63" t="s">
        <v>4863</v>
      </c>
      <c r="B544" s="51" t="s">
        <v>5129</v>
      </c>
      <c r="C544" s="53" t="s">
        <v>3182</v>
      </c>
      <c r="D544" s="53"/>
      <c r="E544" s="62" t="s">
        <v>5130</v>
      </c>
      <c r="F544" s="55" t="s">
        <v>3909</v>
      </c>
      <c r="G544" s="55"/>
      <c r="H544" s="25" t="s">
        <v>2942</v>
      </c>
      <c r="I544" s="24" t="s">
        <v>5131</v>
      </c>
      <c r="J544" s="35"/>
      <c r="K544" s="35"/>
    </row>
    <row r="545" spans="1:11" ht="14.25" x14ac:dyDescent="0.45">
      <c r="A545" s="63" t="s">
        <v>5132</v>
      </c>
      <c r="B545" s="51" t="s">
        <v>5133</v>
      </c>
      <c r="C545" s="51"/>
      <c r="D545" s="51"/>
      <c r="E545" s="62" t="s">
        <v>5134</v>
      </c>
      <c r="F545" s="62"/>
      <c r="G545" s="62"/>
      <c r="H545" s="25" t="s">
        <v>2942</v>
      </c>
      <c r="I545" s="24" t="s">
        <v>5135</v>
      </c>
      <c r="J545" s="24"/>
      <c r="K545" s="24"/>
    </row>
    <row r="546" spans="1:11" ht="14.25" x14ac:dyDescent="0.45">
      <c r="A546" s="61"/>
      <c r="B546" s="51" t="s">
        <v>5136</v>
      </c>
      <c r="C546" s="51"/>
      <c r="D546" s="51"/>
      <c r="E546" s="62" t="s">
        <v>5137</v>
      </c>
      <c r="F546" s="62"/>
      <c r="G546" s="62"/>
      <c r="H546" s="25" t="s">
        <v>2942</v>
      </c>
      <c r="I546" s="24" t="s">
        <v>5138</v>
      </c>
      <c r="J546" s="24"/>
      <c r="K546" s="24"/>
    </row>
    <row r="547" spans="1:11" ht="14.25" x14ac:dyDescent="0.45">
      <c r="A547" s="63" t="s">
        <v>5139</v>
      </c>
      <c r="B547" s="51" t="s">
        <v>5140</v>
      </c>
      <c r="C547" s="53"/>
      <c r="D547" s="53"/>
      <c r="E547" s="62" t="s">
        <v>5141</v>
      </c>
      <c r="F547" s="55"/>
      <c r="G547" s="55"/>
      <c r="H547" s="25" t="s">
        <v>3086</v>
      </c>
      <c r="I547" s="24" t="s">
        <v>5140</v>
      </c>
      <c r="J547" s="35" t="s">
        <v>3644</v>
      </c>
      <c r="K547" s="35"/>
    </row>
    <row r="548" spans="1:11" ht="14.25" x14ac:dyDescent="0.45">
      <c r="A548" s="63" t="s">
        <v>5142</v>
      </c>
      <c r="B548" s="51" t="s">
        <v>5143</v>
      </c>
      <c r="C548" s="68"/>
      <c r="D548" s="68"/>
      <c r="E548" s="62" t="s">
        <v>5144</v>
      </c>
      <c r="F548" s="72"/>
      <c r="G548" s="72"/>
      <c r="H548" s="25" t="s">
        <v>2942</v>
      </c>
      <c r="I548" s="24" t="s">
        <v>5145</v>
      </c>
      <c r="J548" s="74"/>
      <c r="K548" s="74"/>
    </row>
    <row r="549" spans="1:11" ht="14.25" x14ac:dyDescent="0.45">
      <c r="A549" s="61"/>
      <c r="B549" s="51" t="s">
        <v>5146</v>
      </c>
      <c r="C549" s="51"/>
      <c r="D549" s="51"/>
      <c r="E549" s="62" t="s">
        <v>5147</v>
      </c>
      <c r="F549" s="55" t="s">
        <v>3593</v>
      </c>
      <c r="G549" s="62"/>
      <c r="H549" s="25" t="s">
        <v>2927</v>
      </c>
      <c r="I549" s="24" t="s">
        <v>5148</v>
      </c>
      <c r="J549" s="24"/>
      <c r="K549" s="24"/>
    </row>
    <row r="550" spans="1:11" ht="14.25" x14ac:dyDescent="0.45">
      <c r="A550" s="63" t="s">
        <v>5149</v>
      </c>
      <c r="B550" s="51" t="s">
        <v>5150</v>
      </c>
      <c r="C550" s="53" t="s">
        <v>3013</v>
      </c>
      <c r="D550" s="53" t="s">
        <v>5150</v>
      </c>
      <c r="E550" s="62" t="s">
        <v>5151</v>
      </c>
      <c r="F550" s="55"/>
      <c r="G550" s="55"/>
      <c r="H550" s="25" t="s">
        <v>3086</v>
      </c>
      <c r="I550" s="24" t="s">
        <v>5152</v>
      </c>
      <c r="J550" s="35"/>
      <c r="K550" s="35"/>
    </row>
    <row r="551" spans="1:11" ht="14.25" x14ac:dyDescent="0.45">
      <c r="A551" s="61"/>
      <c r="B551" s="51" t="s">
        <v>5153</v>
      </c>
      <c r="C551" s="51"/>
      <c r="D551" s="51"/>
      <c r="E551" s="62" t="s">
        <v>5154</v>
      </c>
      <c r="F551" s="62"/>
      <c r="G551" s="62"/>
      <c r="H551" s="25" t="s">
        <v>2927</v>
      </c>
      <c r="I551" s="24" t="s">
        <v>5155</v>
      </c>
      <c r="J551" s="24"/>
      <c r="K551" s="24"/>
    </row>
    <row r="552" spans="1:11" ht="14.25" x14ac:dyDescent="0.45">
      <c r="A552" s="61"/>
      <c r="B552" s="51" t="s">
        <v>5156</v>
      </c>
      <c r="C552" s="51"/>
      <c r="D552" s="51"/>
      <c r="E552" s="62" t="s">
        <v>5157</v>
      </c>
      <c r="F552" s="62"/>
      <c r="G552" s="62"/>
      <c r="H552" s="25" t="s">
        <v>3086</v>
      </c>
      <c r="I552" s="24" t="s">
        <v>5158</v>
      </c>
      <c r="J552" s="35" t="s">
        <v>3285</v>
      </c>
      <c r="K552" s="24"/>
    </row>
    <row r="553" spans="1:11" ht="14.25" x14ac:dyDescent="0.45">
      <c r="A553" s="63" t="s">
        <v>3292</v>
      </c>
      <c r="B553" s="51" t="s">
        <v>5159</v>
      </c>
      <c r="C553" s="51"/>
      <c r="D553" s="51"/>
      <c r="E553" s="62" t="s">
        <v>5160</v>
      </c>
      <c r="F553" s="55" t="s">
        <v>3295</v>
      </c>
      <c r="G553" s="62"/>
      <c r="H553" s="25" t="s">
        <v>2927</v>
      </c>
      <c r="I553" s="24" t="s">
        <v>5161</v>
      </c>
      <c r="J553" s="24"/>
      <c r="K553" s="24"/>
    </row>
    <row r="554" spans="1:11" ht="14.25" x14ac:dyDescent="0.45">
      <c r="A554" s="63" t="s">
        <v>5162</v>
      </c>
      <c r="B554" s="51" t="s">
        <v>5163</v>
      </c>
      <c r="C554" s="53"/>
      <c r="D554" s="53"/>
      <c r="E554" s="62" t="s">
        <v>5164</v>
      </c>
      <c r="F554" s="55" t="s">
        <v>2890</v>
      </c>
      <c r="G554" s="55"/>
      <c r="H554" s="25" t="s">
        <v>3086</v>
      </c>
      <c r="I554" s="24" t="s">
        <v>5165</v>
      </c>
      <c r="J554" s="35"/>
      <c r="K554" s="35"/>
    </row>
    <row r="555" spans="1:11" ht="14.25" x14ac:dyDescent="0.45">
      <c r="A555" s="63" t="s">
        <v>5166</v>
      </c>
      <c r="B555" s="51" t="s">
        <v>5167</v>
      </c>
      <c r="C555" s="53"/>
      <c r="D555" s="53"/>
      <c r="E555" s="62" t="s">
        <v>5168</v>
      </c>
      <c r="F555" s="55"/>
      <c r="G555" s="55"/>
      <c r="H555" s="25" t="s">
        <v>3086</v>
      </c>
      <c r="I555" s="24" t="s">
        <v>5167</v>
      </c>
      <c r="J555" s="35"/>
      <c r="K555" s="35"/>
    </row>
    <row r="556" spans="1:11" ht="14.25" x14ac:dyDescent="0.45">
      <c r="A556" s="63" t="s">
        <v>5169</v>
      </c>
      <c r="B556" s="51" t="s">
        <v>5170</v>
      </c>
      <c r="C556" s="51"/>
      <c r="D556" s="51"/>
      <c r="E556" s="62" t="s">
        <v>5171</v>
      </c>
      <c r="F556" s="62"/>
      <c r="G556" s="62"/>
      <c r="H556" s="25" t="s">
        <v>2927</v>
      </c>
      <c r="I556" s="24" t="s">
        <v>5172</v>
      </c>
      <c r="J556" s="24"/>
      <c r="K556" s="24"/>
    </row>
    <row r="557" spans="1:11" ht="14.25" x14ac:dyDescent="0.45">
      <c r="A557" s="63" t="s">
        <v>5173</v>
      </c>
      <c r="B557" s="51" t="s">
        <v>5174</v>
      </c>
      <c r="C557" s="53"/>
      <c r="D557" s="53"/>
      <c r="E557" s="62" t="s">
        <v>5175</v>
      </c>
      <c r="F557" s="55"/>
      <c r="G557" s="55"/>
      <c r="H557" s="25" t="s">
        <v>3086</v>
      </c>
      <c r="I557" s="24" t="s">
        <v>5176</v>
      </c>
      <c r="J557" s="35"/>
      <c r="K557" s="35"/>
    </row>
    <row r="558" spans="1:11" ht="14.25" x14ac:dyDescent="0.45">
      <c r="A558" s="63" t="s">
        <v>3399</v>
      </c>
      <c r="B558" s="51" t="s">
        <v>5177</v>
      </c>
      <c r="C558" s="51"/>
      <c r="D558" s="51"/>
      <c r="E558" s="62" t="s">
        <v>5178</v>
      </c>
      <c r="F558" s="55" t="s">
        <v>3218</v>
      </c>
      <c r="G558" s="62"/>
      <c r="H558" s="25" t="s">
        <v>2927</v>
      </c>
      <c r="I558" s="24" t="s">
        <v>5179</v>
      </c>
      <c r="J558" s="24"/>
      <c r="K558" s="24"/>
    </row>
    <row r="559" spans="1:11" ht="14.25" x14ac:dyDescent="0.45">
      <c r="A559" s="63" t="s">
        <v>5180</v>
      </c>
      <c r="B559" s="51" t="s">
        <v>5181</v>
      </c>
      <c r="C559" s="53"/>
      <c r="D559" s="53"/>
      <c r="E559" s="62" t="s">
        <v>5182</v>
      </c>
      <c r="F559" s="55"/>
      <c r="G559" s="55"/>
      <c r="H559" s="25" t="s">
        <v>3086</v>
      </c>
      <c r="I559" s="24" t="s">
        <v>5183</v>
      </c>
      <c r="J559" s="35"/>
      <c r="K559" s="35"/>
    </row>
    <row r="560" spans="1:11" ht="14.25" x14ac:dyDescent="0.45">
      <c r="A560" s="61"/>
      <c r="B560" s="51" t="s">
        <v>5184</v>
      </c>
      <c r="C560" s="51"/>
      <c r="D560" s="51"/>
      <c r="E560" s="62" t="s">
        <v>5185</v>
      </c>
      <c r="F560" s="62"/>
      <c r="G560" s="62"/>
      <c r="H560" s="25" t="s">
        <v>3086</v>
      </c>
      <c r="I560" s="24" t="s">
        <v>5186</v>
      </c>
      <c r="J560" s="24"/>
      <c r="K560" s="24"/>
    </row>
    <row r="561" spans="1:11" ht="14.25" x14ac:dyDescent="0.45">
      <c r="A561" s="63" t="s">
        <v>4871</v>
      </c>
      <c r="B561" s="51" t="s">
        <v>5187</v>
      </c>
      <c r="C561" s="51"/>
      <c r="D561" s="51"/>
      <c r="E561" s="62" t="s">
        <v>5188</v>
      </c>
      <c r="F561" s="55" t="s">
        <v>4874</v>
      </c>
      <c r="G561" s="62"/>
      <c r="H561" s="25" t="s">
        <v>3086</v>
      </c>
      <c r="I561" s="24" t="s">
        <v>5189</v>
      </c>
      <c r="J561" s="24"/>
      <c r="K561" s="24"/>
    </row>
    <row r="562" spans="1:11" ht="14.25" x14ac:dyDescent="0.45">
      <c r="A562" s="63" t="s">
        <v>5190</v>
      </c>
      <c r="B562" s="51" t="s">
        <v>5191</v>
      </c>
      <c r="C562" s="53"/>
      <c r="D562" s="53"/>
      <c r="E562" s="62" t="s">
        <v>5192</v>
      </c>
      <c r="F562" s="55" t="s">
        <v>3569</v>
      </c>
      <c r="G562" s="55"/>
      <c r="H562" s="25" t="s">
        <v>3086</v>
      </c>
      <c r="I562" s="24" t="s">
        <v>5193</v>
      </c>
      <c r="J562" s="35"/>
      <c r="K562" s="35"/>
    </row>
    <row r="563" spans="1:11" ht="14.25" x14ac:dyDescent="0.45">
      <c r="A563" s="61"/>
      <c r="B563" s="51" t="s">
        <v>5194</v>
      </c>
      <c r="C563" s="51"/>
      <c r="D563" s="51"/>
      <c r="E563" s="62" t="s">
        <v>5195</v>
      </c>
      <c r="F563" s="55" t="s">
        <v>3208</v>
      </c>
      <c r="G563" s="62"/>
      <c r="H563" s="25" t="s">
        <v>3086</v>
      </c>
      <c r="I563" s="24" t="s">
        <v>5196</v>
      </c>
      <c r="J563" s="35" t="s">
        <v>3285</v>
      </c>
      <c r="K563" s="24"/>
    </row>
    <row r="564" spans="1:11" ht="14.25" x14ac:dyDescent="0.45">
      <c r="A564" s="63" t="s">
        <v>4037</v>
      </c>
      <c r="B564" s="51" t="s">
        <v>5197</v>
      </c>
      <c r="C564" s="53"/>
      <c r="D564" s="53"/>
      <c r="E564" s="62" t="s">
        <v>5198</v>
      </c>
      <c r="F564" s="55" t="s">
        <v>4040</v>
      </c>
      <c r="G564" s="55"/>
      <c r="H564" s="25" t="s">
        <v>3086</v>
      </c>
      <c r="I564" s="24" t="s">
        <v>5199</v>
      </c>
      <c r="J564" s="35"/>
      <c r="K564" s="35"/>
    </row>
    <row r="565" spans="1:11" ht="14.25" x14ac:dyDescent="0.45">
      <c r="A565" s="63" t="s">
        <v>3313</v>
      </c>
      <c r="B565" s="51" t="s">
        <v>5200</v>
      </c>
      <c r="C565" s="53"/>
      <c r="D565" s="53"/>
      <c r="E565" s="62" t="s">
        <v>5201</v>
      </c>
      <c r="F565" s="55" t="s">
        <v>3316</v>
      </c>
      <c r="G565" s="55"/>
      <c r="H565" s="25" t="s">
        <v>2927</v>
      </c>
      <c r="I565" s="24" t="s">
        <v>5202</v>
      </c>
      <c r="J565" s="35"/>
      <c r="K565" s="35"/>
    </row>
    <row r="566" spans="1:11" ht="14.25" x14ac:dyDescent="0.45">
      <c r="A566" s="63" t="s">
        <v>4644</v>
      </c>
      <c r="B566" s="51" t="s">
        <v>5203</v>
      </c>
      <c r="C566" s="53"/>
      <c r="D566" s="53"/>
      <c r="E566" s="62" t="s">
        <v>5204</v>
      </c>
      <c r="F566" s="55"/>
      <c r="G566" s="55"/>
      <c r="H566" s="25" t="s">
        <v>3086</v>
      </c>
      <c r="I566" s="24" t="s">
        <v>5205</v>
      </c>
      <c r="J566" s="35"/>
      <c r="K566" s="35"/>
    </row>
    <row r="567" spans="1:11" ht="14.25" x14ac:dyDescent="0.45">
      <c r="A567" s="63" t="s">
        <v>5206</v>
      </c>
      <c r="B567" s="51" t="s">
        <v>5207</v>
      </c>
      <c r="C567" s="53"/>
      <c r="D567" s="53"/>
      <c r="E567" s="62" t="s">
        <v>5208</v>
      </c>
      <c r="F567" s="55" t="s">
        <v>3193</v>
      </c>
      <c r="G567" s="55"/>
      <c r="H567" s="25" t="s">
        <v>2927</v>
      </c>
      <c r="I567" s="24" t="s">
        <v>5209</v>
      </c>
      <c r="J567" s="35"/>
      <c r="K567" s="35"/>
    </row>
    <row r="568" spans="1:11" ht="14.25" x14ac:dyDescent="0.45">
      <c r="A568" s="63" t="s">
        <v>5210</v>
      </c>
      <c r="B568" s="51" t="s">
        <v>5211</v>
      </c>
      <c r="C568" s="53"/>
      <c r="D568" s="53"/>
      <c r="E568" s="62" t="s">
        <v>5212</v>
      </c>
      <c r="F568" s="55" t="s">
        <v>2995</v>
      </c>
      <c r="G568" s="55"/>
      <c r="H568" s="25" t="s">
        <v>3086</v>
      </c>
      <c r="I568" s="24" t="s">
        <v>5213</v>
      </c>
      <c r="J568" s="35"/>
      <c r="K568" s="35"/>
    </row>
    <row r="569" spans="1:11" ht="14.25" x14ac:dyDescent="0.45">
      <c r="A569" s="63" t="s">
        <v>3738</v>
      </c>
      <c r="B569" s="51" t="s">
        <v>5214</v>
      </c>
      <c r="C569" s="67" t="s">
        <v>3155</v>
      </c>
      <c r="D569" s="51"/>
      <c r="E569" s="62" t="s">
        <v>5215</v>
      </c>
      <c r="F569" s="62"/>
      <c r="G569" s="62"/>
      <c r="H569" s="25" t="s">
        <v>3086</v>
      </c>
      <c r="I569" s="24" t="s">
        <v>5216</v>
      </c>
      <c r="J569" s="24"/>
      <c r="K569" s="24"/>
    </row>
    <row r="570" spans="1:11" ht="14.25" x14ac:dyDescent="0.45">
      <c r="A570" s="61"/>
      <c r="B570" s="51" t="e">
        <v>#VALUE!</v>
      </c>
      <c r="C570" s="51"/>
      <c r="D570" s="51"/>
      <c r="E570" s="62" t="e">
        <v>#VALUE!</v>
      </c>
      <c r="F570" s="62"/>
      <c r="G570" s="62"/>
      <c r="H570" s="25" t="e">
        <v>#VALUE!</v>
      </c>
      <c r="I570" s="24" t="s">
        <v>2927</v>
      </c>
      <c r="J570" s="24"/>
      <c r="K570" s="24"/>
    </row>
    <row r="571" spans="1:11" ht="14.25" x14ac:dyDescent="0.45">
      <c r="A571" s="61"/>
      <c r="B571" s="51" t="s">
        <v>5217</v>
      </c>
      <c r="C571" s="51"/>
      <c r="D571" s="51"/>
      <c r="E571" s="62" t="s">
        <v>5218</v>
      </c>
      <c r="F571" s="62"/>
      <c r="G571" s="62"/>
      <c r="H571" s="25" t="s">
        <v>3086</v>
      </c>
      <c r="I571" s="24" t="s">
        <v>5219</v>
      </c>
      <c r="J571" s="24"/>
      <c r="K571" s="24"/>
    </row>
    <row r="572" spans="1:11" ht="14.25" x14ac:dyDescent="0.45">
      <c r="A572" s="61"/>
      <c r="B572" s="51" t="s">
        <v>5220</v>
      </c>
      <c r="C572" s="51"/>
      <c r="D572" s="51"/>
      <c r="E572" s="62" t="s">
        <v>5221</v>
      </c>
      <c r="F572" s="62"/>
      <c r="G572" s="62"/>
      <c r="H572" s="25" t="s">
        <v>3086</v>
      </c>
      <c r="I572" s="24" t="s">
        <v>5222</v>
      </c>
      <c r="J572" s="24"/>
      <c r="K572" s="24"/>
    </row>
    <row r="573" spans="1:11" ht="14.25" x14ac:dyDescent="0.45">
      <c r="A573" s="63" t="s">
        <v>5223</v>
      </c>
      <c r="B573" s="51" t="s">
        <v>5224</v>
      </c>
      <c r="C573" s="53"/>
      <c r="D573" s="53"/>
      <c r="E573" s="62" t="s">
        <v>5225</v>
      </c>
      <c r="F573" s="55"/>
      <c r="G573" s="55"/>
      <c r="H573" s="25" t="s">
        <v>2927</v>
      </c>
      <c r="I573" s="24" t="s">
        <v>5226</v>
      </c>
      <c r="J573" s="35"/>
      <c r="K573" s="35"/>
    </row>
    <row r="574" spans="1:11" ht="14.25" x14ac:dyDescent="0.45">
      <c r="A574" s="63" t="s">
        <v>5227</v>
      </c>
      <c r="B574" s="51" t="s">
        <v>5228</v>
      </c>
      <c r="C574" s="68"/>
      <c r="D574" s="68"/>
      <c r="E574" s="62" t="s">
        <v>5229</v>
      </c>
      <c r="F574" s="72"/>
      <c r="G574" s="72"/>
      <c r="H574" s="25" t="s">
        <v>3086</v>
      </c>
      <c r="I574" s="24" t="s">
        <v>5230</v>
      </c>
      <c r="J574" s="74"/>
      <c r="K574" s="74"/>
    </row>
    <row r="575" spans="1:11" ht="14.25" x14ac:dyDescent="0.45">
      <c r="A575" s="63" t="s">
        <v>4416</v>
      </c>
      <c r="B575" s="51" t="s">
        <v>5231</v>
      </c>
      <c r="C575" s="51"/>
      <c r="D575" s="51"/>
      <c r="E575" s="62" t="s">
        <v>5232</v>
      </c>
      <c r="F575" s="62"/>
      <c r="G575" s="62"/>
      <c r="H575" s="25" t="s">
        <v>2927</v>
      </c>
      <c r="I575" s="24" t="s">
        <v>5233</v>
      </c>
      <c r="J575" s="24"/>
      <c r="K575" s="24"/>
    </row>
    <row r="576" spans="1:11" ht="14.25" x14ac:dyDescent="0.45">
      <c r="A576" s="61"/>
      <c r="B576" s="51" t="s">
        <v>5234</v>
      </c>
      <c r="C576" s="51"/>
      <c r="D576" s="51"/>
      <c r="E576" s="62" t="s">
        <v>5235</v>
      </c>
      <c r="F576" s="62"/>
      <c r="G576" s="62"/>
      <c r="H576" s="25" t="s">
        <v>3086</v>
      </c>
      <c r="I576" s="24" t="s">
        <v>5236</v>
      </c>
      <c r="J576" s="24"/>
      <c r="K576" s="24"/>
    </row>
    <row r="577" spans="1:11" ht="14.25" x14ac:dyDescent="0.45">
      <c r="A577" s="63" t="s">
        <v>5063</v>
      </c>
      <c r="B577" s="51" t="s">
        <v>5237</v>
      </c>
      <c r="C577" s="53"/>
      <c r="D577" s="53"/>
      <c r="E577" s="62" t="s">
        <v>5238</v>
      </c>
      <c r="F577" s="55"/>
      <c r="G577" s="55"/>
      <c r="H577" s="25" t="s">
        <v>3086</v>
      </c>
      <c r="I577" s="24" t="s">
        <v>5239</v>
      </c>
      <c r="J577" s="35"/>
      <c r="K577" s="35"/>
    </row>
    <row r="578" spans="1:11" ht="14.25" x14ac:dyDescent="0.45">
      <c r="A578" s="63" t="s">
        <v>5240</v>
      </c>
      <c r="B578" s="51" t="s">
        <v>5241</v>
      </c>
      <c r="C578" s="53"/>
      <c r="D578" s="53"/>
      <c r="E578" s="62" t="s">
        <v>5242</v>
      </c>
      <c r="F578" s="55"/>
      <c r="G578" s="55"/>
      <c r="H578" s="25" t="s">
        <v>2927</v>
      </c>
      <c r="I578" s="24" t="s">
        <v>5243</v>
      </c>
      <c r="J578" s="35"/>
      <c r="K578" s="35"/>
    </row>
    <row r="579" spans="1:11" ht="14.25" x14ac:dyDescent="0.45">
      <c r="A579" s="61"/>
      <c r="B579" s="51" t="s">
        <v>5244</v>
      </c>
      <c r="C579" s="51"/>
      <c r="D579" s="51"/>
      <c r="E579" s="62" t="s">
        <v>5245</v>
      </c>
      <c r="F579" s="62"/>
      <c r="G579" s="62"/>
      <c r="H579" s="25" t="s">
        <v>3086</v>
      </c>
      <c r="I579" s="24" t="s">
        <v>5246</v>
      </c>
      <c r="J579" s="24"/>
      <c r="K579" s="24"/>
    </row>
    <row r="580" spans="1:11" ht="14.25" x14ac:dyDescent="0.45">
      <c r="A580" s="61"/>
      <c r="B580" s="51" t="s">
        <v>5247</v>
      </c>
      <c r="C580" s="53" t="s">
        <v>3202</v>
      </c>
      <c r="D580" s="51"/>
      <c r="E580" s="62" t="s">
        <v>5248</v>
      </c>
      <c r="F580" s="62"/>
      <c r="G580" s="62"/>
      <c r="H580" s="25" t="s">
        <v>3086</v>
      </c>
      <c r="I580" s="24" t="s">
        <v>5249</v>
      </c>
      <c r="J580" s="24"/>
      <c r="K580" s="24"/>
    </row>
    <row r="581" spans="1:11" ht="14.25" x14ac:dyDescent="0.45">
      <c r="A581" s="63" t="s">
        <v>4439</v>
      </c>
      <c r="B581" s="51" t="s">
        <v>5250</v>
      </c>
      <c r="C581" s="51"/>
      <c r="D581" s="51"/>
      <c r="E581" s="62" t="s">
        <v>5251</v>
      </c>
      <c r="F581" s="62"/>
      <c r="G581" s="62"/>
      <c r="H581" s="25" t="s">
        <v>3086</v>
      </c>
      <c r="I581" s="24" t="s">
        <v>5252</v>
      </c>
      <c r="J581" s="24"/>
      <c r="K581" s="24"/>
    </row>
    <row r="582" spans="1:11" ht="14.25" x14ac:dyDescent="0.45">
      <c r="A582" s="63" t="s">
        <v>5253</v>
      </c>
      <c r="B582" s="51" t="s">
        <v>5254</v>
      </c>
      <c r="C582" s="53"/>
      <c r="D582" s="53"/>
      <c r="E582" s="62" t="s">
        <v>5255</v>
      </c>
      <c r="F582" s="55"/>
      <c r="G582" s="55"/>
      <c r="H582" s="25" t="s">
        <v>3086</v>
      </c>
      <c r="I582" s="24" t="s">
        <v>5256</v>
      </c>
      <c r="J582" s="35"/>
      <c r="K582" s="35"/>
    </row>
    <row r="583" spans="1:11" ht="14.25" x14ac:dyDescent="0.45">
      <c r="A583" s="63" t="s">
        <v>3393</v>
      </c>
      <c r="B583" s="51" t="s">
        <v>5257</v>
      </c>
      <c r="C583" s="53"/>
      <c r="D583" s="53"/>
      <c r="E583" s="62" t="s">
        <v>5258</v>
      </c>
      <c r="F583" s="55"/>
      <c r="G583" s="55"/>
      <c r="H583" s="25" t="s">
        <v>3086</v>
      </c>
      <c r="I583" s="24" t="s">
        <v>5259</v>
      </c>
      <c r="J583" s="35"/>
      <c r="K583" s="35"/>
    </row>
    <row r="584" spans="1:11" ht="14.25" x14ac:dyDescent="0.45">
      <c r="A584" s="63" t="s">
        <v>5260</v>
      </c>
      <c r="B584" s="51" t="s">
        <v>5261</v>
      </c>
      <c r="C584" s="53"/>
      <c r="D584" s="53"/>
      <c r="E584" s="62" t="s">
        <v>5262</v>
      </c>
      <c r="F584" s="55"/>
      <c r="G584" s="55"/>
      <c r="H584" s="25" t="s">
        <v>3086</v>
      </c>
      <c r="I584" s="24" t="s">
        <v>5263</v>
      </c>
      <c r="J584" s="35"/>
      <c r="K584" s="35"/>
    </row>
    <row r="585" spans="1:11" ht="14.25" x14ac:dyDescent="0.45">
      <c r="A585" s="63" t="s">
        <v>5264</v>
      </c>
      <c r="B585" s="51" t="s">
        <v>5265</v>
      </c>
      <c r="C585" s="51"/>
      <c r="D585" s="51"/>
      <c r="E585" s="62" t="s">
        <v>5266</v>
      </c>
      <c r="F585" s="62"/>
      <c r="G585" s="62"/>
      <c r="H585" s="25" t="s">
        <v>3086</v>
      </c>
      <c r="I585" s="24" t="s">
        <v>5267</v>
      </c>
      <c r="J585" s="24"/>
      <c r="K585" s="24"/>
    </row>
    <row r="586" spans="1:11" ht="14.25" x14ac:dyDescent="0.45">
      <c r="A586" s="63" t="s">
        <v>5268</v>
      </c>
      <c r="B586" s="51" t="s">
        <v>5269</v>
      </c>
      <c r="C586" s="53" t="s">
        <v>2895</v>
      </c>
      <c r="D586" s="53"/>
      <c r="E586" s="62" t="s">
        <v>5270</v>
      </c>
      <c r="F586" s="55" t="s">
        <v>3752</v>
      </c>
      <c r="G586" s="55"/>
      <c r="H586" s="25" t="s">
        <v>3086</v>
      </c>
      <c r="I586" s="24" t="s">
        <v>5271</v>
      </c>
      <c r="J586" s="35"/>
      <c r="K586" s="35"/>
    </row>
    <row r="587" spans="1:11" ht="14.25" x14ac:dyDescent="0.45">
      <c r="A587" s="63" t="s">
        <v>5272</v>
      </c>
      <c r="B587" s="51" t="s">
        <v>5273</v>
      </c>
      <c r="C587" s="51"/>
      <c r="D587" s="51"/>
      <c r="E587" s="62" t="s">
        <v>5274</v>
      </c>
      <c r="F587" s="62"/>
      <c r="G587" s="62"/>
      <c r="H587" s="25" t="s">
        <v>3086</v>
      </c>
      <c r="I587" s="24" t="s">
        <v>5275</v>
      </c>
      <c r="J587" s="24"/>
      <c r="K587" s="24"/>
    </row>
    <row r="588" spans="1:11" ht="14.25" x14ac:dyDescent="0.45">
      <c r="A588" s="61"/>
      <c r="B588" s="51" t="s">
        <v>5276</v>
      </c>
      <c r="C588" s="51"/>
      <c r="D588" s="51"/>
      <c r="E588" s="62" t="s">
        <v>5277</v>
      </c>
      <c r="F588" s="62"/>
      <c r="G588" s="62"/>
      <c r="H588" s="25" t="s">
        <v>2927</v>
      </c>
      <c r="I588" s="24" t="s">
        <v>5278</v>
      </c>
      <c r="J588" s="24"/>
      <c r="K588" s="24"/>
    </row>
    <row r="589" spans="1:11" ht="14.25" x14ac:dyDescent="0.45">
      <c r="A589" s="63" t="s">
        <v>4387</v>
      </c>
      <c r="B589" s="51" t="s">
        <v>5279</v>
      </c>
      <c r="C589" s="53"/>
      <c r="D589" s="53"/>
      <c r="E589" s="62" t="s">
        <v>5280</v>
      </c>
      <c r="F589" s="55"/>
      <c r="G589" s="55"/>
      <c r="H589" s="25" t="s">
        <v>3086</v>
      </c>
      <c r="I589" s="24" t="s">
        <v>5281</v>
      </c>
      <c r="J589" s="35"/>
      <c r="K589" s="35"/>
    </row>
    <row r="590" spans="1:11" ht="14.25" x14ac:dyDescent="0.45">
      <c r="A590" s="61"/>
      <c r="B590" s="51" t="s">
        <v>5282</v>
      </c>
      <c r="C590" s="51"/>
      <c r="D590" s="51"/>
      <c r="E590" s="62" t="s">
        <v>5283</v>
      </c>
      <c r="F590" s="62"/>
      <c r="G590" s="62"/>
      <c r="H590" s="25" t="s">
        <v>3086</v>
      </c>
      <c r="I590" s="24" t="s">
        <v>5284</v>
      </c>
      <c r="J590" s="24"/>
      <c r="K590" s="24"/>
    </row>
    <row r="591" spans="1:11" ht="14.25" x14ac:dyDescent="0.45">
      <c r="A591" s="63" t="s">
        <v>5285</v>
      </c>
      <c r="B591" s="51" t="s">
        <v>5286</v>
      </c>
      <c r="C591" s="53"/>
      <c r="D591" s="53"/>
      <c r="E591" s="62" t="s">
        <v>5287</v>
      </c>
      <c r="F591" s="55"/>
      <c r="G591" s="55"/>
      <c r="H591" s="25" t="s">
        <v>3086</v>
      </c>
      <c r="I591" s="24" t="s">
        <v>5288</v>
      </c>
      <c r="J591" s="35"/>
      <c r="K591" s="35"/>
    </row>
    <row r="592" spans="1:11" ht="14.25" x14ac:dyDescent="0.45">
      <c r="A592" s="63" t="s">
        <v>4018</v>
      </c>
      <c r="B592" s="51" t="s">
        <v>5289</v>
      </c>
      <c r="C592" s="51"/>
      <c r="D592" s="51"/>
      <c r="E592" s="62" t="s">
        <v>5290</v>
      </c>
      <c r="F592" s="62"/>
      <c r="G592" s="62"/>
      <c r="H592" s="25" t="s">
        <v>3086</v>
      </c>
      <c r="I592" s="24" t="s">
        <v>5291</v>
      </c>
      <c r="J592" s="24"/>
      <c r="K592" s="24"/>
    </row>
    <row r="593" spans="1:11" ht="14.25" x14ac:dyDescent="0.45">
      <c r="A593" s="63" t="s">
        <v>5292</v>
      </c>
      <c r="B593" s="51" t="s">
        <v>5293</v>
      </c>
      <c r="C593" s="53" t="s">
        <v>3202</v>
      </c>
      <c r="D593" s="53"/>
      <c r="E593" s="62" t="s">
        <v>5294</v>
      </c>
      <c r="F593" s="55"/>
      <c r="G593" s="55"/>
      <c r="H593" s="25" t="s">
        <v>3086</v>
      </c>
      <c r="I593" s="24" t="s">
        <v>5295</v>
      </c>
      <c r="J593" s="35"/>
      <c r="K593" s="35"/>
    </row>
    <row r="594" spans="1:11" ht="14.25" x14ac:dyDescent="0.45">
      <c r="A594" s="61"/>
      <c r="B594" s="51" t="s">
        <v>5296</v>
      </c>
      <c r="C594" s="51"/>
      <c r="D594" s="51"/>
      <c r="E594" s="62" t="s">
        <v>5297</v>
      </c>
      <c r="F594" s="62"/>
      <c r="G594" s="62"/>
      <c r="H594" s="25" t="s">
        <v>3086</v>
      </c>
      <c r="I594" s="24" t="s">
        <v>5298</v>
      </c>
      <c r="J594" s="35" t="s">
        <v>3099</v>
      </c>
      <c r="K594" s="24"/>
    </row>
    <row r="595" spans="1:11" ht="14.25" x14ac:dyDescent="0.45">
      <c r="A595" s="63" t="s">
        <v>3738</v>
      </c>
      <c r="B595" s="51" t="s">
        <v>5299</v>
      </c>
      <c r="C595" s="67" t="s">
        <v>3155</v>
      </c>
      <c r="D595" s="51"/>
      <c r="E595" s="62" t="s">
        <v>5300</v>
      </c>
      <c r="F595" s="62"/>
      <c r="G595" s="62"/>
      <c r="H595" s="25" t="s">
        <v>3086</v>
      </c>
      <c r="I595" s="24" t="s">
        <v>5301</v>
      </c>
      <c r="J595" s="24"/>
      <c r="K595" s="24"/>
    </row>
    <row r="596" spans="1:11" ht="14.25" x14ac:dyDescent="0.45">
      <c r="A596" s="63" t="s">
        <v>5302</v>
      </c>
      <c r="B596" s="51" t="s">
        <v>5303</v>
      </c>
      <c r="C596" s="51"/>
      <c r="D596" s="51"/>
      <c r="E596" s="62" t="s">
        <v>5304</v>
      </c>
      <c r="F596" s="55" t="s">
        <v>3524</v>
      </c>
      <c r="G596" s="62"/>
      <c r="H596" s="25" t="s">
        <v>3086</v>
      </c>
      <c r="I596" s="24" t="s">
        <v>5305</v>
      </c>
      <c r="J596" s="35" t="s">
        <v>2915</v>
      </c>
      <c r="K596" s="24"/>
    </row>
    <row r="597" spans="1:11" ht="14.25" x14ac:dyDescent="0.45">
      <c r="A597" s="61"/>
      <c r="B597" s="51" t="e">
        <v>#VALUE!</v>
      </c>
      <c r="C597" s="51"/>
      <c r="D597" s="51"/>
      <c r="E597" s="62" t="e">
        <v>#VALUE!</v>
      </c>
      <c r="F597" s="62"/>
      <c r="G597" s="62"/>
      <c r="H597" s="25" t="e">
        <v>#VALUE!</v>
      </c>
      <c r="I597" s="24" t="s">
        <v>2927</v>
      </c>
      <c r="J597" s="24"/>
      <c r="K597" s="24"/>
    </row>
    <row r="598" spans="1:11" ht="14.25" x14ac:dyDescent="0.45">
      <c r="A598" s="61"/>
      <c r="B598" s="51" t="s">
        <v>5306</v>
      </c>
      <c r="C598" s="51"/>
      <c r="D598" s="51"/>
      <c r="E598" s="62" t="s">
        <v>5307</v>
      </c>
      <c r="F598" s="62"/>
      <c r="G598" s="62"/>
      <c r="H598" s="25" t="s">
        <v>3086</v>
      </c>
      <c r="I598" s="24" t="s">
        <v>5308</v>
      </c>
      <c r="J598" s="24"/>
      <c r="K598" s="24"/>
    </row>
    <row r="599" spans="1:11" ht="14.25" x14ac:dyDescent="0.45">
      <c r="A599" s="63" t="s">
        <v>5309</v>
      </c>
      <c r="B599" s="51" t="s">
        <v>5310</v>
      </c>
      <c r="C599" s="53" t="s">
        <v>3372</v>
      </c>
      <c r="D599" s="53"/>
      <c r="E599" s="62" t="s">
        <v>5311</v>
      </c>
      <c r="F599" s="55"/>
      <c r="G599" s="55"/>
      <c r="H599" s="25" t="s">
        <v>2927</v>
      </c>
      <c r="I599" s="24" t="s">
        <v>5312</v>
      </c>
      <c r="J599" s="35" t="s">
        <v>4534</v>
      </c>
      <c r="K599" s="35"/>
    </row>
    <row r="600" spans="1:11" ht="14.25" x14ac:dyDescent="0.45">
      <c r="A600" s="63" t="s">
        <v>5313</v>
      </c>
      <c r="B600" s="51" t="s">
        <v>5314</v>
      </c>
      <c r="C600" s="65"/>
      <c r="D600" s="65"/>
      <c r="E600" s="62" t="s">
        <v>5315</v>
      </c>
      <c r="F600" s="66"/>
      <c r="G600" s="66"/>
      <c r="H600" s="25" t="s">
        <v>3086</v>
      </c>
      <c r="I600" s="24" t="s">
        <v>5316</v>
      </c>
      <c r="J600" s="32"/>
      <c r="K600" s="32"/>
    </row>
    <row r="601" spans="1:11" ht="14.25" x14ac:dyDescent="0.45">
      <c r="A601" s="61"/>
      <c r="B601" s="51" t="s">
        <v>5317</v>
      </c>
      <c r="C601" s="51"/>
      <c r="D601" s="51"/>
      <c r="E601" s="62" t="s">
        <v>5318</v>
      </c>
      <c r="F601" s="62"/>
      <c r="G601" s="62"/>
      <c r="H601" s="25" t="s">
        <v>2927</v>
      </c>
      <c r="I601" s="24" t="s">
        <v>5319</v>
      </c>
      <c r="J601" s="35" t="s">
        <v>3038</v>
      </c>
      <c r="K601" s="24"/>
    </row>
    <row r="602" spans="1:11" ht="14.25" x14ac:dyDescent="0.45">
      <c r="A602" s="61"/>
      <c r="B602" s="51" t="s">
        <v>5320</v>
      </c>
      <c r="C602" s="77" t="s">
        <v>2874</v>
      </c>
      <c r="D602" s="51"/>
      <c r="E602" s="62" t="s">
        <v>5321</v>
      </c>
      <c r="F602" s="55" t="s">
        <v>2970</v>
      </c>
      <c r="G602" s="62"/>
      <c r="H602" s="25" t="s">
        <v>2927</v>
      </c>
      <c r="I602" s="24" t="s">
        <v>5322</v>
      </c>
      <c r="J602" s="24"/>
      <c r="K602" s="24"/>
    </row>
    <row r="603" spans="1:11" ht="14.25" x14ac:dyDescent="0.45">
      <c r="A603" s="61"/>
      <c r="B603" s="51" t="s">
        <v>5323</v>
      </c>
      <c r="C603" s="51"/>
      <c r="D603" s="51"/>
      <c r="E603" s="62" t="s">
        <v>5324</v>
      </c>
      <c r="F603" s="62"/>
      <c r="G603" s="62"/>
      <c r="H603" s="25" t="s">
        <v>2927</v>
      </c>
      <c r="I603" s="24" t="s">
        <v>5325</v>
      </c>
      <c r="J603" s="24"/>
      <c r="K603" s="24"/>
    </row>
    <row r="604" spans="1:11" ht="14.25" x14ac:dyDescent="0.45">
      <c r="A604" s="61"/>
      <c r="B604" s="51" t="s">
        <v>5326</v>
      </c>
      <c r="C604" s="51"/>
      <c r="D604" s="51"/>
      <c r="E604" s="62" t="s">
        <v>5327</v>
      </c>
      <c r="F604" s="62"/>
      <c r="G604" s="62"/>
      <c r="H604" s="25" t="s">
        <v>2927</v>
      </c>
      <c r="I604" s="24" t="s">
        <v>5328</v>
      </c>
      <c r="J604" s="24"/>
      <c r="K604" s="24"/>
    </row>
    <row r="605" spans="1:11" ht="14.25" x14ac:dyDescent="0.45">
      <c r="A605" s="61"/>
      <c r="B605" s="51" t="s">
        <v>5329</v>
      </c>
      <c r="C605" s="51"/>
      <c r="D605" s="51"/>
      <c r="E605" s="62" t="s">
        <v>5330</v>
      </c>
      <c r="F605" s="62"/>
      <c r="G605" s="62"/>
      <c r="H605" s="25" t="s">
        <v>3086</v>
      </c>
      <c r="I605" s="24" t="s">
        <v>5331</v>
      </c>
      <c r="J605" s="24"/>
      <c r="K605" s="24"/>
    </row>
    <row r="606" spans="1:11" ht="14.25" x14ac:dyDescent="0.45">
      <c r="A606" s="63" t="s">
        <v>3821</v>
      </c>
      <c r="B606" s="51" t="s">
        <v>5332</v>
      </c>
      <c r="C606" s="53"/>
      <c r="D606" s="53"/>
      <c r="E606" s="62" t="s">
        <v>5333</v>
      </c>
      <c r="F606" s="55"/>
      <c r="G606" s="55"/>
      <c r="H606" s="25" t="s">
        <v>3086</v>
      </c>
      <c r="I606" s="24" t="s">
        <v>5334</v>
      </c>
      <c r="J606" s="35" t="s">
        <v>3295</v>
      </c>
      <c r="K606" s="35"/>
    </row>
    <row r="607" spans="1:11" ht="14.25" x14ac:dyDescent="0.45">
      <c r="A607" s="61"/>
      <c r="B607" s="51" t="s">
        <v>5335</v>
      </c>
      <c r="C607" s="51"/>
      <c r="D607" s="51"/>
      <c r="E607" s="62" t="s">
        <v>5336</v>
      </c>
      <c r="F607" s="62"/>
      <c r="G607" s="62"/>
      <c r="H607" s="25" t="s">
        <v>3086</v>
      </c>
      <c r="I607" s="24" t="s">
        <v>5337</v>
      </c>
      <c r="J607" s="35" t="s">
        <v>3114</v>
      </c>
      <c r="K607" s="24"/>
    </row>
    <row r="608" spans="1:11" ht="14.25" x14ac:dyDescent="0.45">
      <c r="A608" s="63" t="s">
        <v>5338</v>
      </c>
      <c r="B608" s="51" t="s">
        <v>5339</v>
      </c>
      <c r="C608" s="51"/>
      <c r="D608" s="51"/>
      <c r="E608" s="62" t="s">
        <v>5340</v>
      </c>
      <c r="F608" s="62"/>
      <c r="G608" s="62"/>
      <c r="H608" s="25" t="s">
        <v>2927</v>
      </c>
      <c r="I608" s="24" t="s">
        <v>5341</v>
      </c>
      <c r="J608" s="35" t="s">
        <v>3701</v>
      </c>
      <c r="K608" s="24"/>
    </row>
    <row r="609" spans="1:11" ht="14.25" x14ac:dyDescent="0.45">
      <c r="A609" s="63" t="s">
        <v>5342</v>
      </c>
      <c r="B609" s="51" t="s">
        <v>5343</v>
      </c>
      <c r="C609" s="53"/>
      <c r="D609" s="53"/>
      <c r="E609" s="62" t="s">
        <v>5344</v>
      </c>
      <c r="F609" s="55"/>
      <c r="G609" s="55"/>
      <c r="H609" s="25" t="s">
        <v>3086</v>
      </c>
      <c r="I609" s="24" t="s">
        <v>5345</v>
      </c>
      <c r="J609" s="35"/>
      <c r="K609" s="35"/>
    </row>
    <row r="610" spans="1:11" ht="14.25" x14ac:dyDescent="0.45">
      <c r="A610" s="61"/>
      <c r="B610" s="51" t="s">
        <v>5346</v>
      </c>
      <c r="C610" s="51"/>
      <c r="D610" s="51"/>
      <c r="E610" s="62" t="s">
        <v>5347</v>
      </c>
      <c r="F610" s="62"/>
      <c r="G610" s="62"/>
      <c r="H610" s="25" t="s">
        <v>2927</v>
      </c>
      <c r="I610" s="24" t="s">
        <v>5348</v>
      </c>
      <c r="J610" s="24"/>
      <c r="K610" s="24"/>
    </row>
    <row r="611" spans="1:11" ht="14.25" x14ac:dyDescent="0.45">
      <c r="A611" s="61"/>
      <c r="B611" s="51" t="s">
        <v>5349</v>
      </c>
      <c r="C611" s="51"/>
      <c r="D611" s="51"/>
      <c r="E611" s="62" t="s">
        <v>5350</v>
      </c>
      <c r="F611" s="62"/>
      <c r="G611" s="62"/>
      <c r="H611" s="25" t="s">
        <v>3086</v>
      </c>
      <c r="I611" s="24" t="s">
        <v>5351</v>
      </c>
      <c r="J611" s="24"/>
      <c r="K611" s="24"/>
    </row>
    <row r="612" spans="1:11" ht="14.25" x14ac:dyDescent="0.45">
      <c r="A612" s="63" t="s">
        <v>5352</v>
      </c>
      <c r="B612" s="51" t="s">
        <v>5353</v>
      </c>
      <c r="C612" s="69" t="s">
        <v>3248</v>
      </c>
      <c r="D612" s="53"/>
      <c r="E612" s="62" t="s">
        <v>5354</v>
      </c>
      <c r="F612" s="55"/>
      <c r="G612" s="55"/>
      <c r="H612" s="25" t="s">
        <v>3086</v>
      </c>
      <c r="I612" s="24" t="s">
        <v>5355</v>
      </c>
      <c r="J612" s="35" t="s">
        <v>3618</v>
      </c>
      <c r="K612" s="35"/>
    </row>
    <row r="613" spans="1:11" ht="14.25" x14ac:dyDescent="0.45">
      <c r="A613" s="63" t="s">
        <v>5272</v>
      </c>
      <c r="B613" s="51" t="s">
        <v>5356</v>
      </c>
      <c r="C613" s="53"/>
      <c r="D613" s="53"/>
      <c r="E613" s="62" t="s">
        <v>5357</v>
      </c>
      <c r="F613" s="55"/>
      <c r="G613" s="55"/>
      <c r="H613" s="25" t="s">
        <v>2927</v>
      </c>
      <c r="I613" s="24" t="s">
        <v>5358</v>
      </c>
      <c r="J613" s="35"/>
      <c r="K613" s="35"/>
    </row>
    <row r="614" spans="1:11" ht="14.25" x14ac:dyDescent="0.45">
      <c r="A614" s="63" t="s">
        <v>5359</v>
      </c>
      <c r="B614" s="51" t="s">
        <v>5360</v>
      </c>
      <c r="C614" s="53"/>
      <c r="D614" s="53"/>
      <c r="E614" s="62" t="s">
        <v>5361</v>
      </c>
      <c r="F614" s="55"/>
      <c r="G614" s="55"/>
      <c r="H614" s="25" t="s">
        <v>3086</v>
      </c>
      <c r="I614" s="24" t="s">
        <v>5362</v>
      </c>
      <c r="J614" s="35"/>
      <c r="K614" s="35"/>
    </row>
    <row r="615" spans="1:11" ht="14.25" x14ac:dyDescent="0.45">
      <c r="A615" s="61"/>
      <c r="B615" s="51" t="s">
        <v>5363</v>
      </c>
      <c r="C615" s="51"/>
      <c r="D615" s="51"/>
      <c r="E615" s="62" t="s">
        <v>5364</v>
      </c>
      <c r="F615" s="62"/>
      <c r="G615" s="62"/>
      <c r="H615" s="25" t="s">
        <v>3086</v>
      </c>
      <c r="I615" s="24" t="s">
        <v>5365</v>
      </c>
      <c r="J615" s="24"/>
      <c r="K615" s="24"/>
    </row>
    <row r="616" spans="1:11" ht="14.25" x14ac:dyDescent="0.45">
      <c r="A616" s="63" t="s">
        <v>5366</v>
      </c>
      <c r="B616" s="51" t="s">
        <v>5367</v>
      </c>
      <c r="C616" s="53"/>
      <c r="D616" s="53"/>
      <c r="E616" s="62" t="s">
        <v>5368</v>
      </c>
      <c r="F616" s="55" t="s">
        <v>3069</v>
      </c>
      <c r="G616" s="55"/>
      <c r="H616" s="25" t="s">
        <v>3086</v>
      </c>
      <c r="I616" s="24" t="s">
        <v>5369</v>
      </c>
      <c r="J616" s="35"/>
      <c r="K616" s="35"/>
    </row>
    <row r="617" spans="1:11" ht="14.25" x14ac:dyDescent="0.45">
      <c r="A617" s="61"/>
      <c r="B617" s="51" t="s">
        <v>5370</v>
      </c>
      <c r="C617" s="51"/>
      <c r="D617" s="51"/>
      <c r="E617" s="62" t="s">
        <v>5371</v>
      </c>
      <c r="F617" s="62"/>
      <c r="G617" s="62"/>
      <c r="H617" s="25" t="s">
        <v>3086</v>
      </c>
      <c r="I617" s="24" t="s">
        <v>5372</v>
      </c>
      <c r="J617" s="24"/>
      <c r="K617" s="24"/>
    </row>
    <row r="618" spans="1:11" ht="14.25" x14ac:dyDescent="0.45">
      <c r="A618" s="63" t="s">
        <v>5373</v>
      </c>
      <c r="B618" s="51" t="s">
        <v>5374</v>
      </c>
      <c r="C618" s="53"/>
      <c r="D618" s="53"/>
      <c r="E618" s="62" t="s">
        <v>5375</v>
      </c>
      <c r="F618" s="55"/>
      <c r="G618" s="55"/>
      <c r="H618" s="25" t="s">
        <v>3086</v>
      </c>
      <c r="I618" s="24" t="s">
        <v>5376</v>
      </c>
      <c r="J618" s="35"/>
      <c r="K618" s="35"/>
    </row>
    <row r="619" spans="1:11" ht="14.25" x14ac:dyDescent="0.45">
      <c r="A619" s="63" t="s">
        <v>5377</v>
      </c>
      <c r="B619" s="51" t="s">
        <v>5378</v>
      </c>
      <c r="C619" s="53"/>
      <c r="D619" s="53"/>
      <c r="E619" s="62" t="s">
        <v>5379</v>
      </c>
      <c r="F619" s="55"/>
      <c r="G619" s="55"/>
      <c r="H619" s="25" t="s">
        <v>3086</v>
      </c>
      <c r="I619" s="24" t="s">
        <v>5380</v>
      </c>
      <c r="J619" s="35"/>
      <c r="K619" s="35"/>
    </row>
    <row r="620" spans="1:11" ht="14.25" x14ac:dyDescent="0.45">
      <c r="A620" s="63" t="s">
        <v>5381</v>
      </c>
      <c r="B620" s="51" t="s">
        <v>5382</v>
      </c>
      <c r="C620" s="53"/>
      <c r="D620" s="53"/>
      <c r="E620" s="62" t="s">
        <v>5383</v>
      </c>
      <c r="F620" s="55"/>
      <c r="G620" s="55"/>
      <c r="H620" s="25" t="s">
        <v>3086</v>
      </c>
      <c r="I620" s="24" t="s">
        <v>5384</v>
      </c>
      <c r="J620" s="35"/>
      <c r="K620" s="35"/>
    </row>
    <row r="621" spans="1:11" ht="14.25" x14ac:dyDescent="0.45">
      <c r="A621" s="61"/>
      <c r="B621" s="51" t="s">
        <v>5385</v>
      </c>
      <c r="C621" s="51"/>
      <c r="D621" s="51"/>
      <c r="E621" s="62" t="s">
        <v>5386</v>
      </c>
      <c r="F621" s="55" t="s">
        <v>3185</v>
      </c>
      <c r="G621" s="62"/>
      <c r="H621" s="25" t="s">
        <v>3086</v>
      </c>
      <c r="I621" s="24" t="s">
        <v>5387</v>
      </c>
      <c r="J621" s="24"/>
      <c r="K621" s="24"/>
    </row>
    <row r="622" spans="1:11" ht="14.25" x14ac:dyDescent="0.45">
      <c r="A622" s="63" t="s">
        <v>5388</v>
      </c>
      <c r="B622" s="51" t="s">
        <v>5389</v>
      </c>
      <c r="C622" s="53"/>
      <c r="D622" s="53"/>
      <c r="E622" s="62" t="s">
        <v>5390</v>
      </c>
      <c r="F622" s="55"/>
      <c r="G622" s="55"/>
      <c r="H622" s="25" t="s">
        <v>2927</v>
      </c>
      <c r="I622" s="24" t="s">
        <v>5391</v>
      </c>
      <c r="J622" s="35"/>
      <c r="K622" s="35"/>
    </row>
    <row r="623" spans="1:11" ht="14.25" x14ac:dyDescent="0.45">
      <c r="A623" s="63" t="s">
        <v>5392</v>
      </c>
      <c r="B623" s="51" t="s">
        <v>5393</v>
      </c>
      <c r="C623" s="53"/>
      <c r="D623" s="53"/>
      <c r="E623" s="62" t="s">
        <v>5394</v>
      </c>
      <c r="F623" s="55"/>
      <c r="G623" s="55"/>
      <c r="H623" s="25" t="s">
        <v>2927</v>
      </c>
      <c r="I623" s="24" t="s">
        <v>5395</v>
      </c>
      <c r="J623" s="35"/>
      <c r="K623" s="35"/>
    </row>
    <row r="624" spans="1:11" ht="14.25" x14ac:dyDescent="0.45">
      <c r="A624" s="61"/>
      <c r="B624" s="51" t="e">
        <v>#VALUE!</v>
      </c>
      <c r="C624" s="51"/>
      <c r="D624" s="51"/>
      <c r="E624" s="62" t="e">
        <v>#VALUE!</v>
      </c>
      <c r="F624" s="62"/>
      <c r="G624" s="62"/>
      <c r="H624" s="25" t="e">
        <v>#VALUE!</v>
      </c>
      <c r="I624" s="24" t="s">
        <v>2927</v>
      </c>
      <c r="J624" s="24"/>
      <c r="K624" s="24"/>
    </row>
    <row r="625" spans="1:11" ht="14.25" x14ac:dyDescent="0.45">
      <c r="A625" s="61"/>
      <c r="B625" s="51" t="s">
        <v>5396</v>
      </c>
      <c r="C625" s="51"/>
      <c r="D625" s="51"/>
      <c r="E625" s="62" t="s">
        <v>5397</v>
      </c>
      <c r="F625" s="62"/>
      <c r="G625" s="62"/>
      <c r="H625" s="25" t="s">
        <v>3086</v>
      </c>
      <c r="I625" s="24" t="s">
        <v>5398</v>
      </c>
      <c r="J625" s="24"/>
      <c r="K625" s="24"/>
    </row>
    <row r="626" spans="1:11" ht="14.25" x14ac:dyDescent="0.45">
      <c r="A626" s="61"/>
      <c r="B626" s="51" t="s">
        <v>5399</v>
      </c>
      <c r="C626" s="68"/>
      <c r="D626" s="68"/>
      <c r="E626" s="62" t="s">
        <v>5400</v>
      </c>
      <c r="F626" s="72"/>
      <c r="G626" s="72"/>
      <c r="H626" s="25" t="s">
        <v>2927</v>
      </c>
      <c r="I626" s="24" t="s">
        <v>5401</v>
      </c>
      <c r="J626" s="74"/>
      <c r="K626" s="74"/>
    </row>
    <row r="627" spans="1:11" ht="14.25" x14ac:dyDescent="0.45">
      <c r="A627" s="63" t="s">
        <v>5402</v>
      </c>
      <c r="B627" s="51" t="s">
        <v>5403</v>
      </c>
      <c r="C627" s="53"/>
      <c r="D627" s="53"/>
      <c r="E627" s="62" t="s">
        <v>5404</v>
      </c>
      <c r="F627" s="55"/>
      <c r="G627" s="55"/>
      <c r="H627" s="25" t="s">
        <v>2927</v>
      </c>
      <c r="I627" s="24" t="s">
        <v>5405</v>
      </c>
      <c r="J627" s="35"/>
      <c r="K627" s="35"/>
    </row>
    <row r="628" spans="1:11" ht="14.25" x14ac:dyDescent="0.45">
      <c r="A628" s="63" t="s">
        <v>5402</v>
      </c>
      <c r="B628" s="51" t="s">
        <v>5406</v>
      </c>
      <c r="C628" s="53"/>
      <c r="D628" s="53"/>
      <c r="E628" s="62" t="s">
        <v>5407</v>
      </c>
      <c r="F628" s="55" t="s">
        <v>3020</v>
      </c>
      <c r="G628" s="55"/>
      <c r="H628" s="25" t="s">
        <v>3086</v>
      </c>
      <c r="I628" s="24" t="s">
        <v>5408</v>
      </c>
      <c r="J628" s="35" t="s">
        <v>3125</v>
      </c>
      <c r="K628" s="35"/>
    </row>
    <row r="629" spans="1:11" ht="14.25" x14ac:dyDescent="0.45">
      <c r="A629" s="63" t="s">
        <v>5409</v>
      </c>
      <c r="B629" s="51" t="s">
        <v>5410</v>
      </c>
      <c r="C629" s="69" t="s">
        <v>3248</v>
      </c>
      <c r="D629" s="53"/>
      <c r="E629" s="62" t="s">
        <v>5411</v>
      </c>
      <c r="F629" s="55"/>
      <c r="G629" s="55"/>
      <c r="H629" s="25" t="s">
        <v>2927</v>
      </c>
      <c r="I629" s="24" t="s">
        <v>5412</v>
      </c>
      <c r="J629" s="35" t="s">
        <v>2973</v>
      </c>
      <c r="K629" s="35"/>
    </row>
    <row r="630" spans="1:11" ht="14.25" x14ac:dyDescent="0.45">
      <c r="A630" s="63" t="s">
        <v>3797</v>
      </c>
      <c r="B630" s="51" t="s">
        <v>5413</v>
      </c>
      <c r="C630" s="53"/>
      <c r="D630" s="53"/>
      <c r="E630" s="62" t="s">
        <v>5414</v>
      </c>
      <c r="F630" s="55"/>
      <c r="G630" s="55"/>
      <c r="H630" s="25" t="s">
        <v>3086</v>
      </c>
      <c r="I630" s="24" t="s">
        <v>5415</v>
      </c>
      <c r="J630" s="35"/>
      <c r="K630" s="35"/>
    </row>
    <row r="631" spans="1:11" ht="14.25" x14ac:dyDescent="0.45">
      <c r="A631" s="63" t="s">
        <v>5416</v>
      </c>
      <c r="B631" s="51" t="s">
        <v>5417</v>
      </c>
      <c r="C631" s="53"/>
      <c r="D631" s="53"/>
      <c r="E631" s="62" t="s">
        <v>5418</v>
      </c>
      <c r="F631" s="55"/>
      <c r="G631" s="55"/>
      <c r="H631" s="25" t="s">
        <v>3086</v>
      </c>
      <c r="I631" s="24" t="s">
        <v>5419</v>
      </c>
      <c r="J631" s="35"/>
      <c r="K631" s="35"/>
    </row>
    <row r="632" spans="1:11" ht="14.25" x14ac:dyDescent="0.45">
      <c r="A632" s="61"/>
      <c r="B632" s="51" t="s">
        <v>5420</v>
      </c>
      <c r="C632" s="51"/>
      <c r="D632" s="51"/>
      <c r="E632" s="62" t="s">
        <v>5421</v>
      </c>
      <c r="F632" s="62"/>
      <c r="G632" s="62"/>
      <c r="H632" s="25" t="s">
        <v>3086</v>
      </c>
      <c r="I632" s="24" t="s">
        <v>5422</v>
      </c>
      <c r="J632" s="24"/>
      <c r="K632" s="24"/>
    </row>
    <row r="633" spans="1:11" ht="14.25" x14ac:dyDescent="0.45">
      <c r="A633" s="52"/>
      <c r="B633" s="51" t="s">
        <v>5423</v>
      </c>
      <c r="C633" s="53"/>
      <c r="D633" s="53"/>
      <c r="E633" s="62" t="s">
        <v>5424</v>
      </c>
      <c r="F633" s="55"/>
      <c r="G633" s="55"/>
      <c r="H633" s="25" t="s">
        <v>3086</v>
      </c>
      <c r="I633" s="24" t="s">
        <v>5425</v>
      </c>
      <c r="J633" s="35"/>
      <c r="K633" s="35"/>
    </row>
    <row r="634" spans="1:11" ht="14.25" x14ac:dyDescent="0.45">
      <c r="A634" s="63" t="s">
        <v>5426</v>
      </c>
      <c r="B634" s="51" t="s">
        <v>5427</v>
      </c>
      <c r="C634" s="53"/>
      <c r="D634" s="53"/>
      <c r="E634" s="62" t="s">
        <v>5428</v>
      </c>
      <c r="F634" s="55"/>
      <c r="G634" s="55"/>
      <c r="H634" s="25" t="s">
        <v>3086</v>
      </c>
      <c r="I634" s="24" t="s">
        <v>5429</v>
      </c>
      <c r="J634" s="35"/>
      <c r="K634" s="35"/>
    </row>
    <row r="635" spans="1:11" ht="14.25" x14ac:dyDescent="0.45">
      <c r="A635" s="63" t="s">
        <v>5430</v>
      </c>
      <c r="B635" s="51" t="s">
        <v>5431</v>
      </c>
      <c r="C635" s="53"/>
      <c r="D635" s="53"/>
      <c r="E635" s="62" t="s">
        <v>5432</v>
      </c>
      <c r="F635" s="55" t="s">
        <v>2940</v>
      </c>
      <c r="G635" s="55"/>
      <c r="H635" s="25" t="s">
        <v>3086</v>
      </c>
      <c r="I635" s="24" t="s">
        <v>5433</v>
      </c>
      <c r="J635" s="35"/>
      <c r="K635" s="35"/>
    </row>
    <row r="636" spans="1:11" ht="14.25" x14ac:dyDescent="0.45">
      <c r="A636" s="63" t="s">
        <v>5434</v>
      </c>
      <c r="B636" s="51" t="s">
        <v>5435</v>
      </c>
      <c r="C636" s="53"/>
      <c r="D636" s="53"/>
      <c r="E636" s="62" t="s">
        <v>5436</v>
      </c>
      <c r="F636" s="55"/>
      <c r="G636" s="55"/>
      <c r="H636" s="25" t="s">
        <v>2927</v>
      </c>
      <c r="I636" s="24" t="s">
        <v>5437</v>
      </c>
      <c r="J636" s="35"/>
      <c r="K636" s="35"/>
    </row>
    <row r="637" spans="1:11" ht="14.25" x14ac:dyDescent="0.45">
      <c r="A637" s="63" t="s">
        <v>5438</v>
      </c>
      <c r="B637" s="51" t="s">
        <v>5439</v>
      </c>
      <c r="C637" s="53"/>
      <c r="D637" s="53"/>
      <c r="E637" s="62" t="s">
        <v>5440</v>
      </c>
      <c r="F637" s="55"/>
      <c r="G637" s="55"/>
      <c r="H637" s="25" t="s">
        <v>3086</v>
      </c>
      <c r="I637" s="24" t="s">
        <v>5441</v>
      </c>
      <c r="J637" s="35"/>
      <c r="K637" s="35"/>
    </row>
    <row r="638" spans="1:11" ht="14.25" x14ac:dyDescent="0.45">
      <c r="A638" s="63" t="s">
        <v>4285</v>
      </c>
      <c r="B638" s="51" t="s">
        <v>5442</v>
      </c>
      <c r="C638" s="51"/>
      <c r="D638" s="51"/>
      <c r="E638" s="62" t="s">
        <v>5443</v>
      </c>
      <c r="F638" s="62"/>
      <c r="G638" s="62"/>
      <c r="H638" s="25" t="s">
        <v>3086</v>
      </c>
      <c r="I638" s="24" t="s">
        <v>5444</v>
      </c>
      <c r="J638" s="24"/>
      <c r="K638" s="24"/>
    </row>
    <row r="639" spans="1:11" ht="14.25" x14ac:dyDescent="0.45">
      <c r="A639" s="63" t="s">
        <v>5445</v>
      </c>
      <c r="B639" s="51" t="s">
        <v>5446</v>
      </c>
      <c r="C639" s="53" t="s">
        <v>3067</v>
      </c>
      <c r="D639" s="53"/>
      <c r="E639" s="62" t="s">
        <v>5447</v>
      </c>
      <c r="F639" s="55" t="s">
        <v>3067</v>
      </c>
      <c r="G639" s="55"/>
      <c r="H639" s="25" t="s">
        <v>3086</v>
      </c>
      <c r="I639" s="24" t="s">
        <v>5448</v>
      </c>
      <c r="J639" s="35"/>
      <c r="K639" s="35"/>
    </row>
    <row r="640" spans="1:11" ht="14.25" x14ac:dyDescent="0.45">
      <c r="A640" s="63" t="s">
        <v>5449</v>
      </c>
      <c r="B640" s="51" t="s">
        <v>5450</v>
      </c>
      <c r="C640" s="53"/>
      <c r="D640" s="53"/>
      <c r="E640" s="62" t="s">
        <v>5451</v>
      </c>
      <c r="F640" s="55"/>
      <c r="G640" s="55"/>
      <c r="H640" s="25" t="s">
        <v>2927</v>
      </c>
      <c r="I640" s="24" t="s">
        <v>5452</v>
      </c>
      <c r="J640" s="35" t="s">
        <v>3524</v>
      </c>
      <c r="K640" s="35"/>
    </row>
    <row r="641" spans="1:11" ht="14.25" x14ac:dyDescent="0.45">
      <c r="A641" s="63" t="s">
        <v>5453</v>
      </c>
      <c r="B641" s="51" t="s">
        <v>5454</v>
      </c>
      <c r="C641" s="53"/>
      <c r="D641" s="53"/>
      <c r="E641" s="62" t="s">
        <v>5455</v>
      </c>
      <c r="F641" s="55"/>
      <c r="G641" s="55"/>
      <c r="H641" s="25" t="s">
        <v>3086</v>
      </c>
      <c r="I641" s="24" t="s">
        <v>5456</v>
      </c>
      <c r="J641" s="35"/>
      <c r="K641" s="35"/>
    </row>
    <row r="642" spans="1:11" ht="14.25" x14ac:dyDescent="0.45">
      <c r="A642" s="63" t="s">
        <v>4855</v>
      </c>
      <c r="B642" s="51" t="s">
        <v>5457</v>
      </c>
      <c r="C642" s="53"/>
      <c r="D642" s="53"/>
      <c r="E642" s="62" t="s">
        <v>5458</v>
      </c>
      <c r="F642" s="55"/>
      <c r="G642" s="55"/>
      <c r="H642" s="25" t="s">
        <v>3086</v>
      </c>
      <c r="I642" s="24" t="s">
        <v>5459</v>
      </c>
      <c r="J642" s="35"/>
      <c r="K642" s="35"/>
    </row>
    <row r="643" spans="1:11" ht="14.25" x14ac:dyDescent="0.45">
      <c r="A643" s="63" t="s">
        <v>5460</v>
      </c>
      <c r="B643" s="51" t="s">
        <v>5461</v>
      </c>
      <c r="C643" s="51"/>
      <c r="D643" s="51"/>
      <c r="E643" s="62" t="s">
        <v>5462</v>
      </c>
      <c r="F643" s="62"/>
      <c r="G643" s="62"/>
      <c r="H643" s="25" t="s">
        <v>3086</v>
      </c>
      <c r="I643" s="24" t="s">
        <v>5463</v>
      </c>
      <c r="J643" s="24"/>
      <c r="K643" s="24"/>
    </row>
    <row r="644" spans="1:11" ht="14.25" x14ac:dyDescent="0.45">
      <c r="A644" s="63" t="s">
        <v>5464</v>
      </c>
      <c r="B644" s="51" t="s">
        <v>5465</v>
      </c>
      <c r="C644" s="53"/>
      <c r="D644" s="53"/>
      <c r="E644" s="62" t="s">
        <v>5466</v>
      </c>
      <c r="F644" s="55"/>
      <c r="G644" s="55"/>
      <c r="H644" s="25" t="s">
        <v>2927</v>
      </c>
      <c r="I644" s="24" t="s">
        <v>5467</v>
      </c>
      <c r="J644" s="35"/>
      <c r="K644" s="35"/>
    </row>
    <row r="645" spans="1:11" ht="14.25" x14ac:dyDescent="0.45">
      <c r="A645" s="63" t="s">
        <v>4147</v>
      </c>
      <c r="B645" s="51" t="s">
        <v>5468</v>
      </c>
      <c r="C645" s="53"/>
      <c r="D645" s="53"/>
      <c r="E645" s="62" t="s">
        <v>5469</v>
      </c>
      <c r="F645" s="55" t="s">
        <v>4151</v>
      </c>
      <c r="G645" s="55"/>
      <c r="H645" s="25" t="s">
        <v>2927</v>
      </c>
      <c r="I645" s="24" t="s">
        <v>5470</v>
      </c>
      <c r="J645" s="35" t="s">
        <v>4910</v>
      </c>
      <c r="K645" s="35"/>
    </row>
    <row r="646" spans="1:11" ht="14.25" x14ac:dyDescent="0.45">
      <c r="A646" s="63" t="s">
        <v>5471</v>
      </c>
      <c r="B646" s="51" t="s">
        <v>5472</v>
      </c>
      <c r="C646" s="53"/>
      <c r="D646" s="53"/>
      <c r="E646" s="62" t="s">
        <v>5473</v>
      </c>
      <c r="F646" s="55"/>
      <c r="G646" s="55"/>
      <c r="H646" s="25" t="s">
        <v>3086</v>
      </c>
      <c r="I646" s="24" t="s">
        <v>5474</v>
      </c>
      <c r="J646" s="35"/>
      <c r="K646" s="35"/>
    </row>
    <row r="647" spans="1:11" ht="14.25" x14ac:dyDescent="0.45">
      <c r="A647" s="63" t="s">
        <v>3738</v>
      </c>
      <c r="B647" s="51" t="s">
        <v>5475</v>
      </c>
      <c r="C647" s="67" t="s">
        <v>3155</v>
      </c>
      <c r="D647" s="51"/>
      <c r="E647" s="62" t="s">
        <v>5476</v>
      </c>
      <c r="F647" s="55" t="s">
        <v>3913</v>
      </c>
      <c r="G647" s="62"/>
      <c r="H647" s="25" t="s">
        <v>3086</v>
      </c>
      <c r="I647" s="24" t="s">
        <v>5477</v>
      </c>
      <c r="J647" s="24"/>
      <c r="K647" s="24"/>
    </row>
    <row r="648" spans="1:11" ht="14.25" x14ac:dyDescent="0.45">
      <c r="A648" s="61"/>
      <c r="B648" s="51" t="s">
        <v>5478</v>
      </c>
      <c r="C648" s="51"/>
      <c r="D648" s="51"/>
      <c r="E648" s="62" t="s">
        <v>5479</v>
      </c>
      <c r="F648" s="62"/>
      <c r="G648" s="62"/>
      <c r="H648" s="25" t="s">
        <v>3086</v>
      </c>
      <c r="I648" s="24" t="s">
        <v>5480</v>
      </c>
      <c r="J648" s="24"/>
      <c r="K648" s="24"/>
    </row>
    <row r="649" spans="1:11" ht="14.25" x14ac:dyDescent="0.45">
      <c r="A649" s="63" t="s">
        <v>5481</v>
      </c>
      <c r="B649" s="51" t="s">
        <v>5482</v>
      </c>
      <c r="C649" s="53"/>
      <c r="D649" s="53"/>
      <c r="E649" s="62" t="s">
        <v>5483</v>
      </c>
      <c r="F649" s="55"/>
      <c r="G649" s="55"/>
      <c r="H649" s="25" t="s">
        <v>3086</v>
      </c>
      <c r="I649" s="24" t="s">
        <v>5484</v>
      </c>
      <c r="J649" s="35"/>
      <c r="K649" s="35"/>
    </row>
    <row r="650" spans="1:11" ht="14.25" x14ac:dyDescent="0.45">
      <c r="A650" s="61"/>
      <c r="B650" s="51" t="s">
        <v>5485</v>
      </c>
      <c r="C650" s="51"/>
      <c r="D650" s="51"/>
      <c r="E650" s="62" t="s">
        <v>5486</v>
      </c>
      <c r="F650" s="62"/>
      <c r="G650" s="62"/>
      <c r="H650" s="25" t="s">
        <v>3086</v>
      </c>
      <c r="I650" s="24" t="s">
        <v>5487</v>
      </c>
      <c r="J650" s="24"/>
      <c r="K650" s="24"/>
    </row>
    <row r="651" spans="1:11" ht="14.25" x14ac:dyDescent="0.45">
      <c r="A651" s="61"/>
      <c r="B651" s="51" t="e">
        <v>#VALUE!</v>
      </c>
      <c r="C651" s="51"/>
      <c r="D651" s="51"/>
      <c r="E651" s="62" t="e">
        <v>#VALUE!</v>
      </c>
      <c r="F651" s="62"/>
      <c r="G651" s="62"/>
      <c r="H651" s="25" t="e">
        <v>#VALUE!</v>
      </c>
      <c r="I651" s="24" t="s">
        <v>2927</v>
      </c>
      <c r="J651" s="24"/>
      <c r="K651" s="24"/>
    </row>
    <row r="652" spans="1:11" ht="14.25" x14ac:dyDescent="0.45">
      <c r="A652" s="63" t="s">
        <v>5488</v>
      </c>
      <c r="B652" s="51" t="s">
        <v>5489</v>
      </c>
      <c r="C652" s="65"/>
      <c r="D652" s="65"/>
      <c r="E652" s="62" t="s">
        <v>5490</v>
      </c>
      <c r="F652" s="66" t="s">
        <v>3020</v>
      </c>
      <c r="G652" s="66"/>
      <c r="H652" s="25" t="s">
        <v>2927</v>
      </c>
      <c r="I652" s="24" t="s">
        <v>5491</v>
      </c>
      <c r="J652" s="32"/>
      <c r="K652" s="32"/>
    </row>
    <row r="653" spans="1:11" ht="14.25" x14ac:dyDescent="0.45">
      <c r="A653" s="63" t="s">
        <v>4701</v>
      </c>
      <c r="B653" s="51" t="s">
        <v>5492</v>
      </c>
      <c r="C653" s="53"/>
      <c r="D653" s="53"/>
      <c r="E653" s="62" t="s">
        <v>5493</v>
      </c>
      <c r="F653" s="55"/>
      <c r="G653" s="55"/>
      <c r="H653" s="25" t="s">
        <v>2927</v>
      </c>
      <c r="I653" s="24" t="s">
        <v>5494</v>
      </c>
      <c r="J653" s="35"/>
      <c r="K653" s="35"/>
    </row>
    <row r="654" spans="1:11" ht="14.25" x14ac:dyDescent="0.45">
      <c r="A654" s="63" t="s">
        <v>4321</v>
      </c>
      <c r="B654" s="51" t="s">
        <v>5495</v>
      </c>
      <c r="C654" s="77" t="s">
        <v>2925</v>
      </c>
      <c r="D654" s="51"/>
      <c r="E654" s="62" t="s">
        <v>5496</v>
      </c>
      <c r="F654" s="55" t="s">
        <v>2925</v>
      </c>
      <c r="G654" s="62"/>
      <c r="H654" s="25" t="s">
        <v>3086</v>
      </c>
      <c r="I654" s="24" t="s">
        <v>5497</v>
      </c>
      <c r="J654" s="24"/>
      <c r="K654" s="24"/>
    </row>
    <row r="655" spans="1:11" ht="14.25" x14ac:dyDescent="0.45">
      <c r="A655" s="61"/>
      <c r="B655" s="51" t="s">
        <v>5498</v>
      </c>
      <c r="C655" s="51"/>
      <c r="D655" s="51"/>
      <c r="E655" s="62" t="s">
        <v>5499</v>
      </c>
      <c r="F655" s="62"/>
      <c r="G655" s="62"/>
      <c r="H655" s="25" t="s">
        <v>3086</v>
      </c>
      <c r="I655" s="24" t="s">
        <v>5500</v>
      </c>
      <c r="J655" s="24"/>
      <c r="K655" s="24"/>
    </row>
    <row r="656" spans="1:11" ht="14.25" x14ac:dyDescent="0.45">
      <c r="A656" s="61"/>
      <c r="B656" s="51" t="s">
        <v>5501</v>
      </c>
      <c r="C656" s="51"/>
      <c r="D656" s="51"/>
      <c r="E656" s="62" t="s">
        <v>5502</v>
      </c>
      <c r="F656" s="62"/>
      <c r="G656" s="62"/>
      <c r="H656" s="25" t="s">
        <v>3086</v>
      </c>
      <c r="I656" s="24" t="s">
        <v>5503</v>
      </c>
      <c r="J656" s="24"/>
      <c r="K656" s="24"/>
    </row>
    <row r="657" spans="1:11" ht="14.25" x14ac:dyDescent="0.45">
      <c r="A657" s="63" t="s">
        <v>5504</v>
      </c>
      <c r="B657" s="51" t="s">
        <v>5505</v>
      </c>
      <c r="C657" s="51"/>
      <c r="D657" s="51"/>
      <c r="E657" s="62" t="s">
        <v>5506</v>
      </c>
      <c r="F657" s="62"/>
      <c r="G657" s="62"/>
      <c r="H657" s="25" t="s">
        <v>3086</v>
      </c>
      <c r="I657" s="24" t="s">
        <v>5507</v>
      </c>
      <c r="J657" s="24"/>
      <c r="K657" s="24"/>
    </row>
    <row r="658" spans="1:11" ht="14.25" x14ac:dyDescent="0.45">
      <c r="A658" s="63" t="s">
        <v>3121</v>
      </c>
      <c r="B658" s="51" t="s">
        <v>5508</v>
      </c>
      <c r="C658" s="53"/>
      <c r="D658" s="53"/>
      <c r="E658" s="62" t="s">
        <v>5509</v>
      </c>
      <c r="F658" s="55"/>
      <c r="G658" s="55"/>
      <c r="H658" s="25" t="s">
        <v>3086</v>
      </c>
      <c r="I658" s="24" t="s">
        <v>5510</v>
      </c>
      <c r="J658" s="35"/>
      <c r="K658" s="35"/>
    </row>
    <row r="659" spans="1:11" ht="14.25" x14ac:dyDescent="0.45">
      <c r="A659" s="63" t="s">
        <v>5511</v>
      </c>
      <c r="B659" s="51" t="s">
        <v>5512</v>
      </c>
      <c r="C659" s="51"/>
      <c r="D659" s="51"/>
      <c r="E659" s="62" t="s">
        <v>5513</v>
      </c>
      <c r="F659" s="62"/>
      <c r="G659" s="62"/>
      <c r="H659" s="25" t="s">
        <v>3086</v>
      </c>
      <c r="I659" s="24" t="s">
        <v>5514</v>
      </c>
      <c r="J659" s="24"/>
      <c r="K659" s="24"/>
    </row>
    <row r="660" spans="1:11" ht="14.25" x14ac:dyDescent="0.45">
      <c r="A660" s="61"/>
      <c r="B660" s="51" t="s">
        <v>5515</v>
      </c>
      <c r="C660" s="51"/>
      <c r="D660" s="51"/>
      <c r="E660" s="62" t="s">
        <v>5516</v>
      </c>
      <c r="F660" s="62"/>
      <c r="G660" s="62"/>
      <c r="H660" s="25" t="s">
        <v>3086</v>
      </c>
      <c r="I660" s="24" t="s">
        <v>5517</v>
      </c>
      <c r="J660" s="24"/>
      <c r="K660" s="24"/>
    </row>
    <row r="661" spans="1:11" ht="14.25" x14ac:dyDescent="0.45">
      <c r="A661" s="63" t="s">
        <v>3393</v>
      </c>
      <c r="B661" s="51" t="s">
        <v>5518</v>
      </c>
      <c r="C661" s="51"/>
      <c r="D661" s="51"/>
      <c r="E661" s="62" t="s">
        <v>5519</v>
      </c>
      <c r="F661" s="62"/>
      <c r="G661" s="62"/>
      <c r="H661" s="25" t="s">
        <v>3086</v>
      </c>
      <c r="I661" s="24" t="s">
        <v>5520</v>
      </c>
      <c r="J661" s="24"/>
      <c r="K661" s="24"/>
    </row>
    <row r="662" spans="1:11" ht="14.25" x14ac:dyDescent="0.45">
      <c r="A662" s="63" t="s">
        <v>5253</v>
      </c>
      <c r="B662" s="51" t="s">
        <v>5521</v>
      </c>
      <c r="C662" s="51"/>
      <c r="D662" s="51"/>
      <c r="E662" s="62" t="s">
        <v>5522</v>
      </c>
      <c r="F662" s="62"/>
      <c r="G662" s="62"/>
      <c r="H662" s="25" t="s">
        <v>3086</v>
      </c>
      <c r="I662" s="24" t="s">
        <v>5523</v>
      </c>
      <c r="J662" s="24"/>
      <c r="K662" s="24"/>
    </row>
    <row r="663" spans="1:11" ht="14.25" x14ac:dyDescent="0.45">
      <c r="A663" s="61"/>
      <c r="B663" s="51" t="s">
        <v>5524</v>
      </c>
      <c r="C663" s="51"/>
      <c r="D663" s="51"/>
      <c r="E663" s="62" t="s">
        <v>5525</v>
      </c>
      <c r="F663" s="62"/>
      <c r="G663" s="62"/>
      <c r="H663" s="25" t="s">
        <v>3086</v>
      </c>
      <c r="I663" s="24" t="s">
        <v>5526</v>
      </c>
      <c r="J663" s="24"/>
      <c r="K663" s="24"/>
    </row>
    <row r="664" spans="1:11" ht="14.25" x14ac:dyDescent="0.45">
      <c r="A664" s="63" t="s">
        <v>5527</v>
      </c>
      <c r="B664" s="51" t="s">
        <v>5528</v>
      </c>
      <c r="C664" s="53"/>
      <c r="D664" s="53"/>
      <c r="E664" s="62" t="s">
        <v>5529</v>
      </c>
      <c r="F664" s="55" t="s">
        <v>2983</v>
      </c>
      <c r="G664" s="55"/>
      <c r="H664" s="25" t="s">
        <v>3086</v>
      </c>
      <c r="I664" s="24" t="s">
        <v>5530</v>
      </c>
      <c r="J664" s="35"/>
      <c r="K664" s="35"/>
    </row>
    <row r="665" spans="1:11" ht="14.25" x14ac:dyDescent="0.45">
      <c r="A665" s="63" t="s">
        <v>4321</v>
      </c>
      <c r="B665" s="51" t="s">
        <v>5531</v>
      </c>
      <c r="C665" s="53"/>
      <c r="D665" s="53"/>
      <c r="E665" s="62" t="s">
        <v>5532</v>
      </c>
      <c r="F665" s="55" t="s">
        <v>2925</v>
      </c>
      <c r="G665" s="55"/>
      <c r="H665" s="25" t="s">
        <v>3086</v>
      </c>
      <c r="I665" s="24" t="s">
        <v>5533</v>
      </c>
      <c r="J665" s="35"/>
      <c r="K665" s="35"/>
    </row>
    <row r="666" spans="1:11" ht="14.25" x14ac:dyDescent="0.45">
      <c r="A666" s="63" t="s">
        <v>5534</v>
      </c>
      <c r="B666" s="51" t="s">
        <v>5535</v>
      </c>
      <c r="C666" s="53" t="s">
        <v>2926</v>
      </c>
      <c r="D666" s="53"/>
      <c r="E666" s="62" t="s">
        <v>5536</v>
      </c>
      <c r="F666" s="55" t="s">
        <v>5537</v>
      </c>
      <c r="G666" s="55"/>
      <c r="H666" s="25" t="s">
        <v>3086</v>
      </c>
      <c r="I666" s="24" t="s">
        <v>5538</v>
      </c>
      <c r="J666" s="35"/>
      <c r="K666" s="35"/>
    </row>
    <row r="667" spans="1:11" ht="14.25" x14ac:dyDescent="0.45">
      <c r="A667" s="63" t="s">
        <v>3689</v>
      </c>
      <c r="B667" s="51" t="s">
        <v>2895</v>
      </c>
      <c r="C667" s="53" t="s">
        <v>2895</v>
      </c>
      <c r="D667" s="51"/>
      <c r="E667" s="62" t="s">
        <v>5539</v>
      </c>
      <c r="F667" s="62"/>
      <c r="G667" s="62"/>
      <c r="H667" s="25" t="s">
        <v>3086</v>
      </c>
      <c r="I667" s="24" t="s">
        <v>5540</v>
      </c>
      <c r="J667" s="24"/>
      <c r="K667" s="24"/>
    </row>
    <row r="668" spans="1:11" ht="14.25" x14ac:dyDescent="0.45">
      <c r="A668" s="63" t="s">
        <v>5541</v>
      </c>
      <c r="B668" s="51" t="s">
        <v>5542</v>
      </c>
      <c r="C668" s="53"/>
      <c r="D668" s="53"/>
      <c r="E668" s="62" t="s">
        <v>5543</v>
      </c>
      <c r="F668" s="55"/>
      <c r="G668" s="55"/>
      <c r="H668" s="25" t="s">
        <v>3086</v>
      </c>
      <c r="I668" s="24" t="s">
        <v>5544</v>
      </c>
      <c r="J668" s="35"/>
      <c r="K668" s="35"/>
    </row>
    <row r="669" spans="1:11" ht="14.25" x14ac:dyDescent="0.45">
      <c r="A669" s="63" t="s">
        <v>5545</v>
      </c>
      <c r="B669" s="51" t="s">
        <v>5546</v>
      </c>
      <c r="C669" s="53" t="s">
        <v>3013</v>
      </c>
      <c r="D669" s="53" t="s">
        <v>5546</v>
      </c>
      <c r="E669" s="62" t="s">
        <v>5547</v>
      </c>
      <c r="F669" s="55"/>
      <c r="G669" s="55"/>
      <c r="H669" s="25" t="s">
        <v>3086</v>
      </c>
      <c r="I669" s="24" t="s">
        <v>5548</v>
      </c>
      <c r="J669" s="35"/>
      <c r="K669" s="35"/>
    </row>
    <row r="670" spans="1:11" ht="14.25" x14ac:dyDescent="0.45">
      <c r="A670" s="63" t="s">
        <v>5549</v>
      </c>
      <c r="B670" s="51" t="s">
        <v>5550</v>
      </c>
      <c r="C670" s="53"/>
      <c r="D670" s="53"/>
      <c r="E670" s="62" t="s">
        <v>5551</v>
      </c>
      <c r="F670" s="55"/>
      <c r="G670" s="55"/>
      <c r="H670" s="25" t="s">
        <v>2927</v>
      </c>
      <c r="I670" s="24" t="s">
        <v>5552</v>
      </c>
      <c r="J670" s="35" t="s">
        <v>2956</v>
      </c>
      <c r="K670" s="35"/>
    </row>
    <row r="671" spans="1:11" ht="14.25" x14ac:dyDescent="0.45">
      <c r="A671" s="61"/>
      <c r="B671" s="51" t="s">
        <v>5553</v>
      </c>
      <c r="C671" s="51"/>
      <c r="D671" s="51"/>
      <c r="E671" s="62" t="s">
        <v>5554</v>
      </c>
      <c r="F671" s="62"/>
      <c r="G671" s="62"/>
      <c r="H671" s="25" t="s">
        <v>2927</v>
      </c>
      <c r="I671" s="24" t="s">
        <v>5555</v>
      </c>
      <c r="J671" s="35" t="s">
        <v>4099</v>
      </c>
      <c r="K671" s="24"/>
    </row>
    <row r="672" spans="1:11" ht="14.25" x14ac:dyDescent="0.45">
      <c r="A672" s="63" t="s">
        <v>5541</v>
      </c>
      <c r="B672" s="51" t="s">
        <v>5556</v>
      </c>
      <c r="C672" s="51"/>
      <c r="D672" s="51"/>
      <c r="E672" s="62" t="s">
        <v>5557</v>
      </c>
      <c r="F672" s="62"/>
      <c r="G672" s="62"/>
      <c r="H672" s="25" t="s">
        <v>3086</v>
      </c>
      <c r="I672" s="24" t="s">
        <v>5558</v>
      </c>
      <c r="J672" s="24"/>
      <c r="K672" s="24"/>
    </row>
    <row r="673" spans="1:11" ht="14.25" x14ac:dyDescent="0.45">
      <c r="A673" s="63" t="s">
        <v>5559</v>
      </c>
      <c r="B673" s="51" t="s">
        <v>5560</v>
      </c>
      <c r="C673" s="53"/>
      <c r="D673" s="53"/>
      <c r="E673" s="62" t="s">
        <v>5561</v>
      </c>
      <c r="F673" s="55"/>
      <c r="G673" s="55"/>
      <c r="H673" s="25" t="s">
        <v>3086</v>
      </c>
      <c r="I673" s="24" t="s">
        <v>5562</v>
      </c>
      <c r="J673" s="35"/>
      <c r="K673" s="35"/>
    </row>
    <row r="674" spans="1:11" ht="14.25" x14ac:dyDescent="0.45">
      <c r="A674" s="63" t="s">
        <v>5563</v>
      </c>
      <c r="B674" s="51" t="s">
        <v>5564</v>
      </c>
      <c r="C674" s="53" t="s">
        <v>2874</v>
      </c>
      <c r="D674" s="53"/>
      <c r="E674" s="62" t="s">
        <v>5565</v>
      </c>
      <c r="F674" s="55"/>
      <c r="G674" s="55"/>
      <c r="H674" s="25" t="s">
        <v>3086</v>
      </c>
      <c r="I674" s="24" t="s">
        <v>5566</v>
      </c>
      <c r="J674" s="35"/>
      <c r="K674" s="35"/>
    </row>
    <row r="675" spans="1:11" ht="14.25" x14ac:dyDescent="0.45">
      <c r="A675" s="63" t="s">
        <v>5567</v>
      </c>
      <c r="B675" s="51" t="s">
        <v>5568</v>
      </c>
      <c r="C675" s="53"/>
      <c r="D675" s="53"/>
      <c r="E675" s="62" t="s">
        <v>5569</v>
      </c>
      <c r="F675" s="55"/>
      <c r="G675" s="55"/>
      <c r="H675" s="25" t="s">
        <v>3086</v>
      </c>
      <c r="I675" s="24" t="s">
        <v>5570</v>
      </c>
      <c r="J675" s="35" t="s">
        <v>3657</v>
      </c>
      <c r="K675" s="35"/>
    </row>
    <row r="676" spans="1:11" ht="14.25" x14ac:dyDescent="0.45">
      <c r="A676" s="61"/>
      <c r="B676" s="51" t="e">
        <v>#VALUE!</v>
      </c>
      <c r="C676" s="51"/>
      <c r="D676" s="51"/>
      <c r="E676" s="62" t="e">
        <v>#VALUE!</v>
      </c>
      <c r="F676" s="62"/>
      <c r="G676" s="62"/>
      <c r="H676" s="25" t="e">
        <v>#VALUE!</v>
      </c>
      <c r="I676" s="24" t="s">
        <v>2927</v>
      </c>
      <c r="J676" s="24"/>
      <c r="K676" s="24"/>
    </row>
    <row r="677" spans="1:11" ht="14.25" x14ac:dyDescent="0.45">
      <c r="A677" s="61"/>
      <c r="B677" s="51" t="s">
        <v>5571</v>
      </c>
      <c r="C677" s="77" t="s">
        <v>2874</v>
      </c>
      <c r="D677" s="51"/>
      <c r="E677" s="62" t="s">
        <v>5572</v>
      </c>
      <c r="F677" s="62"/>
      <c r="G677" s="62"/>
      <c r="H677" s="25" t="s">
        <v>3086</v>
      </c>
      <c r="I677" s="24" t="s">
        <v>5573</v>
      </c>
      <c r="J677" s="24"/>
      <c r="K677" s="24"/>
    </row>
    <row r="678" spans="1:11" ht="14.25" x14ac:dyDescent="0.45">
      <c r="A678" s="61"/>
      <c r="B678" s="51" t="e">
        <v>#VALUE!</v>
      </c>
      <c r="C678" s="68"/>
      <c r="D678" s="68"/>
      <c r="E678" s="62" t="e">
        <v>#VALUE!</v>
      </c>
      <c r="F678" s="72"/>
      <c r="G678" s="72"/>
      <c r="H678" s="25" t="e">
        <v>#VALUE!</v>
      </c>
      <c r="I678" s="24" t="s">
        <v>2927</v>
      </c>
      <c r="J678" s="74"/>
      <c r="K678" s="74"/>
    </row>
    <row r="679" spans="1:11" ht="12.75" x14ac:dyDescent="0.35">
      <c r="A679" s="84"/>
      <c r="B679" s="51" t="e">
        <v>#VALUE!</v>
      </c>
      <c r="C679" s="51"/>
      <c r="D679" s="51"/>
      <c r="E679" s="62" t="e">
        <v>#VALUE!</v>
      </c>
      <c r="F679" s="62"/>
      <c r="G679" s="62"/>
      <c r="H679" s="25" t="e">
        <v>#VALUE!</v>
      </c>
      <c r="I679" s="24" t="s">
        <v>2927</v>
      </c>
      <c r="J679" s="24"/>
      <c r="K679" s="24"/>
    </row>
    <row r="680" spans="1:11" ht="12.75" x14ac:dyDescent="0.35">
      <c r="A680" s="84"/>
      <c r="B680" s="51" t="e">
        <v>#VALUE!</v>
      </c>
      <c r="C680" s="51"/>
      <c r="D680" s="51"/>
      <c r="E680" s="62" t="e">
        <v>#VALUE!</v>
      </c>
      <c r="F680" s="62"/>
      <c r="G680" s="62"/>
      <c r="H680" s="25" t="e">
        <v>#VALUE!</v>
      </c>
      <c r="I680" s="24" t="s">
        <v>2927</v>
      </c>
      <c r="J680" s="24"/>
      <c r="K680" s="24"/>
    </row>
    <row r="681" spans="1:11" ht="12.75" x14ac:dyDescent="0.35">
      <c r="A681" s="84"/>
      <c r="B681" s="51" t="e">
        <v>#VALUE!</v>
      </c>
      <c r="C681" s="51"/>
      <c r="D681" s="51"/>
      <c r="E681" s="62" t="e">
        <v>#VALUE!</v>
      </c>
      <c r="F681" s="62"/>
      <c r="G681" s="62"/>
      <c r="H681" s="25" t="e">
        <v>#VALUE!</v>
      </c>
      <c r="I681" s="24" t="s">
        <v>2927</v>
      </c>
      <c r="J681" s="24"/>
      <c r="K681" s="24"/>
    </row>
    <row r="682" spans="1:11" ht="12.75" x14ac:dyDescent="0.35">
      <c r="A682" s="84"/>
      <c r="B682" s="51" t="e">
        <v>#VALUE!</v>
      </c>
      <c r="C682" s="51"/>
      <c r="D682" s="51"/>
      <c r="E682" s="62" t="e">
        <v>#VALUE!</v>
      </c>
      <c r="F682" s="62"/>
      <c r="G682" s="62"/>
      <c r="H682" s="25" t="e">
        <v>#VALUE!</v>
      </c>
      <c r="I682" s="24" t="s">
        <v>2927</v>
      </c>
      <c r="J682" s="24"/>
      <c r="K682" s="24"/>
    </row>
    <row r="683" spans="1:11" ht="12.75" x14ac:dyDescent="0.35">
      <c r="A683" s="84"/>
      <c r="B683" s="51" t="e">
        <v>#VALUE!</v>
      </c>
      <c r="C683" s="51"/>
      <c r="D683" s="51"/>
      <c r="E683" s="62" t="e">
        <v>#VALUE!</v>
      </c>
      <c r="F683" s="62"/>
      <c r="G683" s="62"/>
      <c r="H683" s="25" t="e">
        <v>#VALUE!</v>
      </c>
      <c r="I683" s="24" t="s">
        <v>2927</v>
      </c>
      <c r="J683" s="24"/>
      <c r="K683" s="24"/>
    </row>
    <row r="684" spans="1:11" ht="12.75" x14ac:dyDescent="0.35">
      <c r="A684" s="84"/>
      <c r="B684" s="51" t="e">
        <v>#VALUE!</v>
      </c>
      <c r="C684" s="51"/>
      <c r="D684" s="51"/>
      <c r="E684" s="62" t="e">
        <v>#VALUE!</v>
      </c>
      <c r="F684" s="62"/>
      <c r="G684" s="62"/>
      <c r="H684" s="25" t="e">
        <v>#VALUE!</v>
      </c>
      <c r="I684" s="24" t="s">
        <v>2927</v>
      </c>
      <c r="J684" s="24"/>
      <c r="K684" s="24"/>
    </row>
    <row r="685" spans="1:11" ht="12.75" x14ac:dyDescent="0.35">
      <c r="A685" s="84"/>
      <c r="B685" s="51" t="e">
        <v>#VALUE!</v>
      </c>
      <c r="C685" s="51"/>
      <c r="D685" s="51"/>
      <c r="E685" s="62" t="e">
        <v>#VALUE!</v>
      </c>
      <c r="F685" s="62"/>
      <c r="G685" s="62"/>
      <c r="H685" s="25" t="e">
        <v>#VALUE!</v>
      </c>
      <c r="I685" s="24" t="s">
        <v>2927</v>
      </c>
      <c r="J685" s="24"/>
      <c r="K685" s="24"/>
    </row>
    <row r="686" spans="1:11" ht="12.75" x14ac:dyDescent="0.35">
      <c r="A686" s="84"/>
      <c r="B686" s="51" t="e">
        <v>#VALUE!</v>
      </c>
      <c r="C686" s="51"/>
      <c r="D686" s="51"/>
      <c r="E686" s="62" t="e">
        <v>#VALUE!</v>
      </c>
      <c r="F686" s="62"/>
      <c r="G686" s="62"/>
      <c r="H686" s="25" t="e">
        <v>#VALUE!</v>
      </c>
      <c r="I686" s="24" t="s">
        <v>2927</v>
      </c>
      <c r="J686" s="24"/>
      <c r="K686" s="24"/>
    </row>
    <row r="687" spans="1:11" ht="12.75" x14ac:dyDescent="0.35">
      <c r="A687" s="84"/>
      <c r="B687" s="51" t="e">
        <v>#VALUE!</v>
      </c>
      <c r="C687" s="51"/>
      <c r="D687" s="51"/>
      <c r="E687" s="62" t="e">
        <v>#VALUE!</v>
      </c>
      <c r="F687" s="62"/>
      <c r="G687" s="62"/>
      <c r="H687" s="25" t="e">
        <v>#VALUE!</v>
      </c>
      <c r="I687" s="24" t="s">
        <v>2927</v>
      </c>
      <c r="J687" s="24"/>
      <c r="K687" s="24"/>
    </row>
    <row r="688" spans="1:11" ht="12.75" x14ac:dyDescent="0.35">
      <c r="A688" s="84"/>
      <c r="B688" s="51" t="e">
        <v>#VALUE!</v>
      </c>
      <c r="C688" s="51"/>
      <c r="D688" s="51"/>
      <c r="E688" s="62" t="e">
        <v>#VALUE!</v>
      </c>
      <c r="F688" s="62"/>
      <c r="G688" s="62"/>
      <c r="H688" s="25" t="e">
        <v>#VALUE!</v>
      </c>
      <c r="I688" s="24" t="s">
        <v>2927</v>
      </c>
      <c r="J688" s="24"/>
      <c r="K688" s="24"/>
    </row>
    <row r="689" spans="1:11" ht="12.75" x14ac:dyDescent="0.35">
      <c r="A689" s="84"/>
      <c r="B689" s="51" t="e">
        <v>#VALUE!</v>
      </c>
      <c r="C689" s="51"/>
      <c r="D689" s="51"/>
      <c r="E689" s="62" t="e">
        <v>#VALUE!</v>
      </c>
      <c r="F689" s="62"/>
      <c r="G689" s="62"/>
      <c r="H689" s="25" t="e">
        <v>#VALUE!</v>
      </c>
      <c r="I689" s="24" t="s">
        <v>2927</v>
      </c>
      <c r="J689" s="24"/>
      <c r="K689" s="24"/>
    </row>
    <row r="690" spans="1:11" ht="12.75" x14ac:dyDescent="0.35">
      <c r="A690" s="84"/>
      <c r="B690" s="51" t="e">
        <v>#VALUE!</v>
      </c>
      <c r="C690" s="51"/>
      <c r="D690" s="51"/>
      <c r="E690" s="62" t="e">
        <v>#VALUE!</v>
      </c>
      <c r="F690" s="62"/>
      <c r="G690" s="62"/>
      <c r="H690" s="25" t="e">
        <v>#VALUE!</v>
      </c>
      <c r="I690" s="24" t="s">
        <v>2927</v>
      </c>
      <c r="J690" s="24"/>
      <c r="K690" s="24"/>
    </row>
    <row r="691" spans="1:11" ht="12.75" x14ac:dyDescent="0.35">
      <c r="A691" s="84"/>
      <c r="B691" s="51" t="e">
        <v>#VALUE!</v>
      </c>
      <c r="C691" s="51"/>
      <c r="D691" s="51"/>
      <c r="E691" s="62" t="e">
        <v>#VALUE!</v>
      </c>
      <c r="F691" s="62"/>
      <c r="G691" s="62"/>
      <c r="H691" s="25" t="e">
        <v>#VALUE!</v>
      </c>
      <c r="I691" s="24" t="s">
        <v>2927</v>
      </c>
      <c r="J691" s="24"/>
      <c r="K691" s="24"/>
    </row>
    <row r="692" spans="1:11" ht="12.75" x14ac:dyDescent="0.35">
      <c r="A692" s="84"/>
      <c r="B692" s="51" t="e">
        <v>#VALUE!</v>
      </c>
      <c r="C692" s="51"/>
      <c r="D692" s="51"/>
      <c r="E692" s="62" t="e">
        <v>#VALUE!</v>
      </c>
      <c r="F692" s="62"/>
      <c r="G692" s="62"/>
      <c r="H692" s="25" t="e">
        <v>#VALUE!</v>
      </c>
      <c r="I692" s="24" t="s">
        <v>2927</v>
      </c>
      <c r="J692" s="24"/>
      <c r="K692" s="24"/>
    </row>
    <row r="693" spans="1:11" ht="12.75" x14ac:dyDescent="0.35">
      <c r="A693" s="84"/>
      <c r="B693" s="51" t="e">
        <v>#VALUE!</v>
      </c>
      <c r="C693" s="51"/>
      <c r="D693" s="51"/>
      <c r="E693" s="62" t="e">
        <v>#VALUE!</v>
      </c>
      <c r="F693" s="62"/>
      <c r="G693" s="62"/>
      <c r="H693" s="25" t="e">
        <v>#VALUE!</v>
      </c>
      <c r="I693" s="24" t="s">
        <v>2927</v>
      </c>
      <c r="J693" s="24"/>
      <c r="K693" s="24"/>
    </row>
    <row r="694" spans="1:11" ht="12.75" x14ac:dyDescent="0.35">
      <c r="A694" s="84"/>
      <c r="B694" s="51" t="e">
        <v>#VALUE!</v>
      </c>
      <c r="C694" s="51"/>
      <c r="D694" s="51"/>
      <c r="E694" s="62" t="e">
        <v>#VALUE!</v>
      </c>
      <c r="F694" s="62"/>
      <c r="G694" s="62"/>
      <c r="H694" s="25" t="e">
        <v>#VALUE!</v>
      </c>
      <c r="I694" s="24" t="s">
        <v>2927</v>
      </c>
      <c r="J694" s="24"/>
      <c r="K694" s="24"/>
    </row>
    <row r="695" spans="1:11" ht="12.75" x14ac:dyDescent="0.35">
      <c r="A695" s="84"/>
      <c r="B695" s="51" t="e">
        <v>#VALUE!</v>
      </c>
      <c r="C695" s="51"/>
      <c r="D695" s="51"/>
      <c r="E695" s="62" t="e">
        <v>#VALUE!</v>
      </c>
      <c r="F695" s="62"/>
      <c r="G695" s="62"/>
      <c r="H695" s="25" t="e">
        <v>#VALUE!</v>
      </c>
      <c r="I695" s="24" t="s">
        <v>2927</v>
      </c>
      <c r="J695" s="24"/>
      <c r="K695" s="24"/>
    </row>
    <row r="696" spans="1:11" ht="12.75" x14ac:dyDescent="0.35">
      <c r="A696" s="84"/>
      <c r="B696" s="51" t="e">
        <v>#VALUE!</v>
      </c>
      <c r="C696" s="51"/>
      <c r="D696" s="51"/>
      <c r="E696" s="62" t="e">
        <v>#VALUE!</v>
      </c>
      <c r="F696" s="62"/>
      <c r="G696" s="62"/>
      <c r="H696" s="25" t="e">
        <v>#VALUE!</v>
      </c>
      <c r="I696" s="24" t="s">
        <v>2927</v>
      </c>
      <c r="J696" s="24"/>
      <c r="K696" s="24"/>
    </row>
    <row r="697" spans="1:11" ht="12.75" x14ac:dyDescent="0.35">
      <c r="A697" s="84"/>
      <c r="B697" s="51" t="e">
        <v>#VALUE!</v>
      </c>
      <c r="C697" s="51"/>
      <c r="D697" s="51"/>
      <c r="E697" s="62" t="e">
        <v>#VALUE!</v>
      </c>
      <c r="F697" s="62"/>
      <c r="G697" s="62"/>
      <c r="H697" s="25" t="e">
        <v>#VALUE!</v>
      </c>
      <c r="I697" s="24" t="s">
        <v>2927</v>
      </c>
      <c r="J697" s="24"/>
      <c r="K697" s="24"/>
    </row>
    <row r="698" spans="1:11" ht="12.75" x14ac:dyDescent="0.35">
      <c r="A698" s="84"/>
      <c r="B698" s="51" t="e">
        <v>#VALUE!</v>
      </c>
      <c r="C698" s="51"/>
      <c r="D698" s="51"/>
      <c r="E698" s="62" t="e">
        <v>#VALUE!</v>
      </c>
      <c r="F698" s="62"/>
      <c r="G698" s="62"/>
      <c r="H698" s="25" t="e">
        <v>#VALUE!</v>
      </c>
      <c r="I698" s="24" t="s">
        <v>2927</v>
      </c>
      <c r="J698" s="24"/>
      <c r="K698" s="24"/>
    </row>
    <row r="699" spans="1:11" ht="12.75" x14ac:dyDescent="0.35">
      <c r="A699" s="84"/>
      <c r="B699" s="51" t="e">
        <v>#VALUE!</v>
      </c>
      <c r="C699" s="51"/>
      <c r="D699" s="51"/>
      <c r="E699" s="62" t="e">
        <v>#VALUE!</v>
      </c>
      <c r="F699" s="62"/>
      <c r="G699" s="62"/>
      <c r="H699" s="25" t="e">
        <v>#VALUE!</v>
      </c>
      <c r="I699" s="24" t="s">
        <v>2927</v>
      </c>
      <c r="J699" s="24"/>
      <c r="K699" s="24"/>
    </row>
    <row r="700" spans="1:11" ht="12.75" x14ac:dyDescent="0.35">
      <c r="A700" s="84"/>
      <c r="B700" s="51" t="e">
        <v>#VALUE!</v>
      </c>
      <c r="C700" s="51"/>
      <c r="D700" s="51"/>
      <c r="E700" s="62" t="e">
        <v>#VALUE!</v>
      </c>
      <c r="F700" s="62"/>
      <c r="G700" s="62"/>
      <c r="H700" s="25" t="e">
        <v>#VALUE!</v>
      </c>
      <c r="I700" s="24" t="s">
        <v>2927</v>
      </c>
      <c r="J700" s="24"/>
      <c r="K700" s="24"/>
    </row>
    <row r="701" spans="1:11" ht="12.75" x14ac:dyDescent="0.35">
      <c r="A701" s="84"/>
      <c r="B701" s="51" t="e">
        <v>#VALUE!</v>
      </c>
      <c r="C701" s="51"/>
      <c r="D701" s="51"/>
      <c r="E701" s="62" t="e">
        <v>#VALUE!</v>
      </c>
      <c r="F701" s="62"/>
      <c r="G701" s="62"/>
      <c r="H701" s="25" t="e">
        <v>#VALUE!</v>
      </c>
      <c r="I701" s="24" t="s">
        <v>2927</v>
      </c>
      <c r="J701" s="24"/>
      <c r="K701" s="24"/>
    </row>
    <row r="702" spans="1:11" ht="12.75" x14ac:dyDescent="0.35">
      <c r="A702" s="84"/>
      <c r="B702" s="51" t="e">
        <v>#VALUE!</v>
      </c>
      <c r="C702" s="51"/>
      <c r="D702" s="51"/>
      <c r="E702" s="62" t="e">
        <v>#VALUE!</v>
      </c>
      <c r="F702" s="62"/>
      <c r="G702" s="62"/>
      <c r="H702" s="25" t="e">
        <v>#VALUE!</v>
      </c>
      <c r="I702" s="24" t="s">
        <v>2927</v>
      </c>
      <c r="J702" s="24"/>
      <c r="K702" s="24"/>
    </row>
    <row r="703" spans="1:11" ht="12.75" x14ac:dyDescent="0.35">
      <c r="A703" s="84"/>
      <c r="B703" s="51" t="e">
        <v>#VALUE!</v>
      </c>
      <c r="C703" s="51"/>
      <c r="D703" s="51"/>
      <c r="E703" s="62" t="e">
        <v>#VALUE!</v>
      </c>
      <c r="F703" s="62"/>
      <c r="G703" s="62"/>
      <c r="H703" s="25" t="e">
        <v>#VALUE!</v>
      </c>
      <c r="I703" s="24" t="s">
        <v>2927</v>
      </c>
      <c r="J703" s="24"/>
      <c r="K703" s="24"/>
    </row>
    <row r="704" spans="1:11" ht="12.75" x14ac:dyDescent="0.35">
      <c r="A704" s="84"/>
      <c r="B704" s="51" t="e">
        <v>#VALUE!</v>
      </c>
      <c r="C704" s="51"/>
      <c r="D704" s="51"/>
      <c r="E704" s="62" t="e">
        <v>#VALUE!</v>
      </c>
      <c r="F704" s="62"/>
      <c r="G704" s="62"/>
      <c r="H704" s="25" t="e">
        <v>#VALUE!</v>
      </c>
      <c r="I704" s="24" t="s">
        <v>2927</v>
      </c>
      <c r="J704" s="24"/>
      <c r="K704" s="24"/>
    </row>
    <row r="705" spans="1:11" ht="12.75" x14ac:dyDescent="0.35">
      <c r="A705" s="84"/>
      <c r="B705" s="51" t="e">
        <v>#VALUE!</v>
      </c>
      <c r="C705" s="51"/>
      <c r="D705" s="51"/>
      <c r="E705" s="62" t="e">
        <v>#VALUE!</v>
      </c>
      <c r="F705" s="62"/>
      <c r="G705" s="62"/>
      <c r="H705" s="25" t="e">
        <v>#VALUE!</v>
      </c>
      <c r="I705" s="24" t="s">
        <v>2927</v>
      </c>
      <c r="J705" s="24"/>
      <c r="K705" s="24"/>
    </row>
    <row r="706" spans="1:11" ht="12.75" x14ac:dyDescent="0.35">
      <c r="A706" s="84"/>
      <c r="B706" s="51" t="e">
        <v>#VALUE!</v>
      </c>
      <c r="C706" s="51"/>
      <c r="D706" s="51"/>
      <c r="E706" s="62" t="e">
        <v>#VALUE!</v>
      </c>
      <c r="F706" s="62"/>
      <c r="G706" s="62"/>
      <c r="H706" s="25" t="e">
        <v>#VALUE!</v>
      </c>
      <c r="I706" s="24" t="s">
        <v>2927</v>
      </c>
      <c r="J706" s="24"/>
      <c r="K706" s="24"/>
    </row>
    <row r="707" spans="1:11" ht="12.75" x14ac:dyDescent="0.35">
      <c r="A707" s="84"/>
      <c r="B707" s="51" t="e">
        <v>#VALUE!</v>
      </c>
      <c r="C707" s="51"/>
      <c r="D707" s="51"/>
      <c r="E707" s="62" t="e">
        <v>#VALUE!</v>
      </c>
      <c r="F707" s="62"/>
      <c r="G707" s="62"/>
      <c r="H707" s="25" t="e">
        <v>#VALUE!</v>
      </c>
      <c r="I707" s="24" t="s">
        <v>2927</v>
      </c>
      <c r="J707" s="24"/>
      <c r="K707" s="24"/>
    </row>
    <row r="708" spans="1:11" ht="12.75" x14ac:dyDescent="0.35">
      <c r="A708" s="84"/>
      <c r="B708" s="51" t="e">
        <v>#VALUE!</v>
      </c>
      <c r="C708" s="51"/>
      <c r="D708" s="51"/>
      <c r="E708" s="62" t="e">
        <v>#VALUE!</v>
      </c>
      <c r="F708" s="62"/>
      <c r="G708" s="62"/>
      <c r="H708" s="25" t="e">
        <v>#VALUE!</v>
      </c>
      <c r="I708" s="24" t="s">
        <v>2927</v>
      </c>
      <c r="J708" s="24"/>
      <c r="K708" s="24"/>
    </row>
    <row r="709" spans="1:11" ht="12.75" x14ac:dyDescent="0.35">
      <c r="A709" s="84"/>
      <c r="B709" s="51" t="e">
        <v>#VALUE!</v>
      </c>
      <c r="C709" s="51"/>
      <c r="D709" s="51"/>
      <c r="E709" s="62" t="e">
        <v>#VALUE!</v>
      </c>
      <c r="F709" s="62"/>
      <c r="G709" s="62"/>
      <c r="H709" s="25" t="e">
        <v>#VALUE!</v>
      </c>
      <c r="I709" s="24" t="s">
        <v>2927</v>
      </c>
      <c r="J709" s="24"/>
      <c r="K709" s="24"/>
    </row>
    <row r="710" spans="1:11" ht="12.75" x14ac:dyDescent="0.35">
      <c r="A710" s="84"/>
      <c r="B710" s="51" t="e">
        <v>#VALUE!</v>
      </c>
      <c r="C710" s="51"/>
      <c r="D710" s="51"/>
      <c r="E710" s="62" t="e">
        <v>#VALUE!</v>
      </c>
      <c r="F710" s="62"/>
      <c r="G710" s="62"/>
      <c r="H710" s="25" t="e">
        <v>#VALUE!</v>
      </c>
      <c r="I710" s="24" t="s">
        <v>2927</v>
      </c>
      <c r="J710" s="24"/>
      <c r="K710" s="24"/>
    </row>
    <row r="711" spans="1:11" ht="12.75" x14ac:dyDescent="0.35">
      <c r="A711" s="84"/>
      <c r="B711" s="51" t="e">
        <v>#VALUE!</v>
      </c>
      <c r="C711" s="51"/>
      <c r="D711" s="51"/>
      <c r="E711" s="62" t="e">
        <v>#VALUE!</v>
      </c>
      <c r="F711" s="62"/>
      <c r="G711" s="62"/>
      <c r="H711" s="25" t="e">
        <v>#VALUE!</v>
      </c>
      <c r="I711" s="24" t="s">
        <v>2927</v>
      </c>
      <c r="J711" s="24"/>
      <c r="K711" s="24"/>
    </row>
    <row r="712" spans="1:11" ht="12.75" x14ac:dyDescent="0.35">
      <c r="A712" s="84"/>
      <c r="B712" s="51" t="e">
        <v>#VALUE!</v>
      </c>
      <c r="C712" s="51"/>
      <c r="D712" s="51"/>
      <c r="E712" s="62" t="e">
        <v>#VALUE!</v>
      </c>
      <c r="F712" s="62"/>
      <c r="G712" s="62"/>
      <c r="H712" s="25" t="e">
        <v>#VALUE!</v>
      </c>
      <c r="I712" s="24" t="s">
        <v>2927</v>
      </c>
      <c r="J712" s="24"/>
      <c r="K712" s="24"/>
    </row>
    <row r="713" spans="1:11" ht="12.75" x14ac:dyDescent="0.35">
      <c r="A713" s="84"/>
      <c r="B713" s="51" t="e">
        <v>#VALUE!</v>
      </c>
      <c r="C713" s="51"/>
      <c r="D713" s="51"/>
      <c r="E713" s="62" t="e">
        <v>#VALUE!</v>
      </c>
      <c r="F713" s="62"/>
      <c r="G713" s="62"/>
      <c r="H713" s="25" t="e">
        <v>#VALUE!</v>
      </c>
      <c r="I713" s="24" t="s">
        <v>2927</v>
      </c>
      <c r="J713" s="24"/>
      <c r="K713" s="24"/>
    </row>
    <row r="714" spans="1:11" ht="12.75" x14ac:dyDescent="0.35">
      <c r="A714" s="84"/>
      <c r="B714" s="51" t="e">
        <v>#VALUE!</v>
      </c>
      <c r="C714" s="51"/>
      <c r="D714" s="51"/>
      <c r="E714" s="62" t="e">
        <v>#VALUE!</v>
      </c>
      <c r="F714" s="62"/>
      <c r="G714" s="62"/>
      <c r="H714" s="25" t="e">
        <v>#VALUE!</v>
      </c>
      <c r="I714" s="24" t="s">
        <v>2927</v>
      </c>
      <c r="J714" s="24"/>
      <c r="K714" s="24"/>
    </row>
    <row r="715" spans="1:11" ht="12.75" x14ac:dyDescent="0.35">
      <c r="A715" s="84"/>
      <c r="B715" s="51" t="e">
        <v>#VALUE!</v>
      </c>
      <c r="C715" s="51"/>
      <c r="D715" s="51"/>
      <c r="E715" s="62" t="e">
        <v>#VALUE!</v>
      </c>
      <c r="F715" s="62"/>
      <c r="G715" s="62"/>
      <c r="H715" s="25" t="e">
        <v>#VALUE!</v>
      </c>
      <c r="I715" s="24" t="s">
        <v>2927</v>
      </c>
      <c r="J715" s="24"/>
      <c r="K715" s="24"/>
    </row>
    <row r="716" spans="1:11" ht="12.75" x14ac:dyDescent="0.35">
      <c r="A716" s="84"/>
      <c r="B716" s="51" t="e">
        <v>#VALUE!</v>
      </c>
      <c r="C716" s="51"/>
      <c r="D716" s="51"/>
      <c r="E716" s="62" t="e">
        <v>#VALUE!</v>
      </c>
      <c r="F716" s="62"/>
      <c r="G716" s="62"/>
      <c r="H716" s="25" t="e">
        <v>#VALUE!</v>
      </c>
      <c r="I716" s="24" t="s">
        <v>2927</v>
      </c>
      <c r="J716" s="24"/>
      <c r="K716" s="24"/>
    </row>
    <row r="717" spans="1:11" ht="12.75" x14ac:dyDescent="0.35">
      <c r="A717" s="84"/>
      <c r="B717" s="51" t="e">
        <v>#VALUE!</v>
      </c>
      <c r="C717" s="51"/>
      <c r="D717" s="51"/>
      <c r="E717" s="62" t="e">
        <v>#VALUE!</v>
      </c>
      <c r="F717" s="62"/>
      <c r="G717" s="62"/>
      <c r="H717" s="25" t="e">
        <v>#VALUE!</v>
      </c>
      <c r="I717" s="24" t="s">
        <v>2927</v>
      </c>
      <c r="J717" s="24"/>
      <c r="K717" s="24"/>
    </row>
    <row r="718" spans="1:11" ht="12.75" x14ac:dyDescent="0.35">
      <c r="A718" s="84"/>
      <c r="B718" s="51" t="e">
        <v>#VALUE!</v>
      </c>
      <c r="C718" s="51"/>
      <c r="D718" s="51"/>
      <c r="E718" s="62" t="e">
        <v>#VALUE!</v>
      </c>
      <c r="F718" s="62"/>
      <c r="G718" s="62"/>
      <c r="H718" s="25" t="e">
        <v>#VALUE!</v>
      </c>
      <c r="I718" s="24" t="s">
        <v>2927</v>
      </c>
      <c r="J718" s="24"/>
      <c r="K718" s="24"/>
    </row>
    <row r="719" spans="1:11" ht="12.75" x14ac:dyDescent="0.35">
      <c r="A719" s="84"/>
      <c r="B719" s="51" t="e">
        <v>#VALUE!</v>
      </c>
      <c r="C719" s="51"/>
      <c r="D719" s="51"/>
      <c r="E719" s="62" t="e">
        <v>#VALUE!</v>
      </c>
      <c r="F719" s="62"/>
      <c r="G719" s="62"/>
      <c r="H719" s="25" t="e">
        <v>#VALUE!</v>
      </c>
      <c r="I719" s="24" t="s">
        <v>2927</v>
      </c>
      <c r="J719" s="24"/>
      <c r="K719" s="24"/>
    </row>
    <row r="720" spans="1:11" ht="12.75" x14ac:dyDescent="0.35">
      <c r="A720" s="84"/>
      <c r="B720" s="51" t="e">
        <v>#VALUE!</v>
      </c>
      <c r="C720" s="51"/>
      <c r="D720" s="51"/>
      <c r="E720" s="62" t="e">
        <v>#VALUE!</v>
      </c>
      <c r="F720" s="62"/>
      <c r="G720" s="62"/>
      <c r="H720" s="25" t="e">
        <v>#VALUE!</v>
      </c>
      <c r="I720" s="24" t="s">
        <v>2927</v>
      </c>
      <c r="J720" s="24"/>
      <c r="K720" s="24"/>
    </row>
    <row r="721" spans="1:11" ht="12.75" x14ac:dyDescent="0.35">
      <c r="A721" s="84"/>
      <c r="B721" s="51" t="e">
        <v>#VALUE!</v>
      </c>
      <c r="C721" s="51"/>
      <c r="D721" s="51"/>
      <c r="E721" s="62" t="e">
        <v>#VALUE!</v>
      </c>
      <c r="F721" s="62"/>
      <c r="G721" s="62"/>
      <c r="H721" s="25" t="e">
        <v>#VALUE!</v>
      </c>
      <c r="I721" s="24" t="s">
        <v>2927</v>
      </c>
      <c r="J721" s="24"/>
      <c r="K721" s="24"/>
    </row>
    <row r="722" spans="1:11" ht="12.75" x14ac:dyDescent="0.35">
      <c r="A722" s="84"/>
      <c r="B722" s="51" t="e">
        <v>#VALUE!</v>
      </c>
      <c r="C722" s="51"/>
      <c r="D722" s="51"/>
      <c r="E722" s="62" t="e">
        <v>#VALUE!</v>
      </c>
      <c r="F722" s="62"/>
      <c r="G722" s="62"/>
      <c r="H722" s="25" t="e">
        <v>#VALUE!</v>
      </c>
      <c r="I722" s="24" t="s">
        <v>2927</v>
      </c>
      <c r="J722" s="24"/>
      <c r="K722" s="24"/>
    </row>
    <row r="723" spans="1:11" ht="12.75" x14ac:dyDescent="0.35">
      <c r="A723" s="84"/>
      <c r="B723" s="51" t="e">
        <v>#VALUE!</v>
      </c>
      <c r="C723" s="51"/>
      <c r="D723" s="51"/>
      <c r="E723" s="62" t="e">
        <v>#VALUE!</v>
      </c>
      <c r="F723" s="62"/>
      <c r="G723" s="62"/>
      <c r="H723" s="25" t="e">
        <v>#VALUE!</v>
      </c>
      <c r="I723" s="24" t="s">
        <v>2927</v>
      </c>
      <c r="J723" s="24"/>
      <c r="K723" s="24"/>
    </row>
    <row r="724" spans="1:11" ht="12.75" x14ac:dyDescent="0.35">
      <c r="A724" s="84"/>
      <c r="B724" s="51" t="e">
        <v>#VALUE!</v>
      </c>
      <c r="C724" s="51"/>
      <c r="D724" s="51"/>
      <c r="E724" s="62" t="e">
        <v>#VALUE!</v>
      </c>
      <c r="F724" s="62"/>
      <c r="G724" s="62"/>
      <c r="H724" s="25" t="e">
        <v>#VALUE!</v>
      </c>
      <c r="I724" s="24" t="s">
        <v>2927</v>
      </c>
      <c r="J724" s="24"/>
      <c r="K724" s="24"/>
    </row>
    <row r="725" spans="1:11" ht="12.75" x14ac:dyDescent="0.35">
      <c r="A725" s="84"/>
      <c r="B725" s="51" t="e">
        <v>#VALUE!</v>
      </c>
      <c r="C725" s="51"/>
      <c r="D725" s="51"/>
      <c r="E725" s="62" t="e">
        <v>#VALUE!</v>
      </c>
      <c r="F725" s="62"/>
      <c r="G725" s="62"/>
      <c r="H725" s="25" t="e">
        <v>#VALUE!</v>
      </c>
      <c r="I725" s="24" t="s">
        <v>2927</v>
      </c>
      <c r="J725" s="24"/>
      <c r="K725" s="24"/>
    </row>
    <row r="726" spans="1:11" ht="12.75" x14ac:dyDescent="0.35">
      <c r="A726" s="84"/>
      <c r="B726" s="51" t="e">
        <v>#VALUE!</v>
      </c>
      <c r="C726" s="51"/>
      <c r="D726" s="51"/>
      <c r="E726" s="62" t="e">
        <v>#VALUE!</v>
      </c>
      <c r="F726" s="62"/>
      <c r="G726" s="62"/>
      <c r="H726" s="25" t="e">
        <v>#VALUE!</v>
      </c>
      <c r="I726" s="24" t="s">
        <v>2927</v>
      </c>
      <c r="J726" s="24"/>
      <c r="K726" s="24"/>
    </row>
    <row r="727" spans="1:11" ht="12.75" x14ac:dyDescent="0.35">
      <c r="A727" s="84"/>
      <c r="B727" s="51" t="e">
        <v>#VALUE!</v>
      </c>
      <c r="C727" s="51"/>
      <c r="D727" s="51"/>
      <c r="E727" s="62" t="e">
        <v>#VALUE!</v>
      </c>
      <c r="F727" s="62"/>
      <c r="G727" s="62"/>
      <c r="H727" s="25" t="e">
        <v>#VALUE!</v>
      </c>
      <c r="I727" s="24" t="s">
        <v>2927</v>
      </c>
      <c r="J727" s="24"/>
      <c r="K727" s="24"/>
    </row>
    <row r="728" spans="1:11" ht="12.75" x14ac:dyDescent="0.35">
      <c r="A728" s="84"/>
      <c r="B728" s="51" t="e">
        <v>#VALUE!</v>
      </c>
      <c r="C728" s="51"/>
      <c r="D728" s="51"/>
      <c r="E728" s="62" t="e">
        <v>#VALUE!</v>
      </c>
      <c r="F728" s="62"/>
      <c r="G728" s="62"/>
      <c r="H728" s="25" t="e">
        <v>#VALUE!</v>
      </c>
      <c r="I728" s="24" t="s">
        <v>2927</v>
      </c>
      <c r="J728" s="24"/>
      <c r="K728" s="24"/>
    </row>
    <row r="729" spans="1:11" ht="12.75" x14ac:dyDescent="0.35">
      <c r="A729" s="84"/>
      <c r="B729" s="51" t="e">
        <v>#VALUE!</v>
      </c>
      <c r="C729" s="51"/>
      <c r="D729" s="51"/>
      <c r="E729" s="62" t="e">
        <v>#VALUE!</v>
      </c>
      <c r="F729" s="62"/>
      <c r="G729" s="62"/>
      <c r="H729" s="25" t="e">
        <v>#VALUE!</v>
      </c>
      <c r="I729" s="24" t="s">
        <v>2927</v>
      </c>
      <c r="J729" s="24"/>
      <c r="K729" s="24"/>
    </row>
    <row r="730" spans="1:11" ht="12.75" x14ac:dyDescent="0.35">
      <c r="A730" s="84"/>
      <c r="B730" s="51" t="e">
        <v>#VALUE!</v>
      </c>
      <c r="C730" s="51"/>
      <c r="D730" s="51"/>
      <c r="E730" s="62" t="e">
        <v>#VALUE!</v>
      </c>
      <c r="F730" s="62"/>
      <c r="G730" s="62"/>
      <c r="H730" s="25" t="e">
        <v>#VALUE!</v>
      </c>
      <c r="I730" s="24" t="s">
        <v>2927</v>
      </c>
      <c r="J730" s="24"/>
      <c r="K730" s="24"/>
    </row>
    <row r="731" spans="1:11" ht="12.75" x14ac:dyDescent="0.35">
      <c r="A731" s="84"/>
      <c r="B731" s="51" t="e">
        <v>#VALUE!</v>
      </c>
      <c r="C731" s="51"/>
      <c r="D731" s="51"/>
      <c r="E731" s="62" t="e">
        <v>#VALUE!</v>
      </c>
      <c r="F731" s="62"/>
      <c r="G731" s="62"/>
      <c r="H731" s="25" t="e">
        <v>#VALUE!</v>
      </c>
      <c r="I731" s="24" t="s">
        <v>2927</v>
      </c>
      <c r="J731" s="24"/>
      <c r="K731" s="24"/>
    </row>
    <row r="732" spans="1:11" ht="12.75" x14ac:dyDescent="0.35">
      <c r="A732" s="84"/>
      <c r="B732" s="51" t="e">
        <v>#VALUE!</v>
      </c>
      <c r="C732" s="51"/>
      <c r="D732" s="51"/>
      <c r="E732" s="62" t="e">
        <v>#VALUE!</v>
      </c>
      <c r="F732" s="62"/>
      <c r="G732" s="62"/>
      <c r="H732" s="25" t="e">
        <v>#VALUE!</v>
      </c>
      <c r="I732" s="24" t="s">
        <v>2927</v>
      </c>
      <c r="J732" s="24"/>
      <c r="K732" s="24"/>
    </row>
    <row r="733" spans="1:11" ht="12.75" x14ac:dyDescent="0.35">
      <c r="A733" s="84"/>
      <c r="B733" s="51" t="e">
        <v>#VALUE!</v>
      </c>
      <c r="C733" s="51"/>
      <c r="D733" s="51"/>
      <c r="E733" s="62" t="e">
        <v>#VALUE!</v>
      </c>
      <c r="F733" s="62"/>
      <c r="G733" s="62"/>
      <c r="H733" s="25" t="e">
        <v>#VALUE!</v>
      </c>
      <c r="I733" s="24" t="s">
        <v>2927</v>
      </c>
      <c r="J733" s="24"/>
      <c r="K733" s="24"/>
    </row>
    <row r="734" spans="1:11" ht="12.75" x14ac:dyDescent="0.35">
      <c r="A734" s="84"/>
      <c r="B734" s="51" t="e">
        <v>#VALUE!</v>
      </c>
      <c r="C734" s="51"/>
      <c r="D734" s="51"/>
      <c r="E734" s="62" t="e">
        <v>#VALUE!</v>
      </c>
      <c r="F734" s="62"/>
      <c r="G734" s="62"/>
      <c r="H734" s="25" t="e">
        <v>#VALUE!</v>
      </c>
      <c r="I734" s="24" t="s">
        <v>2927</v>
      </c>
      <c r="J734" s="24"/>
      <c r="K734" s="24"/>
    </row>
    <row r="735" spans="1:11" ht="12.75" x14ac:dyDescent="0.35">
      <c r="A735" s="84"/>
      <c r="B735" s="51" t="e">
        <v>#VALUE!</v>
      </c>
      <c r="C735" s="51"/>
      <c r="D735" s="51"/>
      <c r="E735" s="62" t="e">
        <v>#VALUE!</v>
      </c>
      <c r="F735" s="62"/>
      <c r="G735" s="62"/>
      <c r="H735" s="25" t="e">
        <v>#VALUE!</v>
      </c>
      <c r="I735" s="24" t="s">
        <v>2927</v>
      </c>
      <c r="J735" s="24"/>
      <c r="K735" s="24"/>
    </row>
    <row r="736" spans="1:11" ht="12.75" x14ac:dyDescent="0.35">
      <c r="A736" s="84"/>
      <c r="B736" s="51" t="e">
        <v>#VALUE!</v>
      </c>
      <c r="C736" s="51"/>
      <c r="D736" s="51"/>
      <c r="E736" s="62" t="e">
        <v>#VALUE!</v>
      </c>
      <c r="F736" s="62"/>
      <c r="G736" s="62"/>
      <c r="H736" s="25" t="e">
        <v>#VALUE!</v>
      </c>
      <c r="I736" s="24" t="s">
        <v>2927</v>
      </c>
      <c r="J736" s="24"/>
      <c r="K736" s="24"/>
    </row>
    <row r="737" spans="1:11" ht="12.75" x14ac:dyDescent="0.35">
      <c r="A737" s="84"/>
      <c r="B737" s="51" t="e">
        <v>#VALUE!</v>
      </c>
      <c r="C737" s="51"/>
      <c r="D737" s="51"/>
      <c r="E737" s="62" t="e">
        <v>#VALUE!</v>
      </c>
      <c r="F737" s="62"/>
      <c r="G737" s="62"/>
      <c r="H737" s="25" t="e">
        <v>#VALUE!</v>
      </c>
      <c r="I737" s="24" t="s">
        <v>2927</v>
      </c>
      <c r="J737" s="24"/>
      <c r="K737" s="24"/>
    </row>
    <row r="738" spans="1:11" ht="12.75" x14ac:dyDescent="0.35">
      <c r="A738" s="84"/>
      <c r="B738" s="51" t="e">
        <v>#VALUE!</v>
      </c>
      <c r="C738" s="51"/>
      <c r="D738" s="51"/>
      <c r="E738" s="62" t="e">
        <v>#VALUE!</v>
      </c>
      <c r="F738" s="62"/>
      <c r="G738" s="62"/>
      <c r="H738" s="25" t="e">
        <v>#VALUE!</v>
      </c>
      <c r="I738" s="24" t="s">
        <v>2927</v>
      </c>
      <c r="J738" s="24"/>
      <c r="K738" s="24"/>
    </row>
    <row r="739" spans="1:11" ht="12.75" x14ac:dyDescent="0.35">
      <c r="A739" s="84"/>
      <c r="B739" s="51" t="e">
        <v>#VALUE!</v>
      </c>
      <c r="C739" s="51"/>
      <c r="D739" s="51"/>
      <c r="E739" s="62" t="e">
        <v>#VALUE!</v>
      </c>
      <c r="F739" s="62"/>
      <c r="G739" s="62"/>
      <c r="H739" s="25" t="e">
        <v>#VALUE!</v>
      </c>
      <c r="I739" s="24" t="s">
        <v>2927</v>
      </c>
      <c r="J739" s="24"/>
      <c r="K739" s="24"/>
    </row>
    <row r="740" spans="1:11" ht="12.75" x14ac:dyDescent="0.35">
      <c r="A740" s="84"/>
      <c r="B740" s="51" t="e">
        <v>#VALUE!</v>
      </c>
      <c r="C740" s="51"/>
      <c r="D740" s="51"/>
      <c r="E740" s="62" t="e">
        <v>#VALUE!</v>
      </c>
      <c r="F740" s="62"/>
      <c r="G740" s="62"/>
      <c r="H740" s="25" t="e">
        <v>#VALUE!</v>
      </c>
      <c r="I740" s="24" t="s">
        <v>2927</v>
      </c>
      <c r="J740" s="24"/>
      <c r="K740" s="24"/>
    </row>
    <row r="741" spans="1:11" ht="12.75" x14ac:dyDescent="0.35">
      <c r="A741" s="84"/>
      <c r="B741" s="51" t="e">
        <v>#VALUE!</v>
      </c>
      <c r="C741" s="51"/>
      <c r="D741" s="51"/>
      <c r="E741" s="62" t="e">
        <v>#VALUE!</v>
      </c>
      <c r="F741" s="62"/>
      <c r="G741" s="62"/>
      <c r="H741" s="25" t="e">
        <v>#VALUE!</v>
      </c>
      <c r="I741" s="24" t="s">
        <v>2927</v>
      </c>
      <c r="J741" s="24"/>
      <c r="K741" s="24"/>
    </row>
    <row r="742" spans="1:11" ht="12.75" x14ac:dyDescent="0.35">
      <c r="A742" s="84"/>
      <c r="B742" s="51" t="e">
        <v>#VALUE!</v>
      </c>
      <c r="C742" s="51"/>
      <c r="D742" s="51"/>
      <c r="E742" s="62" t="e">
        <v>#VALUE!</v>
      </c>
      <c r="F742" s="62"/>
      <c r="G742" s="62"/>
      <c r="H742" s="25" t="e">
        <v>#VALUE!</v>
      </c>
      <c r="I742" s="24" t="s">
        <v>2927</v>
      </c>
      <c r="J742" s="24"/>
      <c r="K742" s="24"/>
    </row>
    <row r="743" spans="1:11" ht="12.75" x14ac:dyDescent="0.35">
      <c r="A743" s="84"/>
      <c r="B743" s="51" t="e">
        <v>#VALUE!</v>
      </c>
      <c r="C743" s="51"/>
      <c r="D743" s="51"/>
      <c r="E743" s="62" t="e">
        <v>#VALUE!</v>
      </c>
      <c r="F743" s="62"/>
      <c r="G743" s="62"/>
      <c r="H743" s="25" t="e">
        <v>#VALUE!</v>
      </c>
      <c r="I743" s="24" t="s">
        <v>2927</v>
      </c>
      <c r="J743" s="24"/>
      <c r="K743" s="24"/>
    </row>
    <row r="744" spans="1:11" ht="12.75" x14ac:dyDescent="0.35">
      <c r="A744" s="84"/>
      <c r="B744" s="51" t="e">
        <v>#VALUE!</v>
      </c>
      <c r="C744" s="51"/>
      <c r="D744" s="51"/>
      <c r="E744" s="62" t="e">
        <v>#VALUE!</v>
      </c>
      <c r="F744" s="62"/>
      <c r="G744" s="62"/>
      <c r="H744" s="25" t="e">
        <v>#VALUE!</v>
      </c>
      <c r="I744" s="24" t="s">
        <v>2927</v>
      </c>
      <c r="J744" s="24"/>
      <c r="K744" s="24"/>
    </row>
    <row r="745" spans="1:11" ht="12.75" x14ac:dyDescent="0.35">
      <c r="A745" s="84"/>
      <c r="B745" s="51" t="e">
        <v>#VALUE!</v>
      </c>
      <c r="C745" s="51"/>
      <c r="D745" s="51"/>
      <c r="E745" s="62" t="e">
        <v>#VALUE!</v>
      </c>
      <c r="F745" s="62"/>
      <c r="G745" s="62"/>
      <c r="H745" s="25" t="e">
        <v>#VALUE!</v>
      </c>
      <c r="I745" s="24" t="s">
        <v>2927</v>
      </c>
      <c r="J745" s="24"/>
      <c r="K745" s="24"/>
    </row>
    <row r="746" spans="1:11" ht="12.75" x14ac:dyDescent="0.35">
      <c r="A746" s="84"/>
      <c r="B746" s="51" t="e">
        <v>#VALUE!</v>
      </c>
      <c r="C746" s="51"/>
      <c r="D746" s="51"/>
      <c r="E746" s="62" t="e">
        <v>#VALUE!</v>
      </c>
      <c r="F746" s="62"/>
      <c r="G746" s="62"/>
      <c r="H746" s="25" t="e">
        <v>#VALUE!</v>
      </c>
      <c r="I746" s="24" t="s">
        <v>2927</v>
      </c>
      <c r="J746" s="24"/>
      <c r="K746" s="24"/>
    </row>
    <row r="747" spans="1:11" ht="12.75" x14ac:dyDescent="0.35">
      <c r="A747" s="84"/>
      <c r="B747" s="51" t="e">
        <v>#VALUE!</v>
      </c>
      <c r="C747" s="51"/>
      <c r="D747" s="51"/>
      <c r="E747" s="62" t="e">
        <v>#VALUE!</v>
      </c>
      <c r="F747" s="62"/>
      <c r="G747" s="62"/>
      <c r="H747" s="25" t="e">
        <v>#VALUE!</v>
      </c>
      <c r="I747" s="24" t="s">
        <v>2927</v>
      </c>
      <c r="J747" s="24"/>
      <c r="K747" s="24"/>
    </row>
    <row r="748" spans="1:11" ht="12.75" x14ac:dyDescent="0.35">
      <c r="A748" s="84"/>
      <c r="B748" s="51" t="e">
        <v>#VALUE!</v>
      </c>
      <c r="C748" s="51"/>
      <c r="D748" s="51"/>
      <c r="E748" s="62" t="e">
        <v>#VALUE!</v>
      </c>
      <c r="F748" s="62"/>
      <c r="G748" s="62"/>
      <c r="H748" s="25" t="e">
        <v>#VALUE!</v>
      </c>
      <c r="I748" s="24" t="s">
        <v>2927</v>
      </c>
      <c r="J748" s="24"/>
      <c r="K748" s="24"/>
    </row>
    <row r="749" spans="1:11" ht="12.75" x14ac:dyDescent="0.35">
      <c r="A749" s="84"/>
      <c r="B749" s="51" t="e">
        <v>#VALUE!</v>
      </c>
      <c r="C749" s="51"/>
      <c r="D749" s="51"/>
      <c r="E749" s="62" t="e">
        <v>#VALUE!</v>
      </c>
      <c r="F749" s="62"/>
      <c r="G749" s="62"/>
      <c r="H749" s="25" t="e">
        <v>#VALUE!</v>
      </c>
      <c r="I749" s="24" t="s">
        <v>2927</v>
      </c>
      <c r="J749" s="24"/>
      <c r="K749" s="24"/>
    </row>
    <row r="750" spans="1:11" ht="12.75" x14ac:dyDescent="0.35">
      <c r="A750" s="84"/>
      <c r="B750" s="51" t="e">
        <v>#VALUE!</v>
      </c>
      <c r="C750" s="51"/>
      <c r="D750" s="51"/>
      <c r="E750" s="62" t="e">
        <v>#VALUE!</v>
      </c>
      <c r="F750" s="62"/>
      <c r="G750" s="62"/>
      <c r="H750" s="25" t="e">
        <v>#VALUE!</v>
      </c>
      <c r="I750" s="24" t="s">
        <v>2927</v>
      </c>
      <c r="J750" s="24"/>
      <c r="K750" s="24"/>
    </row>
    <row r="751" spans="1:11" ht="12.75" x14ac:dyDescent="0.35">
      <c r="A751" s="84"/>
      <c r="B751" s="51" t="e">
        <v>#VALUE!</v>
      </c>
      <c r="C751" s="51"/>
      <c r="D751" s="51"/>
      <c r="E751" s="62" t="e">
        <v>#VALUE!</v>
      </c>
      <c r="F751" s="62"/>
      <c r="G751" s="62"/>
      <c r="H751" s="25" t="e">
        <v>#VALUE!</v>
      </c>
      <c r="I751" s="24" t="s">
        <v>2927</v>
      </c>
      <c r="J751" s="24"/>
      <c r="K751" s="24"/>
    </row>
    <row r="752" spans="1:11" ht="12.75" x14ac:dyDescent="0.35">
      <c r="A752" s="84"/>
      <c r="B752" s="51" t="e">
        <v>#VALUE!</v>
      </c>
      <c r="C752" s="51"/>
      <c r="D752" s="51"/>
      <c r="E752" s="62" t="e">
        <v>#VALUE!</v>
      </c>
      <c r="F752" s="62"/>
      <c r="G752" s="62"/>
      <c r="H752" s="25" t="e">
        <v>#VALUE!</v>
      </c>
      <c r="I752" s="24" t="s">
        <v>2927</v>
      </c>
      <c r="J752" s="24"/>
      <c r="K752" s="24"/>
    </row>
    <row r="753" spans="1:11" ht="12.75" x14ac:dyDescent="0.35">
      <c r="A753" s="84"/>
      <c r="B753" s="51" t="e">
        <v>#VALUE!</v>
      </c>
      <c r="C753" s="51"/>
      <c r="D753" s="51"/>
      <c r="E753" s="62" t="e">
        <v>#VALUE!</v>
      </c>
      <c r="F753" s="62"/>
      <c r="G753" s="62"/>
      <c r="H753" s="25" t="e">
        <v>#VALUE!</v>
      </c>
      <c r="I753" s="24" t="s">
        <v>2927</v>
      </c>
      <c r="J753" s="24"/>
      <c r="K753" s="24"/>
    </row>
    <row r="754" spans="1:11" ht="12.75" x14ac:dyDescent="0.35">
      <c r="A754" s="84"/>
      <c r="B754" s="51" t="e">
        <v>#VALUE!</v>
      </c>
      <c r="C754" s="51"/>
      <c r="D754" s="51"/>
      <c r="E754" s="62" t="e">
        <v>#VALUE!</v>
      </c>
      <c r="F754" s="62"/>
      <c r="G754" s="62"/>
      <c r="H754" s="25" t="e">
        <v>#VALUE!</v>
      </c>
      <c r="I754" s="24" t="s">
        <v>2927</v>
      </c>
      <c r="J754" s="24"/>
      <c r="K754" s="24"/>
    </row>
    <row r="755" spans="1:11" ht="12.75" x14ac:dyDescent="0.35">
      <c r="A755" s="84"/>
      <c r="B755" s="51" t="e">
        <v>#VALUE!</v>
      </c>
      <c r="C755" s="51"/>
      <c r="D755" s="51"/>
      <c r="E755" s="62" t="e">
        <v>#VALUE!</v>
      </c>
      <c r="F755" s="62"/>
      <c r="G755" s="62"/>
      <c r="H755" s="25" t="e">
        <v>#VALUE!</v>
      </c>
      <c r="I755" s="24" t="s">
        <v>2927</v>
      </c>
      <c r="J755" s="24"/>
      <c r="K755" s="24"/>
    </row>
    <row r="756" spans="1:11" ht="12.75" x14ac:dyDescent="0.35">
      <c r="A756" s="84"/>
      <c r="B756" s="51" t="e">
        <v>#VALUE!</v>
      </c>
      <c r="C756" s="51"/>
      <c r="D756" s="51"/>
      <c r="E756" s="62" t="e">
        <v>#VALUE!</v>
      </c>
      <c r="F756" s="62"/>
      <c r="G756" s="62"/>
      <c r="H756" s="25" t="e">
        <v>#VALUE!</v>
      </c>
      <c r="I756" s="24" t="s">
        <v>2927</v>
      </c>
      <c r="J756" s="24"/>
      <c r="K756" s="24"/>
    </row>
    <row r="757" spans="1:11" ht="12.75" x14ac:dyDescent="0.35">
      <c r="A757" s="84"/>
      <c r="B757" s="51" t="e">
        <v>#VALUE!</v>
      </c>
      <c r="C757" s="51"/>
      <c r="D757" s="51"/>
      <c r="E757" s="62" t="e">
        <v>#VALUE!</v>
      </c>
      <c r="F757" s="62"/>
      <c r="G757" s="62"/>
      <c r="H757" s="25" t="e">
        <v>#VALUE!</v>
      </c>
      <c r="I757" s="24" t="s">
        <v>2927</v>
      </c>
      <c r="J757" s="24"/>
      <c r="K757" s="24"/>
    </row>
    <row r="758" spans="1:11" ht="12.75" x14ac:dyDescent="0.35">
      <c r="A758" s="84"/>
      <c r="B758" s="51" t="e">
        <v>#VALUE!</v>
      </c>
      <c r="C758" s="51"/>
      <c r="D758" s="51"/>
      <c r="E758" s="62" t="e">
        <v>#VALUE!</v>
      </c>
      <c r="F758" s="62"/>
      <c r="G758" s="62"/>
      <c r="H758" s="25" t="e">
        <v>#VALUE!</v>
      </c>
      <c r="I758" s="24" t="s">
        <v>2927</v>
      </c>
      <c r="J758" s="24"/>
      <c r="K758" s="24"/>
    </row>
    <row r="759" spans="1:11" ht="12.75" x14ac:dyDescent="0.35">
      <c r="A759" s="84"/>
      <c r="B759" s="51" t="e">
        <v>#VALUE!</v>
      </c>
      <c r="C759" s="51"/>
      <c r="D759" s="51"/>
      <c r="E759" s="62" t="e">
        <v>#VALUE!</v>
      </c>
      <c r="F759" s="62"/>
      <c r="G759" s="62"/>
      <c r="H759" s="25" t="e">
        <v>#VALUE!</v>
      </c>
      <c r="I759" s="24" t="s">
        <v>2927</v>
      </c>
      <c r="J759" s="24"/>
      <c r="K759" s="24"/>
    </row>
    <row r="760" spans="1:11" ht="12.75" x14ac:dyDescent="0.35">
      <c r="A760" s="84"/>
      <c r="B760" s="51" t="e">
        <v>#VALUE!</v>
      </c>
      <c r="C760" s="51"/>
      <c r="D760" s="51"/>
      <c r="E760" s="62" t="e">
        <v>#VALUE!</v>
      </c>
      <c r="F760" s="62"/>
      <c r="G760" s="62"/>
      <c r="H760" s="25" t="e">
        <v>#VALUE!</v>
      </c>
      <c r="I760" s="24" t="s">
        <v>2927</v>
      </c>
      <c r="J760" s="24"/>
      <c r="K760" s="24"/>
    </row>
    <row r="761" spans="1:11" ht="12.75" x14ac:dyDescent="0.35">
      <c r="A761" s="84"/>
      <c r="B761" s="51" t="e">
        <v>#VALUE!</v>
      </c>
      <c r="C761" s="51"/>
      <c r="D761" s="51"/>
      <c r="E761" s="62" t="e">
        <v>#VALUE!</v>
      </c>
      <c r="F761" s="62"/>
      <c r="G761" s="62"/>
      <c r="H761" s="25" t="e">
        <v>#VALUE!</v>
      </c>
      <c r="I761" s="24" t="s">
        <v>2927</v>
      </c>
      <c r="J761" s="24"/>
      <c r="K761" s="24"/>
    </row>
    <row r="762" spans="1:11" ht="12.75" x14ac:dyDescent="0.35">
      <c r="A762" s="84"/>
      <c r="B762" s="51" t="e">
        <v>#VALUE!</v>
      </c>
      <c r="C762" s="51"/>
      <c r="D762" s="51"/>
      <c r="E762" s="62" t="e">
        <v>#VALUE!</v>
      </c>
      <c r="F762" s="62"/>
      <c r="G762" s="62"/>
      <c r="H762" s="25" t="e">
        <v>#VALUE!</v>
      </c>
      <c r="I762" s="24" t="s">
        <v>2927</v>
      </c>
      <c r="J762" s="24"/>
      <c r="K762" s="24"/>
    </row>
    <row r="763" spans="1:11" ht="12.75" x14ac:dyDescent="0.35">
      <c r="A763" s="84"/>
      <c r="B763" s="51" t="e">
        <v>#VALUE!</v>
      </c>
      <c r="C763" s="51"/>
      <c r="D763" s="51"/>
      <c r="E763" s="62" t="e">
        <v>#VALUE!</v>
      </c>
      <c r="F763" s="62"/>
      <c r="G763" s="62"/>
      <c r="H763" s="25" t="e">
        <v>#VALUE!</v>
      </c>
      <c r="I763" s="24" t="s">
        <v>2927</v>
      </c>
      <c r="J763" s="24"/>
      <c r="K763" s="24"/>
    </row>
    <row r="764" spans="1:11" ht="12.75" x14ac:dyDescent="0.35">
      <c r="A764" s="84"/>
      <c r="B764" s="51" t="e">
        <v>#VALUE!</v>
      </c>
      <c r="C764" s="51"/>
      <c r="D764" s="51"/>
      <c r="E764" s="62" t="e">
        <v>#VALUE!</v>
      </c>
      <c r="F764" s="62"/>
      <c r="G764" s="62"/>
      <c r="H764" s="25" t="e">
        <v>#VALUE!</v>
      </c>
      <c r="I764" s="24" t="s">
        <v>2927</v>
      </c>
      <c r="J764" s="24"/>
      <c r="K764" s="24"/>
    </row>
    <row r="765" spans="1:11" ht="12.75" x14ac:dyDescent="0.35">
      <c r="A765" s="84"/>
      <c r="B765" s="51" t="e">
        <v>#VALUE!</v>
      </c>
      <c r="C765" s="51"/>
      <c r="D765" s="51"/>
      <c r="E765" s="62" t="e">
        <v>#VALUE!</v>
      </c>
      <c r="F765" s="62"/>
      <c r="G765" s="62"/>
      <c r="H765" s="25" t="e">
        <v>#VALUE!</v>
      </c>
      <c r="I765" s="24" t="s">
        <v>2927</v>
      </c>
      <c r="J765" s="24"/>
      <c r="K765" s="24"/>
    </row>
    <row r="766" spans="1:11" ht="12.75" x14ac:dyDescent="0.35">
      <c r="A766" s="84"/>
      <c r="B766" s="51" t="e">
        <v>#VALUE!</v>
      </c>
      <c r="C766" s="51"/>
      <c r="D766" s="51"/>
      <c r="E766" s="62" t="e">
        <v>#VALUE!</v>
      </c>
      <c r="F766" s="62"/>
      <c r="G766" s="62"/>
      <c r="H766" s="25" t="e">
        <v>#VALUE!</v>
      </c>
      <c r="I766" s="24" t="s">
        <v>2927</v>
      </c>
      <c r="J766" s="24"/>
      <c r="K766" s="24"/>
    </row>
    <row r="767" spans="1:11" ht="12.75" x14ac:dyDescent="0.35">
      <c r="A767" s="84"/>
      <c r="B767" s="51" t="e">
        <v>#VALUE!</v>
      </c>
      <c r="C767" s="51"/>
      <c r="D767" s="51"/>
      <c r="E767" s="62" t="e">
        <v>#VALUE!</v>
      </c>
      <c r="F767" s="62"/>
      <c r="G767" s="62"/>
      <c r="H767" s="25" t="e">
        <v>#VALUE!</v>
      </c>
      <c r="I767" s="24" t="s">
        <v>2927</v>
      </c>
      <c r="J767" s="24"/>
      <c r="K767" s="24"/>
    </row>
    <row r="768" spans="1:11" ht="12.75" x14ac:dyDescent="0.35">
      <c r="A768" s="84"/>
      <c r="B768" s="51" t="e">
        <v>#VALUE!</v>
      </c>
      <c r="C768" s="51"/>
      <c r="D768" s="51"/>
      <c r="E768" s="62" t="e">
        <v>#VALUE!</v>
      </c>
      <c r="F768" s="62"/>
      <c r="G768" s="62"/>
      <c r="H768" s="25" t="e">
        <v>#VALUE!</v>
      </c>
      <c r="I768" s="24" t="s">
        <v>2927</v>
      </c>
      <c r="J768" s="24"/>
      <c r="K768" s="24"/>
    </row>
    <row r="769" spans="1:11" ht="12.75" x14ac:dyDescent="0.35">
      <c r="A769" s="84"/>
      <c r="B769" s="51" t="e">
        <v>#VALUE!</v>
      </c>
      <c r="C769" s="51"/>
      <c r="D769" s="51"/>
      <c r="E769" s="62" t="e">
        <v>#VALUE!</v>
      </c>
      <c r="F769" s="62"/>
      <c r="G769" s="62"/>
      <c r="H769" s="25" t="e">
        <v>#VALUE!</v>
      </c>
      <c r="I769" s="24" t="s">
        <v>2927</v>
      </c>
      <c r="J769" s="24"/>
      <c r="K769" s="24"/>
    </row>
    <row r="770" spans="1:11" ht="12.75" x14ac:dyDescent="0.35">
      <c r="A770" s="84"/>
      <c r="B770" s="51" t="e">
        <v>#VALUE!</v>
      </c>
      <c r="C770" s="51"/>
      <c r="D770" s="51"/>
      <c r="E770" s="62" t="e">
        <v>#VALUE!</v>
      </c>
      <c r="F770" s="62"/>
      <c r="G770" s="62"/>
      <c r="H770" s="25" t="e">
        <v>#VALUE!</v>
      </c>
      <c r="I770" s="24" t="s">
        <v>2927</v>
      </c>
      <c r="J770" s="24"/>
      <c r="K770" s="24"/>
    </row>
    <row r="771" spans="1:11" ht="12.75" x14ac:dyDescent="0.35">
      <c r="A771" s="84"/>
      <c r="B771" s="51" t="e">
        <v>#VALUE!</v>
      </c>
      <c r="C771" s="51"/>
      <c r="D771" s="51"/>
      <c r="E771" s="62" t="e">
        <v>#VALUE!</v>
      </c>
      <c r="F771" s="62"/>
      <c r="G771" s="62"/>
      <c r="H771" s="25" t="e">
        <v>#VALUE!</v>
      </c>
      <c r="I771" s="24" t="s">
        <v>2927</v>
      </c>
      <c r="J771" s="24"/>
      <c r="K771" s="24"/>
    </row>
    <row r="772" spans="1:11" ht="12.75" x14ac:dyDescent="0.35">
      <c r="A772" s="84"/>
      <c r="B772" s="51" t="e">
        <v>#VALUE!</v>
      </c>
      <c r="C772" s="51"/>
      <c r="D772" s="51"/>
      <c r="E772" s="62" t="e">
        <v>#VALUE!</v>
      </c>
      <c r="F772" s="62"/>
      <c r="G772" s="62"/>
      <c r="H772" s="25" t="e">
        <v>#VALUE!</v>
      </c>
      <c r="I772" s="24" t="s">
        <v>2927</v>
      </c>
      <c r="J772" s="24"/>
      <c r="K772" s="24"/>
    </row>
    <row r="773" spans="1:11" ht="12.75" x14ac:dyDescent="0.35">
      <c r="A773" s="84"/>
      <c r="B773" s="51" t="e">
        <v>#VALUE!</v>
      </c>
      <c r="C773" s="51"/>
      <c r="D773" s="51"/>
      <c r="E773" s="62" t="e">
        <v>#VALUE!</v>
      </c>
      <c r="F773" s="62"/>
      <c r="G773" s="62"/>
      <c r="H773" s="25" t="e">
        <v>#VALUE!</v>
      </c>
      <c r="I773" s="24" t="s">
        <v>2927</v>
      </c>
      <c r="J773" s="24"/>
      <c r="K773" s="24"/>
    </row>
    <row r="774" spans="1:11" ht="12.75" x14ac:dyDescent="0.35">
      <c r="A774" s="84"/>
      <c r="B774" s="51" t="e">
        <v>#VALUE!</v>
      </c>
      <c r="C774" s="51"/>
      <c r="D774" s="51"/>
      <c r="E774" s="62" t="e">
        <v>#VALUE!</v>
      </c>
      <c r="F774" s="62"/>
      <c r="G774" s="62"/>
      <c r="H774" s="25" t="e">
        <v>#VALUE!</v>
      </c>
      <c r="I774" s="24" t="s">
        <v>2927</v>
      </c>
      <c r="J774" s="24"/>
      <c r="K774" s="24"/>
    </row>
    <row r="775" spans="1:11" ht="12.75" x14ac:dyDescent="0.35">
      <c r="A775" s="84"/>
      <c r="B775" s="51" t="e">
        <v>#VALUE!</v>
      </c>
      <c r="C775" s="51"/>
      <c r="D775" s="51"/>
      <c r="E775" s="62" t="e">
        <v>#VALUE!</v>
      </c>
      <c r="F775" s="62"/>
      <c r="G775" s="62"/>
      <c r="H775" s="25" t="e">
        <v>#VALUE!</v>
      </c>
      <c r="I775" s="24" t="s">
        <v>2927</v>
      </c>
      <c r="J775" s="24"/>
      <c r="K775" s="24"/>
    </row>
    <row r="776" spans="1:11" ht="12.75" x14ac:dyDescent="0.35">
      <c r="A776" s="84"/>
      <c r="B776" s="51" t="e">
        <v>#VALUE!</v>
      </c>
      <c r="C776" s="51"/>
      <c r="D776" s="51"/>
      <c r="E776" s="62" t="e">
        <v>#VALUE!</v>
      </c>
      <c r="F776" s="62"/>
      <c r="G776" s="62"/>
      <c r="H776" s="25" t="e">
        <v>#VALUE!</v>
      </c>
      <c r="I776" s="24" t="s">
        <v>2927</v>
      </c>
      <c r="J776" s="24"/>
      <c r="K776" s="24"/>
    </row>
    <row r="777" spans="1:11" ht="12.75" x14ac:dyDescent="0.35">
      <c r="A777" s="84"/>
      <c r="B777" s="51" t="e">
        <v>#VALUE!</v>
      </c>
      <c r="C777" s="51"/>
      <c r="D777" s="51"/>
      <c r="E777" s="62" t="e">
        <v>#VALUE!</v>
      </c>
      <c r="F777" s="62"/>
      <c r="G777" s="62"/>
      <c r="H777" s="25" t="e">
        <v>#VALUE!</v>
      </c>
      <c r="I777" s="24" t="s">
        <v>2927</v>
      </c>
      <c r="J777" s="24"/>
      <c r="K777" s="24"/>
    </row>
    <row r="778" spans="1:11" ht="12.75" x14ac:dyDescent="0.35">
      <c r="A778" s="84"/>
      <c r="B778" s="51" t="e">
        <v>#VALUE!</v>
      </c>
      <c r="C778" s="51"/>
      <c r="D778" s="51"/>
      <c r="E778" s="62" t="e">
        <v>#VALUE!</v>
      </c>
      <c r="F778" s="62"/>
      <c r="G778" s="62"/>
      <c r="H778" s="25" t="e">
        <v>#VALUE!</v>
      </c>
      <c r="I778" s="24" t="s">
        <v>2927</v>
      </c>
      <c r="J778" s="24"/>
      <c r="K778" s="24"/>
    </row>
    <row r="779" spans="1:11" ht="12.75" x14ac:dyDescent="0.35">
      <c r="A779" s="84"/>
      <c r="B779" s="51" t="e">
        <v>#VALUE!</v>
      </c>
      <c r="C779" s="51"/>
      <c r="D779" s="51"/>
      <c r="E779" s="62" t="e">
        <v>#VALUE!</v>
      </c>
      <c r="F779" s="62"/>
      <c r="G779" s="62"/>
      <c r="H779" s="25" t="e">
        <v>#VALUE!</v>
      </c>
      <c r="I779" s="24" t="s">
        <v>2927</v>
      </c>
      <c r="J779" s="24"/>
      <c r="K779" s="24"/>
    </row>
    <row r="780" spans="1:11" ht="12.75" x14ac:dyDescent="0.35">
      <c r="A780" s="84"/>
      <c r="B780" s="51" t="e">
        <v>#VALUE!</v>
      </c>
      <c r="C780" s="51"/>
      <c r="D780" s="51"/>
      <c r="E780" s="62" t="e">
        <v>#VALUE!</v>
      </c>
      <c r="F780" s="62"/>
      <c r="G780" s="62"/>
      <c r="H780" s="25" t="e">
        <v>#VALUE!</v>
      </c>
      <c r="I780" s="24" t="s">
        <v>2927</v>
      </c>
      <c r="J780" s="24"/>
      <c r="K780" s="24"/>
    </row>
    <row r="781" spans="1:11" ht="12.75" x14ac:dyDescent="0.35">
      <c r="A781" s="84"/>
      <c r="B781" s="51" t="e">
        <v>#VALUE!</v>
      </c>
      <c r="C781" s="51"/>
      <c r="D781" s="51"/>
      <c r="E781" s="62" t="e">
        <v>#VALUE!</v>
      </c>
      <c r="F781" s="62"/>
      <c r="G781" s="62"/>
      <c r="H781" s="25" t="e">
        <v>#VALUE!</v>
      </c>
      <c r="I781" s="24" t="s">
        <v>2927</v>
      </c>
      <c r="J781" s="24"/>
      <c r="K781" s="24"/>
    </row>
    <row r="782" spans="1:11" ht="12.75" x14ac:dyDescent="0.35">
      <c r="A782" s="84"/>
      <c r="B782" s="51" t="e">
        <v>#VALUE!</v>
      </c>
      <c r="C782" s="51"/>
      <c r="D782" s="51"/>
      <c r="E782" s="62" t="e">
        <v>#VALUE!</v>
      </c>
      <c r="F782" s="62"/>
      <c r="G782" s="62"/>
      <c r="H782" s="25" t="e">
        <v>#VALUE!</v>
      </c>
      <c r="I782" s="24" t="s">
        <v>2927</v>
      </c>
      <c r="J782" s="24"/>
      <c r="K782" s="24"/>
    </row>
    <row r="783" spans="1:11" ht="12.75" x14ac:dyDescent="0.35">
      <c r="A783" s="84"/>
      <c r="B783" s="51" t="e">
        <v>#VALUE!</v>
      </c>
      <c r="C783" s="51"/>
      <c r="D783" s="51"/>
      <c r="E783" s="62" t="e">
        <v>#VALUE!</v>
      </c>
      <c r="F783" s="62"/>
      <c r="G783" s="62"/>
      <c r="H783" s="25" t="e">
        <v>#VALUE!</v>
      </c>
      <c r="I783" s="24" t="s">
        <v>2927</v>
      </c>
      <c r="J783" s="24"/>
      <c r="K783" s="24"/>
    </row>
    <row r="784" spans="1:11" ht="12.75" x14ac:dyDescent="0.35">
      <c r="A784" s="84"/>
      <c r="B784" s="51" t="e">
        <v>#VALUE!</v>
      </c>
      <c r="C784" s="51"/>
      <c r="D784" s="51"/>
      <c r="E784" s="62" t="e">
        <v>#VALUE!</v>
      </c>
      <c r="F784" s="62"/>
      <c r="G784" s="62"/>
      <c r="H784" s="25" t="e">
        <v>#VALUE!</v>
      </c>
      <c r="I784" s="24" t="s">
        <v>2927</v>
      </c>
      <c r="J784" s="24"/>
      <c r="K784" s="24"/>
    </row>
    <row r="785" spans="1:11" ht="12.75" x14ac:dyDescent="0.35">
      <c r="A785" s="84"/>
      <c r="B785" s="51" t="e">
        <v>#VALUE!</v>
      </c>
      <c r="C785" s="51"/>
      <c r="D785" s="51"/>
      <c r="E785" s="62" t="e">
        <v>#VALUE!</v>
      </c>
      <c r="F785" s="62"/>
      <c r="G785" s="62"/>
      <c r="H785" s="25" t="e">
        <v>#VALUE!</v>
      </c>
      <c r="I785" s="24" t="s">
        <v>2927</v>
      </c>
      <c r="J785" s="24"/>
      <c r="K785" s="24"/>
    </row>
    <row r="786" spans="1:11" ht="12.75" x14ac:dyDescent="0.35">
      <c r="A786" s="84"/>
      <c r="B786" s="51" t="e">
        <v>#VALUE!</v>
      </c>
      <c r="C786" s="51"/>
      <c r="D786" s="51"/>
      <c r="E786" s="62" t="e">
        <v>#VALUE!</v>
      </c>
      <c r="F786" s="62"/>
      <c r="G786" s="62"/>
      <c r="H786" s="25" t="e">
        <v>#VALUE!</v>
      </c>
      <c r="I786" s="24" t="s">
        <v>2927</v>
      </c>
      <c r="J786" s="24"/>
      <c r="K786" s="24"/>
    </row>
    <row r="787" spans="1:11" ht="12.75" x14ac:dyDescent="0.35">
      <c r="A787" s="84"/>
      <c r="B787" s="51" t="e">
        <v>#VALUE!</v>
      </c>
      <c r="C787" s="51"/>
      <c r="D787" s="51"/>
      <c r="E787" s="62" t="e">
        <v>#VALUE!</v>
      </c>
      <c r="F787" s="62"/>
      <c r="G787" s="62"/>
      <c r="H787" s="25" t="e">
        <v>#VALUE!</v>
      </c>
      <c r="I787" s="24" t="s">
        <v>2927</v>
      </c>
      <c r="J787" s="24"/>
      <c r="K787" s="24"/>
    </row>
    <row r="788" spans="1:11" ht="12.75" x14ac:dyDescent="0.35">
      <c r="A788" s="84"/>
      <c r="B788" s="51" t="e">
        <v>#VALUE!</v>
      </c>
      <c r="C788" s="51"/>
      <c r="D788" s="51"/>
      <c r="E788" s="62" t="e">
        <v>#VALUE!</v>
      </c>
      <c r="F788" s="62"/>
      <c r="G788" s="62"/>
      <c r="H788" s="25" t="e">
        <v>#VALUE!</v>
      </c>
      <c r="I788" s="24" t="s">
        <v>2927</v>
      </c>
      <c r="J788" s="24"/>
      <c r="K788" s="24"/>
    </row>
    <row r="789" spans="1:11" ht="12.75" x14ac:dyDescent="0.35">
      <c r="A789" s="84"/>
      <c r="B789" s="51" t="e">
        <v>#VALUE!</v>
      </c>
      <c r="C789" s="51"/>
      <c r="D789" s="51"/>
      <c r="E789" s="62" t="e">
        <v>#VALUE!</v>
      </c>
      <c r="F789" s="62"/>
      <c r="G789" s="62"/>
      <c r="H789" s="25" t="e">
        <v>#VALUE!</v>
      </c>
      <c r="I789" s="24" t="s">
        <v>2927</v>
      </c>
      <c r="J789" s="24"/>
      <c r="K789" s="24"/>
    </row>
    <row r="790" spans="1:11" ht="12.75" x14ac:dyDescent="0.35">
      <c r="A790" s="84"/>
      <c r="B790" s="51" t="e">
        <v>#VALUE!</v>
      </c>
      <c r="C790" s="51"/>
      <c r="D790" s="51"/>
      <c r="E790" s="62" t="e">
        <v>#VALUE!</v>
      </c>
      <c r="F790" s="62"/>
      <c r="G790" s="62"/>
      <c r="H790" s="25" t="e">
        <v>#VALUE!</v>
      </c>
      <c r="I790" s="24" t="s">
        <v>2927</v>
      </c>
      <c r="J790" s="24"/>
      <c r="K790" s="24"/>
    </row>
    <row r="791" spans="1:11" ht="12.75" x14ac:dyDescent="0.35">
      <c r="A791" s="84"/>
      <c r="B791" s="51" t="e">
        <v>#VALUE!</v>
      </c>
      <c r="C791" s="51"/>
      <c r="D791" s="51"/>
      <c r="E791" s="62" t="e">
        <v>#VALUE!</v>
      </c>
      <c r="F791" s="62"/>
      <c r="G791" s="62"/>
      <c r="H791" s="25" t="e">
        <v>#VALUE!</v>
      </c>
      <c r="I791" s="24" t="s">
        <v>2927</v>
      </c>
      <c r="J791" s="24"/>
      <c r="K791" s="24"/>
    </row>
    <row r="792" spans="1:11" ht="12.75" x14ac:dyDescent="0.35">
      <c r="A792" s="84"/>
      <c r="B792" s="51" t="e">
        <v>#VALUE!</v>
      </c>
      <c r="C792" s="51"/>
      <c r="D792" s="51"/>
      <c r="E792" s="62" t="e">
        <v>#VALUE!</v>
      </c>
      <c r="F792" s="62"/>
      <c r="G792" s="62"/>
      <c r="H792" s="25" t="e">
        <v>#VALUE!</v>
      </c>
      <c r="I792" s="24" t="s">
        <v>2927</v>
      </c>
      <c r="J792" s="24"/>
      <c r="K792" s="24"/>
    </row>
    <row r="793" spans="1:11" ht="12.75" x14ac:dyDescent="0.35">
      <c r="A793" s="84"/>
      <c r="B793" s="51" t="e">
        <v>#VALUE!</v>
      </c>
      <c r="C793" s="51"/>
      <c r="D793" s="51"/>
      <c r="E793" s="62" t="e">
        <v>#VALUE!</v>
      </c>
      <c r="F793" s="62"/>
      <c r="G793" s="62"/>
      <c r="H793" s="25" t="e">
        <v>#VALUE!</v>
      </c>
      <c r="I793" s="24" t="s">
        <v>2927</v>
      </c>
      <c r="J793" s="24"/>
      <c r="K793" s="24"/>
    </row>
    <row r="794" spans="1:11" ht="12.75" x14ac:dyDescent="0.35">
      <c r="A794" s="84"/>
      <c r="B794" s="51" t="e">
        <v>#VALUE!</v>
      </c>
      <c r="C794" s="51"/>
      <c r="D794" s="51"/>
      <c r="E794" s="62" t="e">
        <v>#VALUE!</v>
      </c>
      <c r="F794" s="62"/>
      <c r="G794" s="62"/>
      <c r="H794" s="25" t="e">
        <v>#VALUE!</v>
      </c>
      <c r="I794" s="24" t="s">
        <v>2927</v>
      </c>
      <c r="J794" s="24"/>
      <c r="K794" s="24"/>
    </row>
    <row r="795" spans="1:11" ht="12.75" x14ac:dyDescent="0.35">
      <c r="A795" s="84"/>
      <c r="B795" s="51" t="e">
        <v>#VALUE!</v>
      </c>
      <c r="C795" s="51"/>
      <c r="D795" s="51"/>
      <c r="E795" s="62" t="e">
        <v>#VALUE!</v>
      </c>
      <c r="F795" s="62"/>
      <c r="G795" s="62"/>
      <c r="H795" s="25" t="e">
        <v>#VALUE!</v>
      </c>
      <c r="I795" s="24" t="s">
        <v>2927</v>
      </c>
      <c r="J795" s="24"/>
      <c r="K795" s="24"/>
    </row>
    <row r="796" spans="1:11" ht="12.75" x14ac:dyDescent="0.35">
      <c r="A796" s="84"/>
      <c r="B796" s="51" t="e">
        <v>#VALUE!</v>
      </c>
      <c r="C796" s="51"/>
      <c r="D796" s="51"/>
      <c r="E796" s="62" t="e">
        <v>#VALUE!</v>
      </c>
      <c r="F796" s="62"/>
      <c r="G796" s="62"/>
      <c r="H796" s="25" t="e">
        <v>#VALUE!</v>
      </c>
      <c r="I796" s="24" t="s">
        <v>2927</v>
      </c>
      <c r="J796" s="24"/>
      <c r="K796" s="24"/>
    </row>
    <row r="797" spans="1:11" ht="12.75" x14ac:dyDescent="0.35">
      <c r="A797" s="84"/>
      <c r="B797" s="51" t="e">
        <v>#VALUE!</v>
      </c>
      <c r="C797" s="51"/>
      <c r="D797" s="51"/>
      <c r="E797" s="62" t="e">
        <v>#VALUE!</v>
      </c>
      <c r="F797" s="62"/>
      <c r="G797" s="62"/>
      <c r="H797" s="25" t="e">
        <v>#VALUE!</v>
      </c>
      <c r="I797" s="24" t="s">
        <v>2927</v>
      </c>
      <c r="J797" s="24"/>
      <c r="K797" s="24"/>
    </row>
    <row r="798" spans="1:11" ht="12.75" x14ac:dyDescent="0.35">
      <c r="A798" s="84"/>
      <c r="B798" s="51" t="e">
        <v>#VALUE!</v>
      </c>
      <c r="C798" s="51"/>
      <c r="D798" s="51"/>
      <c r="E798" s="62" t="e">
        <v>#VALUE!</v>
      </c>
      <c r="F798" s="62"/>
      <c r="G798" s="62"/>
      <c r="H798" s="25" t="e">
        <v>#VALUE!</v>
      </c>
      <c r="I798" s="24" t="s">
        <v>2927</v>
      </c>
      <c r="J798" s="24"/>
      <c r="K798" s="24"/>
    </row>
    <row r="799" spans="1:11" ht="12.75" x14ac:dyDescent="0.35">
      <c r="A799" s="84"/>
      <c r="B799" s="51" t="e">
        <v>#VALUE!</v>
      </c>
      <c r="C799" s="51"/>
      <c r="D799" s="51"/>
      <c r="E799" s="62" t="e">
        <v>#VALUE!</v>
      </c>
      <c r="F799" s="62"/>
      <c r="G799" s="62"/>
      <c r="H799" s="25" t="e">
        <v>#VALUE!</v>
      </c>
      <c r="I799" s="24" t="s">
        <v>2927</v>
      </c>
      <c r="J799" s="24"/>
      <c r="K799" s="24"/>
    </row>
    <row r="800" spans="1:11" ht="12.75" x14ac:dyDescent="0.35">
      <c r="A800" s="84"/>
      <c r="B800" s="51" t="e">
        <v>#VALUE!</v>
      </c>
      <c r="C800" s="51"/>
      <c r="D800" s="51"/>
      <c r="E800" s="62" t="e">
        <v>#VALUE!</v>
      </c>
      <c r="F800" s="62"/>
      <c r="G800" s="62"/>
      <c r="H800" s="25" t="e">
        <v>#VALUE!</v>
      </c>
      <c r="I800" s="24" t="s">
        <v>2927</v>
      </c>
      <c r="J800" s="24"/>
      <c r="K800" s="24"/>
    </row>
    <row r="801" spans="1:11" ht="12.75" x14ac:dyDescent="0.35">
      <c r="A801" s="84"/>
      <c r="B801" s="51" t="e">
        <v>#VALUE!</v>
      </c>
      <c r="C801" s="51"/>
      <c r="D801" s="51"/>
      <c r="E801" s="62" t="e">
        <v>#VALUE!</v>
      </c>
      <c r="F801" s="62"/>
      <c r="G801" s="62"/>
      <c r="H801" s="25" t="e">
        <v>#VALUE!</v>
      </c>
      <c r="I801" s="24" t="s">
        <v>2927</v>
      </c>
      <c r="J801" s="24"/>
      <c r="K801" s="24"/>
    </row>
    <row r="802" spans="1:11" ht="12.75" x14ac:dyDescent="0.35">
      <c r="A802" s="84"/>
      <c r="B802" s="51" t="e">
        <v>#VALUE!</v>
      </c>
      <c r="C802" s="51"/>
      <c r="D802" s="51"/>
      <c r="E802" s="62" t="e">
        <v>#VALUE!</v>
      </c>
      <c r="F802" s="62"/>
      <c r="G802" s="62"/>
      <c r="H802" s="25" t="e">
        <v>#VALUE!</v>
      </c>
      <c r="I802" s="24" t="s">
        <v>2927</v>
      </c>
      <c r="J802" s="24"/>
      <c r="K802" s="24"/>
    </row>
    <row r="803" spans="1:11" ht="12.75" x14ac:dyDescent="0.35">
      <c r="A803" s="84"/>
      <c r="B803" s="51" t="e">
        <v>#VALUE!</v>
      </c>
      <c r="C803" s="51"/>
      <c r="D803" s="51"/>
      <c r="E803" s="62" t="e">
        <v>#VALUE!</v>
      </c>
      <c r="F803" s="62"/>
      <c r="G803" s="62"/>
      <c r="H803" s="25" t="e">
        <v>#VALUE!</v>
      </c>
      <c r="I803" s="24" t="s">
        <v>2927</v>
      </c>
      <c r="J803" s="24"/>
      <c r="K803" s="24"/>
    </row>
    <row r="804" spans="1:11" ht="12.75" x14ac:dyDescent="0.35">
      <c r="A804" s="84"/>
      <c r="B804" s="51" t="e">
        <v>#VALUE!</v>
      </c>
      <c r="C804" s="51"/>
      <c r="D804" s="51"/>
      <c r="E804" s="62" t="e">
        <v>#VALUE!</v>
      </c>
      <c r="F804" s="62"/>
      <c r="G804" s="62"/>
      <c r="H804" s="25" t="e">
        <v>#VALUE!</v>
      </c>
      <c r="I804" s="24" t="s">
        <v>2927</v>
      </c>
      <c r="J804" s="24"/>
      <c r="K804" s="24"/>
    </row>
    <row r="805" spans="1:11" ht="12.75" x14ac:dyDescent="0.35">
      <c r="A805" s="84"/>
      <c r="B805" s="51" t="e">
        <v>#VALUE!</v>
      </c>
      <c r="C805" s="51"/>
      <c r="D805" s="51"/>
      <c r="E805" s="62" t="e">
        <v>#VALUE!</v>
      </c>
      <c r="F805" s="62"/>
      <c r="G805" s="62"/>
      <c r="H805" s="25" t="e">
        <v>#VALUE!</v>
      </c>
      <c r="I805" s="24" t="s">
        <v>2927</v>
      </c>
      <c r="J805" s="24"/>
      <c r="K805" s="24"/>
    </row>
    <row r="806" spans="1:11" ht="12.75" x14ac:dyDescent="0.35">
      <c r="A806" s="84"/>
      <c r="B806" s="51" t="e">
        <v>#VALUE!</v>
      </c>
      <c r="C806" s="51"/>
      <c r="D806" s="51"/>
      <c r="E806" s="62" t="e">
        <v>#VALUE!</v>
      </c>
      <c r="F806" s="62"/>
      <c r="G806" s="62"/>
      <c r="H806" s="25" t="e">
        <v>#VALUE!</v>
      </c>
      <c r="I806" s="24" t="s">
        <v>2927</v>
      </c>
      <c r="J806" s="24"/>
      <c r="K806" s="24"/>
    </row>
    <row r="807" spans="1:11" ht="12.75" x14ac:dyDescent="0.35">
      <c r="A807" s="84"/>
      <c r="B807" s="51" t="e">
        <v>#VALUE!</v>
      </c>
      <c r="C807" s="51"/>
      <c r="D807" s="51"/>
      <c r="E807" s="62" t="e">
        <v>#VALUE!</v>
      </c>
      <c r="F807" s="62"/>
      <c r="G807" s="62"/>
      <c r="H807" s="25" t="e">
        <v>#VALUE!</v>
      </c>
      <c r="I807" s="24" t="s">
        <v>2927</v>
      </c>
      <c r="J807" s="24"/>
      <c r="K807" s="24"/>
    </row>
    <row r="808" spans="1:11" ht="12.75" x14ac:dyDescent="0.35">
      <c r="A808" s="84"/>
      <c r="B808" s="51" t="e">
        <v>#VALUE!</v>
      </c>
      <c r="C808" s="51"/>
      <c r="D808" s="51"/>
      <c r="E808" s="62" t="e">
        <v>#VALUE!</v>
      </c>
      <c r="F808" s="62"/>
      <c r="G808" s="62"/>
      <c r="H808" s="25" t="e">
        <v>#VALUE!</v>
      </c>
      <c r="I808" s="24" t="s">
        <v>2927</v>
      </c>
      <c r="J808" s="24"/>
      <c r="K808" s="24"/>
    </row>
    <row r="809" spans="1:11" ht="12.75" x14ac:dyDescent="0.35">
      <c r="A809" s="84"/>
      <c r="B809" s="51" t="e">
        <v>#VALUE!</v>
      </c>
      <c r="C809" s="51"/>
      <c r="D809" s="51"/>
      <c r="E809" s="62" t="e">
        <v>#VALUE!</v>
      </c>
      <c r="F809" s="62"/>
      <c r="G809" s="62"/>
      <c r="H809" s="25" t="e">
        <v>#VALUE!</v>
      </c>
      <c r="I809" s="24" t="s">
        <v>2927</v>
      </c>
      <c r="J809" s="24"/>
      <c r="K809" s="24"/>
    </row>
    <row r="810" spans="1:11" ht="12.75" x14ac:dyDescent="0.35">
      <c r="A810" s="84"/>
      <c r="B810" s="51" t="e">
        <v>#VALUE!</v>
      </c>
      <c r="C810" s="51"/>
      <c r="D810" s="51"/>
      <c r="E810" s="62" t="e">
        <v>#VALUE!</v>
      </c>
      <c r="F810" s="62"/>
      <c r="G810" s="62"/>
      <c r="H810" s="25" t="e">
        <v>#VALUE!</v>
      </c>
      <c r="I810" s="24" t="s">
        <v>2927</v>
      </c>
      <c r="J810" s="24"/>
      <c r="K810" s="24"/>
    </row>
    <row r="811" spans="1:11" ht="12.75" x14ac:dyDescent="0.35">
      <c r="A811" s="84"/>
      <c r="B811" s="51" t="e">
        <v>#VALUE!</v>
      </c>
      <c r="C811" s="51"/>
      <c r="D811" s="51"/>
      <c r="E811" s="62" t="e">
        <v>#VALUE!</v>
      </c>
      <c r="F811" s="62"/>
      <c r="G811" s="62"/>
      <c r="H811" s="25" t="e">
        <v>#VALUE!</v>
      </c>
      <c r="I811" s="24" t="s">
        <v>2927</v>
      </c>
      <c r="J811" s="24"/>
      <c r="K811" s="24"/>
    </row>
    <row r="812" spans="1:11" ht="12.75" x14ac:dyDescent="0.35">
      <c r="A812" s="84"/>
      <c r="B812" s="51" t="e">
        <v>#VALUE!</v>
      </c>
      <c r="C812" s="51"/>
      <c r="D812" s="51"/>
      <c r="E812" s="62" t="e">
        <v>#VALUE!</v>
      </c>
      <c r="F812" s="62"/>
      <c r="G812" s="62"/>
      <c r="H812" s="25" t="e">
        <v>#VALUE!</v>
      </c>
      <c r="I812" s="24" t="s">
        <v>2927</v>
      </c>
      <c r="J812" s="24"/>
      <c r="K812" s="24"/>
    </row>
    <row r="813" spans="1:11" ht="12.75" x14ac:dyDescent="0.35">
      <c r="A813" s="84"/>
      <c r="B813" s="51" t="e">
        <v>#VALUE!</v>
      </c>
      <c r="C813" s="51"/>
      <c r="D813" s="51"/>
      <c r="E813" s="62" t="e">
        <v>#VALUE!</v>
      </c>
      <c r="F813" s="62"/>
      <c r="G813" s="62"/>
      <c r="H813" s="25" t="e">
        <v>#VALUE!</v>
      </c>
      <c r="I813" s="24" t="s">
        <v>2927</v>
      </c>
      <c r="J813" s="24"/>
      <c r="K813" s="24"/>
    </row>
    <row r="814" spans="1:11" ht="12.75" x14ac:dyDescent="0.35">
      <c r="A814" s="84"/>
      <c r="B814" s="51" t="e">
        <v>#VALUE!</v>
      </c>
      <c r="C814" s="51"/>
      <c r="D814" s="51"/>
      <c r="E814" s="62" t="e">
        <v>#VALUE!</v>
      </c>
      <c r="F814" s="62"/>
      <c r="G814" s="62"/>
      <c r="H814" s="25" t="e">
        <v>#VALUE!</v>
      </c>
      <c r="I814" s="24" t="s">
        <v>2927</v>
      </c>
      <c r="J814" s="24"/>
      <c r="K814" s="24"/>
    </row>
    <row r="815" spans="1:11" ht="12.75" x14ac:dyDescent="0.35">
      <c r="A815" s="84"/>
      <c r="B815" s="51" t="e">
        <v>#VALUE!</v>
      </c>
      <c r="C815" s="51"/>
      <c r="D815" s="51"/>
      <c r="E815" s="62" t="e">
        <v>#VALUE!</v>
      </c>
      <c r="F815" s="62"/>
      <c r="G815" s="62"/>
      <c r="H815" s="25" t="e">
        <v>#VALUE!</v>
      </c>
      <c r="I815" s="24" t="s">
        <v>2927</v>
      </c>
      <c r="J815" s="24"/>
      <c r="K815" s="24"/>
    </row>
    <row r="816" spans="1:11" ht="12.75" x14ac:dyDescent="0.35">
      <c r="A816" s="84"/>
      <c r="B816" s="51" t="e">
        <v>#VALUE!</v>
      </c>
      <c r="C816" s="51"/>
      <c r="D816" s="51"/>
      <c r="E816" s="62" t="e">
        <v>#VALUE!</v>
      </c>
      <c r="F816" s="62"/>
      <c r="G816" s="62"/>
      <c r="H816" s="25" t="e">
        <v>#VALUE!</v>
      </c>
      <c r="I816" s="24" t="s">
        <v>2927</v>
      </c>
      <c r="J816" s="24"/>
      <c r="K816" s="24"/>
    </row>
    <row r="817" spans="1:11" ht="12.75" x14ac:dyDescent="0.35">
      <c r="A817" s="84"/>
      <c r="B817" s="51" t="e">
        <v>#VALUE!</v>
      </c>
      <c r="C817" s="51"/>
      <c r="D817" s="51"/>
      <c r="E817" s="62" t="e">
        <v>#VALUE!</v>
      </c>
      <c r="F817" s="62"/>
      <c r="G817" s="62"/>
      <c r="H817" s="25" t="e">
        <v>#VALUE!</v>
      </c>
      <c r="I817" s="24" t="s">
        <v>2927</v>
      </c>
      <c r="J817" s="24"/>
      <c r="K817" s="24"/>
    </row>
    <row r="818" spans="1:11" ht="12.75" x14ac:dyDescent="0.35">
      <c r="A818" s="84"/>
      <c r="B818" s="51" t="e">
        <v>#VALUE!</v>
      </c>
      <c r="C818" s="51"/>
      <c r="D818" s="51"/>
      <c r="E818" s="62" t="e">
        <v>#VALUE!</v>
      </c>
      <c r="F818" s="62"/>
      <c r="G818" s="62"/>
      <c r="H818" s="25" t="e">
        <v>#VALUE!</v>
      </c>
      <c r="I818" s="24" t="s">
        <v>2927</v>
      </c>
      <c r="J818" s="24"/>
      <c r="K818" s="24"/>
    </row>
    <row r="819" spans="1:11" ht="12.75" x14ac:dyDescent="0.35">
      <c r="A819" s="84"/>
      <c r="B819" s="51" t="e">
        <v>#VALUE!</v>
      </c>
      <c r="C819" s="51"/>
      <c r="D819" s="51"/>
      <c r="E819" s="62" t="e">
        <v>#VALUE!</v>
      </c>
      <c r="F819" s="62"/>
      <c r="G819" s="62"/>
      <c r="H819" s="25" t="e">
        <v>#VALUE!</v>
      </c>
      <c r="I819" s="24" t="s">
        <v>2927</v>
      </c>
      <c r="J819" s="24"/>
      <c r="K819" s="24"/>
    </row>
    <row r="820" spans="1:11" ht="12.75" x14ac:dyDescent="0.35">
      <c r="A820" s="84"/>
      <c r="B820" s="51" t="e">
        <v>#VALUE!</v>
      </c>
      <c r="C820" s="51"/>
      <c r="D820" s="51"/>
      <c r="E820" s="62" t="e">
        <v>#VALUE!</v>
      </c>
      <c r="F820" s="62"/>
      <c r="G820" s="62"/>
      <c r="H820" s="25" t="e">
        <v>#VALUE!</v>
      </c>
      <c r="I820" s="24" t="s">
        <v>2927</v>
      </c>
      <c r="J820" s="24"/>
      <c r="K820" s="24"/>
    </row>
    <row r="821" spans="1:11" ht="12.75" x14ac:dyDescent="0.35">
      <c r="A821" s="84"/>
      <c r="B821" s="51" t="e">
        <v>#VALUE!</v>
      </c>
      <c r="C821" s="51"/>
      <c r="D821" s="51"/>
      <c r="E821" s="62" t="e">
        <v>#VALUE!</v>
      </c>
      <c r="F821" s="62"/>
      <c r="G821" s="62"/>
      <c r="H821" s="25" t="e">
        <v>#VALUE!</v>
      </c>
      <c r="I821" s="24" t="s">
        <v>2927</v>
      </c>
      <c r="J821" s="24"/>
      <c r="K821" s="24"/>
    </row>
    <row r="822" spans="1:11" ht="12.75" x14ac:dyDescent="0.35">
      <c r="A822" s="84"/>
      <c r="B822" s="51" t="e">
        <v>#VALUE!</v>
      </c>
      <c r="C822" s="51"/>
      <c r="D822" s="51"/>
      <c r="E822" s="62" t="e">
        <v>#VALUE!</v>
      </c>
      <c r="F822" s="62"/>
      <c r="G822" s="62"/>
      <c r="H822" s="25" t="e">
        <v>#VALUE!</v>
      </c>
      <c r="I822" s="24" t="s">
        <v>2927</v>
      </c>
      <c r="J822" s="24"/>
      <c r="K822" s="24"/>
    </row>
    <row r="823" spans="1:11" ht="12.75" x14ac:dyDescent="0.35">
      <c r="A823" s="84"/>
      <c r="B823" s="51" t="e">
        <v>#VALUE!</v>
      </c>
      <c r="C823" s="51"/>
      <c r="D823" s="51"/>
      <c r="E823" s="62" t="e">
        <v>#VALUE!</v>
      </c>
      <c r="F823" s="62"/>
      <c r="G823" s="62"/>
      <c r="H823" s="25" t="e">
        <v>#VALUE!</v>
      </c>
      <c r="I823" s="24" t="s">
        <v>2927</v>
      </c>
      <c r="J823" s="24"/>
      <c r="K823" s="24"/>
    </row>
    <row r="824" spans="1:11" ht="12.75" x14ac:dyDescent="0.35">
      <c r="A824" s="84"/>
      <c r="B824" s="51" t="e">
        <v>#VALUE!</v>
      </c>
      <c r="C824" s="51"/>
      <c r="D824" s="51"/>
      <c r="E824" s="62" t="e">
        <v>#VALUE!</v>
      </c>
      <c r="F824" s="62"/>
      <c r="G824" s="62"/>
      <c r="H824" s="25" t="e">
        <v>#VALUE!</v>
      </c>
      <c r="I824" s="24" t="s">
        <v>2927</v>
      </c>
      <c r="J824" s="24"/>
      <c r="K824" s="24"/>
    </row>
    <row r="825" spans="1:11" ht="12.75" x14ac:dyDescent="0.35">
      <c r="A825" s="84"/>
      <c r="B825" s="51" t="e">
        <v>#VALUE!</v>
      </c>
      <c r="C825" s="51"/>
      <c r="D825" s="51"/>
      <c r="E825" s="62" t="e">
        <v>#VALUE!</v>
      </c>
      <c r="F825" s="62"/>
      <c r="G825" s="62"/>
      <c r="H825" s="25" t="e">
        <v>#VALUE!</v>
      </c>
      <c r="I825" s="24" t="s">
        <v>2927</v>
      </c>
      <c r="J825" s="24"/>
      <c r="K825" s="24"/>
    </row>
    <row r="826" spans="1:11" ht="12.75" x14ac:dyDescent="0.35">
      <c r="A826" s="84"/>
      <c r="B826" s="51" t="e">
        <v>#VALUE!</v>
      </c>
      <c r="C826" s="51"/>
      <c r="D826" s="51"/>
      <c r="E826" s="62" t="e">
        <v>#VALUE!</v>
      </c>
      <c r="F826" s="62"/>
      <c r="G826" s="62"/>
      <c r="H826" s="25" t="e">
        <v>#VALUE!</v>
      </c>
      <c r="I826" s="24" t="s">
        <v>2927</v>
      </c>
      <c r="J826" s="24"/>
      <c r="K826" s="24"/>
    </row>
    <row r="827" spans="1:11" ht="12.75" x14ac:dyDescent="0.35">
      <c r="A827" s="84"/>
      <c r="B827" s="51" t="e">
        <v>#VALUE!</v>
      </c>
      <c r="C827" s="51"/>
      <c r="D827" s="51"/>
      <c r="E827" s="62" t="e">
        <v>#VALUE!</v>
      </c>
      <c r="F827" s="62"/>
      <c r="G827" s="62"/>
      <c r="H827" s="25" t="e">
        <v>#VALUE!</v>
      </c>
      <c r="I827" s="24" t="s">
        <v>2927</v>
      </c>
      <c r="J827" s="24"/>
      <c r="K827" s="24"/>
    </row>
    <row r="828" spans="1:11" ht="12.75" x14ac:dyDescent="0.35">
      <c r="A828" s="84"/>
      <c r="B828" s="51" t="e">
        <v>#VALUE!</v>
      </c>
      <c r="C828" s="51"/>
      <c r="D828" s="51"/>
      <c r="E828" s="62" t="e">
        <v>#VALUE!</v>
      </c>
      <c r="F828" s="62"/>
      <c r="G828" s="62"/>
      <c r="H828" s="25" t="e">
        <v>#VALUE!</v>
      </c>
      <c r="I828" s="24" t="s">
        <v>2927</v>
      </c>
      <c r="J828" s="24"/>
      <c r="K828" s="24"/>
    </row>
    <row r="829" spans="1:11" ht="12.75" x14ac:dyDescent="0.35">
      <c r="A829" s="84"/>
      <c r="B829" s="51" t="e">
        <v>#VALUE!</v>
      </c>
      <c r="C829" s="51"/>
      <c r="D829" s="51"/>
      <c r="E829" s="62" t="e">
        <v>#VALUE!</v>
      </c>
      <c r="F829" s="62"/>
      <c r="G829" s="62"/>
      <c r="H829" s="25" t="e">
        <v>#VALUE!</v>
      </c>
      <c r="I829" s="24" t="s">
        <v>2927</v>
      </c>
      <c r="J829" s="24"/>
      <c r="K829" s="24"/>
    </row>
    <row r="830" spans="1:11" ht="12.75" x14ac:dyDescent="0.35">
      <c r="A830" s="84"/>
      <c r="B830" s="51" t="e">
        <v>#VALUE!</v>
      </c>
      <c r="C830" s="51"/>
      <c r="D830" s="51"/>
      <c r="E830" s="62" t="e">
        <v>#VALUE!</v>
      </c>
      <c r="F830" s="62"/>
      <c r="G830" s="62"/>
      <c r="H830" s="25" t="e">
        <v>#VALUE!</v>
      </c>
      <c r="I830" s="24" t="s">
        <v>2927</v>
      </c>
      <c r="J830" s="24"/>
      <c r="K830" s="24"/>
    </row>
    <row r="831" spans="1:11" ht="12.75" x14ac:dyDescent="0.35">
      <c r="A831" s="84"/>
      <c r="B831" s="51" t="e">
        <v>#VALUE!</v>
      </c>
      <c r="C831" s="51"/>
      <c r="D831" s="51"/>
      <c r="E831" s="62" t="e">
        <v>#VALUE!</v>
      </c>
      <c r="F831" s="62"/>
      <c r="G831" s="62"/>
      <c r="H831" s="25" t="e">
        <v>#VALUE!</v>
      </c>
      <c r="I831" s="24" t="s">
        <v>2927</v>
      </c>
      <c r="J831" s="24"/>
      <c r="K831" s="24"/>
    </row>
    <row r="832" spans="1:11" ht="12.75" x14ac:dyDescent="0.35">
      <c r="A832" s="84"/>
      <c r="B832" s="51" t="e">
        <v>#VALUE!</v>
      </c>
      <c r="C832" s="51"/>
      <c r="D832" s="51"/>
      <c r="E832" s="62" t="e">
        <v>#VALUE!</v>
      </c>
      <c r="F832" s="62"/>
      <c r="G832" s="62"/>
      <c r="H832" s="25" t="e">
        <v>#VALUE!</v>
      </c>
      <c r="I832" s="24" t="s">
        <v>2927</v>
      </c>
      <c r="J832" s="24"/>
      <c r="K832" s="24"/>
    </row>
    <row r="833" spans="1:11" ht="12.75" x14ac:dyDescent="0.35">
      <c r="A833" s="84"/>
      <c r="B833" s="51" t="e">
        <v>#VALUE!</v>
      </c>
      <c r="C833" s="51"/>
      <c r="D833" s="51"/>
      <c r="E833" s="62" t="e">
        <v>#VALUE!</v>
      </c>
      <c r="F833" s="62"/>
      <c r="G833" s="62"/>
      <c r="H833" s="25" t="e">
        <v>#VALUE!</v>
      </c>
      <c r="I833" s="24" t="s">
        <v>2927</v>
      </c>
      <c r="J833" s="24"/>
      <c r="K833" s="24"/>
    </row>
    <row r="834" spans="1:11" ht="12.75" x14ac:dyDescent="0.35">
      <c r="A834" s="84"/>
      <c r="B834" s="51" t="e">
        <v>#VALUE!</v>
      </c>
      <c r="C834" s="51"/>
      <c r="D834" s="51"/>
      <c r="E834" s="62" t="e">
        <v>#VALUE!</v>
      </c>
      <c r="F834" s="62"/>
      <c r="G834" s="62"/>
      <c r="H834" s="25" t="e">
        <v>#VALUE!</v>
      </c>
      <c r="I834" s="24" t="s">
        <v>2927</v>
      </c>
      <c r="J834" s="24"/>
      <c r="K834" s="24"/>
    </row>
    <row r="835" spans="1:11" ht="12.75" x14ac:dyDescent="0.35">
      <c r="A835" s="84"/>
      <c r="B835" s="51" t="e">
        <v>#VALUE!</v>
      </c>
      <c r="C835" s="51"/>
      <c r="D835" s="51"/>
      <c r="E835" s="62" t="e">
        <v>#VALUE!</v>
      </c>
      <c r="F835" s="62"/>
      <c r="G835" s="62"/>
      <c r="H835" s="25" t="e">
        <v>#VALUE!</v>
      </c>
      <c r="I835" s="24" t="s">
        <v>2927</v>
      </c>
      <c r="J835" s="24"/>
      <c r="K835" s="24"/>
    </row>
    <row r="836" spans="1:11" ht="12.75" x14ac:dyDescent="0.35">
      <c r="A836" s="84"/>
      <c r="B836" s="51" t="e">
        <v>#VALUE!</v>
      </c>
      <c r="C836" s="51"/>
      <c r="D836" s="51"/>
      <c r="E836" s="62" t="e">
        <v>#VALUE!</v>
      </c>
      <c r="F836" s="62"/>
      <c r="G836" s="62"/>
      <c r="H836" s="25" t="e">
        <v>#VALUE!</v>
      </c>
      <c r="I836" s="24" t="s">
        <v>2927</v>
      </c>
      <c r="J836" s="24"/>
      <c r="K836" s="24"/>
    </row>
    <row r="837" spans="1:11" ht="12.75" x14ac:dyDescent="0.35">
      <c r="A837" s="84"/>
      <c r="B837" s="51" t="e">
        <v>#VALUE!</v>
      </c>
      <c r="C837" s="51"/>
      <c r="D837" s="51"/>
      <c r="E837" s="62" t="e">
        <v>#VALUE!</v>
      </c>
      <c r="F837" s="62"/>
      <c r="G837" s="62"/>
      <c r="H837" s="25" t="e">
        <v>#VALUE!</v>
      </c>
      <c r="I837" s="24" t="s">
        <v>2927</v>
      </c>
      <c r="J837" s="24"/>
      <c r="K837" s="24"/>
    </row>
    <row r="838" spans="1:11" ht="12.75" x14ac:dyDescent="0.35">
      <c r="A838" s="84"/>
      <c r="B838" s="51" t="e">
        <v>#VALUE!</v>
      </c>
      <c r="C838" s="51"/>
      <c r="D838" s="51"/>
      <c r="E838" s="62" t="e">
        <v>#VALUE!</v>
      </c>
      <c r="F838" s="62"/>
      <c r="G838" s="62"/>
      <c r="H838" s="25" t="e">
        <v>#VALUE!</v>
      </c>
      <c r="I838" s="24" t="s">
        <v>2927</v>
      </c>
      <c r="J838" s="24"/>
      <c r="K838" s="24"/>
    </row>
    <row r="839" spans="1:11" ht="12.75" x14ac:dyDescent="0.35">
      <c r="A839" s="84"/>
      <c r="B839" s="51" t="e">
        <v>#VALUE!</v>
      </c>
      <c r="C839" s="51"/>
      <c r="D839" s="51"/>
      <c r="E839" s="62" t="e">
        <v>#VALUE!</v>
      </c>
      <c r="F839" s="62"/>
      <c r="G839" s="62"/>
      <c r="H839" s="25" t="e">
        <v>#VALUE!</v>
      </c>
      <c r="I839" s="24" t="s">
        <v>2927</v>
      </c>
      <c r="J839" s="24"/>
      <c r="K839" s="24"/>
    </row>
    <row r="840" spans="1:11" ht="12.75" x14ac:dyDescent="0.35">
      <c r="A840" s="84"/>
      <c r="B840" s="51" t="e">
        <v>#VALUE!</v>
      </c>
      <c r="C840" s="51"/>
      <c r="D840" s="51"/>
      <c r="E840" s="62" t="e">
        <v>#VALUE!</v>
      </c>
      <c r="F840" s="62"/>
      <c r="G840" s="62"/>
      <c r="H840" s="25" t="e">
        <v>#VALUE!</v>
      </c>
      <c r="I840" s="24" t="s">
        <v>2927</v>
      </c>
      <c r="J840" s="24"/>
      <c r="K840" s="24"/>
    </row>
    <row r="841" spans="1:11" ht="12.75" x14ac:dyDescent="0.35">
      <c r="A841" s="84"/>
      <c r="B841" s="51" t="e">
        <v>#VALUE!</v>
      </c>
      <c r="C841" s="51"/>
      <c r="D841" s="51"/>
      <c r="E841" s="62" t="e">
        <v>#VALUE!</v>
      </c>
      <c r="F841" s="62"/>
      <c r="G841" s="62"/>
      <c r="H841" s="25" t="e">
        <v>#VALUE!</v>
      </c>
      <c r="I841" s="24" t="s">
        <v>2927</v>
      </c>
      <c r="J841" s="24"/>
      <c r="K841" s="24"/>
    </row>
    <row r="842" spans="1:11" ht="12.75" x14ac:dyDescent="0.35">
      <c r="A842" s="84"/>
      <c r="B842" s="51" t="e">
        <v>#VALUE!</v>
      </c>
      <c r="C842" s="51"/>
      <c r="D842" s="51"/>
      <c r="E842" s="62" t="e">
        <v>#VALUE!</v>
      </c>
      <c r="F842" s="62"/>
      <c r="G842" s="62"/>
      <c r="H842" s="25" t="e">
        <v>#VALUE!</v>
      </c>
      <c r="I842" s="24" t="s">
        <v>2927</v>
      </c>
      <c r="J842" s="24"/>
      <c r="K842" s="24"/>
    </row>
    <row r="843" spans="1:11" ht="12.75" x14ac:dyDescent="0.35">
      <c r="A843" s="84"/>
      <c r="B843" s="51" t="e">
        <v>#VALUE!</v>
      </c>
      <c r="C843" s="51"/>
      <c r="D843" s="51"/>
      <c r="E843" s="62" t="e">
        <v>#VALUE!</v>
      </c>
      <c r="F843" s="62"/>
      <c r="G843" s="62"/>
      <c r="H843" s="25" t="e">
        <v>#VALUE!</v>
      </c>
      <c r="I843" s="24" t="s">
        <v>2927</v>
      </c>
      <c r="J843" s="24"/>
      <c r="K843" s="24"/>
    </row>
    <row r="844" spans="1:11" ht="12.75" x14ac:dyDescent="0.35">
      <c r="A844" s="84"/>
      <c r="B844" s="51" t="e">
        <v>#VALUE!</v>
      </c>
      <c r="C844" s="51"/>
      <c r="D844" s="51"/>
      <c r="E844" s="62" t="e">
        <v>#VALUE!</v>
      </c>
      <c r="F844" s="62"/>
      <c r="G844" s="62"/>
      <c r="H844" s="25" t="e">
        <v>#VALUE!</v>
      </c>
      <c r="I844" s="24" t="s">
        <v>2927</v>
      </c>
      <c r="J844" s="24"/>
      <c r="K844" s="24"/>
    </row>
    <row r="845" spans="1:11" ht="12.75" x14ac:dyDescent="0.35">
      <c r="A845" s="84"/>
      <c r="B845" s="51" t="e">
        <v>#VALUE!</v>
      </c>
      <c r="C845" s="51"/>
      <c r="D845" s="51"/>
      <c r="E845" s="62" t="e">
        <v>#VALUE!</v>
      </c>
      <c r="F845" s="62"/>
      <c r="G845" s="62"/>
      <c r="H845" s="25" t="e">
        <v>#VALUE!</v>
      </c>
      <c r="I845" s="24" t="s">
        <v>2927</v>
      </c>
      <c r="J845" s="24"/>
      <c r="K845" s="24"/>
    </row>
    <row r="846" spans="1:11" ht="12.75" x14ac:dyDescent="0.35">
      <c r="A846" s="84"/>
      <c r="B846" s="51" t="e">
        <v>#VALUE!</v>
      </c>
      <c r="C846" s="51"/>
      <c r="D846" s="51"/>
      <c r="E846" s="62" t="e">
        <v>#VALUE!</v>
      </c>
      <c r="F846" s="62"/>
      <c r="G846" s="62"/>
      <c r="H846" s="25" t="e">
        <v>#VALUE!</v>
      </c>
      <c r="I846" s="24" t="s">
        <v>2927</v>
      </c>
      <c r="J846" s="24"/>
      <c r="K846" s="24"/>
    </row>
    <row r="847" spans="1:11" ht="12.75" x14ac:dyDescent="0.35">
      <c r="A847" s="84"/>
      <c r="B847" s="51" t="e">
        <v>#VALUE!</v>
      </c>
      <c r="C847" s="51"/>
      <c r="D847" s="51"/>
      <c r="E847" s="62" t="e">
        <v>#VALUE!</v>
      </c>
      <c r="F847" s="62"/>
      <c r="G847" s="62"/>
      <c r="H847" s="25" t="e">
        <v>#VALUE!</v>
      </c>
      <c r="I847" s="24" t="s">
        <v>2927</v>
      </c>
      <c r="J847" s="24"/>
      <c r="K847" s="24"/>
    </row>
    <row r="848" spans="1:11" ht="12.75" x14ac:dyDescent="0.35">
      <c r="A848" s="84"/>
      <c r="B848" s="51" t="e">
        <v>#VALUE!</v>
      </c>
      <c r="C848" s="51"/>
      <c r="D848" s="51"/>
      <c r="E848" s="62" t="e">
        <v>#VALUE!</v>
      </c>
      <c r="F848" s="62"/>
      <c r="G848" s="62"/>
      <c r="H848" s="25" t="e">
        <v>#VALUE!</v>
      </c>
      <c r="I848" s="24" t="s">
        <v>2927</v>
      </c>
      <c r="J848" s="24"/>
      <c r="K848" s="24"/>
    </row>
    <row r="849" spans="1:11" ht="12.75" x14ac:dyDescent="0.35">
      <c r="A849" s="84"/>
      <c r="B849" s="51" t="e">
        <v>#VALUE!</v>
      </c>
      <c r="C849" s="51"/>
      <c r="D849" s="51"/>
      <c r="E849" s="62" t="e">
        <v>#VALUE!</v>
      </c>
      <c r="F849" s="62"/>
      <c r="G849" s="62"/>
      <c r="H849" s="25" t="e">
        <v>#VALUE!</v>
      </c>
      <c r="I849" s="24" t="s">
        <v>2927</v>
      </c>
      <c r="J849" s="24"/>
      <c r="K849" s="24"/>
    </row>
    <row r="850" spans="1:11" ht="12.75" x14ac:dyDescent="0.35">
      <c r="A850" s="84"/>
      <c r="B850" s="51" t="e">
        <v>#VALUE!</v>
      </c>
      <c r="C850" s="51"/>
      <c r="D850" s="51"/>
      <c r="E850" s="62" t="e">
        <v>#VALUE!</v>
      </c>
      <c r="F850" s="62"/>
      <c r="G850" s="62"/>
      <c r="H850" s="25" t="e">
        <v>#VALUE!</v>
      </c>
      <c r="I850" s="24" t="s">
        <v>2927</v>
      </c>
      <c r="J850" s="24"/>
      <c r="K850" s="24"/>
    </row>
    <row r="851" spans="1:11" ht="12.75" x14ac:dyDescent="0.35">
      <c r="A851" s="84"/>
      <c r="B851" s="51" t="e">
        <v>#VALUE!</v>
      </c>
      <c r="C851" s="51"/>
      <c r="D851" s="51"/>
      <c r="E851" s="62" t="e">
        <v>#VALUE!</v>
      </c>
      <c r="F851" s="62"/>
      <c r="G851" s="62"/>
      <c r="H851" s="25" t="e">
        <v>#VALUE!</v>
      </c>
      <c r="I851" s="24" t="s">
        <v>2927</v>
      </c>
      <c r="J851" s="24"/>
      <c r="K851" s="24"/>
    </row>
    <row r="852" spans="1:11" ht="12.75" x14ac:dyDescent="0.35">
      <c r="A852" s="84"/>
      <c r="B852" s="51" t="e">
        <v>#VALUE!</v>
      </c>
      <c r="C852" s="51"/>
      <c r="D852" s="51"/>
      <c r="E852" s="62" t="e">
        <v>#VALUE!</v>
      </c>
      <c r="F852" s="62"/>
      <c r="G852" s="62"/>
      <c r="H852" s="25" t="e">
        <v>#VALUE!</v>
      </c>
      <c r="I852" s="24" t="s">
        <v>2927</v>
      </c>
      <c r="J852" s="24"/>
      <c r="K852" s="24"/>
    </row>
    <row r="853" spans="1:11" ht="12.75" x14ac:dyDescent="0.35">
      <c r="A853" s="84"/>
      <c r="B853" s="51" t="e">
        <v>#VALUE!</v>
      </c>
      <c r="C853" s="51"/>
      <c r="D853" s="51"/>
      <c r="E853" s="62" t="e">
        <v>#VALUE!</v>
      </c>
      <c r="F853" s="62"/>
      <c r="G853" s="62"/>
      <c r="H853" s="25" t="e">
        <v>#VALUE!</v>
      </c>
      <c r="I853" s="24" t="s">
        <v>2927</v>
      </c>
      <c r="J853" s="24"/>
      <c r="K853" s="24"/>
    </row>
    <row r="854" spans="1:11" ht="12.75" x14ac:dyDescent="0.35">
      <c r="A854" s="84"/>
      <c r="B854" s="51" t="e">
        <v>#VALUE!</v>
      </c>
      <c r="C854" s="51"/>
      <c r="D854" s="51"/>
      <c r="E854" s="62" t="e">
        <v>#VALUE!</v>
      </c>
      <c r="F854" s="62"/>
      <c r="G854" s="62"/>
      <c r="H854" s="25" t="e">
        <v>#VALUE!</v>
      </c>
      <c r="I854" s="24" t="s">
        <v>2927</v>
      </c>
      <c r="J854" s="24"/>
      <c r="K854" s="24"/>
    </row>
    <row r="855" spans="1:11" ht="12.75" x14ac:dyDescent="0.35">
      <c r="A855" s="84"/>
      <c r="B855" s="51" t="e">
        <v>#VALUE!</v>
      </c>
      <c r="C855" s="51"/>
      <c r="D855" s="51"/>
      <c r="E855" s="62" t="e">
        <v>#VALUE!</v>
      </c>
      <c r="F855" s="62"/>
      <c r="G855" s="62"/>
      <c r="H855" s="25" t="e">
        <v>#VALUE!</v>
      </c>
      <c r="I855" s="24" t="s">
        <v>2927</v>
      </c>
      <c r="J855" s="24"/>
      <c r="K855" s="24"/>
    </row>
    <row r="856" spans="1:11" ht="12.75" x14ac:dyDescent="0.35">
      <c r="A856" s="84"/>
      <c r="B856" s="51" t="e">
        <v>#VALUE!</v>
      </c>
      <c r="C856" s="51"/>
      <c r="D856" s="51"/>
      <c r="E856" s="62" t="e">
        <v>#VALUE!</v>
      </c>
      <c r="F856" s="62"/>
      <c r="G856" s="62"/>
      <c r="H856" s="25" t="e">
        <v>#VALUE!</v>
      </c>
      <c r="I856" s="24" t="s">
        <v>2927</v>
      </c>
      <c r="J856" s="24"/>
      <c r="K856" s="24"/>
    </row>
    <row r="857" spans="1:11" ht="12.75" x14ac:dyDescent="0.35">
      <c r="A857" s="84"/>
      <c r="B857" s="51" t="e">
        <v>#VALUE!</v>
      </c>
      <c r="C857" s="51"/>
      <c r="D857" s="51"/>
      <c r="E857" s="62" t="e">
        <v>#VALUE!</v>
      </c>
      <c r="F857" s="62"/>
      <c r="G857" s="62"/>
      <c r="H857" s="25" t="e">
        <v>#VALUE!</v>
      </c>
      <c r="I857" s="24" t="s">
        <v>2927</v>
      </c>
      <c r="J857" s="24"/>
      <c r="K857" s="24"/>
    </row>
    <row r="858" spans="1:11" ht="12.75" x14ac:dyDescent="0.35">
      <c r="A858" s="84"/>
      <c r="B858" s="51" t="e">
        <v>#VALUE!</v>
      </c>
      <c r="C858" s="51"/>
      <c r="D858" s="51"/>
      <c r="E858" s="62" t="e">
        <v>#VALUE!</v>
      </c>
      <c r="F858" s="62"/>
      <c r="G858" s="62"/>
      <c r="H858" s="25" t="e">
        <v>#VALUE!</v>
      </c>
      <c r="I858" s="24" t="s">
        <v>2927</v>
      </c>
      <c r="J858" s="24"/>
      <c r="K858" s="24"/>
    </row>
    <row r="859" spans="1:11" ht="12.75" x14ac:dyDescent="0.35">
      <c r="A859" s="84"/>
      <c r="B859" s="51" t="e">
        <v>#VALUE!</v>
      </c>
      <c r="C859" s="51"/>
      <c r="D859" s="51"/>
      <c r="E859" s="62" t="e">
        <v>#VALUE!</v>
      </c>
      <c r="F859" s="62"/>
      <c r="G859" s="62"/>
      <c r="H859" s="25" t="e">
        <v>#VALUE!</v>
      </c>
      <c r="I859" s="24" t="s">
        <v>2927</v>
      </c>
      <c r="J859" s="24"/>
      <c r="K859" s="24"/>
    </row>
    <row r="860" spans="1:11" ht="12.75" x14ac:dyDescent="0.35">
      <c r="A860" s="84"/>
      <c r="B860" s="51" t="e">
        <v>#VALUE!</v>
      </c>
      <c r="C860" s="51"/>
      <c r="D860" s="51"/>
      <c r="E860" s="62" t="e">
        <v>#VALUE!</v>
      </c>
      <c r="F860" s="62"/>
      <c r="G860" s="62"/>
      <c r="H860" s="25" t="e">
        <v>#VALUE!</v>
      </c>
      <c r="I860" s="24" t="s">
        <v>2927</v>
      </c>
      <c r="J860" s="24"/>
      <c r="K860" s="24"/>
    </row>
    <row r="861" spans="1:11" ht="12.75" x14ac:dyDescent="0.35">
      <c r="A861" s="84"/>
      <c r="B861" s="51" t="e">
        <v>#VALUE!</v>
      </c>
      <c r="C861" s="51"/>
      <c r="D861" s="51"/>
      <c r="E861" s="62" t="e">
        <v>#VALUE!</v>
      </c>
      <c r="F861" s="62"/>
      <c r="G861" s="62"/>
      <c r="H861" s="25" t="e">
        <v>#VALUE!</v>
      </c>
      <c r="I861" s="24" t="s">
        <v>2927</v>
      </c>
      <c r="J861" s="24"/>
      <c r="K861" s="24"/>
    </row>
    <row r="862" spans="1:11" ht="12.75" x14ac:dyDescent="0.35">
      <c r="A862" s="84"/>
      <c r="B862" s="51" t="e">
        <v>#VALUE!</v>
      </c>
      <c r="C862" s="51"/>
      <c r="D862" s="51"/>
      <c r="E862" s="62" t="e">
        <v>#VALUE!</v>
      </c>
      <c r="F862" s="62"/>
      <c r="G862" s="62"/>
      <c r="H862" s="25" t="e">
        <v>#VALUE!</v>
      </c>
      <c r="I862" s="24" t="s">
        <v>2927</v>
      </c>
      <c r="J862" s="24"/>
      <c r="K862" s="24"/>
    </row>
    <row r="863" spans="1:11" ht="12.75" x14ac:dyDescent="0.35">
      <c r="A863" s="84"/>
      <c r="B863" s="51" t="e">
        <v>#VALUE!</v>
      </c>
      <c r="C863" s="51"/>
      <c r="D863" s="51"/>
      <c r="E863" s="62" t="e">
        <v>#VALUE!</v>
      </c>
      <c r="F863" s="62"/>
      <c r="G863" s="62"/>
      <c r="H863" s="25" t="e">
        <v>#VALUE!</v>
      </c>
      <c r="I863" s="24" t="s">
        <v>2927</v>
      </c>
      <c r="J863" s="24"/>
      <c r="K863" s="24"/>
    </row>
    <row r="864" spans="1:11" ht="12.75" x14ac:dyDescent="0.35">
      <c r="A864" s="84"/>
      <c r="B864" s="51" t="e">
        <v>#VALUE!</v>
      </c>
      <c r="C864" s="51"/>
      <c r="D864" s="51"/>
      <c r="E864" s="62" t="e">
        <v>#VALUE!</v>
      </c>
      <c r="F864" s="62"/>
      <c r="G864" s="62"/>
      <c r="H864" s="25" t="e">
        <v>#VALUE!</v>
      </c>
      <c r="I864" s="24" t="s">
        <v>2927</v>
      </c>
      <c r="J864" s="24"/>
      <c r="K864" s="24"/>
    </row>
    <row r="865" spans="1:11" ht="12.75" x14ac:dyDescent="0.35">
      <c r="A865" s="84"/>
      <c r="B865" s="51" t="e">
        <v>#VALUE!</v>
      </c>
      <c r="C865" s="51"/>
      <c r="D865" s="51"/>
      <c r="E865" s="62" t="e">
        <v>#VALUE!</v>
      </c>
      <c r="F865" s="62"/>
      <c r="G865" s="62"/>
      <c r="H865" s="25" t="e">
        <v>#VALUE!</v>
      </c>
      <c r="I865" s="24" t="s">
        <v>2927</v>
      </c>
      <c r="J865" s="24"/>
      <c r="K865" s="24"/>
    </row>
    <row r="866" spans="1:11" ht="12.75" x14ac:dyDescent="0.35">
      <c r="A866" s="84"/>
      <c r="B866" s="51" t="e">
        <v>#VALUE!</v>
      </c>
      <c r="C866" s="51"/>
      <c r="D866" s="51"/>
      <c r="E866" s="62" t="e">
        <v>#VALUE!</v>
      </c>
      <c r="F866" s="62"/>
      <c r="G866" s="62"/>
      <c r="H866" s="25" t="e">
        <v>#VALUE!</v>
      </c>
      <c r="I866" s="24" t="s">
        <v>2927</v>
      </c>
      <c r="J866" s="24"/>
      <c r="K866" s="24"/>
    </row>
    <row r="867" spans="1:11" ht="12.75" x14ac:dyDescent="0.35">
      <c r="A867" s="84"/>
      <c r="B867" s="51" t="e">
        <v>#VALUE!</v>
      </c>
      <c r="C867" s="51"/>
      <c r="D867" s="51"/>
      <c r="E867" s="62" t="e">
        <v>#VALUE!</v>
      </c>
      <c r="F867" s="62"/>
      <c r="G867" s="62"/>
      <c r="H867" s="25" t="e">
        <v>#VALUE!</v>
      </c>
      <c r="I867" s="24" t="s">
        <v>2927</v>
      </c>
      <c r="J867" s="24"/>
      <c r="K867" s="24"/>
    </row>
    <row r="868" spans="1:11" ht="12.75" x14ac:dyDescent="0.35">
      <c r="A868" s="84"/>
      <c r="B868" s="51" t="e">
        <v>#VALUE!</v>
      </c>
      <c r="C868" s="51"/>
      <c r="D868" s="51"/>
      <c r="E868" s="62" t="e">
        <v>#VALUE!</v>
      </c>
      <c r="F868" s="62"/>
      <c r="G868" s="62"/>
      <c r="H868" s="25" t="e">
        <v>#VALUE!</v>
      </c>
      <c r="I868" s="24" t="s">
        <v>2927</v>
      </c>
      <c r="J868" s="24"/>
      <c r="K868" s="24"/>
    </row>
    <row r="869" spans="1:11" ht="12.75" x14ac:dyDescent="0.35">
      <c r="A869" s="84"/>
      <c r="B869" s="51" t="e">
        <v>#VALUE!</v>
      </c>
      <c r="C869" s="51"/>
      <c r="D869" s="51"/>
      <c r="E869" s="62" t="e">
        <v>#VALUE!</v>
      </c>
      <c r="F869" s="62"/>
      <c r="G869" s="62"/>
      <c r="H869" s="25" t="e">
        <v>#VALUE!</v>
      </c>
      <c r="I869" s="24" t="s">
        <v>2927</v>
      </c>
      <c r="J869" s="24"/>
      <c r="K869" s="24"/>
    </row>
    <row r="870" spans="1:11" ht="12.75" x14ac:dyDescent="0.35">
      <c r="A870" s="84"/>
      <c r="B870" s="51" t="e">
        <v>#VALUE!</v>
      </c>
      <c r="C870" s="51"/>
      <c r="D870" s="51"/>
      <c r="E870" s="62" t="e">
        <v>#VALUE!</v>
      </c>
      <c r="F870" s="62"/>
      <c r="G870" s="62"/>
      <c r="H870" s="25" t="e">
        <v>#VALUE!</v>
      </c>
      <c r="I870" s="24" t="s">
        <v>2927</v>
      </c>
      <c r="J870" s="24"/>
      <c r="K870" s="24"/>
    </row>
    <row r="871" spans="1:11" ht="12.75" x14ac:dyDescent="0.35">
      <c r="A871" s="84"/>
      <c r="B871" s="51" t="e">
        <v>#VALUE!</v>
      </c>
      <c r="C871" s="51"/>
      <c r="D871" s="51"/>
      <c r="E871" s="62" t="e">
        <v>#VALUE!</v>
      </c>
      <c r="F871" s="62"/>
      <c r="G871" s="62"/>
      <c r="H871" s="25" t="e">
        <v>#VALUE!</v>
      </c>
      <c r="I871" s="24" t="s">
        <v>2927</v>
      </c>
      <c r="J871" s="24"/>
      <c r="K871" s="24"/>
    </row>
    <row r="872" spans="1:11" ht="12.75" x14ac:dyDescent="0.35">
      <c r="A872" s="84"/>
      <c r="B872" s="51" t="e">
        <v>#VALUE!</v>
      </c>
      <c r="C872" s="51"/>
      <c r="D872" s="51"/>
      <c r="E872" s="62" t="e">
        <v>#VALUE!</v>
      </c>
      <c r="F872" s="62"/>
      <c r="G872" s="62"/>
      <c r="H872" s="25" t="e">
        <v>#VALUE!</v>
      </c>
      <c r="I872" s="24" t="s">
        <v>2927</v>
      </c>
      <c r="J872" s="24"/>
      <c r="K872" s="24"/>
    </row>
    <row r="873" spans="1:11" ht="12.75" x14ac:dyDescent="0.35">
      <c r="A873" s="84"/>
      <c r="B873" s="51" t="e">
        <v>#VALUE!</v>
      </c>
      <c r="C873" s="51"/>
      <c r="D873" s="51"/>
      <c r="E873" s="62" t="e">
        <v>#VALUE!</v>
      </c>
      <c r="F873" s="62"/>
      <c r="G873" s="62"/>
      <c r="H873" s="25" t="e">
        <v>#VALUE!</v>
      </c>
      <c r="I873" s="24" t="s">
        <v>2927</v>
      </c>
      <c r="J873" s="24"/>
      <c r="K873" s="24"/>
    </row>
    <row r="874" spans="1:11" ht="12.75" x14ac:dyDescent="0.35">
      <c r="A874" s="84"/>
      <c r="B874" s="51" t="e">
        <v>#VALUE!</v>
      </c>
      <c r="C874" s="51"/>
      <c r="D874" s="51"/>
      <c r="E874" s="62" t="e">
        <v>#VALUE!</v>
      </c>
      <c r="F874" s="62"/>
      <c r="G874" s="62"/>
      <c r="H874" s="25" t="e">
        <v>#VALUE!</v>
      </c>
      <c r="I874" s="24" t="s">
        <v>2927</v>
      </c>
      <c r="J874" s="24"/>
      <c r="K874" s="24"/>
    </row>
    <row r="875" spans="1:11" ht="12.75" x14ac:dyDescent="0.35">
      <c r="A875" s="84"/>
      <c r="B875" s="51" t="e">
        <v>#VALUE!</v>
      </c>
      <c r="C875" s="51"/>
      <c r="D875" s="51"/>
      <c r="E875" s="62" t="e">
        <v>#VALUE!</v>
      </c>
      <c r="F875" s="62"/>
      <c r="G875" s="62"/>
      <c r="H875" s="25" t="e">
        <v>#VALUE!</v>
      </c>
      <c r="I875" s="24" t="s">
        <v>2927</v>
      </c>
      <c r="J875" s="24"/>
      <c r="K875" s="24"/>
    </row>
    <row r="876" spans="1:11" ht="12.75" x14ac:dyDescent="0.35">
      <c r="A876" s="84"/>
      <c r="B876" s="51" t="e">
        <v>#VALUE!</v>
      </c>
      <c r="C876" s="51"/>
      <c r="D876" s="51"/>
      <c r="E876" s="62" t="e">
        <v>#VALUE!</v>
      </c>
      <c r="F876" s="62"/>
      <c r="G876" s="62"/>
      <c r="H876" s="25" t="e">
        <v>#VALUE!</v>
      </c>
      <c r="I876" s="24" t="s">
        <v>2927</v>
      </c>
      <c r="J876" s="24"/>
      <c r="K876" s="24"/>
    </row>
    <row r="877" spans="1:11" ht="12.75" x14ac:dyDescent="0.35">
      <c r="A877" s="84"/>
      <c r="B877" s="51" t="e">
        <v>#VALUE!</v>
      </c>
      <c r="C877" s="51"/>
      <c r="D877" s="51"/>
      <c r="E877" s="62" t="e">
        <v>#VALUE!</v>
      </c>
      <c r="F877" s="62"/>
      <c r="G877" s="62"/>
      <c r="H877" s="25" t="e">
        <v>#VALUE!</v>
      </c>
      <c r="I877" s="24" t="s">
        <v>2927</v>
      </c>
      <c r="J877" s="24"/>
      <c r="K877" s="24"/>
    </row>
    <row r="878" spans="1:11" ht="12.75" x14ac:dyDescent="0.35">
      <c r="A878" s="84"/>
      <c r="B878" s="51" t="e">
        <v>#VALUE!</v>
      </c>
      <c r="C878" s="51"/>
      <c r="D878" s="51"/>
      <c r="E878" s="62" t="e">
        <v>#VALUE!</v>
      </c>
      <c r="F878" s="62"/>
      <c r="G878" s="62"/>
      <c r="H878" s="25" t="e">
        <v>#VALUE!</v>
      </c>
      <c r="I878" s="24" t="s">
        <v>2927</v>
      </c>
      <c r="J878" s="24"/>
      <c r="K878" s="24"/>
    </row>
    <row r="879" spans="1:11" ht="12.75" x14ac:dyDescent="0.35">
      <c r="A879" s="84"/>
      <c r="B879" s="51" t="e">
        <v>#VALUE!</v>
      </c>
      <c r="C879" s="51"/>
      <c r="D879" s="51"/>
      <c r="E879" s="62" t="e">
        <v>#VALUE!</v>
      </c>
      <c r="F879" s="62"/>
      <c r="G879" s="62"/>
      <c r="H879" s="25" t="e">
        <v>#VALUE!</v>
      </c>
      <c r="I879" s="24" t="s">
        <v>2927</v>
      </c>
      <c r="J879" s="24"/>
      <c r="K879" s="24"/>
    </row>
    <row r="880" spans="1:11" ht="12.75" x14ac:dyDescent="0.35">
      <c r="A880" s="84"/>
      <c r="B880" s="51" t="e">
        <v>#VALUE!</v>
      </c>
      <c r="C880" s="51"/>
      <c r="D880" s="51"/>
      <c r="E880" s="62" t="e">
        <v>#VALUE!</v>
      </c>
      <c r="F880" s="62"/>
      <c r="G880" s="62"/>
      <c r="H880" s="25" t="e">
        <v>#VALUE!</v>
      </c>
      <c r="I880" s="24" t="s">
        <v>2927</v>
      </c>
      <c r="J880" s="24"/>
      <c r="K880" s="24"/>
    </row>
    <row r="881" spans="1:11" ht="12.75" x14ac:dyDescent="0.35">
      <c r="A881" s="84"/>
      <c r="B881" s="51" t="e">
        <v>#VALUE!</v>
      </c>
      <c r="C881" s="51"/>
      <c r="D881" s="51"/>
      <c r="E881" s="62" t="e">
        <v>#VALUE!</v>
      </c>
      <c r="F881" s="62"/>
      <c r="G881" s="62"/>
      <c r="H881" s="25" t="e">
        <v>#VALUE!</v>
      </c>
      <c r="I881" s="24" t="s">
        <v>2927</v>
      </c>
      <c r="J881" s="24"/>
      <c r="K881" s="24"/>
    </row>
    <row r="882" spans="1:11" ht="12.75" x14ac:dyDescent="0.35">
      <c r="A882" s="84"/>
      <c r="B882" s="51" t="e">
        <v>#VALUE!</v>
      </c>
      <c r="C882" s="51"/>
      <c r="D882" s="51"/>
      <c r="E882" s="62" t="e">
        <v>#VALUE!</v>
      </c>
      <c r="F882" s="62"/>
      <c r="G882" s="62"/>
      <c r="H882" s="25" t="e">
        <v>#VALUE!</v>
      </c>
      <c r="I882" s="24" t="s">
        <v>2927</v>
      </c>
      <c r="J882" s="24"/>
      <c r="K882" s="24"/>
    </row>
    <row r="883" spans="1:11" ht="12.75" x14ac:dyDescent="0.35">
      <c r="A883" s="84"/>
      <c r="B883" s="51" t="e">
        <v>#VALUE!</v>
      </c>
      <c r="C883" s="51"/>
      <c r="D883" s="51"/>
      <c r="E883" s="62" t="e">
        <v>#VALUE!</v>
      </c>
      <c r="F883" s="62"/>
      <c r="G883" s="62"/>
      <c r="H883" s="25" t="e">
        <v>#VALUE!</v>
      </c>
      <c r="I883" s="24" t="s">
        <v>2927</v>
      </c>
      <c r="J883" s="24"/>
      <c r="K883" s="24"/>
    </row>
    <row r="884" spans="1:11" ht="12.75" x14ac:dyDescent="0.35">
      <c r="A884" s="84"/>
      <c r="B884" s="51" t="e">
        <v>#VALUE!</v>
      </c>
      <c r="C884" s="51"/>
      <c r="D884" s="51"/>
      <c r="E884" s="62" t="e">
        <v>#VALUE!</v>
      </c>
      <c r="F884" s="62"/>
      <c r="G884" s="62"/>
      <c r="H884" s="25" t="e">
        <v>#VALUE!</v>
      </c>
      <c r="I884" s="24" t="s">
        <v>2927</v>
      </c>
      <c r="J884" s="24"/>
      <c r="K884" s="24"/>
    </row>
    <row r="885" spans="1:11" ht="12.75" x14ac:dyDescent="0.35">
      <c r="A885" s="84"/>
      <c r="B885" s="51" t="e">
        <v>#VALUE!</v>
      </c>
      <c r="C885" s="51"/>
      <c r="D885" s="51"/>
      <c r="E885" s="62" t="e">
        <v>#VALUE!</v>
      </c>
      <c r="F885" s="62"/>
      <c r="G885" s="62"/>
      <c r="H885" s="25" t="e">
        <v>#VALUE!</v>
      </c>
      <c r="I885" s="24" t="s">
        <v>2927</v>
      </c>
      <c r="J885" s="24"/>
      <c r="K885" s="24"/>
    </row>
    <row r="886" spans="1:11" ht="12.75" x14ac:dyDescent="0.35">
      <c r="A886" s="84"/>
      <c r="B886" s="51" t="e">
        <v>#VALUE!</v>
      </c>
      <c r="C886" s="51"/>
      <c r="D886" s="51"/>
      <c r="E886" s="62" t="e">
        <v>#VALUE!</v>
      </c>
      <c r="F886" s="62"/>
      <c r="G886" s="62"/>
      <c r="H886" s="25" t="e">
        <v>#VALUE!</v>
      </c>
      <c r="I886" s="24" t="s">
        <v>2927</v>
      </c>
      <c r="J886" s="24"/>
      <c r="K886" s="24"/>
    </row>
    <row r="887" spans="1:11" ht="12.75" x14ac:dyDescent="0.35">
      <c r="A887" s="84"/>
      <c r="B887" s="51" t="e">
        <v>#VALUE!</v>
      </c>
      <c r="C887" s="51"/>
      <c r="D887" s="51"/>
      <c r="E887" s="62" t="e">
        <v>#VALUE!</v>
      </c>
      <c r="F887" s="62"/>
      <c r="G887" s="62"/>
      <c r="H887" s="25" t="e">
        <v>#VALUE!</v>
      </c>
      <c r="I887" s="24" t="s">
        <v>2927</v>
      </c>
      <c r="J887" s="24"/>
      <c r="K887" s="24"/>
    </row>
    <row r="888" spans="1:11" ht="12.75" x14ac:dyDescent="0.35">
      <c r="A888" s="84"/>
      <c r="B888" s="51" t="e">
        <v>#VALUE!</v>
      </c>
      <c r="C888" s="51"/>
      <c r="D888" s="51"/>
      <c r="E888" s="62" t="e">
        <v>#VALUE!</v>
      </c>
      <c r="F888" s="62"/>
      <c r="G888" s="62"/>
      <c r="H888" s="25" t="e">
        <v>#VALUE!</v>
      </c>
      <c r="I888" s="24" t="s">
        <v>2927</v>
      </c>
      <c r="J888" s="24"/>
      <c r="K888" s="24"/>
    </row>
    <row r="889" spans="1:11" ht="12.75" x14ac:dyDescent="0.35">
      <c r="A889" s="84"/>
      <c r="B889" s="51" t="e">
        <v>#VALUE!</v>
      </c>
      <c r="C889" s="51"/>
      <c r="D889" s="51"/>
      <c r="E889" s="62" t="e">
        <v>#VALUE!</v>
      </c>
      <c r="F889" s="62"/>
      <c r="G889" s="62"/>
      <c r="H889" s="25" t="e">
        <v>#VALUE!</v>
      </c>
      <c r="I889" s="24" t="s">
        <v>2927</v>
      </c>
      <c r="J889" s="24"/>
      <c r="K889" s="24"/>
    </row>
    <row r="890" spans="1:11" ht="12.75" x14ac:dyDescent="0.35">
      <c r="A890" s="84"/>
      <c r="B890" s="51" t="e">
        <v>#VALUE!</v>
      </c>
      <c r="C890" s="51"/>
      <c r="D890" s="51"/>
      <c r="E890" s="62" t="e">
        <v>#VALUE!</v>
      </c>
      <c r="F890" s="62"/>
      <c r="G890" s="62"/>
      <c r="H890" s="25" t="e">
        <v>#VALUE!</v>
      </c>
      <c r="I890" s="24" t="s">
        <v>2927</v>
      </c>
      <c r="J890" s="24"/>
      <c r="K890" s="24"/>
    </row>
    <row r="891" spans="1:11" ht="12.75" x14ac:dyDescent="0.35">
      <c r="A891" s="84"/>
      <c r="B891" s="51" t="e">
        <v>#VALUE!</v>
      </c>
      <c r="C891" s="51"/>
      <c r="D891" s="51"/>
      <c r="E891" s="62" t="e">
        <v>#VALUE!</v>
      </c>
      <c r="F891" s="62"/>
      <c r="G891" s="62"/>
      <c r="H891" s="25" t="e">
        <v>#VALUE!</v>
      </c>
      <c r="I891" s="24" t="s">
        <v>2927</v>
      </c>
      <c r="J891" s="24"/>
      <c r="K891" s="24"/>
    </row>
    <row r="892" spans="1:11" ht="12.75" x14ac:dyDescent="0.35">
      <c r="A892" s="84"/>
      <c r="B892" s="51" t="e">
        <v>#VALUE!</v>
      </c>
      <c r="C892" s="51"/>
      <c r="D892" s="51"/>
      <c r="E892" s="62" t="e">
        <v>#VALUE!</v>
      </c>
      <c r="F892" s="62"/>
      <c r="G892" s="62"/>
      <c r="H892" s="25" t="e">
        <v>#VALUE!</v>
      </c>
      <c r="I892" s="24" t="s">
        <v>2927</v>
      </c>
      <c r="J892" s="24"/>
      <c r="K892" s="24"/>
    </row>
    <row r="893" spans="1:11" ht="12.75" x14ac:dyDescent="0.35">
      <c r="A893" s="84"/>
      <c r="B893" s="51" t="e">
        <v>#VALUE!</v>
      </c>
      <c r="C893" s="51"/>
      <c r="D893" s="51"/>
      <c r="E893" s="62" t="e">
        <v>#VALUE!</v>
      </c>
      <c r="F893" s="62"/>
      <c r="G893" s="62"/>
      <c r="H893" s="25" t="e">
        <v>#VALUE!</v>
      </c>
      <c r="I893" s="24" t="s">
        <v>2927</v>
      </c>
      <c r="J893" s="24"/>
      <c r="K893" s="24"/>
    </row>
    <row r="894" spans="1:11" ht="12.75" x14ac:dyDescent="0.35">
      <c r="A894" s="84"/>
      <c r="B894" s="51" t="e">
        <v>#VALUE!</v>
      </c>
      <c r="C894" s="51"/>
      <c r="D894" s="51"/>
      <c r="E894" s="62" t="e">
        <v>#VALUE!</v>
      </c>
      <c r="F894" s="62"/>
      <c r="G894" s="62"/>
      <c r="H894" s="25" t="e">
        <v>#VALUE!</v>
      </c>
      <c r="I894" s="24" t="s">
        <v>2927</v>
      </c>
      <c r="J894" s="24"/>
      <c r="K894" s="24"/>
    </row>
    <row r="895" spans="1:11" ht="12.75" x14ac:dyDescent="0.35">
      <c r="A895" s="84"/>
      <c r="B895" s="51" t="e">
        <v>#VALUE!</v>
      </c>
      <c r="C895" s="51"/>
      <c r="D895" s="51"/>
      <c r="E895" s="62" t="e">
        <v>#VALUE!</v>
      </c>
      <c r="F895" s="62"/>
      <c r="G895" s="62"/>
      <c r="H895" s="25" t="e">
        <v>#VALUE!</v>
      </c>
      <c r="I895" s="24" t="s">
        <v>2927</v>
      </c>
      <c r="J895" s="24"/>
      <c r="K895" s="24"/>
    </row>
    <row r="896" spans="1:11" ht="12.75" x14ac:dyDescent="0.35">
      <c r="A896" s="84"/>
      <c r="B896" s="51" t="e">
        <v>#VALUE!</v>
      </c>
      <c r="C896" s="51"/>
      <c r="D896" s="51"/>
      <c r="E896" s="62" t="e">
        <v>#VALUE!</v>
      </c>
      <c r="F896" s="62"/>
      <c r="G896" s="62"/>
      <c r="H896" s="25" t="e">
        <v>#VALUE!</v>
      </c>
      <c r="I896" s="24" t="s">
        <v>2927</v>
      </c>
      <c r="J896" s="24"/>
      <c r="K896" s="24"/>
    </row>
    <row r="897" spans="1:11" ht="12.75" x14ac:dyDescent="0.35">
      <c r="A897" s="84"/>
      <c r="B897" s="51" t="e">
        <v>#VALUE!</v>
      </c>
      <c r="C897" s="51"/>
      <c r="D897" s="51"/>
      <c r="E897" s="62" t="e">
        <v>#VALUE!</v>
      </c>
      <c r="F897" s="62"/>
      <c r="G897" s="62"/>
      <c r="H897" s="25" t="e">
        <v>#VALUE!</v>
      </c>
      <c r="I897" s="24" t="s">
        <v>2927</v>
      </c>
      <c r="J897" s="24"/>
      <c r="K897" s="24"/>
    </row>
    <row r="898" spans="1:11" ht="12.75" x14ac:dyDescent="0.35">
      <c r="A898" s="84"/>
      <c r="B898" s="51" t="e">
        <v>#VALUE!</v>
      </c>
      <c r="C898" s="51"/>
      <c r="D898" s="51"/>
      <c r="E898" s="62" t="e">
        <v>#VALUE!</v>
      </c>
      <c r="F898" s="62"/>
      <c r="G898" s="62"/>
      <c r="H898" s="25" t="e">
        <v>#VALUE!</v>
      </c>
      <c r="I898" s="24" t="s">
        <v>2927</v>
      </c>
      <c r="J898" s="24"/>
      <c r="K898" s="24"/>
    </row>
    <row r="899" spans="1:11" ht="12.75" x14ac:dyDescent="0.35">
      <c r="A899" s="84"/>
      <c r="B899" s="51" t="e">
        <v>#VALUE!</v>
      </c>
      <c r="C899" s="51"/>
      <c r="D899" s="51"/>
      <c r="E899" s="62" t="e">
        <v>#VALUE!</v>
      </c>
      <c r="F899" s="62"/>
      <c r="G899" s="62"/>
      <c r="H899" s="25" t="e">
        <v>#VALUE!</v>
      </c>
      <c r="I899" s="24" t="s">
        <v>2927</v>
      </c>
      <c r="J899" s="24"/>
      <c r="K899" s="24"/>
    </row>
    <row r="900" spans="1:11" ht="12.75" x14ac:dyDescent="0.35">
      <c r="A900" s="84"/>
      <c r="B900" s="51" t="e">
        <v>#VALUE!</v>
      </c>
      <c r="C900" s="51"/>
      <c r="D900" s="51"/>
      <c r="E900" s="62" t="e">
        <v>#VALUE!</v>
      </c>
      <c r="F900" s="62"/>
      <c r="G900" s="62"/>
      <c r="H900" s="25" t="e">
        <v>#VALUE!</v>
      </c>
      <c r="I900" s="24" t="s">
        <v>2927</v>
      </c>
      <c r="J900" s="24"/>
      <c r="K900" s="24"/>
    </row>
    <row r="901" spans="1:11" ht="12.75" x14ac:dyDescent="0.35">
      <c r="A901" s="84"/>
      <c r="B901" s="51" t="e">
        <v>#VALUE!</v>
      </c>
      <c r="C901" s="51"/>
      <c r="D901" s="51"/>
      <c r="E901" s="62" t="e">
        <v>#VALUE!</v>
      </c>
      <c r="F901" s="62"/>
      <c r="G901" s="62"/>
      <c r="H901" s="25" t="e">
        <v>#VALUE!</v>
      </c>
      <c r="I901" s="24" t="s">
        <v>2927</v>
      </c>
      <c r="J901" s="24"/>
      <c r="K901" s="24"/>
    </row>
    <row r="902" spans="1:11" ht="12.75" x14ac:dyDescent="0.35">
      <c r="A902" s="84"/>
      <c r="B902" s="51" t="e">
        <v>#VALUE!</v>
      </c>
      <c r="C902" s="51"/>
      <c r="D902" s="51"/>
      <c r="E902" s="62" t="e">
        <v>#VALUE!</v>
      </c>
      <c r="F902" s="62"/>
      <c r="G902" s="62"/>
      <c r="H902" s="25" t="e">
        <v>#VALUE!</v>
      </c>
      <c r="I902" s="24" t="s">
        <v>2927</v>
      </c>
      <c r="J902" s="24"/>
      <c r="K902" s="24"/>
    </row>
    <row r="903" spans="1:11" ht="12.75" x14ac:dyDescent="0.35">
      <c r="A903" s="84"/>
      <c r="B903" s="51" t="e">
        <v>#VALUE!</v>
      </c>
      <c r="C903" s="51"/>
      <c r="D903" s="51"/>
      <c r="E903" s="62" t="e">
        <v>#VALUE!</v>
      </c>
      <c r="F903" s="62"/>
      <c r="G903" s="62"/>
      <c r="H903" s="25" t="e">
        <v>#VALUE!</v>
      </c>
      <c r="I903" s="24" t="s">
        <v>2927</v>
      </c>
      <c r="J903" s="24"/>
      <c r="K903" s="24"/>
    </row>
    <row r="904" spans="1:11" ht="12.75" x14ac:dyDescent="0.35">
      <c r="A904" s="84"/>
      <c r="B904" s="51" t="e">
        <v>#VALUE!</v>
      </c>
      <c r="C904" s="51"/>
      <c r="D904" s="51"/>
      <c r="E904" s="62" t="e">
        <v>#VALUE!</v>
      </c>
      <c r="F904" s="62"/>
      <c r="G904" s="62"/>
      <c r="H904" s="25" t="e">
        <v>#VALUE!</v>
      </c>
      <c r="I904" s="24" t="s">
        <v>2927</v>
      </c>
      <c r="J904" s="24"/>
      <c r="K904" s="24"/>
    </row>
    <row r="905" spans="1:11" ht="12.75" x14ac:dyDescent="0.35">
      <c r="A905" s="84"/>
      <c r="B905" s="51" t="e">
        <v>#VALUE!</v>
      </c>
      <c r="C905" s="51"/>
      <c r="D905" s="51"/>
      <c r="E905" s="62" t="e">
        <v>#VALUE!</v>
      </c>
      <c r="F905" s="62"/>
      <c r="G905" s="62"/>
      <c r="H905" s="25" t="e">
        <v>#VALUE!</v>
      </c>
      <c r="I905" s="24" t="s">
        <v>2927</v>
      </c>
      <c r="J905" s="24"/>
      <c r="K905" s="24"/>
    </row>
    <row r="906" spans="1:11" ht="12.75" x14ac:dyDescent="0.35">
      <c r="A906" s="84"/>
      <c r="B906" s="51" t="e">
        <v>#VALUE!</v>
      </c>
      <c r="C906" s="51"/>
      <c r="D906" s="51"/>
      <c r="E906" s="62" t="e">
        <v>#VALUE!</v>
      </c>
      <c r="F906" s="62"/>
      <c r="G906" s="62"/>
      <c r="H906" s="25" t="e">
        <v>#VALUE!</v>
      </c>
      <c r="I906" s="24" t="s">
        <v>2927</v>
      </c>
      <c r="J906" s="24"/>
      <c r="K906" s="24"/>
    </row>
    <row r="907" spans="1:11" ht="12.75" x14ac:dyDescent="0.35">
      <c r="A907" s="84"/>
      <c r="B907" s="51" t="e">
        <v>#VALUE!</v>
      </c>
      <c r="C907" s="51"/>
      <c r="D907" s="51"/>
      <c r="E907" s="62" t="e">
        <v>#VALUE!</v>
      </c>
      <c r="F907" s="62"/>
      <c r="G907" s="62"/>
      <c r="H907" s="25" t="e">
        <v>#VALUE!</v>
      </c>
      <c r="I907" s="24" t="s">
        <v>2927</v>
      </c>
      <c r="J907" s="24"/>
      <c r="K907" s="24"/>
    </row>
    <row r="908" spans="1:11" ht="12.75" x14ac:dyDescent="0.35">
      <c r="A908" s="84"/>
      <c r="B908" s="51" t="e">
        <v>#VALUE!</v>
      </c>
      <c r="C908" s="51"/>
      <c r="D908" s="51"/>
      <c r="E908" s="62" t="e">
        <v>#VALUE!</v>
      </c>
      <c r="F908" s="62"/>
      <c r="G908" s="62"/>
      <c r="H908" s="25" t="e">
        <v>#VALUE!</v>
      </c>
      <c r="I908" s="24" t="s">
        <v>2927</v>
      </c>
      <c r="J908" s="24"/>
      <c r="K908" s="24"/>
    </row>
    <row r="909" spans="1:11" ht="12.75" x14ac:dyDescent="0.35">
      <c r="A909" s="84"/>
      <c r="B909" s="51" t="e">
        <v>#VALUE!</v>
      </c>
      <c r="C909" s="51"/>
      <c r="D909" s="51"/>
      <c r="E909" s="62" t="e">
        <v>#VALUE!</v>
      </c>
      <c r="F909" s="62"/>
      <c r="G909" s="62"/>
      <c r="H909" s="25" t="e">
        <v>#VALUE!</v>
      </c>
      <c r="I909" s="24" t="s">
        <v>2927</v>
      </c>
      <c r="J909" s="24"/>
      <c r="K909" s="24"/>
    </row>
    <row r="910" spans="1:11" ht="12.75" x14ac:dyDescent="0.35">
      <c r="A910" s="84"/>
      <c r="B910" s="51" t="e">
        <v>#VALUE!</v>
      </c>
      <c r="C910" s="51"/>
      <c r="D910" s="51"/>
      <c r="E910" s="62" t="e">
        <v>#VALUE!</v>
      </c>
      <c r="F910" s="62"/>
      <c r="G910" s="62"/>
      <c r="H910" s="25" t="e">
        <v>#VALUE!</v>
      </c>
      <c r="I910" s="24" t="s">
        <v>2927</v>
      </c>
      <c r="J910" s="24"/>
      <c r="K910" s="24"/>
    </row>
    <row r="911" spans="1:11" ht="12.75" x14ac:dyDescent="0.35">
      <c r="A911" s="84"/>
      <c r="B911" s="51" t="e">
        <v>#VALUE!</v>
      </c>
      <c r="C911" s="51"/>
      <c r="D911" s="51"/>
      <c r="E911" s="62" t="e">
        <v>#VALUE!</v>
      </c>
      <c r="F911" s="62"/>
      <c r="G911" s="62"/>
      <c r="H911" s="25" t="e">
        <v>#VALUE!</v>
      </c>
      <c r="I911" s="24" t="s">
        <v>2927</v>
      </c>
      <c r="J911" s="24"/>
      <c r="K911" s="24"/>
    </row>
    <row r="912" spans="1:11" ht="12.75" x14ac:dyDescent="0.35">
      <c r="A912" s="84"/>
      <c r="B912" s="51" t="e">
        <v>#VALUE!</v>
      </c>
      <c r="C912" s="51"/>
      <c r="D912" s="51"/>
      <c r="E912" s="62" t="e">
        <v>#VALUE!</v>
      </c>
      <c r="F912" s="62"/>
      <c r="G912" s="62"/>
      <c r="H912" s="25" t="e">
        <v>#VALUE!</v>
      </c>
      <c r="I912" s="24" t="s">
        <v>2927</v>
      </c>
      <c r="J912" s="24"/>
      <c r="K912" s="24"/>
    </row>
    <row r="913" spans="1:11" ht="12.75" x14ac:dyDescent="0.35">
      <c r="A913" s="84"/>
      <c r="B913" s="51" t="e">
        <v>#VALUE!</v>
      </c>
      <c r="C913" s="51"/>
      <c r="D913" s="51"/>
      <c r="E913" s="62" t="e">
        <v>#VALUE!</v>
      </c>
      <c r="F913" s="62"/>
      <c r="G913" s="62"/>
      <c r="H913" s="25" t="e">
        <v>#VALUE!</v>
      </c>
      <c r="I913" s="24" t="s">
        <v>2927</v>
      </c>
      <c r="J913" s="24"/>
      <c r="K913" s="24"/>
    </row>
    <row r="914" spans="1:11" ht="12.75" x14ac:dyDescent="0.35">
      <c r="A914" s="84"/>
      <c r="B914" s="51" t="e">
        <v>#VALUE!</v>
      </c>
      <c r="C914" s="51"/>
      <c r="D914" s="51"/>
      <c r="E914" s="62" t="e">
        <v>#VALUE!</v>
      </c>
      <c r="F914" s="62"/>
      <c r="G914" s="62"/>
      <c r="H914" s="25" t="e">
        <v>#VALUE!</v>
      </c>
      <c r="I914" s="24" t="s">
        <v>2927</v>
      </c>
      <c r="J914" s="24"/>
      <c r="K914" s="24"/>
    </row>
    <row r="915" spans="1:11" ht="12.75" x14ac:dyDescent="0.35">
      <c r="A915" s="84"/>
      <c r="B915" s="51" t="e">
        <v>#VALUE!</v>
      </c>
      <c r="C915" s="51"/>
      <c r="D915" s="51"/>
      <c r="E915" s="62" t="e">
        <v>#VALUE!</v>
      </c>
      <c r="F915" s="62"/>
      <c r="G915" s="62"/>
      <c r="H915" s="25" t="e">
        <v>#VALUE!</v>
      </c>
      <c r="I915" s="24" t="s">
        <v>2927</v>
      </c>
      <c r="J915" s="24"/>
      <c r="K915" s="24"/>
    </row>
    <row r="916" spans="1:11" ht="12.75" x14ac:dyDescent="0.35">
      <c r="A916" s="84"/>
      <c r="B916" s="51" t="e">
        <v>#VALUE!</v>
      </c>
      <c r="C916" s="51"/>
      <c r="D916" s="51"/>
      <c r="E916" s="62" t="e">
        <v>#VALUE!</v>
      </c>
      <c r="F916" s="62"/>
      <c r="G916" s="62"/>
      <c r="H916" s="25" t="e">
        <v>#VALUE!</v>
      </c>
      <c r="I916" s="24" t="s">
        <v>2927</v>
      </c>
      <c r="J916" s="24"/>
      <c r="K916" s="24"/>
    </row>
    <row r="917" spans="1:11" ht="12.75" x14ac:dyDescent="0.35">
      <c r="A917" s="84"/>
      <c r="B917" s="51" t="e">
        <v>#VALUE!</v>
      </c>
      <c r="C917" s="51"/>
      <c r="D917" s="51"/>
      <c r="E917" s="62" t="e">
        <v>#VALUE!</v>
      </c>
      <c r="F917" s="62"/>
      <c r="G917" s="62"/>
      <c r="H917" s="25" t="e">
        <v>#VALUE!</v>
      </c>
      <c r="I917" s="24" t="s">
        <v>2927</v>
      </c>
      <c r="J917" s="24"/>
      <c r="K917" s="24"/>
    </row>
    <row r="918" spans="1:11" ht="12.75" x14ac:dyDescent="0.35">
      <c r="A918" s="84"/>
      <c r="B918" s="51" t="e">
        <v>#VALUE!</v>
      </c>
      <c r="C918" s="51"/>
      <c r="D918" s="51"/>
      <c r="E918" s="62" t="e">
        <v>#VALUE!</v>
      </c>
      <c r="F918" s="62"/>
      <c r="G918" s="62"/>
      <c r="H918" s="25" t="e">
        <v>#VALUE!</v>
      </c>
      <c r="I918" s="24" t="s">
        <v>2927</v>
      </c>
      <c r="J918" s="24"/>
      <c r="K918" s="24"/>
    </row>
    <row r="919" spans="1:11" ht="12.75" x14ac:dyDescent="0.35">
      <c r="A919" s="84"/>
      <c r="B919" s="51" t="e">
        <v>#VALUE!</v>
      </c>
      <c r="C919" s="51"/>
      <c r="D919" s="51"/>
      <c r="E919" s="62" t="e">
        <v>#VALUE!</v>
      </c>
      <c r="F919" s="62"/>
      <c r="G919" s="62"/>
      <c r="H919" s="25" t="e">
        <v>#VALUE!</v>
      </c>
      <c r="I919" s="24" t="s">
        <v>2927</v>
      </c>
      <c r="J919" s="24"/>
      <c r="K919" s="24"/>
    </row>
    <row r="920" spans="1:11" ht="12.75" x14ac:dyDescent="0.35">
      <c r="A920" s="84"/>
      <c r="B920" s="51" t="e">
        <v>#VALUE!</v>
      </c>
      <c r="C920" s="51"/>
      <c r="D920" s="51"/>
      <c r="E920" s="62" t="e">
        <v>#VALUE!</v>
      </c>
      <c r="F920" s="62"/>
      <c r="G920" s="62"/>
      <c r="H920" s="25" t="e">
        <v>#VALUE!</v>
      </c>
      <c r="I920" s="24" t="s">
        <v>2927</v>
      </c>
      <c r="J920" s="24"/>
      <c r="K920" s="24"/>
    </row>
    <row r="921" spans="1:11" ht="12.75" x14ac:dyDescent="0.35">
      <c r="A921" s="84"/>
      <c r="B921" s="51" t="e">
        <v>#VALUE!</v>
      </c>
      <c r="C921" s="51"/>
      <c r="D921" s="51"/>
      <c r="E921" s="62" t="e">
        <v>#VALUE!</v>
      </c>
      <c r="F921" s="62"/>
      <c r="G921" s="62"/>
      <c r="H921" s="25" t="e">
        <v>#VALUE!</v>
      </c>
      <c r="I921" s="24" t="s">
        <v>2927</v>
      </c>
      <c r="J921" s="24"/>
      <c r="K921" s="24"/>
    </row>
    <row r="922" spans="1:11" ht="12.75" x14ac:dyDescent="0.35">
      <c r="A922" s="84"/>
      <c r="B922" s="51" t="e">
        <v>#VALUE!</v>
      </c>
      <c r="C922" s="51"/>
      <c r="D922" s="51"/>
      <c r="E922" s="62" t="e">
        <v>#VALUE!</v>
      </c>
      <c r="F922" s="62"/>
      <c r="G922" s="62"/>
      <c r="H922" s="25" t="e">
        <v>#VALUE!</v>
      </c>
      <c r="I922" s="24" t="s">
        <v>2927</v>
      </c>
      <c r="J922" s="24"/>
      <c r="K922" s="24"/>
    </row>
    <row r="923" spans="1:11" ht="12.75" x14ac:dyDescent="0.35">
      <c r="A923" s="84"/>
      <c r="B923" s="51" t="e">
        <v>#VALUE!</v>
      </c>
      <c r="C923" s="51"/>
      <c r="D923" s="51"/>
      <c r="E923" s="62" t="e">
        <v>#VALUE!</v>
      </c>
      <c r="F923" s="62"/>
      <c r="G923" s="62"/>
      <c r="H923" s="25" t="e">
        <v>#VALUE!</v>
      </c>
      <c r="I923" s="24" t="s">
        <v>2927</v>
      </c>
      <c r="J923" s="24"/>
      <c r="K923" s="24"/>
    </row>
    <row r="924" spans="1:11" ht="12.75" x14ac:dyDescent="0.35">
      <c r="A924" s="84"/>
      <c r="B924" s="51" t="e">
        <v>#VALUE!</v>
      </c>
      <c r="C924" s="51"/>
      <c r="D924" s="51"/>
      <c r="E924" s="62" t="e">
        <v>#VALUE!</v>
      </c>
      <c r="F924" s="62"/>
      <c r="G924" s="62"/>
      <c r="H924" s="25" t="e">
        <v>#VALUE!</v>
      </c>
      <c r="I924" s="24" t="s">
        <v>2927</v>
      </c>
      <c r="J924" s="24"/>
      <c r="K924" s="24"/>
    </row>
    <row r="925" spans="1:11" ht="12.75" x14ac:dyDescent="0.35">
      <c r="A925" s="84"/>
      <c r="B925" s="51" t="e">
        <v>#VALUE!</v>
      </c>
      <c r="C925" s="51"/>
      <c r="D925" s="51"/>
      <c r="E925" s="62" t="e">
        <v>#VALUE!</v>
      </c>
      <c r="F925" s="62"/>
      <c r="G925" s="62"/>
      <c r="H925" s="25" t="e">
        <v>#VALUE!</v>
      </c>
      <c r="I925" s="24" t="s">
        <v>2927</v>
      </c>
      <c r="J925" s="24"/>
      <c r="K925" s="24"/>
    </row>
    <row r="926" spans="1:11" ht="12.75" x14ac:dyDescent="0.35">
      <c r="A926" s="84"/>
      <c r="B926" s="51" t="e">
        <v>#VALUE!</v>
      </c>
      <c r="C926" s="51"/>
      <c r="D926" s="51"/>
      <c r="E926" s="62" t="e">
        <v>#VALUE!</v>
      </c>
      <c r="F926" s="62"/>
      <c r="G926" s="62"/>
      <c r="H926" s="25" t="e">
        <v>#VALUE!</v>
      </c>
      <c r="I926" s="24" t="s">
        <v>2927</v>
      </c>
      <c r="J926" s="24"/>
      <c r="K926" s="24"/>
    </row>
    <row r="927" spans="1:11" ht="12.75" x14ac:dyDescent="0.35">
      <c r="A927" s="84"/>
      <c r="B927" s="51" t="e">
        <v>#VALUE!</v>
      </c>
      <c r="C927" s="51"/>
      <c r="D927" s="51"/>
      <c r="E927" s="62" t="e">
        <v>#VALUE!</v>
      </c>
      <c r="F927" s="62"/>
      <c r="G927" s="62"/>
      <c r="H927" s="25" t="e">
        <v>#VALUE!</v>
      </c>
      <c r="I927" s="24" t="s">
        <v>2927</v>
      </c>
      <c r="J927" s="24"/>
      <c r="K927" s="24"/>
    </row>
    <row r="928" spans="1:11" ht="12.75" x14ac:dyDescent="0.35">
      <c r="A928" s="84"/>
      <c r="B928" s="51" t="e">
        <v>#VALUE!</v>
      </c>
      <c r="C928" s="51"/>
      <c r="D928" s="51"/>
      <c r="E928" s="62" t="e">
        <v>#VALUE!</v>
      </c>
      <c r="F928" s="62"/>
      <c r="G928" s="62"/>
      <c r="H928" s="25" t="e">
        <v>#VALUE!</v>
      </c>
      <c r="I928" s="24" t="s">
        <v>2927</v>
      </c>
      <c r="J928" s="24"/>
      <c r="K928" s="24"/>
    </row>
    <row r="929" spans="1:11" ht="12.75" x14ac:dyDescent="0.35">
      <c r="A929" s="84"/>
      <c r="B929" s="51" t="e">
        <v>#VALUE!</v>
      </c>
      <c r="C929" s="51"/>
      <c r="D929" s="51"/>
      <c r="E929" s="62" t="e">
        <v>#VALUE!</v>
      </c>
      <c r="F929" s="62"/>
      <c r="G929" s="62"/>
      <c r="H929" s="25" t="e">
        <v>#VALUE!</v>
      </c>
      <c r="I929" s="24" t="s">
        <v>2927</v>
      </c>
      <c r="J929" s="24"/>
      <c r="K929" s="24"/>
    </row>
    <row r="930" spans="1:11" ht="12.75" x14ac:dyDescent="0.35">
      <c r="A930" s="84"/>
      <c r="B930" s="51" t="e">
        <v>#VALUE!</v>
      </c>
      <c r="C930" s="51"/>
      <c r="D930" s="51"/>
      <c r="E930" s="62" t="e">
        <v>#VALUE!</v>
      </c>
      <c r="F930" s="62"/>
      <c r="G930" s="62"/>
      <c r="H930" s="25" t="e">
        <v>#VALUE!</v>
      </c>
      <c r="I930" s="24" t="s">
        <v>2927</v>
      </c>
      <c r="J930" s="24"/>
      <c r="K930" s="24"/>
    </row>
    <row r="931" spans="1:11" ht="12.75" x14ac:dyDescent="0.35">
      <c r="A931" s="84"/>
      <c r="B931" s="51" t="e">
        <v>#VALUE!</v>
      </c>
      <c r="C931" s="51"/>
      <c r="D931" s="51"/>
      <c r="E931" s="62" t="e">
        <v>#VALUE!</v>
      </c>
      <c r="F931" s="62"/>
      <c r="G931" s="62"/>
      <c r="H931" s="25" t="e">
        <v>#VALUE!</v>
      </c>
      <c r="I931" s="24" t="s">
        <v>2927</v>
      </c>
      <c r="J931" s="24"/>
      <c r="K931" s="24"/>
    </row>
    <row r="932" spans="1:11" ht="12.75" x14ac:dyDescent="0.35">
      <c r="A932" s="84"/>
      <c r="B932" s="51" t="e">
        <v>#VALUE!</v>
      </c>
      <c r="C932" s="51"/>
      <c r="D932" s="51"/>
      <c r="E932" s="62" t="e">
        <v>#VALUE!</v>
      </c>
      <c r="F932" s="62"/>
      <c r="G932" s="62"/>
      <c r="H932" s="25" t="e">
        <v>#VALUE!</v>
      </c>
      <c r="I932" s="24" t="s">
        <v>2927</v>
      </c>
      <c r="J932" s="24"/>
      <c r="K932" s="24"/>
    </row>
    <row r="933" spans="1:11" ht="12.75" x14ac:dyDescent="0.35">
      <c r="A933" s="84"/>
      <c r="B933" s="51" t="e">
        <v>#VALUE!</v>
      </c>
      <c r="C933" s="51"/>
      <c r="D933" s="51"/>
      <c r="E933" s="62" t="e">
        <v>#VALUE!</v>
      </c>
      <c r="F933" s="62"/>
      <c r="G933" s="62"/>
      <c r="H933" s="25" t="e">
        <v>#VALUE!</v>
      </c>
      <c r="I933" s="24" t="s">
        <v>2927</v>
      </c>
      <c r="J933" s="24"/>
      <c r="K933" s="24"/>
    </row>
    <row r="934" spans="1:11" ht="12.75" x14ac:dyDescent="0.35">
      <c r="A934" s="84"/>
      <c r="B934" s="51" t="e">
        <v>#VALUE!</v>
      </c>
      <c r="C934" s="51"/>
      <c r="D934" s="51"/>
      <c r="E934" s="62" t="e">
        <v>#VALUE!</v>
      </c>
      <c r="F934" s="62"/>
      <c r="G934" s="62"/>
      <c r="H934" s="25" t="e">
        <v>#VALUE!</v>
      </c>
      <c r="I934" s="24" t="s">
        <v>2927</v>
      </c>
      <c r="J934" s="24"/>
      <c r="K934" s="24"/>
    </row>
    <row r="935" spans="1:11" ht="12.75" x14ac:dyDescent="0.35">
      <c r="A935" s="84"/>
      <c r="B935" s="51" t="e">
        <v>#VALUE!</v>
      </c>
      <c r="C935" s="51"/>
      <c r="D935" s="51"/>
      <c r="E935" s="62" t="e">
        <v>#VALUE!</v>
      </c>
      <c r="F935" s="62"/>
      <c r="G935" s="62"/>
      <c r="H935" s="25" t="e">
        <v>#VALUE!</v>
      </c>
      <c r="I935" s="24" t="s">
        <v>2927</v>
      </c>
      <c r="J935" s="24"/>
      <c r="K935" s="24"/>
    </row>
    <row r="936" spans="1:11" ht="12.75" x14ac:dyDescent="0.35">
      <c r="A936" s="84"/>
      <c r="B936" s="51" t="e">
        <v>#VALUE!</v>
      </c>
      <c r="C936" s="51"/>
      <c r="D936" s="51"/>
      <c r="E936" s="62" t="e">
        <v>#VALUE!</v>
      </c>
      <c r="F936" s="62"/>
      <c r="G936" s="62"/>
      <c r="H936" s="25" t="e">
        <v>#VALUE!</v>
      </c>
      <c r="I936" s="24" t="s">
        <v>2927</v>
      </c>
      <c r="J936" s="24"/>
      <c r="K936" s="24"/>
    </row>
    <row r="937" spans="1:11" ht="12.75" x14ac:dyDescent="0.35">
      <c r="A937" s="84"/>
      <c r="B937" s="51" t="e">
        <v>#VALUE!</v>
      </c>
      <c r="C937" s="51"/>
      <c r="D937" s="51"/>
      <c r="E937" s="62" t="e">
        <v>#VALUE!</v>
      </c>
      <c r="F937" s="62"/>
      <c r="G937" s="62"/>
      <c r="H937" s="25" t="e">
        <v>#VALUE!</v>
      </c>
      <c r="I937" s="24" t="s">
        <v>2927</v>
      </c>
      <c r="J937" s="24"/>
      <c r="K937" s="24"/>
    </row>
    <row r="938" spans="1:11" ht="12.75" x14ac:dyDescent="0.35">
      <c r="A938" s="84"/>
      <c r="B938" s="51" t="e">
        <v>#VALUE!</v>
      </c>
      <c r="C938" s="51"/>
      <c r="D938" s="51"/>
      <c r="E938" s="62" t="e">
        <v>#VALUE!</v>
      </c>
      <c r="F938" s="62"/>
      <c r="G938" s="62"/>
      <c r="H938" s="25" t="e">
        <v>#VALUE!</v>
      </c>
      <c r="I938" s="24" t="s">
        <v>2927</v>
      </c>
      <c r="J938" s="24"/>
      <c r="K938" s="24"/>
    </row>
    <row r="939" spans="1:11" ht="12.75" x14ac:dyDescent="0.35">
      <c r="A939" s="84"/>
      <c r="B939" s="51" t="e">
        <v>#VALUE!</v>
      </c>
      <c r="C939" s="51"/>
      <c r="D939" s="51"/>
      <c r="E939" s="62" t="e">
        <v>#VALUE!</v>
      </c>
      <c r="F939" s="62"/>
      <c r="G939" s="62"/>
      <c r="H939" s="25" t="e">
        <v>#VALUE!</v>
      </c>
      <c r="I939" s="24" t="s">
        <v>2927</v>
      </c>
      <c r="J939" s="24"/>
      <c r="K939" s="24"/>
    </row>
    <row r="940" spans="1:11" ht="12.75" x14ac:dyDescent="0.35">
      <c r="A940" s="84"/>
      <c r="B940" s="51" t="e">
        <v>#VALUE!</v>
      </c>
      <c r="C940" s="51"/>
      <c r="D940" s="51"/>
      <c r="E940" s="62" t="e">
        <v>#VALUE!</v>
      </c>
      <c r="F940" s="62"/>
      <c r="G940" s="62"/>
      <c r="H940" s="25" t="e">
        <v>#VALUE!</v>
      </c>
      <c r="I940" s="24" t="s">
        <v>2927</v>
      </c>
      <c r="J940" s="24"/>
      <c r="K940" s="24"/>
    </row>
    <row r="941" spans="1:11" ht="12.75" x14ac:dyDescent="0.35">
      <c r="A941" s="84"/>
      <c r="B941" s="51" t="e">
        <v>#VALUE!</v>
      </c>
      <c r="C941" s="51"/>
      <c r="D941" s="51"/>
      <c r="E941" s="62" t="e">
        <v>#VALUE!</v>
      </c>
      <c r="F941" s="62"/>
      <c r="G941" s="62"/>
      <c r="H941" s="25" t="e">
        <v>#VALUE!</v>
      </c>
      <c r="I941" s="24" t="s">
        <v>2927</v>
      </c>
      <c r="J941" s="24"/>
      <c r="K941" s="24"/>
    </row>
    <row r="942" spans="1:11" ht="12.75" x14ac:dyDescent="0.35">
      <c r="A942" s="84"/>
      <c r="B942" s="51" t="e">
        <v>#VALUE!</v>
      </c>
      <c r="C942" s="51"/>
      <c r="D942" s="51"/>
      <c r="E942" s="62" t="e">
        <v>#VALUE!</v>
      </c>
      <c r="F942" s="62"/>
      <c r="G942" s="62"/>
      <c r="H942" s="25" t="e">
        <v>#VALUE!</v>
      </c>
      <c r="I942" s="24" t="s">
        <v>2927</v>
      </c>
      <c r="J942" s="24"/>
      <c r="K942" s="24"/>
    </row>
    <row r="943" spans="1:11" ht="12.75" x14ac:dyDescent="0.35">
      <c r="A943" s="84"/>
      <c r="B943" s="51" t="e">
        <v>#VALUE!</v>
      </c>
      <c r="C943" s="51"/>
      <c r="D943" s="51"/>
      <c r="E943" s="62" t="e">
        <v>#VALUE!</v>
      </c>
      <c r="F943" s="62"/>
      <c r="G943" s="62"/>
      <c r="H943" s="25" t="e">
        <v>#VALUE!</v>
      </c>
      <c r="I943" s="24" t="s">
        <v>2927</v>
      </c>
      <c r="J943" s="24"/>
      <c r="K943" s="24"/>
    </row>
    <row r="944" spans="1:11" ht="12.75" x14ac:dyDescent="0.35">
      <c r="A944" s="84"/>
      <c r="B944" s="51" t="e">
        <v>#VALUE!</v>
      </c>
      <c r="C944" s="51"/>
      <c r="D944" s="51"/>
      <c r="E944" s="62" t="e">
        <v>#VALUE!</v>
      </c>
      <c r="F944" s="62"/>
      <c r="G944" s="62"/>
      <c r="H944" s="25" t="e">
        <v>#VALUE!</v>
      </c>
      <c r="I944" s="24" t="s">
        <v>2927</v>
      </c>
      <c r="J944" s="24"/>
      <c r="K944" s="24"/>
    </row>
    <row r="945" spans="1:11" ht="12.75" x14ac:dyDescent="0.35">
      <c r="A945" s="84"/>
      <c r="B945" s="51" t="e">
        <v>#VALUE!</v>
      </c>
      <c r="C945" s="51"/>
      <c r="D945" s="51"/>
      <c r="E945" s="62" t="e">
        <v>#VALUE!</v>
      </c>
      <c r="F945" s="62"/>
      <c r="G945" s="62"/>
      <c r="H945" s="25" t="e">
        <v>#VALUE!</v>
      </c>
      <c r="I945" s="24" t="s">
        <v>2927</v>
      </c>
      <c r="J945" s="24"/>
      <c r="K945" s="24"/>
    </row>
    <row r="946" spans="1:11" ht="12.75" x14ac:dyDescent="0.35">
      <c r="A946" s="84"/>
      <c r="B946" s="51" t="e">
        <v>#VALUE!</v>
      </c>
      <c r="C946" s="51"/>
      <c r="D946" s="51"/>
      <c r="E946" s="62" t="e">
        <v>#VALUE!</v>
      </c>
      <c r="F946" s="62"/>
      <c r="G946" s="62"/>
      <c r="H946" s="25" t="e">
        <v>#VALUE!</v>
      </c>
      <c r="I946" s="24" t="s">
        <v>2927</v>
      </c>
      <c r="J946" s="24"/>
      <c r="K946" s="24"/>
    </row>
    <row r="947" spans="1:11" ht="12.75" x14ac:dyDescent="0.35">
      <c r="A947" s="84"/>
      <c r="B947" s="51" t="e">
        <v>#VALUE!</v>
      </c>
      <c r="C947" s="51"/>
      <c r="D947" s="51"/>
      <c r="E947" s="62" t="e">
        <v>#VALUE!</v>
      </c>
      <c r="F947" s="62"/>
      <c r="G947" s="62"/>
      <c r="H947" s="25" t="e">
        <v>#VALUE!</v>
      </c>
      <c r="I947" s="24" t="s">
        <v>2927</v>
      </c>
      <c r="J947" s="24"/>
      <c r="K947" s="24"/>
    </row>
    <row r="948" spans="1:11" ht="12.75" x14ac:dyDescent="0.35">
      <c r="A948" s="84"/>
      <c r="B948" s="51" t="e">
        <v>#VALUE!</v>
      </c>
      <c r="C948" s="51"/>
      <c r="D948" s="51"/>
      <c r="E948" s="62" t="e">
        <v>#VALUE!</v>
      </c>
      <c r="F948" s="62"/>
      <c r="G948" s="62"/>
      <c r="H948" s="25" t="e">
        <v>#VALUE!</v>
      </c>
      <c r="I948" s="24" t="s">
        <v>2927</v>
      </c>
      <c r="J948" s="24"/>
      <c r="K948" s="24"/>
    </row>
    <row r="949" spans="1:11" ht="12.75" x14ac:dyDescent="0.35">
      <c r="A949" s="84"/>
      <c r="B949" s="51" t="e">
        <v>#VALUE!</v>
      </c>
      <c r="C949" s="51"/>
      <c r="D949" s="51"/>
      <c r="E949" s="62" t="e">
        <v>#VALUE!</v>
      </c>
      <c r="F949" s="62"/>
      <c r="G949" s="62"/>
      <c r="H949" s="25" t="e">
        <v>#VALUE!</v>
      </c>
      <c r="I949" s="24" t="s">
        <v>2927</v>
      </c>
      <c r="J949" s="24"/>
      <c r="K949" s="24"/>
    </row>
    <row r="950" spans="1:11" ht="12.75" x14ac:dyDescent="0.35">
      <c r="A950" s="84"/>
      <c r="B950" s="51" t="e">
        <v>#VALUE!</v>
      </c>
      <c r="C950" s="51"/>
      <c r="D950" s="51"/>
      <c r="E950" s="62" t="e">
        <v>#VALUE!</v>
      </c>
      <c r="F950" s="62"/>
      <c r="G950" s="62"/>
      <c r="H950" s="25" t="e">
        <v>#VALUE!</v>
      </c>
      <c r="I950" s="24" t="s">
        <v>2927</v>
      </c>
      <c r="J950" s="24"/>
      <c r="K950" s="24"/>
    </row>
    <row r="951" spans="1:11" ht="12.75" x14ac:dyDescent="0.35">
      <c r="A951" s="84"/>
      <c r="B951" s="51" t="e">
        <v>#VALUE!</v>
      </c>
      <c r="C951" s="51"/>
      <c r="D951" s="51"/>
      <c r="E951" s="62" t="e">
        <v>#VALUE!</v>
      </c>
      <c r="F951" s="62"/>
      <c r="G951" s="62"/>
      <c r="H951" s="25" t="e">
        <v>#VALUE!</v>
      </c>
      <c r="I951" s="24" t="s">
        <v>2927</v>
      </c>
      <c r="J951" s="24"/>
      <c r="K951" s="24"/>
    </row>
    <row r="952" spans="1:11" ht="12.75" x14ac:dyDescent="0.35">
      <c r="A952" s="84"/>
      <c r="B952" s="51" t="e">
        <v>#VALUE!</v>
      </c>
      <c r="C952" s="51"/>
      <c r="D952" s="51"/>
      <c r="E952" s="62" t="e">
        <v>#VALUE!</v>
      </c>
      <c r="F952" s="62"/>
      <c r="G952" s="62"/>
      <c r="H952" s="25" t="e">
        <v>#VALUE!</v>
      </c>
      <c r="I952" s="24" t="s">
        <v>2927</v>
      </c>
      <c r="J952" s="24"/>
      <c r="K952" s="24"/>
    </row>
    <row r="953" spans="1:11" ht="12.75" x14ac:dyDescent="0.35">
      <c r="A953" s="84"/>
      <c r="B953" s="51" t="e">
        <v>#VALUE!</v>
      </c>
      <c r="C953" s="51"/>
      <c r="D953" s="51"/>
      <c r="E953" s="62" t="e">
        <v>#VALUE!</v>
      </c>
      <c r="F953" s="62"/>
      <c r="G953" s="62"/>
      <c r="H953" s="25" t="e">
        <v>#VALUE!</v>
      </c>
      <c r="I953" s="24" t="s">
        <v>2927</v>
      </c>
      <c r="J953" s="24"/>
      <c r="K953" s="24"/>
    </row>
    <row r="954" spans="1:11" ht="12.75" x14ac:dyDescent="0.35">
      <c r="A954" s="84"/>
      <c r="B954" s="51" t="e">
        <v>#VALUE!</v>
      </c>
      <c r="C954" s="51"/>
      <c r="D954" s="51"/>
      <c r="E954" s="62" t="e">
        <v>#VALUE!</v>
      </c>
      <c r="F954" s="62"/>
      <c r="G954" s="62"/>
      <c r="H954" s="25" t="e">
        <v>#VALUE!</v>
      </c>
      <c r="I954" s="24" t="s">
        <v>2927</v>
      </c>
      <c r="J954" s="24"/>
      <c r="K954" s="24"/>
    </row>
    <row r="955" spans="1:11" ht="12.75" x14ac:dyDescent="0.35">
      <c r="A955" s="84"/>
      <c r="B955" s="51" t="e">
        <v>#VALUE!</v>
      </c>
      <c r="C955" s="51"/>
      <c r="D955" s="51"/>
      <c r="E955" s="62" t="e">
        <v>#VALUE!</v>
      </c>
      <c r="F955" s="62"/>
      <c r="G955" s="62"/>
      <c r="H955" s="25" t="e">
        <v>#VALUE!</v>
      </c>
      <c r="I955" s="24" t="s">
        <v>2927</v>
      </c>
      <c r="J955" s="24"/>
      <c r="K955" s="24"/>
    </row>
    <row r="956" spans="1:11" ht="12.75" x14ac:dyDescent="0.35">
      <c r="A956" s="84"/>
      <c r="B956" s="51" t="e">
        <v>#VALUE!</v>
      </c>
      <c r="C956" s="51"/>
      <c r="D956" s="51"/>
      <c r="E956" s="62" t="e">
        <v>#VALUE!</v>
      </c>
      <c r="F956" s="62"/>
      <c r="G956" s="62"/>
      <c r="H956" s="25" t="e">
        <v>#VALUE!</v>
      </c>
      <c r="I956" s="24" t="s">
        <v>2927</v>
      </c>
      <c r="J956" s="24"/>
      <c r="K956" s="24"/>
    </row>
    <row r="957" spans="1:11" ht="12.75" x14ac:dyDescent="0.35">
      <c r="A957" s="84"/>
      <c r="B957" s="51" t="e">
        <v>#VALUE!</v>
      </c>
      <c r="C957" s="51"/>
      <c r="D957" s="51"/>
      <c r="E957" s="62" t="e">
        <v>#VALUE!</v>
      </c>
      <c r="F957" s="62"/>
      <c r="G957" s="62"/>
      <c r="H957" s="25" t="e">
        <v>#VALUE!</v>
      </c>
      <c r="I957" s="24" t="s">
        <v>2927</v>
      </c>
      <c r="J957" s="24"/>
      <c r="K957" s="24"/>
    </row>
    <row r="958" spans="1:11" ht="12.75" x14ac:dyDescent="0.35">
      <c r="A958" s="84"/>
      <c r="B958" s="51" t="e">
        <v>#VALUE!</v>
      </c>
      <c r="C958" s="51"/>
      <c r="D958" s="51"/>
      <c r="E958" s="62" t="e">
        <v>#VALUE!</v>
      </c>
      <c r="F958" s="62"/>
      <c r="G958" s="62"/>
      <c r="H958" s="25" t="e">
        <v>#VALUE!</v>
      </c>
      <c r="I958" s="24" t="s">
        <v>2927</v>
      </c>
      <c r="J958" s="24"/>
      <c r="K958" s="24"/>
    </row>
    <row r="959" spans="1:11" ht="12.75" x14ac:dyDescent="0.35">
      <c r="A959" s="84"/>
      <c r="B959" s="51" t="e">
        <v>#VALUE!</v>
      </c>
      <c r="C959" s="51"/>
      <c r="D959" s="51"/>
      <c r="E959" s="62" t="e">
        <v>#VALUE!</v>
      </c>
      <c r="F959" s="62"/>
      <c r="G959" s="62"/>
      <c r="H959" s="25" t="e">
        <v>#VALUE!</v>
      </c>
      <c r="I959" s="24" t="s">
        <v>2927</v>
      </c>
      <c r="J959" s="24"/>
      <c r="K959" s="24"/>
    </row>
    <row r="960" spans="1:11" ht="12.75" x14ac:dyDescent="0.35">
      <c r="A960" s="84"/>
      <c r="B960" s="51" t="e">
        <v>#VALUE!</v>
      </c>
      <c r="C960" s="51"/>
      <c r="D960" s="51"/>
      <c r="E960" s="62" t="e">
        <v>#VALUE!</v>
      </c>
      <c r="F960" s="62"/>
      <c r="G960" s="62"/>
      <c r="H960" s="25" t="e">
        <v>#VALUE!</v>
      </c>
      <c r="I960" s="24" t="s">
        <v>2927</v>
      </c>
      <c r="J960" s="24"/>
      <c r="K960" s="24"/>
    </row>
    <row r="961" spans="1:11" ht="12.75" x14ac:dyDescent="0.35">
      <c r="A961" s="84"/>
      <c r="B961" s="51" t="e">
        <v>#VALUE!</v>
      </c>
      <c r="C961" s="51"/>
      <c r="D961" s="51"/>
      <c r="E961" s="62" t="e">
        <v>#VALUE!</v>
      </c>
      <c r="F961" s="62"/>
      <c r="G961" s="62"/>
      <c r="H961" s="25" t="e">
        <v>#VALUE!</v>
      </c>
      <c r="I961" s="24" t="s">
        <v>2927</v>
      </c>
      <c r="J961" s="24"/>
      <c r="K961" s="24"/>
    </row>
    <row r="962" spans="1:11" ht="12.75" x14ac:dyDescent="0.35">
      <c r="A962" s="84"/>
      <c r="B962" s="51" t="e">
        <v>#VALUE!</v>
      </c>
      <c r="C962" s="51"/>
      <c r="D962" s="51"/>
      <c r="E962" s="62" t="e">
        <v>#VALUE!</v>
      </c>
      <c r="F962" s="62"/>
      <c r="G962" s="62"/>
      <c r="H962" s="25" t="e">
        <v>#VALUE!</v>
      </c>
      <c r="I962" s="24" t="s">
        <v>2927</v>
      </c>
      <c r="J962" s="24"/>
      <c r="K962" s="24"/>
    </row>
    <row r="963" spans="1:11" ht="12.75" x14ac:dyDescent="0.35">
      <c r="A963" s="84"/>
      <c r="B963" s="51" t="e">
        <v>#VALUE!</v>
      </c>
      <c r="C963" s="51"/>
      <c r="D963" s="51"/>
      <c r="E963" s="62" t="e">
        <v>#VALUE!</v>
      </c>
      <c r="F963" s="62"/>
      <c r="G963" s="62"/>
      <c r="H963" s="25" t="e">
        <v>#VALUE!</v>
      </c>
      <c r="I963" s="24" t="s">
        <v>2927</v>
      </c>
      <c r="J963" s="24"/>
      <c r="K963" s="24"/>
    </row>
    <row r="964" spans="1:11" ht="12.75" x14ac:dyDescent="0.35">
      <c r="A964" s="84"/>
      <c r="B964" s="51" t="e">
        <v>#VALUE!</v>
      </c>
      <c r="C964" s="51"/>
      <c r="D964" s="51"/>
      <c r="E964" s="62" t="e">
        <v>#VALUE!</v>
      </c>
      <c r="F964" s="62"/>
      <c r="G964" s="62"/>
      <c r="H964" s="25" t="e">
        <v>#VALUE!</v>
      </c>
      <c r="I964" s="24" t="s">
        <v>2927</v>
      </c>
      <c r="J964" s="24"/>
      <c r="K964" s="24"/>
    </row>
    <row r="965" spans="1:11" ht="12.75" x14ac:dyDescent="0.35">
      <c r="A965" s="84"/>
      <c r="B965" s="51" t="e">
        <v>#VALUE!</v>
      </c>
      <c r="C965" s="51"/>
      <c r="D965" s="51"/>
      <c r="E965" s="62" t="e">
        <v>#VALUE!</v>
      </c>
      <c r="F965" s="62"/>
      <c r="G965" s="62"/>
      <c r="H965" s="25" t="e">
        <v>#VALUE!</v>
      </c>
      <c r="I965" s="24" t="s">
        <v>2927</v>
      </c>
      <c r="J965" s="24"/>
      <c r="K965" s="24"/>
    </row>
    <row r="966" spans="1:11" ht="12.75" x14ac:dyDescent="0.35">
      <c r="A966" s="84"/>
      <c r="B966" s="51" t="e">
        <v>#VALUE!</v>
      </c>
      <c r="C966" s="51"/>
      <c r="D966" s="51"/>
      <c r="E966" s="62" t="e">
        <v>#VALUE!</v>
      </c>
      <c r="F966" s="62"/>
      <c r="G966" s="62"/>
      <c r="H966" s="25" t="e">
        <v>#VALUE!</v>
      </c>
      <c r="I966" s="24" t="s">
        <v>2927</v>
      </c>
      <c r="J966" s="24"/>
      <c r="K966" s="24"/>
    </row>
    <row r="967" spans="1:11" ht="12.75" x14ac:dyDescent="0.35">
      <c r="A967" s="84"/>
      <c r="B967" s="51" t="e">
        <v>#VALUE!</v>
      </c>
      <c r="C967" s="51"/>
      <c r="D967" s="51"/>
      <c r="E967" s="62" t="e">
        <v>#VALUE!</v>
      </c>
      <c r="F967" s="62"/>
      <c r="G967" s="62"/>
      <c r="H967" s="25" t="e">
        <v>#VALUE!</v>
      </c>
      <c r="I967" s="24" t="s">
        <v>2927</v>
      </c>
      <c r="J967" s="24"/>
      <c r="K967" s="24"/>
    </row>
    <row r="968" spans="1:11" ht="12.75" x14ac:dyDescent="0.35">
      <c r="A968" s="84"/>
      <c r="B968" s="51" t="e">
        <v>#VALUE!</v>
      </c>
      <c r="C968" s="51"/>
      <c r="D968" s="51"/>
      <c r="E968" s="62" t="e">
        <v>#VALUE!</v>
      </c>
      <c r="F968" s="62"/>
      <c r="G968" s="62"/>
      <c r="H968" s="25" t="e">
        <v>#VALUE!</v>
      </c>
      <c r="I968" s="24" t="s">
        <v>2927</v>
      </c>
      <c r="J968" s="24"/>
      <c r="K968" s="24"/>
    </row>
    <row r="969" spans="1:11" ht="12.75" x14ac:dyDescent="0.35">
      <c r="A969" s="84"/>
      <c r="B969" s="51" t="e">
        <v>#VALUE!</v>
      </c>
      <c r="C969" s="51"/>
      <c r="D969" s="51"/>
      <c r="E969" s="62" t="e">
        <v>#VALUE!</v>
      </c>
      <c r="F969" s="62"/>
      <c r="G969" s="62"/>
      <c r="H969" s="25" t="e">
        <v>#VALUE!</v>
      </c>
      <c r="I969" s="24" t="s">
        <v>2927</v>
      </c>
      <c r="J969" s="24"/>
      <c r="K969" s="24"/>
    </row>
    <row r="970" spans="1:11" ht="12.75" x14ac:dyDescent="0.35">
      <c r="A970" s="84"/>
      <c r="B970" s="51" t="e">
        <v>#VALUE!</v>
      </c>
      <c r="C970" s="51"/>
      <c r="D970" s="51"/>
      <c r="E970" s="62" t="e">
        <v>#VALUE!</v>
      </c>
      <c r="F970" s="62"/>
      <c r="G970" s="62"/>
      <c r="H970" s="25" t="e">
        <v>#VALUE!</v>
      </c>
      <c r="I970" s="24" t="s">
        <v>2927</v>
      </c>
      <c r="J970" s="24"/>
      <c r="K970" s="24"/>
    </row>
    <row r="971" spans="1:11" ht="12.75" x14ac:dyDescent="0.35">
      <c r="A971" s="84"/>
      <c r="B971" s="51" t="e">
        <v>#VALUE!</v>
      </c>
      <c r="C971" s="51"/>
      <c r="D971" s="51"/>
      <c r="E971" s="62" t="e">
        <v>#VALUE!</v>
      </c>
      <c r="F971" s="62"/>
      <c r="G971" s="62"/>
      <c r="H971" s="25" t="e">
        <v>#VALUE!</v>
      </c>
      <c r="I971" s="24" t="s">
        <v>2927</v>
      </c>
      <c r="J971" s="24"/>
      <c r="K971" s="24"/>
    </row>
    <row r="972" spans="1:11" ht="12.75" x14ac:dyDescent="0.35">
      <c r="A972" s="84"/>
      <c r="B972" s="51" t="e">
        <v>#VALUE!</v>
      </c>
      <c r="C972" s="51"/>
      <c r="D972" s="51"/>
      <c r="E972" s="62" t="e">
        <v>#VALUE!</v>
      </c>
      <c r="F972" s="62"/>
      <c r="G972" s="62"/>
      <c r="H972" s="25" t="e">
        <v>#VALUE!</v>
      </c>
      <c r="I972" s="24" t="s">
        <v>2927</v>
      </c>
      <c r="J972" s="24"/>
      <c r="K972" s="24"/>
    </row>
    <row r="973" spans="1:11" ht="12.75" x14ac:dyDescent="0.35">
      <c r="A973" s="84"/>
      <c r="B973" s="51" t="e">
        <v>#VALUE!</v>
      </c>
      <c r="C973" s="51"/>
      <c r="D973" s="51"/>
      <c r="E973" s="62" t="e">
        <v>#VALUE!</v>
      </c>
      <c r="F973" s="62"/>
      <c r="G973" s="62"/>
      <c r="H973" s="25" t="e">
        <v>#VALUE!</v>
      </c>
      <c r="I973" s="24" t="s">
        <v>2927</v>
      </c>
      <c r="J973" s="24"/>
      <c r="K973" s="24"/>
    </row>
    <row r="974" spans="1:11" ht="12.75" x14ac:dyDescent="0.35">
      <c r="A974" s="84"/>
      <c r="B974" s="51" t="e">
        <v>#VALUE!</v>
      </c>
      <c r="C974" s="51"/>
      <c r="D974" s="51"/>
      <c r="E974" s="62" t="e">
        <v>#VALUE!</v>
      </c>
      <c r="F974" s="62"/>
      <c r="G974" s="62"/>
      <c r="H974" s="25" t="e">
        <v>#VALUE!</v>
      </c>
      <c r="I974" s="24" t="s">
        <v>2927</v>
      </c>
      <c r="J974" s="24"/>
      <c r="K974" s="24"/>
    </row>
    <row r="975" spans="1:11" ht="12.75" x14ac:dyDescent="0.35">
      <c r="A975" s="84"/>
      <c r="B975" s="51" t="e">
        <v>#VALUE!</v>
      </c>
      <c r="C975" s="51"/>
      <c r="D975" s="51"/>
      <c r="E975" s="62" t="e">
        <v>#VALUE!</v>
      </c>
      <c r="F975" s="62"/>
      <c r="G975" s="62"/>
      <c r="H975" s="25" t="e">
        <v>#VALUE!</v>
      </c>
      <c r="I975" s="24" t="s">
        <v>2927</v>
      </c>
      <c r="J975" s="24"/>
      <c r="K975" s="24"/>
    </row>
    <row r="976" spans="1:11" ht="12.75" x14ac:dyDescent="0.35">
      <c r="A976" s="84"/>
      <c r="B976" s="51" t="e">
        <v>#VALUE!</v>
      </c>
      <c r="C976" s="51"/>
      <c r="D976" s="51"/>
      <c r="E976" s="62" t="e">
        <v>#VALUE!</v>
      </c>
      <c r="F976" s="62"/>
      <c r="G976" s="62"/>
      <c r="H976" s="25" t="e">
        <v>#VALUE!</v>
      </c>
      <c r="I976" s="24" t="s">
        <v>2927</v>
      </c>
      <c r="J976" s="24"/>
      <c r="K976" s="24"/>
    </row>
    <row r="977" spans="1:11" ht="12.75" x14ac:dyDescent="0.35">
      <c r="A977" s="84"/>
      <c r="B977" s="51" t="e">
        <v>#VALUE!</v>
      </c>
      <c r="C977" s="51"/>
      <c r="D977" s="51"/>
      <c r="E977" s="62" t="e">
        <v>#VALUE!</v>
      </c>
      <c r="F977" s="62"/>
      <c r="G977" s="62"/>
      <c r="H977" s="25" t="e">
        <v>#VALUE!</v>
      </c>
      <c r="I977" s="24" t="s">
        <v>2927</v>
      </c>
      <c r="J977" s="24"/>
      <c r="K977" s="24"/>
    </row>
    <row r="978" spans="1:11" ht="12.75" x14ac:dyDescent="0.35">
      <c r="A978" s="84"/>
      <c r="B978" s="51" t="e">
        <v>#VALUE!</v>
      </c>
      <c r="C978" s="51"/>
      <c r="D978" s="51"/>
      <c r="E978" s="62" t="e">
        <v>#VALUE!</v>
      </c>
      <c r="F978" s="62"/>
      <c r="G978" s="62"/>
      <c r="H978" s="25" t="e">
        <v>#VALUE!</v>
      </c>
      <c r="I978" s="24" t="s">
        <v>2927</v>
      </c>
      <c r="J978" s="24"/>
      <c r="K978" s="24"/>
    </row>
    <row r="979" spans="1:11" ht="12.75" x14ac:dyDescent="0.35">
      <c r="A979" s="84"/>
      <c r="B979" s="51" t="e">
        <v>#VALUE!</v>
      </c>
      <c r="C979" s="51"/>
      <c r="D979" s="51"/>
      <c r="E979" s="62" t="e">
        <v>#VALUE!</v>
      </c>
      <c r="F979" s="62"/>
      <c r="G979" s="62"/>
      <c r="H979" s="25" t="e">
        <v>#VALUE!</v>
      </c>
      <c r="I979" s="24" t="s">
        <v>2927</v>
      </c>
      <c r="J979" s="24"/>
      <c r="K979" s="24"/>
    </row>
    <row r="980" spans="1:11" ht="12.75" x14ac:dyDescent="0.35">
      <c r="A980" s="84"/>
      <c r="B980" s="51" t="e">
        <v>#VALUE!</v>
      </c>
      <c r="C980" s="51"/>
      <c r="D980" s="51"/>
      <c r="E980" s="62" t="e">
        <v>#VALUE!</v>
      </c>
      <c r="F980" s="62"/>
      <c r="G980" s="62"/>
      <c r="H980" s="25" t="e">
        <v>#VALUE!</v>
      </c>
      <c r="I980" s="24" t="s">
        <v>2927</v>
      </c>
      <c r="J980" s="24"/>
      <c r="K980" s="24"/>
    </row>
    <row r="981" spans="1:11" ht="12.75" x14ac:dyDescent="0.35">
      <c r="A981" s="84"/>
      <c r="B981" s="51" t="e">
        <v>#VALUE!</v>
      </c>
      <c r="C981" s="51"/>
      <c r="D981" s="51"/>
      <c r="E981" s="62" t="e">
        <v>#VALUE!</v>
      </c>
      <c r="F981" s="62"/>
      <c r="G981" s="62"/>
      <c r="H981" s="25" t="e">
        <v>#VALUE!</v>
      </c>
      <c r="I981" s="24" t="s">
        <v>2927</v>
      </c>
      <c r="J981" s="24"/>
      <c r="K981" s="24"/>
    </row>
    <row r="982" spans="1:11" ht="12.75" x14ac:dyDescent="0.35">
      <c r="A982" s="84"/>
      <c r="B982" s="51" t="e">
        <v>#VALUE!</v>
      </c>
      <c r="C982" s="51"/>
      <c r="D982" s="51"/>
      <c r="E982" s="62" t="e">
        <v>#VALUE!</v>
      </c>
      <c r="F982" s="62"/>
      <c r="G982" s="62"/>
      <c r="H982" s="25" t="e">
        <v>#VALUE!</v>
      </c>
      <c r="I982" s="24" t="s">
        <v>2927</v>
      </c>
      <c r="J982" s="24"/>
      <c r="K982" s="24"/>
    </row>
    <row r="983" spans="1:11" ht="12.75" x14ac:dyDescent="0.35">
      <c r="A983" s="84"/>
      <c r="B983" s="51" t="e">
        <v>#VALUE!</v>
      </c>
      <c r="C983" s="51"/>
      <c r="D983" s="51"/>
      <c r="E983" s="62" t="e">
        <v>#VALUE!</v>
      </c>
      <c r="F983" s="62"/>
      <c r="G983" s="62"/>
      <c r="H983" s="25" t="e">
        <v>#VALUE!</v>
      </c>
      <c r="I983" s="24" t="s">
        <v>2927</v>
      </c>
      <c r="J983" s="24"/>
      <c r="K983" s="24"/>
    </row>
    <row r="984" spans="1:11" ht="12.75" x14ac:dyDescent="0.35">
      <c r="A984" s="84"/>
      <c r="B984" s="51" t="e">
        <v>#VALUE!</v>
      </c>
      <c r="C984" s="51"/>
      <c r="D984" s="51"/>
      <c r="E984" s="62" t="e">
        <v>#VALUE!</v>
      </c>
      <c r="F984" s="62"/>
      <c r="G984" s="62"/>
      <c r="H984" s="25" t="e">
        <v>#VALUE!</v>
      </c>
      <c r="I984" s="24" t="s">
        <v>2927</v>
      </c>
      <c r="J984" s="24"/>
      <c r="K984" s="24"/>
    </row>
    <row r="985" spans="1:11" ht="12.75" x14ac:dyDescent="0.35">
      <c r="A985" s="84"/>
      <c r="B985" s="51" t="e">
        <v>#VALUE!</v>
      </c>
      <c r="C985" s="51"/>
      <c r="D985" s="51"/>
      <c r="E985" s="62" t="e">
        <v>#VALUE!</v>
      </c>
      <c r="F985" s="62"/>
      <c r="G985" s="62"/>
      <c r="H985" s="25" t="e">
        <v>#VALUE!</v>
      </c>
      <c r="I985" s="24" t="s">
        <v>2927</v>
      </c>
      <c r="J985" s="24"/>
      <c r="K985" s="24"/>
    </row>
    <row r="986" spans="1:11" ht="12.75" x14ac:dyDescent="0.35">
      <c r="A986" s="84"/>
      <c r="B986" s="51" t="e">
        <v>#VALUE!</v>
      </c>
      <c r="C986" s="51"/>
      <c r="D986" s="51"/>
      <c r="E986" s="62" t="e">
        <v>#VALUE!</v>
      </c>
      <c r="F986" s="62"/>
      <c r="G986" s="62"/>
      <c r="H986" s="25" t="e">
        <v>#VALUE!</v>
      </c>
      <c r="I986" s="24" t="s">
        <v>2927</v>
      </c>
      <c r="J986" s="24"/>
      <c r="K986" s="24"/>
    </row>
    <row r="987" spans="1:11" ht="12.75" x14ac:dyDescent="0.35">
      <c r="A987" s="84"/>
      <c r="B987" s="51" t="e">
        <v>#VALUE!</v>
      </c>
      <c r="C987" s="51"/>
      <c r="D987" s="51"/>
      <c r="E987" s="62" t="e">
        <v>#VALUE!</v>
      </c>
      <c r="F987" s="62"/>
      <c r="G987" s="62"/>
      <c r="H987" s="25" t="e">
        <v>#VALUE!</v>
      </c>
      <c r="I987" s="24" t="s">
        <v>2927</v>
      </c>
      <c r="J987" s="24"/>
      <c r="K987" s="24"/>
    </row>
    <row r="988" spans="1:11" ht="12.75" x14ac:dyDescent="0.35">
      <c r="A988" s="84"/>
      <c r="B988" s="51" t="e">
        <v>#VALUE!</v>
      </c>
      <c r="C988" s="51"/>
      <c r="D988" s="51"/>
      <c r="E988" s="62" t="e">
        <v>#VALUE!</v>
      </c>
      <c r="F988" s="62"/>
      <c r="G988" s="62"/>
      <c r="H988" s="25" t="e">
        <v>#VALUE!</v>
      </c>
      <c r="I988" s="24" t="s">
        <v>2927</v>
      </c>
      <c r="J988" s="24"/>
      <c r="K988" s="24"/>
    </row>
    <row r="989" spans="1:11" ht="12.75" x14ac:dyDescent="0.35">
      <c r="A989" s="84"/>
      <c r="B989" s="51" t="e">
        <v>#VALUE!</v>
      </c>
      <c r="C989" s="51"/>
      <c r="D989" s="51"/>
      <c r="E989" s="62" t="e">
        <v>#VALUE!</v>
      </c>
      <c r="F989" s="62"/>
      <c r="G989" s="62"/>
      <c r="H989" s="25" t="e">
        <v>#VALUE!</v>
      </c>
      <c r="I989" s="24" t="s">
        <v>2927</v>
      </c>
      <c r="J989" s="24"/>
      <c r="K989" s="24"/>
    </row>
    <row r="990" spans="1:11" ht="12.75" x14ac:dyDescent="0.35">
      <c r="A990" s="84"/>
      <c r="B990" s="51" t="e">
        <v>#VALUE!</v>
      </c>
      <c r="C990" s="51"/>
      <c r="D990" s="51"/>
      <c r="E990" s="62" t="e">
        <v>#VALUE!</v>
      </c>
      <c r="F990" s="62"/>
      <c r="G990" s="62"/>
      <c r="H990" s="25" t="e">
        <v>#VALUE!</v>
      </c>
      <c r="I990" s="24" t="s">
        <v>2927</v>
      </c>
      <c r="J990" s="24"/>
      <c r="K990" s="24"/>
    </row>
    <row r="991" spans="1:11" ht="12.75" x14ac:dyDescent="0.35">
      <c r="A991" s="84"/>
      <c r="B991" s="51" t="e">
        <v>#VALUE!</v>
      </c>
      <c r="C991" s="51"/>
      <c r="D991" s="51"/>
      <c r="E991" s="62" t="e">
        <v>#VALUE!</v>
      </c>
      <c r="F991" s="62"/>
      <c r="G991" s="62"/>
      <c r="H991" s="25" t="e">
        <v>#VALUE!</v>
      </c>
      <c r="I991" s="24" t="s">
        <v>2927</v>
      </c>
      <c r="J991" s="24"/>
      <c r="K991" s="24"/>
    </row>
    <row r="992" spans="1:11" ht="12.75" x14ac:dyDescent="0.35">
      <c r="A992" s="84"/>
      <c r="B992" s="51" t="e">
        <v>#VALUE!</v>
      </c>
      <c r="C992" s="51"/>
      <c r="D992" s="51"/>
      <c r="E992" s="62" t="e">
        <v>#VALUE!</v>
      </c>
      <c r="F992" s="62"/>
      <c r="G992" s="62"/>
      <c r="H992" s="25" t="e">
        <v>#VALUE!</v>
      </c>
      <c r="I992" s="24" t="s">
        <v>2927</v>
      </c>
      <c r="J992" s="24"/>
      <c r="K992" s="24"/>
    </row>
    <row r="993" spans="1:11" ht="12.75" x14ac:dyDescent="0.35">
      <c r="A993" s="84"/>
      <c r="B993" s="51" t="e">
        <v>#VALUE!</v>
      </c>
      <c r="C993" s="51"/>
      <c r="D993" s="51"/>
      <c r="E993" s="62" t="e">
        <v>#VALUE!</v>
      </c>
      <c r="F993" s="62"/>
      <c r="G993" s="62"/>
      <c r="H993" s="25" t="e">
        <v>#VALUE!</v>
      </c>
      <c r="I993" s="24" t="s">
        <v>2927</v>
      </c>
      <c r="J993" s="24"/>
      <c r="K993" s="24"/>
    </row>
    <row r="994" spans="1:11" ht="12.75" x14ac:dyDescent="0.35">
      <c r="A994" s="84"/>
      <c r="B994" s="51" t="e">
        <v>#VALUE!</v>
      </c>
      <c r="C994" s="51"/>
      <c r="D994" s="51"/>
      <c r="E994" s="62" t="e">
        <v>#VALUE!</v>
      </c>
      <c r="F994" s="62"/>
      <c r="G994" s="62"/>
      <c r="H994" s="25" t="e">
        <v>#VALUE!</v>
      </c>
      <c r="I994" s="24" t="s">
        <v>2927</v>
      </c>
      <c r="J994" s="24"/>
      <c r="K994" s="24"/>
    </row>
    <row r="995" spans="1:11" ht="12.75" x14ac:dyDescent="0.35">
      <c r="A995" s="84"/>
      <c r="B995" s="51" t="e">
        <v>#VALUE!</v>
      </c>
      <c r="C995" s="51"/>
      <c r="D995" s="51"/>
      <c r="E995" s="62" t="e">
        <v>#VALUE!</v>
      </c>
      <c r="F995" s="62"/>
      <c r="G995" s="62"/>
      <c r="H995" s="25" t="e">
        <v>#VALUE!</v>
      </c>
      <c r="I995" s="24" t="s">
        <v>2927</v>
      </c>
      <c r="J995" s="24"/>
      <c r="K995" s="24"/>
    </row>
    <row r="996" spans="1:11" ht="12.75" x14ac:dyDescent="0.35">
      <c r="A996" s="84"/>
      <c r="B996" s="51" t="e">
        <v>#VALUE!</v>
      </c>
      <c r="C996" s="51"/>
      <c r="D996" s="51"/>
      <c r="E996" s="62" t="e">
        <v>#VALUE!</v>
      </c>
      <c r="F996" s="62"/>
      <c r="G996" s="62"/>
      <c r="H996" s="25" t="e">
        <v>#VALUE!</v>
      </c>
      <c r="I996" s="24" t="s">
        <v>2927</v>
      </c>
      <c r="J996" s="24"/>
      <c r="K996" s="24"/>
    </row>
    <row r="997" spans="1:11" ht="12.75" x14ac:dyDescent="0.35">
      <c r="A997" s="84"/>
      <c r="B997" s="51" t="e">
        <v>#VALUE!</v>
      </c>
      <c r="C997" s="51"/>
      <c r="D997" s="51"/>
      <c r="E997" s="62" t="e">
        <v>#VALUE!</v>
      </c>
      <c r="F997" s="62"/>
      <c r="G997" s="62"/>
      <c r="H997" s="25" t="e">
        <v>#VALUE!</v>
      </c>
      <c r="I997" s="24" t="s">
        <v>2927</v>
      </c>
      <c r="J997" s="24"/>
      <c r="K997" s="24"/>
    </row>
    <row r="998" spans="1:11" ht="12.75" x14ac:dyDescent="0.35">
      <c r="A998" s="84"/>
      <c r="B998" s="51" t="e">
        <v>#VALUE!</v>
      </c>
      <c r="C998" s="51"/>
      <c r="D998" s="51"/>
      <c r="E998" s="62" t="e">
        <v>#VALUE!</v>
      </c>
      <c r="F998" s="62"/>
      <c r="G998" s="62"/>
      <c r="H998" s="25" t="e">
        <v>#VALUE!</v>
      </c>
      <c r="I998" s="24" t="s">
        <v>2927</v>
      </c>
      <c r="J998" s="24"/>
      <c r="K998" s="24"/>
    </row>
    <row r="999" spans="1:11" ht="12.75" x14ac:dyDescent="0.35">
      <c r="A999" s="84"/>
      <c r="B999" s="51" t="e">
        <v>#VALUE!</v>
      </c>
      <c r="C999" s="51"/>
      <c r="D999" s="51"/>
      <c r="E999" s="62" t="e">
        <v>#VALUE!</v>
      </c>
      <c r="F999" s="62"/>
      <c r="G999" s="62"/>
      <c r="H999" s="25" t="e">
        <v>#VALUE!</v>
      </c>
      <c r="I999" s="24" t="s">
        <v>2927</v>
      </c>
      <c r="J999" s="24"/>
      <c r="K999" s="24"/>
    </row>
    <row r="1000" spans="1:11" ht="12.75" x14ac:dyDescent="0.35">
      <c r="A1000" s="84"/>
      <c r="B1000" s="51" t="e">
        <v>#VALUE!</v>
      </c>
      <c r="C1000" s="51"/>
      <c r="D1000" s="51"/>
      <c r="E1000" s="62" t="e">
        <v>#VALUE!</v>
      </c>
      <c r="F1000" s="62"/>
      <c r="G1000" s="62"/>
      <c r="H1000" s="25" t="e">
        <v>#VALUE!</v>
      </c>
      <c r="I1000" s="24" t="s">
        <v>2927</v>
      </c>
      <c r="J1000" s="24"/>
      <c r="K1000" s="24"/>
    </row>
    <row r="1001" spans="1:11" ht="12.75" x14ac:dyDescent="0.35">
      <c r="A1001" s="84"/>
      <c r="B1001" s="51" t="e">
        <v>#VALUE!</v>
      </c>
      <c r="C1001" s="51"/>
      <c r="D1001" s="51"/>
      <c r="E1001" s="62" t="e">
        <v>#VALUE!</v>
      </c>
      <c r="F1001" s="62"/>
      <c r="G1001" s="62"/>
      <c r="H1001" s="25" t="e">
        <v>#VALUE!</v>
      </c>
      <c r="I1001" s="24" t="s">
        <v>2927</v>
      </c>
      <c r="J1001" s="24"/>
      <c r="K1001" s="24"/>
    </row>
    <row r="1002" spans="1:11" ht="12.75" x14ac:dyDescent="0.35">
      <c r="A1002" s="84"/>
      <c r="B1002" s="51" t="e">
        <v>#VALUE!</v>
      </c>
      <c r="C1002" s="51"/>
      <c r="D1002" s="51"/>
      <c r="E1002" s="62" t="e">
        <v>#VALUE!</v>
      </c>
      <c r="F1002" s="62"/>
      <c r="G1002" s="62"/>
      <c r="H1002" s="25" t="e">
        <v>#VALUE!</v>
      </c>
      <c r="I1002" s="24" t="s">
        <v>2927</v>
      </c>
      <c r="J1002" s="24"/>
      <c r="K1002" s="24"/>
    </row>
    <row r="1003" spans="1:11" ht="12.75" x14ac:dyDescent="0.35">
      <c r="A1003" s="84"/>
      <c r="B1003" s="51" t="e">
        <v>#VALUE!</v>
      </c>
      <c r="C1003" s="51"/>
      <c r="D1003" s="51"/>
      <c r="E1003" s="62" t="e">
        <v>#VALUE!</v>
      </c>
      <c r="F1003" s="62"/>
      <c r="G1003" s="62"/>
      <c r="H1003" s="25" t="e">
        <v>#VALUE!</v>
      </c>
      <c r="I1003" s="24" t="s">
        <v>2927</v>
      </c>
      <c r="J1003" s="24"/>
      <c r="K1003" s="24"/>
    </row>
    <row r="1004" spans="1:11" ht="12.75" x14ac:dyDescent="0.35">
      <c r="A1004" s="84"/>
      <c r="B1004" s="51" t="e">
        <v>#VALUE!</v>
      </c>
      <c r="C1004" s="51"/>
      <c r="D1004" s="51"/>
      <c r="E1004" s="62" t="e">
        <v>#VALUE!</v>
      </c>
      <c r="F1004" s="62"/>
      <c r="G1004" s="62"/>
      <c r="H1004" s="25" t="e">
        <v>#VALUE!</v>
      </c>
      <c r="I1004" s="24" t="s">
        <v>2927</v>
      </c>
      <c r="J1004" s="24"/>
      <c r="K1004" s="24"/>
    </row>
    <row r="1005" spans="1:11" ht="12.75" x14ac:dyDescent="0.35">
      <c r="A1005" s="84"/>
      <c r="B1005" s="51" t="e">
        <v>#VALUE!</v>
      </c>
      <c r="C1005" s="51"/>
      <c r="D1005" s="51"/>
      <c r="E1005" s="62" t="e">
        <v>#VALUE!</v>
      </c>
      <c r="F1005" s="62"/>
      <c r="G1005" s="62"/>
      <c r="H1005" s="25" t="e">
        <v>#VALUE!</v>
      </c>
      <c r="I1005" s="24" t="s">
        <v>2927</v>
      </c>
      <c r="J1005" s="24"/>
      <c r="K1005" s="24"/>
    </row>
    <row r="1006" spans="1:11" ht="12.75" x14ac:dyDescent="0.35">
      <c r="A1006" s="84"/>
      <c r="B1006" s="51" t="e">
        <v>#VALUE!</v>
      </c>
      <c r="C1006" s="51"/>
      <c r="D1006" s="51"/>
      <c r="E1006" s="62" t="e">
        <v>#VALUE!</v>
      </c>
      <c r="F1006" s="62"/>
      <c r="G1006" s="62"/>
      <c r="H1006" s="25" t="e">
        <v>#VALUE!</v>
      </c>
      <c r="I1006" s="24" t="s">
        <v>2927</v>
      </c>
      <c r="J1006" s="24"/>
      <c r="K1006" s="24"/>
    </row>
    <row r="1007" spans="1:11" ht="12.75" x14ac:dyDescent="0.35">
      <c r="A1007" s="84"/>
      <c r="B1007" s="51" t="e">
        <v>#VALUE!</v>
      </c>
      <c r="C1007" s="51"/>
      <c r="D1007" s="51"/>
      <c r="E1007" s="62" t="e">
        <v>#VALUE!</v>
      </c>
      <c r="F1007" s="62"/>
      <c r="G1007" s="62"/>
      <c r="H1007" s="25" t="e">
        <v>#VALUE!</v>
      </c>
      <c r="I1007" s="24" t="s">
        <v>2927</v>
      </c>
      <c r="J1007" s="24"/>
      <c r="K1007" s="24"/>
    </row>
    <row r="1008" spans="1:11" ht="12.75" x14ac:dyDescent="0.35">
      <c r="A1008" s="84"/>
      <c r="B1008" s="51" t="e">
        <v>#VALUE!</v>
      </c>
      <c r="C1008" s="51"/>
      <c r="D1008" s="51"/>
      <c r="E1008" s="62" t="e">
        <v>#VALUE!</v>
      </c>
      <c r="F1008" s="62"/>
      <c r="G1008" s="62"/>
      <c r="H1008" s="25" t="e">
        <v>#VALUE!</v>
      </c>
      <c r="I1008" s="24" t="s">
        <v>2927</v>
      </c>
      <c r="J1008" s="24"/>
      <c r="K1008" s="24"/>
    </row>
    <row r="1009" spans="1:11" ht="12.75" x14ac:dyDescent="0.35">
      <c r="A1009" s="84"/>
      <c r="B1009" s="51" t="e">
        <v>#VALUE!</v>
      </c>
      <c r="C1009" s="51"/>
      <c r="D1009" s="51"/>
      <c r="E1009" s="62" t="e">
        <v>#VALUE!</v>
      </c>
      <c r="F1009" s="62"/>
      <c r="G1009" s="62"/>
      <c r="H1009" s="25" t="e">
        <v>#VALUE!</v>
      </c>
      <c r="I1009" s="24" t="s">
        <v>2927</v>
      </c>
      <c r="J1009" s="24"/>
      <c r="K1009" s="24"/>
    </row>
    <row r="1010" spans="1:11" ht="12.75" x14ac:dyDescent="0.35">
      <c r="A1010" s="84"/>
      <c r="B1010" s="51" t="e">
        <v>#VALUE!</v>
      </c>
      <c r="C1010" s="51"/>
      <c r="D1010" s="51"/>
      <c r="E1010" s="62" t="e">
        <v>#VALUE!</v>
      </c>
      <c r="F1010" s="62"/>
      <c r="G1010" s="62"/>
      <c r="H1010" s="25" t="e">
        <v>#VALUE!</v>
      </c>
      <c r="I1010" s="24" t="s">
        <v>2927</v>
      </c>
      <c r="J1010" s="24"/>
      <c r="K1010" s="24"/>
    </row>
    <row r="1011" spans="1:11" ht="12.75" x14ac:dyDescent="0.35">
      <c r="A1011" s="84"/>
      <c r="B1011" s="51" t="e">
        <v>#VALUE!</v>
      </c>
      <c r="C1011" s="51"/>
      <c r="D1011" s="51"/>
      <c r="E1011" s="62" t="e">
        <v>#VALUE!</v>
      </c>
      <c r="F1011" s="62"/>
      <c r="G1011" s="62"/>
      <c r="H1011" s="25" t="e">
        <v>#VALUE!</v>
      </c>
      <c r="I1011" s="24" t="s">
        <v>2927</v>
      </c>
      <c r="J1011" s="24"/>
      <c r="K1011" s="24"/>
    </row>
    <row r="1012" spans="1:11" ht="12.75" x14ac:dyDescent="0.35">
      <c r="A1012" s="84"/>
      <c r="B1012" s="51" t="e">
        <v>#VALUE!</v>
      </c>
      <c r="C1012" s="51"/>
      <c r="D1012" s="51"/>
      <c r="E1012" s="62" t="e">
        <v>#VALUE!</v>
      </c>
      <c r="F1012" s="62"/>
      <c r="G1012" s="62"/>
      <c r="H1012" s="25" t="e">
        <v>#VALUE!</v>
      </c>
      <c r="I1012" s="24" t="s">
        <v>2927</v>
      </c>
      <c r="J1012" s="24"/>
      <c r="K1012" s="24"/>
    </row>
    <row r="1013" spans="1:11" ht="12.75" x14ac:dyDescent="0.35">
      <c r="A1013" s="84"/>
      <c r="B1013" s="51" t="e">
        <v>#VALUE!</v>
      </c>
      <c r="C1013" s="51"/>
      <c r="D1013" s="51"/>
      <c r="E1013" s="62" t="e">
        <v>#VALUE!</v>
      </c>
      <c r="F1013" s="62"/>
      <c r="G1013" s="62"/>
      <c r="H1013" s="25" t="e">
        <v>#VALUE!</v>
      </c>
      <c r="I1013" s="24" t="s">
        <v>2927</v>
      </c>
      <c r="J1013" s="24"/>
      <c r="K1013" s="24"/>
    </row>
    <row r="1014" spans="1:11" ht="12.75" x14ac:dyDescent="0.35">
      <c r="A1014" s="84"/>
      <c r="B1014" s="51" t="e">
        <v>#VALUE!</v>
      </c>
      <c r="C1014" s="51"/>
      <c r="D1014" s="51"/>
      <c r="E1014" s="62" t="e">
        <v>#VALUE!</v>
      </c>
      <c r="F1014" s="62"/>
      <c r="G1014" s="62"/>
      <c r="H1014" s="25" t="e">
        <v>#VALUE!</v>
      </c>
      <c r="I1014" s="24" t="s">
        <v>2927</v>
      </c>
      <c r="J1014" s="24"/>
      <c r="K1014" s="24"/>
    </row>
    <row r="1015" spans="1:11" ht="12.75" x14ac:dyDescent="0.35">
      <c r="A1015" s="84"/>
      <c r="B1015" s="51" t="e">
        <v>#VALUE!</v>
      </c>
      <c r="C1015" s="51"/>
      <c r="D1015" s="51"/>
      <c r="E1015" s="62" t="e">
        <v>#VALUE!</v>
      </c>
      <c r="F1015" s="62"/>
      <c r="G1015" s="62"/>
      <c r="H1015" s="25" t="e">
        <v>#VALUE!</v>
      </c>
      <c r="I1015" s="24" t="s">
        <v>2927</v>
      </c>
      <c r="J1015" s="24"/>
      <c r="K1015" s="24"/>
    </row>
    <row r="1016" spans="1:11" ht="12.75" x14ac:dyDescent="0.35">
      <c r="A1016" s="84"/>
      <c r="B1016" s="51" t="e">
        <v>#VALUE!</v>
      </c>
      <c r="C1016" s="51"/>
      <c r="D1016" s="51"/>
      <c r="E1016" s="62" t="e">
        <v>#VALUE!</v>
      </c>
      <c r="F1016" s="62"/>
      <c r="G1016" s="62"/>
      <c r="H1016" s="25" t="e">
        <v>#VALUE!</v>
      </c>
      <c r="I1016" s="24" t="s">
        <v>2927</v>
      </c>
      <c r="J1016" s="24"/>
      <c r="K1016" s="24"/>
    </row>
    <row r="1017" spans="1:11" ht="12.75" x14ac:dyDescent="0.35">
      <c r="A1017" s="84"/>
      <c r="B1017" s="51" t="e">
        <v>#VALUE!</v>
      </c>
      <c r="C1017" s="51"/>
      <c r="D1017" s="51"/>
      <c r="E1017" s="62" t="e">
        <v>#VALUE!</v>
      </c>
      <c r="F1017" s="62"/>
      <c r="G1017" s="62"/>
      <c r="H1017" s="25" t="e">
        <v>#VALUE!</v>
      </c>
      <c r="I1017" s="24" t="s">
        <v>2927</v>
      </c>
      <c r="J1017" s="24"/>
      <c r="K1017" s="24"/>
    </row>
    <row r="1018" spans="1:11" ht="12.75" x14ac:dyDescent="0.35">
      <c r="A1018" s="84"/>
      <c r="B1018" s="51" t="e">
        <v>#VALUE!</v>
      </c>
      <c r="C1018" s="51"/>
      <c r="D1018" s="51"/>
      <c r="E1018" s="62" t="e">
        <v>#VALUE!</v>
      </c>
      <c r="F1018" s="62"/>
      <c r="G1018" s="62"/>
      <c r="H1018" s="25" t="e">
        <v>#VALUE!</v>
      </c>
      <c r="I1018" s="24" t="s">
        <v>2927</v>
      </c>
      <c r="J1018" s="24"/>
      <c r="K1018" s="24"/>
    </row>
    <row r="1019" spans="1:11" ht="12.75" x14ac:dyDescent="0.35">
      <c r="A1019" s="84"/>
      <c r="B1019" s="51" t="e">
        <v>#VALUE!</v>
      </c>
      <c r="C1019" s="51"/>
      <c r="D1019" s="51"/>
      <c r="E1019" s="62" t="e">
        <v>#VALUE!</v>
      </c>
      <c r="F1019" s="62"/>
      <c r="G1019" s="62"/>
      <c r="H1019" s="25" t="e">
        <v>#VALUE!</v>
      </c>
      <c r="I1019" s="24" t="s">
        <v>2927</v>
      </c>
      <c r="J1019" s="24"/>
      <c r="K1019" s="24"/>
    </row>
    <row r="1020" spans="1:11" ht="12.75" x14ac:dyDescent="0.35">
      <c r="A1020" s="84"/>
      <c r="B1020" s="51" t="e">
        <v>#VALUE!</v>
      </c>
      <c r="C1020" s="51"/>
      <c r="D1020" s="51"/>
      <c r="E1020" s="62" t="e">
        <v>#VALUE!</v>
      </c>
      <c r="F1020" s="62"/>
      <c r="G1020" s="62"/>
      <c r="H1020" s="25" t="e">
        <v>#VALUE!</v>
      </c>
      <c r="I1020" s="24" t="s">
        <v>2927</v>
      </c>
      <c r="J1020" s="24"/>
      <c r="K1020" s="24"/>
    </row>
    <row r="1021" spans="1:11" ht="12.75" x14ac:dyDescent="0.35">
      <c r="A1021" s="84"/>
      <c r="B1021" s="51" t="e">
        <v>#VALUE!</v>
      </c>
      <c r="C1021" s="51"/>
      <c r="D1021" s="51"/>
      <c r="E1021" s="62" t="e">
        <v>#VALUE!</v>
      </c>
      <c r="F1021" s="62"/>
      <c r="G1021" s="62"/>
      <c r="H1021" s="25" t="e">
        <v>#VALUE!</v>
      </c>
      <c r="I1021" s="24" t="s">
        <v>2927</v>
      </c>
      <c r="J1021" s="24"/>
      <c r="K1021" s="24"/>
    </row>
    <row r="1022" spans="1:11" ht="12.75" x14ac:dyDescent="0.35">
      <c r="A1022" s="84"/>
      <c r="B1022" s="51" t="e">
        <v>#VALUE!</v>
      </c>
      <c r="C1022" s="51"/>
      <c r="D1022" s="51"/>
      <c r="E1022" s="62" t="e">
        <v>#VALUE!</v>
      </c>
      <c r="F1022" s="62"/>
      <c r="G1022" s="62"/>
      <c r="H1022" s="25" t="e">
        <v>#VALUE!</v>
      </c>
      <c r="I1022" s="24" t="s">
        <v>2927</v>
      </c>
      <c r="J1022" s="24"/>
      <c r="K1022" s="24"/>
    </row>
    <row r="1023" spans="1:11" ht="12.75" x14ac:dyDescent="0.35">
      <c r="A1023" s="84"/>
      <c r="B1023" s="51" t="e">
        <v>#VALUE!</v>
      </c>
      <c r="C1023" s="51"/>
      <c r="D1023" s="51"/>
      <c r="E1023" s="62" t="e">
        <v>#VALUE!</v>
      </c>
      <c r="F1023" s="62"/>
      <c r="G1023" s="62"/>
      <c r="H1023" s="25" t="e">
        <v>#VALUE!</v>
      </c>
      <c r="I1023" s="24" t="s">
        <v>2927</v>
      </c>
      <c r="J1023" s="24"/>
      <c r="K1023" s="24"/>
    </row>
    <row r="1024" spans="1:11" ht="12.75" x14ac:dyDescent="0.35">
      <c r="A1024" s="84"/>
      <c r="B1024" s="51" t="e">
        <v>#VALUE!</v>
      </c>
      <c r="C1024" s="51"/>
      <c r="D1024" s="51"/>
      <c r="E1024" s="62" t="e">
        <v>#VALUE!</v>
      </c>
      <c r="F1024" s="62"/>
      <c r="G1024" s="62"/>
      <c r="H1024" s="25" t="e">
        <v>#VALUE!</v>
      </c>
      <c r="I1024" s="24" t="s">
        <v>2927</v>
      </c>
      <c r="J1024" s="24"/>
      <c r="K1024" s="24"/>
    </row>
    <row r="1025" spans="1:11" ht="12.75" x14ac:dyDescent="0.35">
      <c r="A1025" s="84"/>
      <c r="B1025" s="51" t="e">
        <v>#VALUE!</v>
      </c>
      <c r="C1025" s="51"/>
      <c r="D1025" s="51"/>
      <c r="E1025" s="62" t="e">
        <v>#VALUE!</v>
      </c>
      <c r="F1025" s="62"/>
      <c r="G1025" s="62"/>
      <c r="H1025" s="25" t="e">
        <v>#VALUE!</v>
      </c>
      <c r="I1025" s="24" t="s">
        <v>2927</v>
      </c>
      <c r="J1025" s="24"/>
      <c r="K1025" s="24"/>
    </row>
    <row r="1026" spans="1:11" ht="12.75" x14ac:dyDescent="0.35">
      <c r="A1026" s="84"/>
      <c r="B1026" s="51" t="e">
        <v>#VALUE!</v>
      </c>
      <c r="C1026" s="51"/>
      <c r="D1026" s="51"/>
      <c r="E1026" s="62" t="e">
        <v>#VALUE!</v>
      </c>
      <c r="F1026" s="62"/>
      <c r="G1026" s="62"/>
      <c r="H1026" s="25" t="e">
        <v>#VALUE!</v>
      </c>
      <c r="I1026" s="24" t="s">
        <v>2927</v>
      </c>
      <c r="J1026" s="24"/>
      <c r="K1026" s="24"/>
    </row>
    <row r="1027" spans="1:11" ht="12.75" x14ac:dyDescent="0.35">
      <c r="A1027" s="84"/>
      <c r="B1027" s="51" t="e">
        <v>#VALUE!</v>
      </c>
      <c r="C1027" s="51"/>
      <c r="D1027" s="51"/>
      <c r="E1027" s="62" t="e">
        <v>#VALUE!</v>
      </c>
      <c r="F1027" s="62"/>
      <c r="G1027" s="62"/>
      <c r="H1027" s="25" t="e">
        <v>#VALUE!</v>
      </c>
      <c r="I1027" s="24" t="s">
        <v>2927</v>
      </c>
      <c r="J1027" s="24"/>
      <c r="K1027" s="24"/>
    </row>
    <row r="1028" spans="1:11" ht="12.75" x14ac:dyDescent="0.35">
      <c r="A1028" s="84"/>
      <c r="B1028" s="51" t="e">
        <v>#VALUE!</v>
      </c>
      <c r="C1028" s="51"/>
      <c r="D1028" s="51"/>
      <c r="E1028" s="62" t="e">
        <v>#VALUE!</v>
      </c>
      <c r="F1028" s="62"/>
      <c r="G1028" s="62"/>
      <c r="H1028" s="25" t="e">
        <v>#VALUE!</v>
      </c>
      <c r="I1028" s="24" t="s">
        <v>2927</v>
      </c>
      <c r="J1028" s="24"/>
      <c r="K1028" s="24"/>
    </row>
    <row r="1029" spans="1:11" ht="12.75" x14ac:dyDescent="0.35">
      <c r="A1029" s="84"/>
      <c r="B1029" s="51" t="e">
        <v>#VALUE!</v>
      </c>
      <c r="C1029" s="51"/>
      <c r="D1029" s="51"/>
      <c r="E1029" s="62" t="e">
        <v>#VALUE!</v>
      </c>
      <c r="F1029" s="62"/>
      <c r="G1029" s="62"/>
      <c r="H1029" s="25" t="e">
        <v>#VALUE!</v>
      </c>
      <c r="I1029" s="24" t="s">
        <v>2927</v>
      </c>
      <c r="J1029" s="24"/>
      <c r="K1029" s="24"/>
    </row>
    <row r="1030" spans="1:11" ht="12.75" x14ac:dyDescent="0.35">
      <c r="A1030" s="84"/>
      <c r="B1030" s="51" t="e">
        <v>#VALUE!</v>
      </c>
      <c r="C1030" s="51"/>
      <c r="D1030" s="51"/>
      <c r="E1030" s="62" t="e">
        <v>#VALUE!</v>
      </c>
      <c r="F1030" s="62"/>
      <c r="G1030" s="62"/>
      <c r="H1030" s="25" t="e">
        <v>#VALUE!</v>
      </c>
      <c r="I1030" s="24" t="s">
        <v>2927</v>
      </c>
      <c r="J1030" s="24"/>
      <c r="K1030" s="24"/>
    </row>
    <row r="1031" spans="1:11" ht="12.75" x14ac:dyDescent="0.35">
      <c r="A1031" s="84"/>
      <c r="B1031" s="51" t="e">
        <v>#VALUE!</v>
      </c>
      <c r="C1031" s="51"/>
      <c r="D1031" s="51"/>
      <c r="E1031" s="62" t="e">
        <v>#VALUE!</v>
      </c>
      <c r="F1031" s="62"/>
      <c r="G1031" s="62"/>
      <c r="H1031" s="25" t="e">
        <v>#VALUE!</v>
      </c>
      <c r="I1031" s="24" t="s">
        <v>2927</v>
      </c>
      <c r="J1031" s="24"/>
      <c r="K1031" s="24"/>
    </row>
    <row r="1032" spans="1:11" ht="12.75" x14ac:dyDescent="0.35">
      <c r="A1032" s="84"/>
      <c r="B1032" s="51" t="e">
        <v>#VALUE!</v>
      </c>
      <c r="C1032" s="51"/>
      <c r="D1032" s="51"/>
      <c r="E1032" s="62" t="e">
        <v>#VALUE!</v>
      </c>
      <c r="F1032" s="62"/>
      <c r="G1032" s="62"/>
      <c r="H1032" s="25" t="e">
        <v>#VALUE!</v>
      </c>
      <c r="I1032" s="24" t="s">
        <v>2927</v>
      </c>
      <c r="J1032" s="24"/>
      <c r="K1032" s="24"/>
    </row>
    <row r="1033" spans="1:11" ht="12.75" x14ac:dyDescent="0.35">
      <c r="A1033" s="84"/>
      <c r="B1033" s="51" t="e">
        <v>#VALUE!</v>
      </c>
      <c r="C1033" s="51"/>
      <c r="D1033" s="51"/>
      <c r="E1033" s="62" t="e">
        <v>#VALUE!</v>
      </c>
      <c r="F1033" s="62"/>
      <c r="G1033" s="62"/>
      <c r="H1033" s="25" t="e">
        <v>#VALUE!</v>
      </c>
      <c r="I1033" s="24" t="s">
        <v>2927</v>
      </c>
      <c r="J1033" s="24"/>
      <c r="K1033" s="24"/>
    </row>
    <row r="1034" spans="1:11" ht="12.75" x14ac:dyDescent="0.35">
      <c r="A1034" s="84"/>
      <c r="B1034" s="51" t="e">
        <v>#VALUE!</v>
      </c>
      <c r="C1034" s="51"/>
      <c r="D1034" s="51"/>
      <c r="E1034" s="62" t="e">
        <v>#VALUE!</v>
      </c>
      <c r="F1034" s="62"/>
      <c r="G1034" s="62"/>
      <c r="H1034" s="25" t="e">
        <v>#VALUE!</v>
      </c>
      <c r="I1034" s="24" t="s">
        <v>2927</v>
      </c>
      <c r="J1034" s="24"/>
      <c r="K1034" s="24"/>
    </row>
    <row r="1035" spans="1:11" ht="12.75" x14ac:dyDescent="0.35">
      <c r="A1035" s="84"/>
      <c r="B1035" s="51" t="e">
        <v>#VALUE!</v>
      </c>
      <c r="C1035" s="51"/>
      <c r="D1035" s="51"/>
      <c r="E1035" s="62" t="e">
        <v>#VALUE!</v>
      </c>
      <c r="F1035" s="62"/>
      <c r="G1035" s="62"/>
      <c r="H1035" s="25" t="e">
        <v>#VALUE!</v>
      </c>
      <c r="I1035" s="24" t="s">
        <v>2927</v>
      </c>
      <c r="J1035" s="24"/>
      <c r="K1035" s="24"/>
    </row>
    <row r="1036" spans="1:11" ht="12.75" x14ac:dyDescent="0.35">
      <c r="A1036" s="84"/>
      <c r="B1036" s="51" t="e">
        <v>#VALUE!</v>
      </c>
      <c r="C1036" s="51"/>
      <c r="D1036" s="51"/>
      <c r="E1036" s="62" t="e">
        <v>#VALUE!</v>
      </c>
      <c r="F1036" s="62"/>
      <c r="G1036" s="62"/>
      <c r="H1036" s="25" t="e">
        <v>#VALUE!</v>
      </c>
      <c r="I1036" s="24" t="s">
        <v>2927</v>
      </c>
      <c r="J1036" s="24"/>
      <c r="K1036" s="24"/>
    </row>
    <row r="1037" spans="1:11" ht="12.75" x14ac:dyDescent="0.35">
      <c r="A1037" s="84"/>
      <c r="B1037" s="51" t="e">
        <v>#VALUE!</v>
      </c>
      <c r="C1037" s="51"/>
      <c r="D1037" s="51"/>
      <c r="E1037" s="62" t="e">
        <v>#VALUE!</v>
      </c>
      <c r="F1037" s="62"/>
      <c r="G1037" s="62"/>
      <c r="H1037" s="25" t="e">
        <v>#VALUE!</v>
      </c>
      <c r="I1037" s="24" t="s">
        <v>2927</v>
      </c>
      <c r="J1037" s="24"/>
      <c r="K1037" s="24"/>
    </row>
    <row r="1038" spans="1:11" ht="12.75" x14ac:dyDescent="0.35">
      <c r="A1038" s="84"/>
      <c r="B1038" s="51" t="e">
        <v>#VALUE!</v>
      </c>
      <c r="C1038" s="51"/>
      <c r="D1038" s="51"/>
      <c r="E1038" s="62" t="e">
        <v>#VALUE!</v>
      </c>
      <c r="F1038" s="62"/>
      <c r="G1038" s="62"/>
      <c r="H1038" s="25" t="e">
        <v>#VALUE!</v>
      </c>
      <c r="I1038" s="24" t="s">
        <v>2927</v>
      </c>
      <c r="J1038" s="24"/>
      <c r="K1038" s="24"/>
    </row>
    <row r="1039" spans="1:11" ht="12.75" x14ac:dyDescent="0.35">
      <c r="A1039" s="84"/>
      <c r="B1039" s="51" t="e">
        <v>#VALUE!</v>
      </c>
      <c r="C1039" s="51"/>
      <c r="D1039" s="51"/>
      <c r="E1039" s="62" t="e">
        <v>#VALUE!</v>
      </c>
      <c r="F1039" s="62"/>
      <c r="G1039" s="62"/>
      <c r="H1039" s="25" t="e">
        <v>#VALUE!</v>
      </c>
      <c r="I1039" s="24" t="s">
        <v>2927</v>
      </c>
      <c r="J1039" s="24"/>
      <c r="K1039" s="24"/>
    </row>
    <row r="1040" spans="1:11" ht="12.75" x14ac:dyDescent="0.35">
      <c r="A1040" s="84"/>
      <c r="B1040" s="51" t="e">
        <v>#VALUE!</v>
      </c>
      <c r="C1040" s="51"/>
      <c r="D1040" s="51"/>
      <c r="E1040" s="62" t="e">
        <v>#VALUE!</v>
      </c>
      <c r="F1040" s="62"/>
      <c r="G1040" s="62"/>
      <c r="H1040" s="25" t="e">
        <v>#VALUE!</v>
      </c>
      <c r="I1040" s="24" t="s">
        <v>2927</v>
      </c>
      <c r="J1040" s="24"/>
      <c r="K1040" s="24"/>
    </row>
    <row r="1041" spans="1:11" ht="12.75" x14ac:dyDescent="0.35">
      <c r="A1041" s="84"/>
      <c r="B1041" s="51" t="e">
        <v>#VALUE!</v>
      </c>
      <c r="C1041" s="51"/>
      <c r="D1041" s="51"/>
      <c r="E1041" s="62" t="e">
        <v>#VALUE!</v>
      </c>
      <c r="F1041" s="62"/>
      <c r="G1041" s="62"/>
      <c r="H1041" s="25" t="e">
        <v>#VALUE!</v>
      </c>
      <c r="I1041" s="24" t="s">
        <v>2927</v>
      </c>
      <c r="J1041" s="24"/>
      <c r="K1041" s="24"/>
    </row>
    <row r="1042" spans="1:11" ht="12.75" x14ac:dyDescent="0.35">
      <c r="A1042" s="84"/>
      <c r="B1042" s="51" t="e">
        <v>#VALUE!</v>
      </c>
      <c r="C1042" s="51"/>
      <c r="D1042" s="51"/>
      <c r="E1042" s="62" t="e">
        <v>#VALUE!</v>
      </c>
      <c r="F1042" s="62"/>
      <c r="G1042" s="62"/>
      <c r="H1042" s="25" t="e">
        <v>#VALUE!</v>
      </c>
      <c r="I1042" s="24" t="s">
        <v>2927</v>
      </c>
      <c r="J1042" s="24"/>
      <c r="K1042" s="24"/>
    </row>
    <row r="1043" spans="1:11" ht="12.75" x14ac:dyDescent="0.35">
      <c r="A1043" s="84"/>
      <c r="B1043" s="51" t="e">
        <v>#VALUE!</v>
      </c>
      <c r="C1043" s="51"/>
      <c r="D1043" s="51"/>
      <c r="E1043" s="62" t="e">
        <v>#VALUE!</v>
      </c>
      <c r="F1043" s="62"/>
      <c r="G1043" s="62"/>
      <c r="H1043" s="25" t="e">
        <v>#VALUE!</v>
      </c>
      <c r="I1043" s="24" t="s">
        <v>2927</v>
      </c>
      <c r="J1043" s="24"/>
      <c r="K1043" s="24"/>
    </row>
    <row r="1044" spans="1:11" ht="12.75" x14ac:dyDescent="0.35">
      <c r="A1044" s="84"/>
      <c r="B1044" s="51" t="e">
        <v>#VALUE!</v>
      </c>
      <c r="C1044" s="51"/>
      <c r="D1044" s="51"/>
      <c r="E1044" s="62" t="e">
        <v>#VALUE!</v>
      </c>
      <c r="F1044" s="62"/>
      <c r="G1044" s="62"/>
      <c r="H1044" s="25" t="e">
        <v>#VALUE!</v>
      </c>
      <c r="I1044" s="24" t="s">
        <v>2927</v>
      </c>
      <c r="J1044" s="24"/>
      <c r="K1044" s="24"/>
    </row>
    <row r="1045" spans="1:11" ht="12.75" x14ac:dyDescent="0.35">
      <c r="A1045" s="84"/>
      <c r="B1045" s="51" t="e">
        <v>#VALUE!</v>
      </c>
      <c r="C1045" s="51"/>
      <c r="D1045" s="51"/>
      <c r="E1045" s="62" t="e">
        <v>#VALUE!</v>
      </c>
      <c r="F1045" s="62"/>
      <c r="G1045" s="62"/>
      <c r="H1045" s="25" t="e">
        <v>#VALUE!</v>
      </c>
      <c r="I1045" s="24" t="s">
        <v>2927</v>
      </c>
      <c r="J1045" s="24"/>
      <c r="K1045" s="24"/>
    </row>
    <row r="1046" spans="1:11" ht="12.75" x14ac:dyDescent="0.35">
      <c r="A1046" s="84"/>
      <c r="B1046" s="51" t="e">
        <v>#VALUE!</v>
      </c>
      <c r="C1046" s="51"/>
      <c r="D1046" s="51"/>
      <c r="E1046" s="62" t="e">
        <v>#VALUE!</v>
      </c>
      <c r="F1046" s="62"/>
      <c r="G1046" s="62"/>
      <c r="H1046" s="25" t="e">
        <v>#VALUE!</v>
      </c>
      <c r="I1046" s="24" t="s">
        <v>2927</v>
      </c>
      <c r="J1046" s="24"/>
      <c r="K1046" s="24"/>
    </row>
    <row r="1047" spans="1:11" ht="12.75" x14ac:dyDescent="0.35">
      <c r="A1047" s="84"/>
      <c r="B1047" s="51" t="e">
        <v>#VALUE!</v>
      </c>
      <c r="C1047" s="51"/>
      <c r="D1047" s="51"/>
      <c r="E1047" s="62" t="e">
        <v>#VALUE!</v>
      </c>
      <c r="F1047" s="62"/>
      <c r="G1047" s="62"/>
      <c r="H1047" s="25" t="e">
        <v>#VALUE!</v>
      </c>
      <c r="I1047" s="24" t="s">
        <v>2927</v>
      </c>
      <c r="J1047" s="24"/>
      <c r="K1047" s="24"/>
    </row>
    <row r="1048" spans="1:11" ht="12.75" x14ac:dyDescent="0.35">
      <c r="A1048" s="84"/>
      <c r="B1048" s="51" t="e">
        <v>#VALUE!</v>
      </c>
      <c r="C1048" s="51"/>
      <c r="D1048" s="51"/>
      <c r="E1048" s="62" t="e">
        <v>#VALUE!</v>
      </c>
      <c r="F1048" s="62"/>
      <c r="G1048" s="62"/>
      <c r="H1048" s="25" t="e">
        <v>#VALUE!</v>
      </c>
      <c r="I1048" s="24" t="s">
        <v>2927</v>
      </c>
      <c r="J1048" s="24"/>
      <c r="K1048" s="24"/>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675"/>
  <sheetViews>
    <sheetView workbookViewId="0"/>
  </sheetViews>
  <sheetFormatPr defaultColWidth="12.59765625" defaultRowHeight="15.75" customHeight="1" x14ac:dyDescent="0.35"/>
  <sheetData>
    <row r="1" spans="1:1" ht="12.75" x14ac:dyDescent="0.35">
      <c r="A1" s="85" t="s">
        <v>2198</v>
      </c>
    </row>
    <row r="2" spans="1:1" ht="12.75" x14ac:dyDescent="0.35">
      <c r="A2" s="85" t="s">
        <v>2199</v>
      </c>
    </row>
    <row r="3" spans="1:1" ht="12.75" x14ac:dyDescent="0.35">
      <c r="A3" s="85" t="s">
        <v>5574</v>
      </c>
    </row>
    <row r="4" spans="1:1" ht="12.75" x14ac:dyDescent="0.35">
      <c r="A4" s="85" t="s">
        <v>2201</v>
      </c>
    </row>
    <row r="5" spans="1:1" ht="12.75" x14ac:dyDescent="0.35">
      <c r="A5" s="85" t="s">
        <v>2202</v>
      </c>
    </row>
    <row r="6" spans="1:1" ht="12.75" x14ac:dyDescent="0.35">
      <c r="A6" s="85" t="s">
        <v>2203</v>
      </c>
    </row>
    <row r="7" spans="1:1" ht="12.75" x14ac:dyDescent="0.35">
      <c r="A7" s="85" t="s">
        <v>2204</v>
      </c>
    </row>
    <row r="8" spans="1:1" ht="12.75" x14ac:dyDescent="0.35">
      <c r="A8" s="85" t="s">
        <v>2205</v>
      </c>
    </row>
    <row r="9" spans="1:1" ht="12.75" x14ac:dyDescent="0.35">
      <c r="A9" s="85" t="s">
        <v>5575</v>
      </c>
    </row>
    <row r="10" spans="1:1" ht="12.75" x14ac:dyDescent="0.35">
      <c r="A10" s="85" t="s">
        <v>2207</v>
      </c>
    </row>
    <row r="11" spans="1:1" ht="12.75" x14ac:dyDescent="0.35">
      <c r="A11" s="85" t="s">
        <v>5576</v>
      </c>
    </row>
    <row r="12" spans="1:1" ht="12.75" x14ac:dyDescent="0.35">
      <c r="A12" s="85" t="s">
        <v>2209</v>
      </c>
    </row>
    <row r="13" spans="1:1" ht="12.75" x14ac:dyDescent="0.35">
      <c r="A13" s="85" t="s">
        <v>5577</v>
      </c>
    </row>
    <row r="14" spans="1:1" ht="12.75" x14ac:dyDescent="0.35">
      <c r="A14" s="85" t="s">
        <v>2211</v>
      </c>
    </row>
    <row r="15" spans="1:1" ht="12.75" x14ac:dyDescent="0.35">
      <c r="A15" s="85" t="s">
        <v>2212</v>
      </c>
    </row>
    <row r="16" spans="1:1" ht="12.75" x14ac:dyDescent="0.35">
      <c r="A16" s="85" t="s">
        <v>2213</v>
      </c>
    </row>
    <row r="17" spans="1:1" ht="12.75" x14ac:dyDescent="0.35">
      <c r="A17" s="85" t="s">
        <v>2214</v>
      </c>
    </row>
    <row r="18" spans="1:1" ht="12.75" x14ac:dyDescent="0.35">
      <c r="A18" s="85" t="s">
        <v>2215</v>
      </c>
    </row>
    <row r="19" spans="1:1" ht="12.75" x14ac:dyDescent="0.35">
      <c r="A19" s="85" t="s">
        <v>2216</v>
      </c>
    </row>
    <row r="20" spans="1:1" ht="12.75" x14ac:dyDescent="0.35">
      <c r="A20" s="85" t="s">
        <v>2217</v>
      </c>
    </row>
    <row r="21" spans="1:1" ht="12.75" x14ac:dyDescent="0.35">
      <c r="A21" s="85" t="s">
        <v>5578</v>
      </c>
    </row>
    <row r="22" spans="1:1" ht="12.75" x14ac:dyDescent="0.35">
      <c r="A22" s="85" t="s">
        <v>2219</v>
      </c>
    </row>
    <row r="23" spans="1:1" ht="12.75" x14ac:dyDescent="0.35">
      <c r="A23" s="85" t="s">
        <v>2220</v>
      </c>
    </row>
    <row r="24" spans="1:1" ht="12.75" x14ac:dyDescent="0.35">
      <c r="A24" s="85" t="s">
        <v>2221</v>
      </c>
    </row>
    <row r="25" spans="1:1" ht="12.75" x14ac:dyDescent="0.35">
      <c r="A25" s="86"/>
    </row>
    <row r="26" spans="1:1" ht="12.75" x14ac:dyDescent="0.35">
      <c r="A26" s="85" t="s">
        <v>5579</v>
      </c>
    </row>
    <row r="27" spans="1:1" ht="12.75" x14ac:dyDescent="0.35">
      <c r="A27" s="85"/>
    </row>
    <row r="28" spans="1:1" ht="12.75" x14ac:dyDescent="0.35">
      <c r="A28" s="85" t="s">
        <v>2224</v>
      </c>
    </row>
    <row r="29" spans="1:1" ht="12.75" x14ac:dyDescent="0.35">
      <c r="A29" s="85" t="s">
        <v>5580</v>
      </c>
    </row>
    <row r="30" spans="1:1" ht="12.75" x14ac:dyDescent="0.35">
      <c r="A30" s="85" t="s">
        <v>2226</v>
      </c>
    </row>
    <row r="31" spans="1:1" ht="12.75" x14ac:dyDescent="0.35">
      <c r="A31" s="85" t="s">
        <v>2227</v>
      </c>
    </row>
    <row r="32" spans="1:1" ht="12.75" x14ac:dyDescent="0.35">
      <c r="A32" s="85" t="s">
        <v>5581</v>
      </c>
    </row>
    <row r="33" spans="1:1" ht="12.75" x14ac:dyDescent="0.35">
      <c r="A33" s="85" t="s">
        <v>2229</v>
      </c>
    </row>
    <row r="34" spans="1:1" ht="12.75" x14ac:dyDescent="0.35">
      <c r="A34" s="85" t="s">
        <v>2230</v>
      </c>
    </row>
    <row r="35" spans="1:1" ht="12.75" x14ac:dyDescent="0.35">
      <c r="A35" s="85" t="s">
        <v>2231</v>
      </c>
    </row>
    <row r="36" spans="1:1" ht="12.75" x14ac:dyDescent="0.35">
      <c r="A36" s="85" t="s">
        <v>2232</v>
      </c>
    </row>
    <row r="37" spans="1:1" ht="12.75" x14ac:dyDescent="0.35">
      <c r="A37" s="85" t="s">
        <v>2233</v>
      </c>
    </row>
    <row r="38" spans="1:1" ht="12.75" x14ac:dyDescent="0.35">
      <c r="A38" s="85" t="s">
        <v>2234</v>
      </c>
    </row>
    <row r="39" spans="1:1" ht="12.75" x14ac:dyDescent="0.35">
      <c r="A39" s="85" t="s">
        <v>2235</v>
      </c>
    </row>
    <row r="40" spans="1:1" ht="12.75" x14ac:dyDescent="0.35">
      <c r="A40" s="85" t="s">
        <v>5582</v>
      </c>
    </row>
    <row r="41" spans="1:1" ht="12.75" x14ac:dyDescent="0.35">
      <c r="A41" s="85" t="s">
        <v>2237</v>
      </c>
    </row>
    <row r="42" spans="1:1" ht="12.75" x14ac:dyDescent="0.35">
      <c r="A42" s="85" t="s">
        <v>2238</v>
      </c>
    </row>
    <row r="43" spans="1:1" ht="12.75" x14ac:dyDescent="0.35">
      <c r="A43" s="85" t="s">
        <v>2239</v>
      </c>
    </row>
    <row r="44" spans="1:1" ht="12.75" x14ac:dyDescent="0.35">
      <c r="A44" s="85" t="s">
        <v>5583</v>
      </c>
    </row>
    <row r="45" spans="1:1" ht="12.75" x14ac:dyDescent="0.35">
      <c r="A45" s="85" t="s">
        <v>2241</v>
      </c>
    </row>
    <row r="46" spans="1:1" ht="12.75" x14ac:dyDescent="0.35">
      <c r="A46" s="85" t="s">
        <v>2242</v>
      </c>
    </row>
    <row r="47" spans="1:1" ht="12.75" x14ac:dyDescent="0.35">
      <c r="A47" s="85" t="s">
        <v>2243</v>
      </c>
    </row>
    <row r="48" spans="1:1" ht="12.75" x14ac:dyDescent="0.35">
      <c r="A48" s="85" t="s">
        <v>2244</v>
      </c>
    </row>
    <row r="49" spans="1:1" ht="12.75" x14ac:dyDescent="0.35">
      <c r="A49" s="85" t="s">
        <v>2245</v>
      </c>
    </row>
    <row r="50" spans="1:1" ht="12.75" x14ac:dyDescent="0.35">
      <c r="A50" s="85" t="s">
        <v>2246</v>
      </c>
    </row>
    <row r="51" spans="1:1" ht="12.75" x14ac:dyDescent="0.35">
      <c r="A51" s="86"/>
    </row>
    <row r="52" spans="1:1" ht="12.75" x14ac:dyDescent="0.35">
      <c r="A52" s="85" t="s">
        <v>2248</v>
      </c>
    </row>
    <row r="53" spans="1:1" ht="12.75" x14ac:dyDescent="0.35">
      <c r="A53" s="85" t="s">
        <v>2249</v>
      </c>
    </row>
    <row r="54" spans="1:1" ht="12.75" x14ac:dyDescent="0.35">
      <c r="A54" s="85"/>
    </row>
    <row r="55" spans="1:1" ht="12.75" x14ac:dyDescent="0.35">
      <c r="A55" s="85" t="s">
        <v>2250</v>
      </c>
    </row>
    <row r="56" spans="1:1" ht="12.75" x14ac:dyDescent="0.35">
      <c r="A56" s="87" t="s">
        <v>2251</v>
      </c>
    </row>
    <row r="57" spans="1:1" ht="12.75" x14ac:dyDescent="0.35">
      <c r="A57" s="85" t="s">
        <v>2252</v>
      </c>
    </row>
    <row r="58" spans="1:1" ht="12.75" x14ac:dyDescent="0.35">
      <c r="A58" s="85" t="s">
        <v>5584</v>
      </c>
    </row>
    <row r="59" spans="1:1" ht="12.75" x14ac:dyDescent="0.35">
      <c r="A59" s="85" t="s">
        <v>2254</v>
      </c>
    </row>
    <row r="60" spans="1:1" ht="12.75" x14ac:dyDescent="0.35">
      <c r="A60" s="85" t="s">
        <v>2255</v>
      </c>
    </row>
    <row r="61" spans="1:1" ht="12.75" x14ac:dyDescent="0.35">
      <c r="A61" s="85" t="s">
        <v>2256</v>
      </c>
    </row>
    <row r="62" spans="1:1" ht="12.75" x14ac:dyDescent="0.35">
      <c r="A62" s="85" t="s">
        <v>2257</v>
      </c>
    </row>
    <row r="63" spans="1:1" ht="12.75" x14ac:dyDescent="0.35">
      <c r="A63" s="85" t="s">
        <v>2258</v>
      </c>
    </row>
    <row r="64" spans="1:1" ht="12.75" x14ac:dyDescent="0.35">
      <c r="A64" s="85" t="s">
        <v>5585</v>
      </c>
    </row>
    <row r="65" spans="1:1" ht="12.75" x14ac:dyDescent="0.35">
      <c r="A65" s="85" t="s">
        <v>2260</v>
      </c>
    </row>
    <row r="66" spans="1:1" ht="12.75" x14ac:dyDescent="0.35">
      <c r="A66" s="85" t="s">
        <v>2261</v>
      </c>
    </row>
    <row r="67" spans="1:1" ht="12.75" x14ac:dyDescent="0.35">
      <c r="A67" s="85" t="s">
        <v>5586</v>
      </c>
    </row>
    <row r="68" spans="1:1" ht="12.75" x14ac:dyDescent="0.35">
      <c r="A68" s="85" t="s">
        <v>5587</v>
      </c>
    </row>
    <row r="69" spans="1:1" ht="12.75" x14ac:dyDescent="0.35">
      <c r="A69" s="85" t="s">
        <v>5588</v>
      </c>
    </row>
    <row r="70" spans="1:1" ht="12.75" x14ac:dyDescent="0.35">
      <c r="A70" s="85" t="s">
        <v>5589</v>
      </c>
    </row>
    <row r="71" spans="1:1" ht="12.75" x14ac:dyDescent="0.35">
      <c r="A71" s="85" t="s">
        <v>2266</v>
      </c>
    </row>
    <row r="72" spans="1:1" ht="12.75" x14ac:dyDescent="0.35">
      <c r="A72" s="85" t="s">
        <v>2267</v>
      </c>
    </row>
    <row r="73" spans="1:1" ht="12.75" x14ac:dyDescent="0.35">
      <c r="A73" s="85" t="s">
        <v>2268</v>
      </c>
    </row>
    <row r="74" spans="1:1" ht="12.75" x14ac:dyDescent="0.35">
      <c r="A74" s="85" t="s">
        <v>2269</v>
      </c>
    </row>
    <row r="75" spans="1:1" ht="12.75" x14ac:dyDescent="0.35">
      <c r="A75" s="85" t="s">
        <v>2270</v>
      </c>
    </row>
    <row r="76" spans="1:1" ht="12.75" x14ac:dyDescent="0.35">
      <c r="A76" s="85" t="s">
        <v>2271</v>
      </c>
    </row>
    <row r="77" spans="1:1" ht="12.75" x14ac:dyDescent="0.35">
      <c r="A77" s="86"/>
    </row>
    <row r="78" spans="1:1" ht="12.75" x14ac:dyDescent="0.35">
      <c r="A78" s="85" t="s">
        <v>5590</v>
      </c>
    </row>
    <row r="79" spans="1:1" ht="12.75" x14ac:dyDescent="0.35">
      <c r="A79" s="85" t="s">
        <v>5591</v>
      </c>
    </row>
    <row r="80" spans="1:1" ht="12.75" x14ac:dyDescent="0.35">
      <c r="A80" s="85" t="s">
        <v>2275</v>
      </c>
    </row>
    <row r="81" spans="1:1" ht="12.75" x14ac:dyDescent="0.35">
      <c r="A81" s="85"/>
    </row>
    <row r="82" spans="1:1" ht="12.75" x14ac:dyDescent="0.35">
      <c r="A82" s="85" t="s">
        <v>2276</v>
      </c>
    </row>
    <row r="83" spans="1:1" ht="12.75" x14ac:dyDescent="0.35">
      <c r="A83" s="85" t="s">
        <v>2277</v>
      </c>
    </row>
    <row r="84" spans="1:1" ht="12.75" x14ac:dyDescent="0.35">
      <c r="A84" s="85" t="s">
        <v>2278</v>
      </c>
    </row>
    <row r="85" spans="1:1" ht="12.75" x14ac:dyDescent="0.35">
      <c r="A85" s="85" t="s">
        <v>2279</v>
      </c>
    </row>
    <row r="86" spans="1:1" ht="12.75" x14ac:dyDescent="0.35">
      <c r="A86" s="87" t="s">
        <v>2280</v>
      </c>
    </row>
    <row r="87" spans="1:1" ht="12.75" x14ac:dyDescent="0.35">
      <c r="A87" s="85" t="s">
        <v>2281</v>
      </c>
    </row>
    <row r="88" spans="1:1" ht="12.75" x14ac:dyDescent="0.35">
      <c r="A88" s="85" t="s">
        <v>5592</v>
      </c>
    </row>
    <row r="89" spans="1:1" ht="12.75" x14ac:dyDescent="0.35">
      <c r="A89" s="85" t="s">
        <v>2283</v>
      </c>
    </row>
    <row r="90" spans="1:1" ht="12.75" x14ac:dyDescent="0.35">
      <c r="A90" s="85" t="s">
        <v>2284</v>
      </c>
    </row>
    <row r="91" spans="1:1" ht="12.75" x14ac:dyDescent="0.35">
      <c r="A91" s="85" t="s">
        <v>2285</v>
      </c>
    </row>
    <row r="92" spans="1:1" ht="12.75" x14ac:dyDescent="0.35">
      <c r="A92" s="85" t="s">
        <v>2286</v>
      </c>
    </row>
    <row r="93" spans="1:1" ht="12.75" x14ac:dyDescent="0.35">
      <c r="A93" s="85" t="s">
        <v>5593</v>
      </c>
    </row>
    <row r="94" spans="1:1" ht="12.75" x14ac:dyDescent="0.35">
      <c r="A94" s="85" t="s">
        <v>2288</v>
      </c>
    </row>
    <row r="95" spans="1:1" ht="12.75" x14ac:dyDescent="0.35">
      <c r="A95" s="85" t="s">
        <v>2289</v>
      </c>
    </row>
    <row r="96" spans="1:1" ht="12.75" x14ac:dyDescent="0.35">
      <c r="A96" s="85" t="s">
        <v>2290</v>
      </c>
    </row>
    <row r="97" spans="1:1" ht="12.75" x14ac:dyDescent="0.35">
      <c r="A97" s="85" t="s">
        <v>2291</v>
      </c>
    </row>
    <row r="98" spans="1:1" ht="12.75" x14ac:dyDescent="0.35">
      <c r="A98" s="85" t="s">
        <v>2292</v>
      </c>
    </row>
    <row r="99" spans="1:1" ht="12.75" x14ac:dyDescent="0.35">
      <c r="A99" s="85" t="s">
        <v>2293</v>
      </c>
    </row>
    <row r="100" spans="1:1" ht="12.75" x14ac:dyDescent="0.35">
      <c r="A100" s="85" t="s">
        <v>2294</v>
      </c>
    </row>
    <row r="101" spans="1:1" ht="12.75" x14ac:dyDescent="0.35">
      <c r="A101" s="85" t="s">
        <v>2295</v>
      </c>
    </row>
    <row r="102" spans="1:1" ht="12.75" x14ac:dyDescent="0.35">
      <c r="A102" s="85" t="s">
        <v>2296</v>
      </c>
    </row>
    <row r="103" spans="1:1" ht="12.75" x14ac:dyDescent="0.35">
      <c r="A103" s="86"/>
    </row>
    <row r="104" spans="1:1" ht="12.75" x14ac:dyDescent="0.35">
      <c r="A104" s="85" t="s">
        <v>2298</v>
      </c>
    </row>
    <row r="105" spans="1:1" ht="12.75" x14ac:dyDescent="0.35">
      <c r="A105" s="85" t="s">
        <v>5594</v>
      </c>
    </row>
    <row r="106" spans="1:1" ht="12.75" x14ac:dyDescent="0.35">
      <c r="A106" s="87" t="s">
        <v>5595</v>
      </c>
    </row>
    <row r="107" spans="1:1" ht="12.75" x14ac:dyDescent="0.35">
      <c r="A107" s="85" t="s">
        <v>5596</v>
      </c>
    </row>
    <row r="108" spans="1:1" ht="12.75" x14ac:dyDescent="0.35">
      <c r="A108" s="85"/>
    </row>
    <row r="109" spans="1:1" ht="12.75" x14ac:dyDescent="0.35">
      <c r="A109" s="85" t="s">
        <v>2302</v>
      </c>
    </row>
    <row r="110" spans="1:1" ht="12.75" x14ac:dyDescent="0.35">
      <c r="A110" s="85" t="s">
        <v>2303</v>
      </c>
    </row>
    <row r="111" spans="1:1" ht="12.75" x14ac:dyDescent="0.35">
      <c r="A111" s="85" t="s">
        <v>2304</v>
      </c>
    </row>
    <row r="112" spans="1:1" ht="12.75" x14ac:dyDescent="0.35">
      <c r="A112" s="85" t="s">
        <v>2305</v>
      </c>
    </row>
    <row r="113" spans="1:1" ht="12.75" x14ac:dyDescent="0.35">
      <c r="A113" s="85" t="s">
        <v>2306</v>
      </c>
    </row>
    <row r="114" spans="1:1" ht="12.75" x14ac:dyDescent="0.35">
      <c r="A114" s="85" t="s">
        <v>2307</v>
      </c>
    </row>
    <row r="115" spans="1:1" ht="12.75" x14ac:dyDescent="0.35">
      <c r="A115" s="85" t="s">
        <v>5597</v>
      </c>
    </row>
    <row r="116" spans="1:1" ht="12.75" x14ac:dyDescent="0.35">
      <c r="A116" s="85" t="s">
        <v>5598</v>
      </c>
    </row>
    <row r="117" spans="1:1" ht="12.75" x14ac:dyDescent="0.35">
      <c r="A117" s="85" t="s">
        <v>2310</v>
      </c>
    </row>
    <row r="118" spans="1:1" ht="12.75" x14ac:dyDescent="0.35">
      <c r="A118" s="85" t="s">
        <v>2311</v>
      </c>
    </row>
    <row r="119" spans="1:1" ht="12.75" x14ac:dyDescent="0.35">
      <c r="A119" s="85" t="s">
        <v>2312</v>
      </c>
    </row>
    <row r="120" spans="1:1" ht="12.75" x14ac:dyDescent="0.35">
      <c r="A120" s="85" t="s">
        <v>2313</v>
      </c>
    </row>
    <row r="121" spans="1:1" ht="12.75" x14ac:dyDescent="0.35">
      <c r="A121" s="85" t="s">
        <v>2314</v>
      </c>
    </row>
    <row r="122" spans="1:1" ht="12.75" x14ac:dyDescent="0.35">
      <c r="A122" s="85" t="s">
        <v>5599</v>
      </c>
    </row>
    <row r="123" spans="1:1" ht="12.75" x14ac:dyDescent="0.35">
      <c r="A123" s="85" t="s">
        <v>2316</v>
      </c>
    </row>
    <row r="124" spans="1:1" ht="12.75" x14ac:dyDescent="0.35">
      <c r="A124" s="85" t="s">
        <v>2317</v>
      </c>
    </row>
    <row r="125" spans="1:1" ht="12.75" x14ac:dyDescent="0.35">
      <c r="A125" s="85" t="s">
        <v>5600</v>
      </c>
    </row>
    <row r="126" spans="1:1" ht="12.75" x14ac:dyDescent="0.35">
      <c r="A126" s="85" t="s">
        <v>2319</v>
      </c>
    </row>
    <row r="127" spans="1:1" ht="12.75" x14ac:dyDescent="0.35">
      <c r="A127" s="85" t="s">
        <v>2320</v>
      </c>
    </row>
    <row r="128" spans="1:1" ht="12.75" x14ac:dyDescent="0.35">
      <c r="A128" s="85" t="s">
        <v>2321</v>
      </c>
    </row>
    <row r="129" spans="1:1" ht="12.75" x14ac:dyDescent="0.35">
      <c r="A129" s="86"/>
    </row>
    <row r="130" spans="1:1" ht="12.75" x14ac:dyDescent="0.35">
      <c r="A130" s="85" t="s">
        <v>2323</v>
      </c>
    </row>
    <row r="131" spans="1:1" ht="12.75" x14ac:dyDescent="0.35">
      <c r="A131" s="85" t="s">
        <v>2324</v>
      </c>
    </row>
    <row r="132" spans="1:1" ht="12.75" x14ac:dyDescent="0.35">
      <c r="A132" s="85" t="s">
        <v>5601</v>
      </c>
    </row>
    <row r="133" spans="1:1" ht="12.75" x14ac:dyDescent="0.35">
      <c r="A133" s="85" t="s">
        <v>2326</v>
      </c>
    </row>
    <row r="134" spans="1:1" ht="12.75" x14ac:dyDescent="0.35">
      <c r="A134" s="85" t="s">
        <v>5602</v>
      </c>
    </row>
    <row r="135" spans="1:1" ht="12.75" x14ac:dyDescent="0.35">
      <c r="A135" s="85"/>
    </row>
    <row r="136" spans="1:1" ht="12.75" x14ac:dyDescent="0.35">
      <c r="A136" s="85" t="s">
        <v>2328</v>
      </c>
    </row>
    <row r="137" spans="1:1" ht="12.75" x14ac:dyDescent="0.35">
      <c r="A137" s="85" t="s">
        <v>2329</v>
      </c>
    </row>
    <row r="138" spans="1:1" ht="12.75" x14ac:dyDescent="0.35">
      <c r="A138" s="85" t="s">
        <v>2330</v>
      </c>
    </row>
    <row r="139" spans="1:1" ht="12.75" x14ac:dyDescent="0.35">
      <c r="A139" s="85" t="s">
        <v>5603</v>
      </c>
    </row>
    <row r="140" spans="1:1" ht="12.75" x14ac:dyDescent="0.35">
      <c r="A140" s="85" t="s">
        <v>2332</v>
      </c>
    </row>
    <row r="141" spans="1:1" ht="12.75" x14ac:dyDescent="0.35">
      <c r="A141" s="85" t="s">
        <v>2333</v>
      </c>
    </row>
    <row r="142" spans="1:1" ht="12.75" x14ac:dyDescent="0.35">
      <c r="A142" s="85" t="s">
        <v>2334</v>
      </c>
    </row>
    <row r="143" spans="1:1" ht="12.75" x14ac:dyDescent="0.35">
      <c r="A143" s="85" t="s">
        <v>5604</v>
      </c>
    </row>
    <row r="144" spans="1:1" ht="12.75" x14ac:dyDescent="0.35">
      <c r="A144" s="85" t="s">
        <v>2336</v>
      </c>
    </row>
    <row r="145" spans="1:1" ht="12.75" x14ac:dyDescent="0.35">
      <c r="A145" s="85" t="s">
        <v>2337</v>
      </c>
    </row>
    <row r="146" spans="1:1" ht="12.75" x14ac:dyDescent="0.35">
      <c r="A146" s="85" t="s">
        <v>2338</v>
      </c>
    </row>
    <row r="147" spans="1:1" ht="12.75" x14ac:dyDescent="0.35">
      <c r="A147" s="85" t="s">
        <v>5605</v>
      </c>
    </row>
    <row r="148" spans="1:1" ht="12.75" x14ac:dyDescent="0.35">
      <c r="A148" s="85" t="s">
        <v>2340</v>
      </c>
    </row>
    <row r="149" spans="1:1" ht="12.75" x14ac:dyDescent="0.35">
      <c r="A149" s="85" t="s">
        <v>5606</v>
      </c>
    </row>
    <row r="150" spans="1:1" ht="15.75" customHeight="1" x14ac:dyDescent="0.4">
      <c r="A150" s="88" t="s">
        <v>2342</v>
      </c>
    </row>
    <row r="151" spans="1:1" ht="12.75" x14ac:dyDescent="0.35">
      <c r="A151" s="85" t="s">
        <v>5607</v>
      </c>
    </row>
    <row r="152" spans="1:1" ht="12.75" x14ac:dyDescent="0.35">
      <c r="A152" s="85" t="s">
        <v>2344</v>
      </c>
    </row>
    <row r="153" spans="1:1" ht="12.75" x14ac:dyDescent="0.35">
      <c r="A153" s="85" t="s">
        <v>2345</v>
      </c>
    </row>
    <row r="154" spans="1:1" ht="12.75" x14ac:dyDescent="0.35">
      <c r="A154" s="85" t="s">
        <v>5608</v>
      </c>
    </row>
    <row r="155" spans="1:1" ht="12.75" x14ac:dyDescent="0.35">
      <c r="A155" s="86"/>
    </row>
    <row r="156" spans="1:1" ht="12.75" x14ac:dyDescent="0.35">
      <c r="A156" s="85" t="s">
        <v>2348</v>
      </c>
    </row>
    <row r="157" spans="1:1" ht="12.75" x14ac:dyDescent="0.35">
      <c r="A157" s="85" t="s">
        <v>2349</v>
      </c>
    </row>
    <row r="158" spans="1:1" ht="12.75" x14ac:dyDescent="0.35">
      <c r="A158" s="85" t="s">
        <v>5609</v>
      </c>
    </row>
    <row r="159" spans="1:1" ht="12.75" x14ac:dyDescent="0.35">
      <c r="A159" s="85" t="s">
        <v>2351</v>
      </c>
    </row>
    <row r="160" spans="1:1" ht="12.75" x14ac:dyDescent="0.35">
      <c r="A160" s="85" t="s">
        <v>2352</v>
      </c>
    </row>
    <row r="161" spans="1:1" ht="12.75" x14ac:dyDescent="0.35">
      <c r="A161" s="85" t="s">
        <v>2353</v>
      </c>
    </row>
    <row r="162" spans="1:1" ht="12.75" x14ac:dyDescent="0.35">
      <c r="A162" s="85"/>
    </row>
    <row r="163" spans="1:1" ht="12.75" x14ac:dyDescent="0.35">
      <c r="A163" s="85" t="s">
        <v>2354</v>
      </c>
    </row>
    <row r="164" spans="1:1" ht="12.75" x14ac:dyDescent="0.35">
      <c r="A164" s="85" t="s">
        <v>2355</v>
      </c>
    </row>
    <row r="165" spans="1:1" ht="12.75" x14ac:dyDescent="0.35">
      <c r="A165" s="85" t="s">
        <v>2356</v>
      </c>
    </row>
    <row r="166" spans="1:1" ht="12.75" x14ac:dyDescent="0.35">
      <c r="A166" s="85" t="s">
        <v>2357</v>
      </c>
    </row>
    <row r="167" spans="1:1" ht="12.75" x14ac:dyDescent="0.35">
      <c r="A167" s="85" t="s">
        <v>5610</v>
      </c>
    </row>
    <row r="168" spans="1:1" ht="12.75" x14ac:dyDescent="0.35">
      <c r="A168" s="85" t="s">
        <v>2359</v>
      </c>
    </row>
    <row r="169" spans="1:1" ht="12.75" x14ac:dyDescent="0.35">
      <c r="A169" s="85" t="s">
        <v>5611</v>
      </c>
    </row>
    <row r="170" spans="1:1" ht="12.75" x14ac:dyDescent="0.35">
      <c r="A170" s="85" t="s">
        <v>2361</v>
      </c>
    </row>
    <row r="171" spans="1:1" ht="12.75" x14ac:dyDescent="0.35">
      <c r="A171" s="85" t="s">
        <v>5612</v>
      </c>
    </row>
    <row r="172" spans="1:1" ht="12.75" x14ac:dyDescent="0.35">
      <c r="A172" s="85" t="s">
        <v>2363</v>
      </c>
    </row>
    <row r="173" spans="1:1" ht="12.75" x14ac:dyDescent="0.35">
      <c r="A173" s="85" t="s">
        <v>2364</v>
      </c>
    </row>
    <row r="174" spans="1:1" ht="12.75" x14ac:dyDescent="0.35">
      <c r="A174" s="85" t="s">
        <v>2365</v>
      </c>
    </row>
    <row r="175" spans="1:1" ht="12.75" x14ac:dyDescent="0.35">
      <c r="A175" s="87" t="s">
        <v>2366</v>
      </c>
    </row>
    <row r="176" spans="1:1" ht="12.75" x14ac:dyDescent="0.35">
      <c r="A176" s="87" t="s">
        <v>2367</v>
      </c>
    </row>
    <row r="177" spans="1:1" ht="12.75" x14ac:dyDescent="0.35">
      <c r="A177" s="85" t="s">
        <v>5613</v>
      </c>
    </row>
    <row r="178" spans="1:1" ht="12.75" x14ac:dyDescent="0.35">
      <c r="A178" s="85" t="s">
        <v>5614</v>
      </c>
    </row>
    <row r="179" spans="1:1" ht="12.75" x14ac:dyDescent="0.35">
      <c r="A179" s="85" t="s">
        <v>2370</v>
      </c>
    </row>
    <row r="180" spans="1:1" ht="12.75" x14ac:dyDescent="0.35">
      <c r="A180" s="85" t="s">
        <v>5615</v>
      </c>
    </row>
    <row r="181" spans="1:1" ht="12.75" x14ac:dyDescent="0.35">
      <c r="A181" s="86"/>
    </row>
    <row r="182" spans="1:1" ht="12.75" x14ac:dyDescent="0.35">
      <c r="A182" s="85" t="s">
        <v>2373</v>
      </c>
    </row>
    <row r="183" spans="1:1" ht="12.75" x14ac:dyDescent="0.35">
      <c r="A183" s="85" t="s">
        <v>2374</v>
      </c>
    </row>
    <row r="184" spans="1:1" ht="12.75" x14ac:dyDescent="0.35">
      <c r="A184" s="85" t="s">
        <v>2375</v>
      </c>
    </row>
    <row r="185" spans="1:1" ht="12.75" x14ac:dyDescent="0.35">
      <c r="A185" s="85" t="s">
        <v>2376</v>
      </c>
    </row>
    <row r="186" spans="1:1" ht="12.75" x14ac:dyDescent="0.35">
      <c r="A186" s="85" t="s">
        <v>5616</v>
      </c>
    </row>
    <row r="187" spans="1:1" ht="12.75" x14ac:dyDescent="0.35">
      <c r="A187" s="85" t="s">
        <v>2378</v>
      </c>
    </row>
    <row r="188" spans="1:1" ht="12.75" x14ac:dyDescent="0.35">
      <c r="A188" s="85" t="s">
        <v>799</v>
      </c>
    </row>
    <row r="189" spans="1:1" ht="12.75" x14ac:dyDescent="0.35">
      <c r="A189" s="85"/>
    </row>
    <row r="190" spans="1:1" ht="12.75" x14ac:dyDescent="0.35">
      <c r="A190" s="85" t="s">
        <v>2379</v>
      </c>
    </row>
    <row r="191" spans="1:1" ht="12.75" x14ac:dyDescent="0.35">
      <c r="A191" s="85" t="s">
        <v>2380</v>
      </c>
    </row>
    <row r="192" spans="1:1" ht="12.75" x14ac:dyDescent="0.35">
      <c r="A192" s="85" t="s">
        <v>2381</v>
      </c>
    </row>
    <row r="193" spans="1:1" ht="12.75" x14ac:dyDescent="0.35">
      <c r="A193" s="85" t="s">
        <v>5617</v>
      </c>
    </row>
    <row r="194" spans="1:1" ht="12.75" x14ac:dyDescent="0.35">
      <c r="A194" s="85" t="s">
        <v>2383</v>
      </c>
    </row>
    <row r="195" spans="1:1" ht="12.75" x14ac:dyDescent="0.35">
      <c r="A195" s="85" t="s">
        <v>2384</v>
      </c>
    </row>
    <row r="196" spans="1:1" ht="12.75" x14ac:dyDescent="0.35">
      <c r="A196" s="85" t="s">
        <v>5618</v>
      </c>
    </row>
    <row r="197" spans="1:1" ht="12.75" x14ac:dyDescent="0.35">
      <c r="A197" s="85" t="s">
        <v>2386</v>
      </c>
    </row>
    <row r="198" spans="1:1" ht="12.75" x14ac:dyDescent="0.35">
      <c r="A198" s="85" t="s">
        <v>2387</v>
      </c>
    </row>
    <row r="199" spans="1:1" ht="12.75" x14ac:dyDescent="0.35">
      <c r="A199" s="85" t="s">
        <v>2388</v>
      </c>
    </row>
    <row r="200" spans="1:1" ht="12.75" x14ac:dyDescent="0.35">
      <c r="A200" s="85" t="s">
        <v>2389</v>
      </c>
    </row>
    <row r="201" spans="1:1" ht="12.75" x14ac:dyDescent="0.35">
      <c r="A201" s="85" t="s">
        <v>2390</v>
      </c>
    </row>
    <row r="202" spans="1:1" ht="12.75" x14ac:dyDescent="0.35">
      <c r="A202" s="85" t="s">
        <v>2391</v>
      </c>
    </row>
    <row r="203" spans="1:1" ht="12.75" x14ac:dyDescent="0.35">
      <c r="A203" s="85" t="s">
        <v>5619</v>
      </c>
    </row>
    <row r="204" spans="1:1" ht="12.75" x14ac:dyDescent="0.35">
      <c r="A204" s="85" t="s">
        <v>2393</v>
      </c>
    </row>
    <row r="205" spans="1:1" ht="12.75" x14ac:dyDescent="0.35">
      <c r="A205" s="85" t="s">
        <v>2394</v>
      </c>
    </row>
    <row r="206" spans="1:1" ht="12.75" x14ac:dyDescent="0.35">
      <c r="A206" s="85" t="s">
        <v>5620</v>
      </c>
    </row>
    <row r="207" spans="1:1" ht="12.75" x14ac:dyDescent="0.35">
      <c r="A207" s="86"/>
    </row>
    <row r="208" spans="1:1" ht="12.75" x14ac:dyDescent="0.35">
      <c r="A208" s="85" t="s">
        <v>5621</v>
      </c>
    </row>
    <row r="209" spans="1:1" ht="12.75" x14ac:dyDescent="0.35">
      <c r="A209" s="85" t="s">
        <v>5622</v>
      </c>
    </row>
    <row r="210" spans="1:1" ht="12.75" x14ac:dyDescent="0.35">
      <c r="A210" s="87" t="s">
        <v>5623</v>
      </c>
    </row>
    <row r="211" spans="1:1" ht="12.75" x14ac:dyDescent="0.35">
      <c r="A211" s="85" t="s">
        <v>5624</v>
      </c>
    </row>
    <row r="212" spans="1:1" ht="12.75" x14ac:dyDescent="0.35">
      <c r="A212" s="85" t="s">
        <v>2401</v>
      </c>
    </row>
    <row r="213" spans="1:1" ht="12.75" x14ac:dyDescent="0.35">
      <c r="A213" s="85" t="s">
        <v>5625</v>
      </c>
    </row>
    <row r="214" spans="1:1" ht="12.75" x14ac:dyDescent="0.35">
      <c r="A214" s="85" t="s">
        <v>2403</v>
      </c>
    </row>
    <row r="215" spans="1:1" ht="12.75" x14ac:dyDescent="0.35">
      <c r="A215" s="85" t="s">
        <v>5626</v>
      </c>
    </row>
    <row r="216" spans="1:1" ht="12.75" x14ac:dyDescent="0.35">
      <c r="A216" s="85"/>
    </row>
    <row r="217" spans="1:1" ht="12.75" x14ac:dyDescent="0.35">
      <c r="A217" s="85" t="s">
        <v>2405</v>
      </c>
    </row>
    <row r="218" spans="1:1" ht="12.75" x14ac:dyDescent="0.35">
      <c r="A218" s="85" t="s">
        <v>2406</v>
      </c>
    </row>
    <row r="219" spans="1:1" ht="12.75" x14ac:dyDescent="0.35">
      <c r="A219" s="85" t="s">
        <v>5627</v>
      </c>
    </row>
    <row r="220" spans="1:1" ht="12.75" x14ac:dyDescent="0.35">
      <c r="A220" s="85" t="s">
        <v>2408</v>
      </c>
    </row>
    <row r="221" spans="1:1" ht="12.75" x14ac:dyDescent="0.35">
      <c r="A221" s="85" t="s">
        <v>2409</v>
      </c>
    </row>
    <row r="222" spans="1:1" ht="12.75" x14ac:dyDescent="0.35">
      <c r="A222" s="85" t="s">
        <v>2410</v>
      </c>
    </row>
    <row r="223" spans="1:1" ht="12.75" x14ac:dyDescent="0.35">
      <c r="A223" s="85" t="s">
        <v>2411</v>
      </c>
    </row>
    <row r="224" spans="1:1" ht="12.75" x14ac:dyDescent="0.35">
      <c r="A224" s="85" t="s">
        <v>5628</v>
      </c>
    </row>
    <row r="225" spans="1:1" ht="12.75" x14ac:dyDescent="0.35">
      <c r="A225" s="85" t="s">
        <v>2413</v>
      </c>
    </row>
    <row r="226" spans="1:1" ht="12.75" x14ac:dyDescent="0.35">
      <c r="A226" s="85" t="s">
        <v>2414</v>
      </c>
    </row>
    <row r="227" spans="1:1" ht="12.75" x14ac:dyDescent="0.35">
      <c r="A227" s="85" t="s">
        <v>2415</v>
      </c>
    </row>
    <row r="228" spans="1:1" ht="12.75" x14ac:dyDescent="0.35">
      <c r="A228" s="85" t="s">
        <v>5629</v>
      </c>
    </row>
    <row r="229" spans="1:1" ht="12.75" x14ac:dyDescent="0.35">
      <c r="A229" s="85" t="s">
        <v>5630</v>
      </c>
    </row>
    <row r="230" spans="1:1" ht="12.75" x14ac:dyDescent="0.35">
      <c r="A230" s="85" t="s">
        <v>2418</v>
      </c>
    </row>
    <row r="231" spans="1:1" ht="12.75" x14ac:dyDescent="0.35">
      <c r="A231" s="85" t="s">
        <v>5631</v>
      </c>
    </row>
    <row r="232" spans="1:1" ht="12.75" x14ac:dyDescent="0.35">
      <c r="A232" s="85" t="s">
        <v>2420</v>
      </c>
    </row>
    <row r="233" spans="1:1" ht="12.75" x14ac:dyDescent="0.35">
      <c r="A233" s="86"/>
    </row>
    <row r="234" spans="1:1" ht="12.75" x14ac:dyDescent="0.35">
      <c r="A234" s="85" t="s">
        <v>2422</v>
      </c>
    </row>
    <row r="235" spans="1:1" ht="12.75" x14ac:dyDescent="0.35">
      <c r="A235" s="85" t="s">
        <v>5632</v>
      </c>
    </row>
    <row r="236" spans="1:1" ht="12.75" x14ac:dyDescent="0.35">
      <c r="A236" s="85" t="s">
        <v>2424</v>
      </c>
    </row>
    <row r="237" spans="1:1" ht="12.75" x14ac:dyDescent="0.35">
      <c r="A237" s="85" t="s">
        <v>2425</v>
      </c>
    </row>
    <row r="238" spans="1:1" ht="12.75" x14ac:dyDescent="0.35">
      <c r="A238" s="85" t="s">
        <v>2426</v>
      </c>
    </row>
    <row r="239" spans="1:1" ht="12.75" x14ac:dyDescent="0.35">
      <c r="A239" s="85" t="s">
        <v>2427</v>
      </c>
    </row>
    <row r="240" spans="1:1" ht="12.75" x14ac:dyDescent="0.35">
      <c r="A240" s="85" t="s">
        <v>2428</v>
      </c>
    </row>
    <row r="241" spans="1:1" ht="12.75" x14ac:dyDescent="0.35">
      <c r="A241" s="85" t="s">
        <v>2429</v>
      </c>
    </row>
    <row r="242" spans="1:1" ht="12.75" x14ac:dyDescent="0.35">
      <c r="A242" s="85" t="s">
        <v>2430</v>
      </c>
    </row>
    <row r="243" spans="1:1" ht="12.75" x14ac:dyDescent="0.35">
      <c r="A243" s="89"/>
    </row>
    <row r="244" spans="1:1" ht="12.75" x14ac:dyDescent="0.35">
      <c r="A244" s="85" t="s">
        <v>2431</v>
      </c>
    </row>
    <row r="245" spans="1:1" ht="12.75" x14ac:dyDescent="0.35">
      <c r="A245" s="90" t="s">
        <v>2432</v>
      </c>
    </row>
    <row r="246" spans="1:1" ht="12.75" x14ac:dyDescent="0.35">
      <c r="A246" s="87" t="s">
        <v>2433</v>
      </c>
    </row>
    <row r="247" spans="1:1" ht="12.75" x14ac:dyDescent="0.35">
      <c r="A247" s="85" t="s">
        <v>5633</v>
      </c>
    </row>
    <row r="248" spans="1:1" ht="12.75" x14ac:dyDescent="0.35">
      <c r="A248" s="85" t="s">
        <v>2435</v>
      </c>
    </row>
    <row r="249" spans="1:1" ht="12.75" x14ac:dyDescent="0.35">
      <c r="A249" s="85" t="s">
        <v>2436</v>
      </c>
    </row>
    <row r="250" spans="1:1" ht="12.75" x14ac:dyDescent="0.35">
      <c r="A250" s="85" t="s">
        <v>5634</v>
      </c>
    </row>
    <row r="251" spans="1:1" ht="12.75" x14ac:dyDescent="0.35">
      <c r="A251" s="85" t="s">
        <v>2438</v>
      </c>
    </row>
    <row r="252" spans="1:1" ht="12.75" x14ac:dyDescent="0.35">
      <c r="A252" s="87" t="s">
        <v>2439</v>
      </c>
    </row>
    <row r="253" spans="1:1" ht="12.75" x14ac:dyDescent="0.35">
      <c r="A253" s="85" t="s">
        <v>2440</v>
      </c>
    </row>
    <row r="254" spans="1:1" ht="12.75" x14ac:dyDescent="0.35">
      <c r="A254" s="87" t="s">
        <v>2441</v>
      </c>
    </row>
    <row r="255" spans="1:1" ht="12.75" x14ac:dyDescent="0.35">
      <c r="A255" s="85" t="s">
        <v>2442</v>
      </c>
    </row>
    <row r="256" spans="1:1" ht="12.75" x14ac:dyDescent="0.35">
      <c r="A256" s="85" t="s">
        <v>2443</v>
      </c>
    </row>
    <row r="257" spans="1:1" ht="12.75" x14ac:dyDescent="0.35">
      <c r="A257" s="85" t="s">
        <v>2444</v>
      </c>
    </row>
    <row r="258" spans="1:1" ht="12.75" x14ac:dyDescent="0.35">
      <c r="A258" s="85" t="s">
        <v>2445</v>
      </c>
    </row>
    <row r="259" spans="1:1" ht="12.75" x14ac:dyDescent="0.35">
      <c r="A259" s="86"/>
    </row>
    <row r="260" spans="1:1" ht="12.75" x14ac:dyDescent="0.35">
      <c r="A260" s="85" t="s">
        <v>2447</v>
      </c>
    </row>
    <row r="261" spans="1:1" ht="12.75" x14ac:dyDescent="0.35">
      <c r="A261" s="85" t="s">
        <v>2448</v>
      </c>
    </row>
    <row r="262" spans="1:1" ht="12.75" x14ac:dyDescent="0.35">
      <c r="A262" s="85" t="s">
        <v>2449</v>
      </c>
    </row>
    <row r="263" spans="1:1" ht="12.75" x14ac:dyDescent="0.35">
      <c r="A263" s="85" t="s">
        <v>2450</v>
      </c>
    </row>
    <row r="264" spans="1:1" ht="12.75" x14ac:dyDescent="0.35">
      <c r="A264" s="85" t="s">
        <v>2451</v>
      </c>
    </row>
    <row r="265" spans="1:1" ht="12.75" x14ac:dyDescent="0.35">
      <c r="A265" s="85" t="s">
        <v>2452</v>
      </c>
    </row>
    <row r="266" spans="1:1" ht="12.75" x14ac:dyDescent="0.35">
      <c r="A266" s="85" t="s">
        <v>5635</v>
      </c>
    </row>
    <row r="267" spans="1:1" ht="12.75" x14ac:dyDescent="0.35">
      <c r="A267" s="85" t="s">
        <v>2454</v>
      </c>
    </row>
    <row r="268" spans="1:1" ht="12.75" x14ac:dyDescent="0.35">
      <c r="A268" s="85" t="s">
        <v>2455</v>
      </c>
    </row>
    <row r="269" spans="1:1" ht="12.75" x14ac:dyDescent="0.35">
      <c r="A269" s="85" t="s">
        <v>5636</v>
      </c>
    </row>
    <row r="270" spans="1:1" ht="12.75" x14ac:dyDescent="0.35">
      <c r="A270" s="85"/>
    </row>
    <row r="271" spans="1:1" ht="12.75" x14ac:dyDescent="0.35">
      <c r="A271" s="85" t="s">
        <v>2457</v>
      </c>
    </row>
    <row r="272" spans="1:1" ht="12.75" x14ac:dyDescent="0.35">
      <c r="A272" s="85" t="s">
        <v>2458</v>
      </c>
    </row>
    <row r="273" spans="1:1" ht="12.75" x14ac:dyDescent="0.35">
      <c r="A273" s="85" t="s">
        <v>2459</v>
      </c>
    </row>
    <row r="274" spans="1:1" ht="12.75" x14ac:dyDescent="0.35">
      <c r="A274" s="85" t="s">
        <v>2460</v>
      </c>
    </row>
    <row r="275" spans="1:1" ht="12.75" x14ac:dyDescent="0.35">
      <c r="A275" s="85" t="s">
        <v>2461</v>
      </c>
    </row>
    <row r="276" spans="1:1" ht="12.75" x14ac:dyDescent="0.35">
      <c r="A276" s="85" t="s">
        <v>2462</v>
      </c>
    </row>
    <row r="277" spans="1:1" ht="12.75" x14ac:dyDescent="0.35">
      <c r="A277" s="85" t="s">
        <v>2463</v>
      </c>
    </row>
    <row r="278" spans="1:1" ht="12.75" x14ac:dyDescent="0.35">
      <c r="A278" s="85" t="s">
        <v>5637</v>
      </c>
    </row>
    <row r="279" spans="1:1" ht="12.75" x14ac:dyDescent="0.35">
      <c r="A279" s="85" t="s">
        <v>2465</v>
      </c>
    </row>
    <row r="280" spans="1:1" ht="12.75" x14ac:dyDescent="0.35">
      <c r="A280" s="87" t="s">
        <v>2466</v>
      </c>
    </row>
    <row r="281" spans="1:1" ht="12.75" x14ac:dyDescent="0.35">
      <c r="A281" s="85" t="s">
        <v>2467</v>
      </c>
    </row>
    <row r="282" spans="1:1" ht="12.75" x14ac:dyDescent="0.35">
      <c r="A282" s="85" t="s">
        <v>2468</v>
      </c>
    </row>
    <row r="283" spans="1:1" ht="12.75" x14ac:dyDescent="0.35">
      <c r="A283" s="85" t="s">
        <v>2469</v>
      </c>
    </row>
    <row r="284" spans="1:1" ht="12.75" x14ac:dyDescent="0.35">
      <c r="A284" s="85" t="s">
        <v>2470</v>
      </c>
    </row>
    <row r="285" spans="1:1" ht="12.75" x14ac:dyDescent="0.35">
      <c r="A285" s="86"/>
    </row>
    <row r="286" spans="1:1" ht="12.75" x14ac:dyDescent="0.35">
      <c r="A286" s="87" t="s">
        <v>2472</v>
      </c>
    </row>
    <row r="287" spans="1:1" ht="12.75" x14ac:dyDescent="0.35">
      <c r="A287" s="85" t="s">
        <v>2473</v>
      </c>
    </row>
    <row r="288" spans="1:1" ht="12.75" x14ac:dyDescent="0.35">
      <c r="A288" s="85" t="s">
        <v>2474</v>
      </c>
    </row>
    <row r="289" spans="1:1" ht="12.75" x14ac:dyDescent="0.35">
      <c r="A289" s="85" t="s">
        <v>2475</v>
      </c>
    </row>
    <row r="290" spans="1:1" ht="12.75" x14ac:dyDescent="0.35">
      <c r="A290" s="87" t="s">
        <v>2476</v>
      </c>
    </row>
    <row r="291" spans="1:1" ht="12.75" x14ac:dyDescent="0.35">
      <c r="A291" s="85" t="s">
        <v>5638</v>
      </c>
    </row>
    <row r="292" spans="1:1" ht="12.75" x14ac:dyDescent="0.35">
      <c r="A292" s="85" t="s">
        <v>2478</v>
      </c>
    </row>
    <row r="293" spans="1:1" ht="12.75" x14ac:dyDescent="0.35">
      <c r="A293" s="87" t="s">
        <v>2479</v>
      </c>
    </row>
    <row r="294" spans="1:1" ht="12.75" x14ac:dyDescent="0.35">
      <c r="A294" s="85" t="s">
        <v>2480</v>
      </c>
    </row>
    <row r="295" spans="1:1" ht="12.75" x14ac:dyDescent="0.35">
      <c r="A295" s="85" t="s">
        <v>2481</v>
      </c>
    </row>
    <row r="296" spans="1:1" ht="12.75" x14ac:dyDescent="0.35">
      <c r="A296" s="85" t="s">
        <v>2482</v>
      </c>
    </row>
    <row r="297" spans="1:1" ht="12.75" x14ac:dyDescent="0.35">
      <c r="A297" s="85"/>
    </row>
    <row r="298" spans="1:1" ht="12.75" x14ac:dyDescent="0.35">
      <c r="A298" s="85" t="s">
        <v>5639</v>
      </c>
    </row>
    <row r="299" spans="1:1" ht="12.75" x14ac:dyDescent="0.35">
      <c r="A299" s="85" t="s">
        <v>5640</v>
      </c>
    </row>
    <row r="300" spans="1:1" ht="12.75" x14ac:dyDescent="0.35">
      <c r="A300" s="85" t="s">
        <v>2485</v>
      </c>
    </row>
    <row r="301" spans="1:1" ht="12.75" x14ac:dyDescent="0.35">
      <c r="A301" s="85" t="s">
        <v>2486</v>
      </c>
    </row>
    <row r="302" spans="1:1" ht="12.75" x14ac:dyDescent="0.35">
      <c r="A302" s="85" t="s">
        <v>2487</v>
      </c>
    </row>
    <row r="303" spans="1:1" ht="12.75" x14ac:dyDescent="0.35">
      <c r="A303" s="85" t="s">
        <v>2488</v>
      </c>
    </row>
    <row r="304" spans="1:1" ht="12.75" x14ac:dyDescent="0.35">
      <c r="A304" s="85" t="s">
        <v>2489</v>
      </c>
    </row>
    <row r="305" spans="1:1" ht="12.75" x14ac:dyDescent="0.35">
      <c r="A305" s="85" t="s">
        <v>2490</v>
      </c>
    </row>
    <row r="306" spans="1:1" ht="12.75" x14ac:dyDescent="0.35">
      <c r="A306" s="85" t="s">
        <v>2491</v>
      </c>
    </row>
    <row r="307" spans="1:1" ht="12.75" x14ac:dyDescent="0.35">
      <c r="A307" s="85" t="s">
        <v>2492</v>
      </c>
    </row>
    <row r="308" spans="1:1" ht="12.75" x14ac:dyDescent="0.35">
      <c r="A308" s="85" t="s">
        <v>2493</v>
      </c>
    </row>
    <row r="309" spans="1:1" ht="12.75" x14ac:dyDescent="0.35">
      <c r="A309" s="85" t="s">
        <v>2494</v>
      </c>
    </row>
    <row r="310" spans="1:1" ht="12.75" x14ac:dyDescent="0.35">
      <c r="A310" s="85" t="s">
        <v>2495</v>
      </c>
    </row>
    <row r="311" spans="1:1" ht="12.75" x14ac:dyDescent="0.35">
      <c r="A311" s="86"/>
    </row>
    <row r="312" spans="1:1" ht="12.75" x14ac:dyDescent="0.35">
      <c r="A312" s="85" t="s">
        <v>2497</v>
      </c>
    </row>
    <row r="313" spans="1:1" ht="12.75" x14ac:dyDescent="0.35">
      <c r="A313" s="85" t="s">
        <v>5641</v>
      </c>
    </row>
    <row r="314" spans="1:1" ht="12.75" x14ac:dyDescent="0.35">
      <c r="A314" s="85" t="s">
        <v>5642</v>
      </c>
    </row>
    <row r="315" spans="1:1" ht="12.75" x14ac:dyDescent="0.35">
      <c r="A315" s="85" t="s">
        <v>5643</v>
      </c>
    </row>
    <row r="316" spans="1:1" ht="12.75" x14ac:dyDescent="0.35">
      <c r="A316" s="85" t="s">
        <v>1164</v>
      </c>
    </row>
    <row r="317" spans="1:1" ht="12.75" x14ac:dyDescent="0.35">
      <c r="A317" s="85" t="s">
        <v>2501</v>
      </c>
    </row>
    <row r="318" spans="1:1" ht="12.75" x14ac:dyDescent="0.35">
      <c r="A318" s="85" t="s">
        <v>2502</v>
      </c>
    </row>
    <row r="319" spans="1:1" ht="12.75" x14ac:dyDescent="0.35">
      <c r="A319" s="85" t="s">
        <v>5644</v>
      </c>
    </row>
    <row r="320" spans="1:1" ht="12.75" x14ac:dyDescent="0.35">
      <c r="A320" s="85" t="s">
        <v>2504</v>
      </c>
    </row>
    <row r="321" spans="1:1" ht="12.75" x14ac:dyDescent="0.35">
      <c r="A321" s="85" t="s">
        <v>5645</v>
      </c>
    </row>
    <row r="322" spans="1:1" ht="12.75" x14ac:dyDescent="0.35">
      <c r="A322" s="85" t="s">
        <v>2506</v>
      </c>
    </row>
    <row r="323" spans="1:1" ht="12.75" x14ac:dyDescent="0.35">
      <c r="A323" s="85" t="s">
        <v>2507</v>
      </c>
    </row>
    <row r="324" spans="1:1" ht="12.75" x14ac:dyDescent="0.35">
      <c r="A324" s="85"/>
    </row>
    <row r="325" spans="1:1" ht="12.75" x14ac:dyDescent="0.35">
      <c r="A325" s="85" t="s">
        <v>2508</v>
      </c>
    </row>
    <row r="326" spans="1:1" ht="12.75" x14ac:dyDescent="0.35">
      <c r="A326" s="85" t="s">
        <v>2509</v>
      </c>
    </row>
    <row r="327" spans="1:1" ht="12.75" x14ac:dyDescent="0.35">
      <c r="A327" s="85" t="s">
        <v>2510</v>
      </c>
    </row>
    <row r="328" spans="1:1" ht="12.75" x14ac:dyDescent="0.35">
      <c r="A328" s="85" t="s">
        <v>5646</v>
      </c>
    </row>
    <row r="329" spans="1:1" ht="12.75" x14ac:dyDescent="0.35">
      <c r="A329" s="85" t="s">
        <v>2512</v>
      </c>
    </row>
    <row r="330" spans="1:1" ht="12.75" x14ac:dyDescent="0.35">
      <c r="A330" s="85" t="s">
        <v>2513</v>
      </c>
    </row>
    <row r="331" spans="1:1" ht="12.75" x14ac:dyDescent="0.35">
      <c r="A331" s="85" t="s">
        <v>5647</v>
      </c>
    </row>
    <row r="332" spans="1:1" ht="12.75" x14ac:dyDescent="0.35">
      <c r="A332" s="87" t="s">
        <v>2515</v>
      </c>
    </row>
    <row r="333" spans="1:1" ht="12.75" x14ac:dyDescent="0.35">
      <c r="A333" s="85" t="s">
        <v>2516</v>
      </c>
    </row>
    <row r="334" spans="1:1" ht="12.75" x14ac:dyDescent="0.35">
      <c r="A334" s="85" t="s">
        <v>2517</v>
      </c>
    </row>
    <row r="335" spans="1:1" ht="12.75" x14ac:dyDescent="0.35">
      <c r="A335" s="85" t="s">
        <v>2518</v>
      </c>
    </row>
    <row r="336" spans="1:1" ht="12.75" x14ac:dyDescent="0.35">
      <c r="A336" s="85" t="s">
        <v>2519</v>
      </c>
    </row>
    <row r="337" spans="1:1" ht="12.75" x14ac:dyDescent="0.35">
      <c r="A337" s="86"/>
    </row>
    <row r="338" spans="1:1" ht="12.75" x14ac:dyDescent="0.35">
      <c r="A338" s="85" t="s">
        <v>2521</v>
      </c>
    </row>
    <row r="339" spans="1:1" ht="12.75" x14ac:dyDescent="0.35">
      <c r="A339" s="85" t="s">
        <v>2522</v>
      </c>
    </row>
    <row r="340" spans="1:1" ht="12.75" x14ac:dyDescent="0.35">
      <c r="A340" s="85" t="s">
        <v>2523</v>
      </c>
    </row>
    <row r="341" spans="1:1" ht="12.75" x14ac:dyDescent="0.35">
      <c r="A341" s="85" t="s">
        <v>2524</v>
      </c>
    </row>
    <row r="342" spans="1:1" ht="12.75" x14ac:dyDescent="0.35">
      <c r="A342" s="85" t="s">
        <v>2525</v>
      </c>
    </row>
    <row r="343" spans="1:1" ht="12.75" x14ac:dyDescent="0.35">
      <c r="A343" s="85" t="s">
        <v>2526</v>
      </c>
    </row>
    <row r="344" spans="1:1" ht="12.75" x14ac:dyDescent="0.35">
      <c r="A344" s="85" t="s">
        <v>5648</v>
      </c>
    </row>
    <row r="345" spans="1:1" ht="12.75" x14ac:dyDescent="0.35">
      <c r="A345" s="85" t="s">
        <v>2528</v>
      </c>
    </row>
    <row r="346" spans="1:1" ht="12.75" x14ac:dyDescent="0.35">
      <c r="A346" s="85" t="s">
        <v>2529</v>
      </c>
    </row>
    <row r="347" spans="1:1" ht="12.75" x14ac:dyDescent="0.35">
      <c r="A347" s="85" t="s">
        <v>2530</v>
      </c>
    </row>
    <row r="348" spans="1:1" ht="12.75" x14ac:dyDescent="0.35">
      <c r="A348" s="85" t="s">
        <v>2531</v>
      </c>
    </row>
    <row r="349" spans="1:1" ht="12.75" x14ac:dyDescent="0.35">
      <c r="A349" s="85" t="s">
        <v>2532</v>
      </c>
    </row>
    <row r="350" spans="1:1" ht="12.75" x14ac:dyDescent="0.35">
      <c r="A350" s="85" t="s">
        <v>2533</v>
      </c>
    </row>
    <row r="351" spans="1:1" ht="12.75" x14ac:dyDescent="0.35">
      <c r="A351" s="85"/>
    </row>
    <row r="352" spans="1:1" ht="12.75" x14ac:dyDescent="0.35">
      <c r="A352" s="85" t="s">
        <v>2534</v>
      </c>
    </row>
    <row r="353" spans="1:1" ht="12.75" x14ac:dyDescent="0.35">
      <c r="A353" s="85" t="s">
        <v>2535</v>
      </c>
    </row>
    <row r="354" spans="1:1" ht="12.75" x14ac:dyDescent="0.35">
      <c r="A354" s="85" t="s">
        <v>5649</v>
      </c>
    </row>
    <row r="355" spans="1:1" ht="12.75" x14ac:dyDescent="0.35">
      <c r="A355" s="85" t="s">
        <v>2537</v>
      </c>
    </row>
    <row r="356" spans="1:1" ht="12.75" x14ac:dyDescent="0.35">
      <c r="A356" s="85" t="s">
        <v>2538</v>
      </c>
    </row>
    <row r="357" spans="1:1" ht="12.75" x14ac:dyDescent="0.35">
      <c r="A357" s="85" t="s">
        <v>2539</v>
      </c>
    </row>
    <row r="358" spans="1:1" ht="12.75" x14ac:dyDescent="0.35">
      <c r="A358" s="85" t="s">
        <v>2540</v>
      </c>
    </row>
    <row r="359" spans="1:1" ht="12.75" x14ac:dyDescent="0.35">
      <c r="A359" s="85" t="s">
        <v>2541</v>
      </c>
    </row>
    <row r="360" spans="1:1" ht="12.75" x14ac:dyDescent="0.35">
      <c r="A360" s="85" t="s">
        <v>5650</v>
      </c>
    </row>
    <row r="361" spans="1:1" ht="12.75" x14ac:dyDescent="0.35">
      <c r="A361" s="85" t="s">
        <v>5651</v>
      </c>
    </row>
    <row r="362" spans="1:1" ht="12.75" x14ac:dyDescent="0.35">
      <c r="A362" s="85" t="s">
        <v>2544</v>
      </c>
    </row>
    <row r="363" spans="1:1" ht="12.75" x14ac:dyDescent="0.35">
      <c r="A363" s="86"/>
    </row>
    <row r="364" spans="1:1" ht="12.75" x14ac:dyDescent="0.35">
      <c r="A364" s="85" t="s">
        <v>2546</v>
      </c>
    </row>
    <row r="365" spans="1:1" ht="12.75" x14ac:dyDescent="0.35">
      <c r="A365" s="85" t="s">
        <v>2547</v>
      </c>
    </row>
    <row r="366" spans="1:1" ht="12.75" x14ac:dyDescent="0.35">
      <c r="A366" s="85" t="s">
        <v>2548</v>
      </c>
    </row>
    <row r="367" spans="1:1" ht="12.75" x14ac:dyDescent="0.35">
      <c r="A367" s="85" t="s">
        <v>5652</v>
      </c>
    </row>
    <row r="368" spans="1:1" ht="12.75" x14ac:dyDescent="0.35">
      <c r="A368" s="85" t="s">
        <v>2550</v>
      </c>
    </row>
    <row r="369" spans="1:1" ht="12.75" x14ac:dyDescent="0.35">
      <c r="A369" s="85" t="s">
        <v>5653</v>
      </c>
    </row>
    <row r="370" spans="1:1" ht="12.75" x14ac:dyDescent="0.35">
      <c r="A370" s="85" t="s">
        <v>2552</v>
      </c>
    </row>
    <row r="371" spans="1:1" ht="12.75" x14ac:dyDescent="0.35">
      <c r="A371" s="87" t="s">
        <v>5654</v>
      </c>
    </row>
    <row r="372" spans="1:1" ht="12.75" x14ac:dyDescent="0.35">
      <c r="A372" s="85" t="s">
        <v>2554</v>
      </c>
    </row>
    <row r="373" spans="1:1" ht="12.75" x14ac:dyDescent="0.35">
      <c r="A373" s="85" t="s">
        <v>2555</v>
      </c>
    </row>
    <row r="374" spans="1:1" ht="12.75" x14ac:dyDescent="0.35">
      <c r="A374" s="85" t="s">
        <v>2556</v>
      </c>
    </row>
    <row r="375" spans="1:1" ht="12.75" x14ac:dyDescent="0.35">
      <c r="A375" s="85" t="s">
        <v>2557</v>
      </c>
    </row>
    <row r="376" spans="1:1" ht="12.75" x14ac:dyDescent="0.35">
      <c r="A376" s="85" t="s">
        <v>2558</v>
      </c>
    </row>
    <row r="377" spans="1:1" ht="12.75" x14ac:dyDescent="0.35">
      <c r="A377" s="85" t="s">
        <v>2559</v>
      </c>
    </row>
    <row r="378" spans="1:1" ht="12.75" x14ac:dyDescent="0.35">
      <c r="A378" s="85"/>
    </row>
    <row r="379" spans="1:1" ht="12.75" x14ac:dyDescent="0.35">
      <c r="A379" s="85" t="s">
        <v>2560</v>
      </c>
    </row>
    <row r="380" spans="1:1" ht="12.75" x14ac:dyDescent="0.35">
      <c r="A380" s="85" t="s">
        <v>5655</v>
      </c>
    </row>
    <row r="381" spans="1:1" ht="12.75" x14ac:dyDescent="0.35">
      <c r="A381" s="85" t="s">
        <v>2562</v>
      </c>
    </row>
    <row r="382" spans="1:1" ht="12.75" x14ac:dyDescent="0.35">
      <c r="A382" s="85" t="s">
        <v>2563</v>
      </c>
    </row>
    <row r="383" spans="1:1" ht="12.75" x14ac:dyDescent="0.35">
      <c r="A383" s="85" t="s">
        <v>2564</v>
      </c>
    </row>
    <row r="384" spans="1:1" ht="12.75" x14ac:dyDescent="0.35">
      <c r="A384" s="85" t="s">
        <v>2565</v>
      </c>
    </row>
    <row r="385" spans="1:1" ht="12.75" x14ac:dyDescent="0.35">
      <c r="A385" s="85" t="s">
        <v>2566</v>
      </c>
    </row>
    <row r="386" spans="1:1" ht="12.75" x14ac:dyDescent="0.35">
      <c r="A386" s="85" t="s">
        <v>2567</v>
      </c>
    </row>
    <row r="387" spans="1:1" ht="12.75" x14ac:dyDescent="0.35">
      <c r="A387" s="85" t="s">
        <v>5656</v>
      </c>
    </row>
    <row r="388" spans="1:1" ht="12.75" x14ac:dyDescent="0.35">
      <c r="A388" s="85" t="s">
        <v>5657</v>
      </c>
    </row>
    <row r="389" spans="1:1" ht="12.75" x14ac:dyDescent="0.35">
      <c r="A389" s="86"/>
    </row>
    <row r="390" spans="1:1" ht="12.75" x14ac:dyDescent="0.35">
      <c r="A390" s="85" t="s">
        <v>2571</v>
      </c>
    </row>
    <row r="391" spans="1:1" ht="12.75" x14ac:dyDescent="0.35">
      <c r="A391" s="85" t="s">
        <v>2572</v>
      </c>
    </row>
    <row r="392" spans="1:1" ht="12.75" x14ac:dyDescent="0.35">
      <c r="A392" s="85" t="s">
        <v>2573</v>
      </c>
    </row>
    <row r="393" spans="1:1" ht="12.75" x14ac:dyDescent="0.35">
      <c r="A393" s="85" t="s">
        <v>2574</v>
      </c>
    </row>
    <row r="394" spans="1:1" ht="12.75" x14ac:dyDescent="0.35">
      <c r="A394" s="85" t="s">
        <v>5658</v>
      </c>
    </row>
    <row r="395" spans="1:1" ht="12.75" x14ac:dyDescent="0.35">
      <c r="A395" s="85" t="s">
        <v>5659</v>
      </c>
    </row>
    <row r="396" spans="1:1" ht="12.75" x14ac:dyDescent="0.35">
      <c r="A396" s="85" t="s">
        <v>2577</v>
      </c>
    </row>
    <row r="397" spans="1:1" ht="12.75" x14ac:dyDescent="0.35">
      <c r="A397" s="85" t="s">
        <v>2578</v>
      </c>
    </row>
    <row r="398" spans="1:1" ht="12.75" x14ac:dyDescent="0.35">
      <c r="A398" s="85" t="s">
        <v>5660</v>
      </c>
    </row>
    <row r="399" spans="1:1" ht="12.75" x14ac:dyDescent="0.35">
      <c r="A399" s="85" t="s">
        <v>2580</v>
      </c>
    </row>
    <row r="400" spans="1:1" ht="12.75" x14ac:dyDescent="0.35">
      <c r="A400" s="85" t="s">
        <v>2581</v>
      </c>
    </row>
    <row r="401" spans="1:1" ht="12.75" x14ac:dyDescent="0.35">
      <c r="A401" s="85" t="s">
        <v>5661</v>
      </c>
    </row>
    <row r="402" spans="1:1" ht="12.75" x14ac:dyDescent="0.35">
      <c r="A402" s="85" t="s">
        <v>2583</v>
      </c>
    </row>
    <row r="403" spans="1:1" ht="12.75" x14ac:dyDescent="0.35">
      <c r="A403" s="85" t="s">
        <v>2584</v>
      </c>
    </row>
    <row r="404" spans="1:1" ht="12.75" x14ac:dyDescent="0.35">
      <c r="A404" s="85" t="s">
        <v>2585</v>
      </c>
    </row>
    <row r="405" spans="1:1" ht="12.75" x14ac:dyDescent="0.35">
      <c r="A405" s="85"/>
    </row>
    <row r="406" spans="1:1" ht="12.75" x14ac:dyDescent="0.35">
      <c r="A406" s="85" t="s">
        <v>2586</v>
      </c>
    </row>
    <row r="407" spans="1:1" ht="12.75" x14ac:dyDescent="0.35">
      <c r="A407" s="85" t="s">
        <v>2587</v>
      </c>
    </row>
    <row r="408" spans="1:1" ht="12.75" x14ac:dyDescent="0.35">
      <c r="A408" s="85" t="s">
        <v>5662</v>
      </c>
    </row>
    <row r="409" spans="1:1" ht="12.75" x14ac:dyDescent="0.35">
      <c r="A409" s="85" t="s">
        <v>2589</v>
      </c>
    </row>
    <row r="410" spans="1:1" ht="12.75" x14ac:dyDescent="0.35">
      <c r="A410" s="87" t="s">
        <v>2590</v>
      </c>
    </row>
    <row r="411" spans="1:1" ht="12.75" x14ac:dyDescent="0.35">
      <c r="A411" s="85" t="s">
        <v>2591</v>
      </c>
    </row>
    <row r="412" spans="1:1" ht="12.75" x14ac:dyDescent="0.35">
      <c r="A412" s="85" t="s">
        <v>2592</v>
      </c>
    </row>
    <row r="413" spans="1:1" ht="12.75" x14ac:dyDescent="0.35">
      <c r="A413" s="85" t="s">
        <v>2593</v>
      </c>
    </row>
    <row r="414" spans="1:1" ht="12.75" x14ac:dyDescent="0.35">
      <c r="A414" s="85" t="s">
        <v>2594</v>
      </c>
    </row>
    <row r="415" spans="1:1" ht="12.75" x14ac:dyDescent="0.35">
      <c r="A415" s="86"/>
    </row>
    <row r="416" spans="1:1" ht="12.75" x14ac:dyDescent="0.35">
      <c r="A416" s="85" t="s">
        <v>2596</v>
      </c>
    </row>
    <row r="417" spans="1:1" ht="12.75" x14ac:dyDescent="0.35">
      <c r="A417" s="85" t="s">
        <v>2597</v>
      </c>
    </row>
    <row r="418" spans="1:1" ht="12.75" x14ac:dyDescent="0.35">
      <c r="A418" s="85" t="s">
        <v>5663</v>
      </c>
    </row>
    <row r="419" spans="1:1" ht="12.75" x14ac:dyDescent="0.35">
      <c r="A419" s="85" t="s">
        <v>2599</v>
      </c>
    </row>
    <row r="420" spans="1:1" ht="12.75" x14ac:dyDescent="0.35">
      <c r="A420" s="85" t="s">
        <v>2600</v>
      </c>
    </row>
    <row r="421" spans="1:1" ht="12.75" x14ac:dyDescent="0.35">
      <c r="A421" s="85" t="s">
        <v>2601</v>
      </c>
    </row>
    <row r="422" spans="1:1" ht="12.75" x14ac:dyDescent="0.35">
      <c r="A422" s="85" t="s">
        <v>2602</v>
      </c>
    </row>
    <row r="423" spans="1:1" ht="12.75" x14ac:dyDescent="0.35">
      <c r="A423" s="87" t="s">
        <v>2603</v>
      </c>
    </row>
    <row r="424" spans="1:1" ht="12.75" x14ac:dyDescent="0.35">
      <c r="A424" s="85" t="s">
        <v>2604</v>
      </c>
    </row>
    <row r="425" spans="1:1" ht="12.75" x14ac:dyDescent="0.35">
      <c r="A425" s="85" t="s">
        <v>5664</v>
      </c>
    </row>
    <row r="426" spans="1:1" ht="12.75" x14ac:dyDescent="0.35">
      <c r="A426" s="85" t="s">
        <v>5665</v>
      </c>
    </row>
    <row r="427" spans="1:1" ht="12.75" x14ac:dyDescent="0.35">
      <c r="A427" s="85" t="s">
        <v>2607</v>
      </c>
    </row>
    <row r="428" spans="1:1" ht="12.75" x14ac:dyDescent="0.35">
      <c r="A428" s="85" t="s">
        <v>2608</v>
      </c>
    </row>
    <row r="429" spans="1:1" ht="12.75" x14ac:dyDescent="0.35">
      <c r="A429" s="85" t="s">
        <v>2609</v>
      </c>
    </row>
    <row r="430" spans="1:1" ht="12.75" x14ac:dyDescent="0.35">
      <c r="A430" s="85" t="s">
        <v>2610</v>
      </c>
    </row>
    <row r="431" spans="1:1" ht="12.75" x14ac:dyDescent="0.35">
      <c r="A431" s="85" t="s">
        <v>2611</v>
      </c>
    </row>
    <row r="432" spans="1:1" ht="12.75" x14ac:dyDescent="0.35">
      <c r="A432" s="85"/>
    </row>
    <row r="433" spans="1:1" ht="12.75" x14ac:dyDescent="0.35">
      <c r="A433" s="85" t="s">
        <v>2612</v>
      </c>
    </row>
    <row r="434" spans="1:1" ht="12.75" x14ac:dyDescent="0.35">
      <c r="A434" s="85" t="s">
        <v>2613</v>
      </c>
    </row>
    <row r="435" spans="1:1" ht="12.75" x14ac:dyDescent="0.35">
      <c r="A435" s="85" t="s">
        <v>2614</v>
      </c>
    </row>
    <row r="436" spans="1:1" ht="12.75" x14ac:dyDescent="0.35">
      <c r="A436" s="85" t="s">
        <v>2615</v>
      </c>
    </row>
    <row r="437" spans="1:1" ht="12.75" x14ac:dyDescent="0.35">
      <c r="A437" s="85" t="s">
        <v>2616</v>
      </c>
    </row>
    <row r="438" spans="1:1" ht="12.75" x14ac:dyDescent="0.35">
      <c r="A438" s="85" t="s">
        <v>2617</v>
      </c>
    </row>
    <row r="439" spans="1:1" ht="12.75" x14ac:dyDescent="0.35">
      <c r="A439" s="85" t="s">
        <v>2618</v>
      </c>
    </row>
    <row r="440" spans="1:1" ht="12.75" x14ac:dyDescent="0.35">
      <c r="A440" s="85" t="s">
        <v>2619</v>
      </c>
    </row>
    <row r="441" spans="1:1" ht="12.75" x14ac:dyDescent="0.35">
      <c r="A441" s="86"/>
    </row>
    <row r="442" spans="1:1" ht="12.75" x14ac:dyDescent="0.35">
      <c r="A442" s="85" t="s">
        <v>5666</v>
      </c>
    </row>
    <row r="443" spans="1:1" ht="12.75" x14ac:dyDescent="0.35">
      <c r="A443" s="85" t="s">
        <v>2622</v>
      </c>
    </row>
    <row r="444" spans="1:1" ht="12.75" x14ac:dyDescent="0.35">
      <c r="A444" s="85" t="s">
        <v>5667</v>
      </c>
    </row>
    <row r="445" spans="1:1" ht="12.75" x14ac:dyDescent="0.35">
      <c r="A445" s="85" t="s">
        <v>2624</v>
      </c>
    </row>
    <row r="446" spans="1:1" ht="12.75" x14ac:dyDescent="0.35">
      <c r="A446" s="85" t="s">
        <v>5668</v>
      </c>
    </row>
    <row r="447" spans="1:1" ht="12.75" x14ac:dyDescent="0.35">
      <c r="A447" s="85" t="s">
        <v>2626</v>
      </c>
    </row>
    <row r="448" spans="1:1" ht="12.75" x14ac:dyDescent="0.35">
      <c r="A448" s="85" t="s">
        <v>2627</v>
      </c>
    </row>
    <row r="449" spans="1:1" ht="12.75" x14ac:dyDescent="0.35">
      <c r="A449" s="11" t="s">
        <v>2628</v>
      </c>
    </row>
    <row r="450" spans="1:1" ht="12.75" x14ac:dyDescent="0.35">
      <c r="A450" s="87" t="s">
        <v>2629</v>
      </c>
    </row>
    <row r="451" spans="1:1" ht="12.75" x14ac:dyDescent="0.35">
      <c r="A451" s="85" t="s">
        <v>5669</v>
      </c>
    </row>
    <row r="452" spans="1:1" ht="12.75" x14ac:dyDescent="0.35">
      <c r="A452" s="87" t="s">
        <v>2631</v>
      </c>
    </row>
    <row r="453" spans="1:1" ht="12.75" x14ac:dyDescent="0.35">
      <c r="A453" s="85" t="s">
        <v>2632</v>
      </c>
    </row>
    <row r="454" spans="1:1" ht="12.75" x14ac:dyDescent="0.35">
      <c r="A454" s="85" t="s">
        <v>2633</v>
      </c>
    </row>
    <row r="455" spans="1:1" ht="12.75" x14ac:dyDescent="0.35">
      <c r="A455" s="85" t="s">
        <v>2634</v>
      </c>
    </row>
    <row r="456" spans="1:1" ht="12.75" x14ac:dyDescent="0.35">
      <c r="A456" s="85" t="s">
        <v>5670</v>
      </c>
    </row>
    <row r="457" spans="1:1" ht="12.75" x14ac:dyDescent="0.35">
      <c r="A457" s="85" t="s">
        <v>2636</v>
      </c>
    </row>
    <row r="458" spans="1:1" ht="12.75" x14ac:dyDescent="0.35">
      <c r="A458" s="85" t="s">
        <v>2637</v>
      </c>
    </row>
    <row r="459" spans="1:1" ht="12.75" x14ac:dyDescent="0.35">
      <c r="A459" s="85"/>
    </row>
    <row r="460" spans="1:1" ht="12.75" x14ac:dyDescent="0.35">
      <c r="A460" s="85" t="s">
        <v>2638</v>
      </c>
    </row>
    <row r="461" spans="1:1" ht="12.75" x14ac:dyDescent="0.35">
      <c r="A461" s="85" t="s">
        <v>5671</v>
      </c>
    </row>
    <row r="462" spans="1:1" ht="12.75" x14ac:dyDescent="0.35">
      <c r="A462" s="85" t="s">
        <v>5672</v>
      </c>
    </row>
    <row r="463" spans="1:1" ht="12.75" x14ac:dyDescent="0.35">
      <c r="A463" s="85" t="s">
        <v>2641</v>
      </c>
    </row>
    <row r="464" spans="1:1" ht="12.75" x14ac:dyDescent="0.35">
      <c r="A464" s="85" t="s">
        <v>2642</v>
      </c>
    </row>
    <row r="465" spans="1:1" ht="12.75" x14ac:dyDescent="0.35">
      <c r="A465" s="85" t="s">
        <v>2643</v>
      </c>
    </row>
    <row r="466" spans="1:1" ht="12.75" x14ac:dyDescent="0.35">
      <c r="A466" s="85" t="s">
        <v>2644</v>
      </c>
    </row>
    <row r="467" spans="1:1" ht="12.75" x14ac:dyDescent="0.35">
      <c r="A467" s="86"/>
    </row>
    <row r="468" spans="1:1" ht="12.75" x14ac:dyDescent="0.35">
      <c r="A468" s="87" t="s">
        <v>2646</v>
      </c>
    </row>
    <row r="469" spans="1:1" ht="12.75" x14ac:dyDescent="0.35">
      <c r="A469" s="85" t="s">
        <v>2647</v>
      </c>
    </row>
    <row r="470" spans="1:1" ht="12.75" x14ac:dyDescent="0.35">
      <c r="A470" s="85" t="s">
        <v>2648</v>
      </c>
    </row>
    <row r="471" spans="1:1" ht="12.75" x14ac:dyDescent="0.35">
      <c r="A471" s="85" t="s">
        <v>2649</v>
      </c>
    </row>
    <row r="472" spans="1:1" ht="12.75" x14ac:dyDescent="0.35">
      <c r="A472" s="85" t="s">
        <v>2650</v>
      </c>
    </row>
    <row r="473" spans="1:1" ht="12.75" x14ac:dyDescent="0.35">
      <c r="A473" s="85" t="s">
        <v>2651</v>
      </c>
    </row>
    <row r="474" spans="1:1" ht="12.75" x14ac:dyDescent="0.35">
      <c r="A474" s="85" t="s">
        <v>5673</v>
      </c>
    </row>
    <row r="475" spans="1:1" ht="12.75" x14ac:dyDescent="0.35">
      <c r="A475" s="85" t="s">
        <v>2653</v>
      </c>
    </row>
    <row r="476" spans="1:1" ht="12.75" x14ac:dyDescent="0.35">
      <c r="A476" s="87" t="s">
        <v>2654</v>
      </c>
    </row>
    <row r="477" spans="1:1" ht="12.75" x14ac:dyDescent="0.35">
      <c r="A477" s="85" t="s">
        <v>5674</v>
      </c>
    </row>
    <row r="478" spans="1:1" ht="12.75" x14ac:dyDescent="0.35">
      <c r="A478" s="85" t="s">
        <v>2656</v>
      </c>
    </row>
    <row r="479" spans="1:1" ht="12.75" x14ac:dyDescent="0.35">
      <c r="A479" s="85" t="s">
        <v>5675</v>
      </c>
    </row>
    <row r="480" spans="1:1" ht="12.75" x14ac:dyDescent="0.35">
      <c r="A480" s="85" t="s">
        <v>2658</v>
      </c>
    </row>
    <row r="481" spans="1:1" ht="12.75" x14ac:dyDescent="0.35">
      <c r="A481" s="85" t="s">
        <v>5676</v>
      </c>
    </row>
    <row r="482" spans="1:1" ht="12.75" x14ac:dyDescent="0.35">
      <c r="A482" s="85" t="s">
        <v>2660</v>
      </c>
    </row>
    <row r="483" spans="1:1" ht="12.75" x14ac:dyDescent="0.35">
      <c r="A483" s="85" t="s">
        <v>2661</v>
      </c>
    </row>
    <row r="484" spans="1:1" ht="12.75" x14ac:dyDescent="0.35">
      <c r="A484" s="85" t="s">
        <v>2662</v>
      </c>
    </row>
    <row r="485" spans="1:1" ht="12.75" x14ac:dyDescent="0.35">
      <c r="A485" s="85" t="s">
        <v>2663</v>
      </c>
    </row>
    <row r="486" spans="1:1" ht="12.75" x14ac:dyDescent="0.35">
      <c r="A486" s="85"/>
    </row>
    <row r="487" spans="1:1" ht="12.75" x14ac:dyDescent="0.35">
      <c r="A487" s="85" t="s">
        <v>5677</v>
      </c>
    </row>
    <row r="488" spans="1:1" ht="12.75" x14ac:dyDescent="0.35">
      <c r="A488" s="85" t="s">
        <v>2665</v>
      </c>
    </row>
    <row r="489" spans="1:1" ht="12.75" x14ac:dyDescent="0.35">
      <c r="A489" s="85" t="s">
        <v>5678</v>
      </c>
    </row>
    <row r="490" spans="1:1" ht="12.75" x14ac:dyDescent="0.35">
      <c r="A490" s="85" t="s">
        <v>2667</v>
      </c>
    </row>
    <row r="491" spans="1:1" ht="12.75" x14ac:dyDescent="0.35">
      <c r="A491" s="85" t="s">
        <v>2668</v>
      </c>
    </row>
    <row r="492" spans="1:1" ht="12.75" x14ac:dyDescent="0.35">
      <c r="A492" s="85" t="s">
        <v>2669</v>
      </c>
    </row>
    <row r="493" spans="1:1" ht="12.75" x14ac:dyDescent="0.35">
      <c r="A493" s="86"/>
    </row>
    <row r="494" spans="1:1" ht="12.75" x14ac:dyDescent="0.35">
      <c r="A494" s="85" t="s">
        <v>2671</v>
      </c>
    </row>
    <row r="495" spans="1:1" ht="12.75" x14ac:dyDescent="0.35">
      <c r="A495" s="85" t="s">
        <v>2672</v>
      </c>
    </row>
    <row r="496" spans="1:1" ht="12.75" x14ac:dyDescent="0.35">
      <c r="A496" s="85" t="s">
        <v>2673</v>
      </c>
    </row>
    <row r="497" spans="1:1" ht="12.75" x14ac:dyDescent="0.35">
      <c r="A497" s="85" t="s">
        <v>2674</v>
      </c>
    </row>
    <row r="498" spans="1:1" ht="12.75" x14ac:dyDescent="0.35">
      <c r="A498" s="85" t="s">
        <v>2675</v>
      </c>
    </row>
    <row r="499" spans="1:1" ht="12.75" x14ac:dyDescent="0.35">
      <c r="A499" s="85" t="s">
        <v>5679</v>
      </c>
    </row>
    <row r="500" spans="1:1" ht="12.75" x14ac:dyDescent="0.35">
      <c r="A500" s="85" t="s">
        <v>2677</v>
      </c>
    </row>
    <row r="501" spans="1:1" ht="12.75" x14ac:dyDescent="0.35">
      <c r="A501" s="85" t="s">
        <v>2678</v>
      </c>
    </row>
    <row r="502" spans="1:1" ht="12.75" x14ac:dyDescent="0.35">
      <c r="A502" s="85" t="s">
        <v>2679</v>
      </c>
    </row>
    <row r="503" spans="1:1" ht="12.75" x14ac:dyDescent="0.35">
      <c r="A503" s="85" t="s">
        <v>2680</v>
      </c>
    </row>
    <row r="504" spans="1:1" ht="12.75" x14ac:dyDescent="0.35">
      <c r="A504" s="85" t="s">
        <v>2681</v>
      </c>
    </row>
    <row r="505" spans="1:1" ht="12.75" x14ac:dyDescent="0.35">
      <c r="A505" s="85" t="s">
        <v>5680</v>
      </c>
    </row>
    <row r="506" spans="1:1" ht="12.75" x14ac:dyDescent="0.35">
      <c r="A506" s="85" t="s">
        <v>2683</v>
      </c>
    </row>
    <row r="507" spans="1:1" ht="12.75" x14ac:dyDescent="0.35">
      <c r="A507" s="85" t="s">
        <v>2684</v>
      </c>
    </row>
    <row r="508" spans="1:1" ht="12.75" x14ac:dyDescent="0.35">
      <c r="A508" s="85" t="s">
        <v>2685</v>
      </c>
    </row>
    <row r="509" spans="1:1" ht="12.75" x14ac:dyDescent="0.35">
      <c r="A509" s="85" t="s">
        <v>2686</v>
      </c>
    </row>
    <row r="510" spans="1:1" ht="12.75" x14ac:dyDescent="0.35">
      <c r="A510" s="85" t="s">
        <v>2687</v>
      </c>
    </row>
    <row r="511" spans="1:1" ht="12.75" x14ac:dyDescent="0.35">
      <c r="A511" s="85" t="s">
        <v>2688</v>
      </c>
    </row>
    <row r="512" spans="1:1" ht="12.75" x14ac:dyDescent="0.35">
      <c r="A512" s="85" t="s">
        <v>5681</v>
      </c>
    </row>
    <row r="513" spans="1:1" ht="12.75" x14ac:dyDescent="0.35">
      <c r="A513" s="85"/>
    </row>
    <row r="514" spans="1:1" ht="12.75" x14ac:dyDescent="0.35">
      <c r="A514" s="85" t="s">
        <v>5682</v>
      </c>
    </row>
    <row r="515" spans="1:1" ht="12.75" x14ac:dyDescent="0.35">
      <c r="A515" s="85" t="s">
        <v>2691</v>
      </c>
    </row>
    <row r="516" spans="1:1" ht="12.75" x14ac:dyDescent="0.35">
      <c r="A516" s="85" t="s">
        <v>2692</v>
      </c>
    </row>
    <row r="517" spans="1:1" ht="12.75" x14ac:dyDescent="0.35">
      <c r="A517" s="85" t="s">
        <v>2693</v>
      </c>
    </row>
    <row r="518" spans="1:1" ht="12.75" x14ac:dyDescent="0.35">
      <c r="A518" s="85" t="s">
        <v>5683</v>
      </c>
    </row>
    <row r="519" spans="1:1" ht="12.75" x14ac:dyDescent="0.35">
      <c r="A519" s="86"/>
    </row>
    <row r="520" spans="1:1" ht="12.75" x14ac:dyDescent="0.35">
      <c r="A520" s="85" t="s">
        <v>2696</v>
      </c>
    </row>
    <row r="521" spans="1:1" ht="12.75" x14ac:dyDescent="0.35">
      <c r="A521" s="85" t="s">
        <v>2697</v>
      </c>
    </row>
    <row r="522" spans="1:1" ht="12.75" x14ac:dyDescent="0.35">
      <c r="A522" s="85" t="s">
        <v>2698</v>
      </c>
    </row>
    <row r="523" spans="1:1" ht="12.75" x14ac:dyDescent="0.35">
      <c r="A523" s="85" t="s">
        <v>2699</v>
      </c>
    </row>
    <row r="524" spans="1:1" ht="12.75" x14ac:dyDescent="0.35">
      <c r="A524" s="85" t="s">
        <v>2700</v>
      </c>
    </row>
    <row r="525" spans="1:1" ht="12.75" x14ac:dyDescent="0.35">
      <c r="A525" s="85" t="s">
        <v>2701</v>
      </c>
    </row>
    <row r="526" spans="1:1" ht="12.75" x14ac:dyDescent="0.35">
      <c r="A526" s="85" t="s">
        <v>2702</v>
      </c>
    </row>
    <row r="527" spans="1:1" ht="12.75" x14ac:dyDescent="0.35">
      <c r="A527" s="85" t="s">
        <v>2703</v>
      </c>
    </row>
    <row r="528" spans="1:1" ht="12.75" x14ac:dyDescent="0.35">
      <c r="A528" s="85" t="s">
        <v>2704</v>
      </c>
    </row>
    <row r="529" spans="1:1" ht="12.75" x14ac:dyDescent="0.35">
      <c r="A529" s="85" t="s">
        <v>5684</v>
      </c>
    </row>
    <row r="530" spans="1:1" ht="12.75" x14ac:dyDescent="0.35">
      <c r="A530" s="85" t="s">
        <v>2706</v>
      </c>
    </row>
    <row r="531" spans="1:1" ht="12.75" x14ac:dyDescent="0.35">
      <c r="A531" s="85" t="s">
        <v>2707</v>
      </c>
    </row>
    <row r="532" spans="1:1" ht="12.75" x14ac:dyDescent="0.35">
      <c r="A532" s="85" t="s">
        <v>2708</v>
      </c>
    </row>
    <row r="533" spans="1:1" ht="12.75" x14ac:dyDescent="0.35">
      <c r="A533" s="85" t="s">
        <v>2709</v>
      </c>
    </row>
    <row r="534" spans="1:1" ht="12.75" x14ac:dyDescent="0.35">
      <c r="A534" s="85" t="s">
        <v>2710</v>
      </c>
    </row>
    <row r="535" spans="1:1" ht="12.75" x14ac:dyDescent="0.35">
      <c r="A535" s="85" t="s">
        <v>5685</v>
      </c>
    </row>
    <row r="536" spans="1:1" ht="12.75" x14ac:dyDescent="0.35">
      <c r="A536" s="85" t="s">
        <v>2712</v>
      </c>
    </row>
    <row r="537" spans="1:1" ht="12.75" x14ac:dyDescent="0.35">
      <c r="A537" s="85" t="s">
        <v>2713</v>
      </c>
    </row>
    <row r="538" spans="1:1" ht="12.75" x14ac:dyDescent="0.35">
      <c r="A538" s="85" t="s">
        <v>5686</v>
      </c>
    </row>
    <row r="539" spans="1:1" ht="12.75" x14ac:dyDescent="0.35">
      <c r="A539" s="85" t="s">
        <v>2715</v>
      </c>
    </row>
    <row r="540" spans="1:1" ht="12.75" x14ac:dyDescent="0.35">
      <c r="A540" s="85"/>
    </row>
    <row r="541" spans="1:1" ht="12.75" x14ac:dyDescent="0.35">
      <c r="A541" s="85" t="s">
        <v>5687</v>
      </c>
    </row>
    <row r="542" spans="1:1" ht="12.75" x14ac:dyDescent="0.35">
      <c r="A542" s="85" t="s">
        <v>2717</v>
      </c>
    </row>
    <row r="543" spans="1:1" ht="12.75" x14ac:dyDescent="0.35">
      <c r="A543" s="85" t="s">
        <v>2718</v>
      </c>
    </row>
    <row r="544" spans="1:1" ht="12.75" x14ac:dyDescent="0.35">
      <c r="A544" s="85" t="s">
        <v>2719</v>
      </c>
    </row>
    <row r="545" spans="1:1" ht="12.75" x14ac:dyDescent="0.35">
      <c r="A545" s="86"/>
    </row>
    <row r="546" spans="1:1" ht="12.75" x14ac:dyDescent="0.35">
      <c r="A546" s="85" t="s">
        <v>2721</v>
      </c>
    </row>
    <row r="547" spans="1:1" ht="12.75" x14ac:dyDescent="0.35">
      <c r="A547" s="85" t="s">
        <v>2722</v>
      </c>
    </row>
    <row r="548" spans="1:1" ht="12.75" x14ac:dyDescent="0.35">
      <c r="A548" s="85" t="s">
        <v>2723</v>
      </c>
    </row>
    <row r="549" spans="1:1" ht="12.75" x14ac:dyDescent="0.35">
      <c r="A549" s="85" t="s">
        <v>2724</v>
      </c>
    </row>
    <row r="550" spans="1:1" ht="12.75" x14ac:dyDescent="0.35">
      <c r="A550" s="85" t="s">
        <v>2725</v>
      </c>
    </row>
    <row r="551" spans="1:1" ht="12.75" x14ac:dyDescent="0.35">
      <c r="A551" s="85" t="s">
        <v>2726</v>
      </c>
    </row>
    <row r="552" spans="1:1" ht="12.75" x14ac:dyDescent="0.35">
      <c r="A552" s="85" t="s">
        <v>2727</v>
      </c>
    </row>
    <row r="553" spans="1:1" ht="12.75" x14ac:dyDescent="0.35">
      <c r="A553" s="87" t="s">
        <v>2728</v>
      </c>
    </row>
    <row r="554" spans="1:1" ht="12.75" x14ac:dyDescent="0.35">
      <c r="A554" s="85" t="s">
        <v>2729</v>
      </c>
    </row>
    <row r="555" spans="1:1" ht="12.75" x14ac:dyDescent="0.35">
      <c r="A555" s="85" t="s">
        <v>5688</v>
      </c>
    </row>
    <row r="556" spans="1:1" ht="12.75" x14ac:dyDescent="0.35">
      <c r="A556" s="85" t="s">
        <v>2731</v>
      </c>
    </row>
    <row r="557" spans="1:1" ht="12.75" x14ac:dyDescent="0.35">
      <c r="A557" s="85" t="s">
        <v>2732</v>
      </c>
    </row>
    <row r="558" spans="1:1" ht="12.75" x14ac:dyDescent="0.35">
      <c r="A558" s="85" t="s">
        <v>2733</v>
      </c>
    </row>
    <row r="559" spans="1:1" ht="12.75" x14ac:dyDescent="0.35">
      <c r="A559" s="85" t="s">
        <v>2734</v>
      </c>
    </row>
    <row r="560" spans="1:1" ht="12.75" x14ac:dyDescent="0.35">
      <c r="A560" s="85" t="s">
        <v>2735</v>
      </c>
    </row>
    <row r="561" spans="1:1" ht="12.75" x14ac:dyDescent="0.35">
      <c r="A561" s="85" t="s">
        <v>2736</v>
      </c>
    </row>
    <row r="562" spans="1:1" ht="12.75" x14ac:dyDescent="0.35">
      <c r="A562" s="85" t="s">
        <v>2737</v>
      </c>
    </row>
    <row r="563" spans="1:1" ht="12.75" x14ac:dyDescent="0.35">
      <c r="A563" s="85" t="s">
        <v>5689</v>
      </c>
    </row>
    <row r="564" spans="1:1" ht="12.75" x14ac:dyDescent="0.35">
      <c r="A564" s="85" t="s">
        <v>2739</v>
      </c>
    </row>
    <row r="565" spans="1:1" ht="12.75" x14ac:dyDescent="0.35">
      <c r="A565" s="85" t="s">
        <v>2740</v>
      </c>
    </row>
    <row r="566" spans="1:1" ht="12.75" x14ac:dyDescent="0.35">
      <c r="A566" s="85" t="s">
        <v>2741</v>
      </c>
    </row>
    <row r="567" spans="1:1" ht="12.75" x14ac:dyDescent="0.35">
      <c r="A567" s="85"/>
    </row>
    <row r="568" spans="1:1" ht="12.75" x14ac:dyDescent="0.35">
      <c r="A568" s="85" t="s">
        <v>2742</v>
      </c>
    </row>
    <row r="569" spans="1:1" ht="12.75" x14ac:dyDescent="0.35">
      <c r="A569" s="85" t="s">
        <v>2743</v>
      </c>
    </row>
    <row r="570" spans="1:1" ht="12.75" x14ac:dyDescent="0.35">
      <c r="A570" s="85" t="s">
        <v>2744</v>
      </c>
    </row>
    <row r="571" spans="1:1" ht="12.75" x14ac:dyDescent="0.35">
      <c r="A571" s="86"/>
    </row>
    <row r="572" spans="1:1" ht="12.75" x14ac:dyDescent="0.35">
      <c r="A572" s="87" t="s">
        <v>2746</v>
      </c>
    </row>
    <row r="573" spans="1:1" ht="12.75" x14ac:dyDescent="0.35">
      <c r="A573" s="85" t="s">
        <v>2747</v>
      </c>
    </row>
    <row r="574" spans="1:1" ht="12.75" x14ac:dyDescent="0.35">
      <c r="A574" s="85" t="s">
        <v>2748</v>
      </c>
    </row>
    <row r="575" spans="1:1" ht="12.75" x14ac:dyDescent="0.35">
      <c r="A575" s="85" t="s">
        <v>2749</v>
      </c>
    </row>
    <row r="576" spans="1:1" ht="12.75" x14ac:dyDescent="0.35">
      <c r="A576" s="85" t="s">
        <v>2750</v>
      </c>
    </row>
    <row r="577" spans="1:1" ht="12.75" x14ac:dyDescent="0.35">
      <c r="A577" s="85" t="s">
        <v>2751</v>
      </c>
    </row>
    <row r="578" spans="1:1" ht="12.75" x14ac:dyDescent="0.35">
      <c r="A578" s="85" t="s">
        <v>2752</v>
      </c>
    </row>
    <row r="579" spans="1:1" ht="12.75" x14ac:dyDescent="0.35">
      <c r="A579" s="85" t="s">
        <v>2753</v>
      </c>
    </row>
    <row r="580" spans="1:1" ht="12.75" x14ac:dyDescent="0.35">
      <c r="A580" s="87" t="s">
        <v>2754</v>
      </c>
    </row>
    <row r="581" spans="1:1" ht="12.75" x14ac:dyDescent="0.35">
      <c r="A581" s="85" t="s">
        <v>2755</v>
      </c>
    </row>
    <row r="582" spans="1:1" ht="12.75" x14ac:dyDescent="0.35">
      <c r="A582" s="85" t="s">
        <v>2756</v>
      </c>
    </row>
    <row r="583" spans="1:1" ht="12.75" x14ac:dyDescent="0.35">
      <c r="A583" s="85" t="s">
        <v>5690</v>
      </c>
    </row>
    <row r="584" spans="1:1" ht="12.75" x14ac:dyDescent="0.35">
      <c r="A584" s="85" t="s">
        <v>2758</v>
      </c>
    </row>
    <row r="585" spans="1:1" ht="12.75" x14ac:dyDescent="0.35">
      <c r="A585" s="85" t="s">
        <v>2759</v>
      </c>
    </row>
    <row r="586" spans="1:1" ht="12.75" x14ac:dyDescent="0.35">
      <c r="A586" s="85" t="s">
        <v>2760</v>
      </c>
    </row>
    <row r="587" spans="1:1" ht="12.75" x14ac:dyDescent="0.35">
      <c r="A587" s="85" t="s">
        <v>2761</v>
      </c>
    </row>
    <row r="588" spans="1:1" ht="12.75" x14ac:dyDescent="0.35">
      <c r="A588" s="85" t="s">
        <v>2762</v>
      </c>
    </row>
    <row r="589" spans="1:1" ht="12.75" x14ac:dyDescent="0.35">
      <c r="A589" s="85" t="s">
        <v>5691</v>
      </c>
    </row>
    <row r="590" spans="1:1" ht="12.75" x14ac:dyDescent="0.35">
      <c r="A590" s="85" t="s">
        <v>2764</v>
      </c>
    </row>
    <row r="591" spans="1:1" ht="12.75" x14ac:dyDescent="0.35">
      <c r="A591" s="85" t="s">
        <v>5692</v>
      </c>
    </row>
    <row r="592" spans="1:1" ht="12.75" x14ac:dyDescent="0.35">
      <c r="A592" s="85" t="s">
        <v>2766</v>
      </c>
    </row>
    <row r="593" spans="1:1" ht="12.75" x14ac:dyDescent="0.35">
      <c r="A593" s="85" t="s">
        <v>5693</v>
      </c>
    </row>
    <row r="594" spans="1:1" ht="12.75" x14ac:dyDescent="0.35">
      <c r="A594" s="85"/>
    </row>
    <row r="595" spans="1:1" ht="12.75" x14ac:dyDescent="0.35">
      <c r="A595" s="85" t="s">
        <v>5694</v>
      </c>
    </row>
    <row r="596" spans="1:1" ht="12.75" x14ac:dyDescent="0.35">
      <c r="A596" s="85" t="s">
        <v>2769</v>
      </c>
    </row>
    <row r="597" spans="1:1" ht="12.75" x14ac:dyDescent="0.35">
      <c r="A597" s="86"/>
    </row>
    <row r="598" spans="1:1" ht="12.75" x14ac:dyDescent="0.35">
      <c r="A598" s="85" t="s">
        <v>2771</v>
      </c>
    </row>
    <row r="599" spans="1:1" ht="12.75" x14ac:dyDescent="0.35">
      <c r="A599" s="85" t="s">
        <v>2772</v>
      </c>
    </row>
    <row r="600" spans="1:1" ht="12.75" x14ac:dyDescent="0.35">
      <c r="A600" s="85" t="s">
        <v>2773</v>
      </c>
    </row>
    <row r="601" spans="1:1" ht="12.75" x14ac:dyDescent="0.35">
      <c r="A601" s="85" t="s">
        <v>5695</v>
      </c>
    </row>
    <row r="602" spans="1:1" ht="12.75" x14ac:dyDescent="0.35">
      <c r="A602" s="85" t="s">
        <v>2775</v>
      </c>
    </row>
    <row r="603" spans="1:1" ht="12.75" x14ac:dyDescent="0.35">
      <c r="A603" s="85" t="s">
        <v>2776</v>
      </c>
    </row>
    <row r="604" spans="1:1" ht="12.75" x14ac:dyDescent="0.35">
      <c r="A604" s="85" t="s">
        <v>5696</v>
      </c>
    </row>
    <row r="605" spans="1:1" ht="12.75" x14ac:dyDescent="0.35">
      <c r="A605" s="85" t="s">
        <v>2778</v>
      </c>
    </row>
    <row r="606" spans="1:1" ht="12.75" x14ac:dyDescent="0.35">
      <c r="A606" s="85" t="s">
        <v>2779</v>
      </c>
    </row>
    <row r="607" spans="1:1" ht="12.75" x14ac:dyDescent="0.35">
      <c r="A607" s="85" t="s">
        <v>5697</v>
      </c>
    </row>
    <row r="608" spans="1:1" ht="12.75" x14ac:dyDescent="0.35">
      <c r="A608" s="85" t="s">
        <v>2781</v>
      </c>
    </row>
    <row r="609" spans="1:1" ht="12.75" x14ac:dyDescent="0.35">
      <c r="A609" s="85" t="s">
        <v>2782</v>
      </c>
    </row>
    <row r="610" spans="1:1" ht="12.75" x14ac:dyDescent="0.35">
      <c r="A610" s="85" t="s">
        <v>2783</v>
      </c>
    </row>
    <row r="611" spans="1:1" ht="12.75" x14ac:dyDescent="0.35">
      <c r="A611" s="85" t="s">
        <v>2784</v>
      </c>
    </row>
    <row r="612" spans="1:1" ht="12.75" x14ac:dyDescent="0.35">
      <c r="A612" s="85" t="s">
        <v>5698</v>
      </c>
    </row>
    <row r="613" spans="1:1" ht="12.75" x14ac:dyDescent="0.35">
      <c r="A613" s="85" t="s">
        <v>2786</v>
      </c>
    </row>
    <row r="614" spans="1:1" ht="12.75" x14ac:dyDescent="0.35">
      <c r="A614" s="85" t="s">
        <v>2787</v>
      </c>
    </row>
    <row r="615" spans="1:1" ht="12.75" x14ac:dyDescent="0.35">
      <c r="A615" s="85" t="s">
        <v>2788</v>
      </c>
    </row>
    <row r="616" spans="1:1" ht="12.75" x14ac:dyDescent="0.35">
      <c r="A616" s="85" t="s">
        <v>2789</v>
      </c>
    </row>
    <row r="617" spans="1:1" ht="12.75" x14ac:dyDescent="0.35">
      <c r="A617" s="85" t="s">
        <v>2790</v>
      </c>
    </row>
    <row r="618" spans="1:1" ht="12.75" x14ac:dyDescent="0.35">
      <c r="A618" s="85" t="s">
        <v>2791</v>
      </c>
    </row>
    <row r="619" spans="1:1" ht="12.75" x14ac:dyDescent="0.35">
      <c r="A619" s="85" t="s">
        <v>5699</v>
      </c>
    </row>
    <row r="620" spans="1:1" ht="12.75" x14ac:dyDescent="0.35">
      <c r="A620" s="85" t="s">
        <v>2793</v>
      </c>
    </row>
    <row r="621" spans="1:1" ht="12.75" x14ac:dyDescent="0.35">
      <c r="A621" s="89"/>
    </row>
    <row r="622" spans="1:1" ht="12.75" x14ac:dyDescent="0.35">
      <c r="A622" s="85" t="s">
        <v>2794</v>
      </c>
    </row>
    <row r="623" spans="1:1" ht="12.75" x14ac:dyDescent="0.35">
      <c r="A623" s="86" t="s">
        <v>2795</v>
      </c>
    </row>
    <row r="624" spans="1:1" ht="12.75" x14ac:dyDescent="0.35">
      <c r="A624" s="85" t="s">
        <v>2796</v>
      </c>
    </row>
    <row r="625" spans="1:1" ht="12.75" x14ac:dyDescent="0.35">
      <c r="A625" s="89"/>
    </row>
    <row r="626" spans="1:1" ht="12.75" x14ac:dyDescent="0.35">
      <c r="A626" s="89"/>
    </row>
    <row r="627" spans="1:1" ht="12.75" x14ac:dyDescent="0.35">
      <c r="A627" s="85" t="s">
        <v>2799</v>
      </c>
    </row>
    <row r="628" spans="1:1" ht="12.75" x14ac:dyDescent="0.35">
      <c r="A628" s="85" t="s">
        <v>5700</v>
      </c>
    </row>
    <row r="629" spans="1:1" ht="12.75" x14ac:dyDescent="0.35">
      <c r="A629" s="85" t="s">
        <v>2801</v>
      </c>
    </row>
    <row r="630" spans="1:1" ht="12.75" x14ac:dyDescent="0.35">
      <c r="A630" s="89"/>
    </row>
    <row r="631" spans="1:1" ht="12.75" x14ac:dyDescent="0.35">
      <c r="A631" s="85" t="s">
        <v>2803</v>
      </c>
    </row>
    <row r="632" spans="1:1" ht="12.75" x14ac:dyDescent="0.35">
      <c r="A632" s="89"/>
    </row>
    <row r="633" spans="1:1" ht="12.75" x14ac:dyDescent="0.35">
      <c r="A633" s="89"/>
    </row>
    <row r="634" spans="1:1" ht="12.75" x14ac:dyDescent="0.35">
      <c r="A634" s="89"/>
    </row>
    <row r="635" spans="1:1" ht="12.75" x14ac:dyDescent="0.35">
      <c r="A635" s="89"/>
    </row>
    <row r="636" spans="1:1" ht="12.75" x14ac:dyDescent="0.35">
      <c r="A636" s="89"/>
    </row>
    <row r="637" spans="1:1" ht="12.75" x14ac:dyDescent="0.35">
      <c r="A637" s="85" t="s">
        <v>2809</v>
      </c>
    </row>
    <row r="638" spans="1:1" ht="12.75" x14ac:dyDescent="0.35">
      <c r="A638" s="85" t="s">
        <v>2810</v>
      </c>
    </row>
    <row r="639" spans="1:1" ht="12.75" x14ac:dyDescent="0.35">
      <c r="A639" s="89"/>
    </row>
    <row r="640" spans="1:1" ht="12.75" x14ac:dyDescent="0.35">
      <c r="A640" s="89"/>
    </row>
    <row r="641" spans="1:1" ht="12.75" x14ac:dyDescent="0.35">
      <c r="A641" s="89"/>
    </row>
    <row r="642" spans="1:1" ht="12.75" x14ac:dyDescent="0.35">
      <c r="A642" s="89"/>
    </row>
    <row r="643" spans="1:1" ht="12.75" x14ac:dyDescent="0.35">
      <c r="A643" s="89"/>
    </row>
    <row r="644" spans="1:1" ht="12.75" x14ac:dyDescent="0.35">
      <c r="A644" s="89"/>
    </row>
    <row r="645" spans="1:1" ht="12.75" x14ac:dyDescent="0.35">
      <c r="A645" s="89"/>
    </row>
    <row r="646" spans="1:1" ht="12.75" x14ac:dyDescent="0.35">
      <c r="A646" s="89"/>
    </row>
    <row r="647" spans="1:1" ht="12.75" x14ac:dyDescent="0.35">
      <c r="A647" s="89"/>
    </row>
    <row r="648" spans="1:1" ht="12.75" x14ac:dyDescent="0.35">
      <c r="A648" s="89"/>
    </row>
    <row r="649" spans="1:1" ht="12.75" x14ac:dyDescent="0.35">
      <c r="A649" s="86"/>
    </row>
    <row r="650" spans="1:1" ht="12.75" x14ac:dyDescent="0.35">
      <c r="A650" s="85" t="s">
        <v>2821</v>
      </c>
    </row>
    <row r="651" spans="1:1" ht="12.75" x14ac:dyDescent="0.35">
      <c r="A651" s="85" t="s">
        <v>2822</v>
      </c>
    </row>
    <row r="652" spans="1:1" ht="12.75" x14ac:dyDescent="0.35">
      <c r="A652" s="85" t="s">
        <v>5701</v>
      </c>
    </row>
    <row r="653" spans="1:1" ht="12.75" x14ac:dyDescent="0.35">
      <c r="A653" s="85" t="s">
        <v>5702</v>
      </c>
    </row>
    <row r="654" spans="1:1" ht="12.75" x14ac:dyDescent="0.35">
      <c r="A654" s="85" t="s">
        <v>5703</v>
      </c>
    </row>
    <row r="655" spans="1:1" ht="12.75" x14ac:dyDescent="0.35">
      <c r="A655" s="85" t="s">
        <v>5704</v>
      </c>
    </row>
    <row r="656" spans="1:1" ht="12.75" x14ac:dyDescent="0.35">
      <c r="A656" s="85" t="s">
        <v>2827</v>
      </c>
    </row>
    <row r="657" spans="1:1" ht="12.75" x14ac:dyDescent="0.35">
      <c r="A657" s="85" t="s">
        <v>5705</v>
      </c>
    </row>
    <row r="658" spans="1:1" ht="12.75" x14ac:dyDescent="0.35">
      <c r="A658" s="85" t="s">
        <v>5706</v>
      </c>
    </row>
    <row r="659" spans="1:1" ht="12.75" x14ac:dyDescent="0.35">
      <c r="A659" s="85" t="s">
        <v>2830</v>
      </c>
    </row>
    <row r="660" spans="1:1" ht="12.75" x14ac:dyDescent="0.35">
      <c r="A660" s="85" t="s">
        <v>2831</v>
      </c>
    </row>
    <row r="661" spans="1:1" ht="12.75" x14ac:dyDescent="0.35">
      <c r="A661" s="85" t="s">
        <v>2832</v>
      </c>
    </row>
    <row r="662" spans="1:1" ht="12.75" x14ac:dyDescent="0.35">
      <c r="A662" s="85" t="s">
        <v>5707</v>
      </c>
    </row>
    <row r="663" spans="1:1" ht="12.75" x14ac:dyDescent="0.35">
      <c r="A663" s="85" t="s">
        <v>5708</v>
      </c>
    </row>
    <row r="664" spans="1:1" ht="12.75" x14ac:dyDescent="0.35">
      <c r="A664" s="85" t="s">
        <v>2835</v>
      </c>
    </row>
    <row r="665" spans="1:1" ht="12.75" x14ac:dyDescent="0.35">
      <c r="A665" s="85" t="s">
        <v>5709</v>
      </c>
    </row>
    <row r="666" spans="1:1" ht="12.75" x14ac:dyDescent="0.35">
      <c r="A666" s="85" t="s">
        <v>2837</v>
      </c>
    </row>
    <row r="667" spans="1:1" ht="12.75" x14ac:dyDescent="0.35">
      <c r="A667" s="85" t="s">
        <v>2838</v>
      </c>
    </row>
    <row r="668" spans="1:1" ht="12.75" x14ac:dyDescent="0.35">
      <c r="A668" s="85" t="s">
        <v>2839</v>
      </c>
    </row>
    <row r="669" spans="1:1" ht="12.75" x14ac:dyDescent="0.35">
      <c r="A669" s="85" t="s">
        <v>2840</v>
      </c>
    </row>
    <row r="670" spans="1:1" ht="12.75" x14ac:dyDescent="0.35">
      <c r="A670" s="85" t="s">
        <v>2841</v>
      </c>
    </row>
    <row r="671" spans="1:1" ht="12.75" x14ac:dyDescent="0.35">
      <c r="A671" s="85" t="s">
        <v>5710</v>
      </c>
    </row>
    <row r="672" spans="1:1" ht="12.75" x14ac:dyDescent="0.35">
      <c r="A672" s="85" t="s">
        <v>2843</v>
      </c>
    </row>
    <row r="673" spans="1:1" ht="12.75" x14ac:dyDescent="0.35">
      <c r="A673" s="85"/>
    </row>
    <row r="674" spans="1:1" ht="12.75" x14ac:dyDescent="0.35">
      <c r="A674" s="85" t="s">
        <v>2844</v>
      </c>
    </row>
    <row r="675" spans="1:1" ht="12.75" x14ac:dyDescent="0.35">
      <c r="A675" s="86"/>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76"/>
  <sheetViews>
    <sheetView workbookViewId="0"/>
  </sheetViews>
  <sheetFormatPr defaultColWidth="12.59765625" defaultRowHeight="15.75" customHeight="1" x14ac:dyDescent="0.35"/>
  <sheetData>
    <row r="1" spans="1:1" x14ac:dyDescent="0.35">
      <c r="A1" s="85"/>
    </row>
    <row r="2" spans="1:1" x14ac:dyDescent="0.35">
      <c r="A2" s="85" t="s">
        <v>265</v>
      </c>
    </row>
    <row r="3" spans="1:1" x14ac:dyDescent="0.35">
      <c r="A3" s="85" t="s">
        <v>268</v>
      </c>
    </row>
    <row r="4" spans="1:1" x14ac:dyDescent="0.35">
      <c r="A4" s="85" t="s">
        <v>5711</v>
      </c>
    </row>
    <row r="5" spans="1:1" x14ac:dyDescent="0.35">
      <c r="A5" s="85" t="s">
        <v>273</v>
      </c>
    </row>
    <row r="6" spans="1:1" x14ac:dyDescent="0.35">
      <c r="A6" s="85" t="s">
        <v>276</v>
      </c>
    </row>
    <row r="7" spans="1:1" x14ac:dyDescent="0.35">
      <c r="A7" s="85" t="s">
        <v>279</v>
      </c>
    </row>
    <row r="8" spans="1:1" x14ac:dyDescent="0.35">
      <c r="A8" s="85" t="s">
        <v>5712</v>
      </c>
    </row>
    <row r="9" spans="1:1" x14ac:dyDescent="0.35">
      <c r="A9" s="85" t="s">
        <v>5713</v>
      </c>
    </row>
    <row r="10" spans="1:1" x14ac:dyDescent="0.35">
      <c r="A10" s="85" t="s">
        <v>5714</v>
      </c>
    </row>
    <row r="11" spans="1:1" x14ac:dyDescent="0.35">
      <c r="A11" s="85" t="s">
        <v>5715</v>
      </c>
    </row>
    <row r="12" spans="1:1" x14ac:dyDescent="0.35">
      <c r="A12" s="85" t="s">
        <v>5716</v>
      </c>
    </row>
    <row r="13" spans="1:1" x14ac:dyDescent="0.35">
      <c r="A13" s="89"/>
    </row>
    <row r="14" spans="1:1" x14ac:dyDescent="0.35">
      <c r="A14" s="85" t="s">
        <v>5717</v>
      </c>
    </row>
    <row r="15" spans="1:1" x14ac:dyDescent="0.35">
      <c r="A15" s="89"/>
    </row>
    <row r="16" spans="1:1" x14ac:dyDescent="0.35">
      <c r="A16" s="85" t="s">
        <v>5718</v>
      </c>
    </row>
    <row r="17" spans="1:1" x14ac:dyDescent="0.35">
      <c r="A17" s="85" t="s">
        <v>306</v>
      </c>
    </row>
    <row r="18" spans="1:1" x14ac:dyDescent="0.35">
      <c r="A18" s="85" t="s">
        <v>309</v>
      </c>
    </row>
    <row r="19" spans="1:1" x14ac:dyDescent="0.35">
      <c r="A19" s="85" t="s">
        <v>312</v>
      </c>
    </row>
    <row r="20" spans="1:1" x14ac:dyDescent="0.35">
      <c r="A20" s="85" t="s">
        <v>315</v>
      </c>
    </row>
    <row r="21" spans="1:1" x14ac:dyDescent="0.35">
      <c r="A21" s="89"/>
    </row>
    <row r="22" spans="1:1" x14ac:dyDescent="0.35">
      <c r="A22" s="85" t="s">
        <v>5719</v>
      </c>
    </row>
    <row r="23" spans="1:1" x14ac:dyDescent="0.35">
      <c r="A23" s="85" t="s">
        <v>5720</v>
      </c>
    </row>
    <row r="24" spans="1:1" x14ac:dyDescent="0.35">
      <c r="A24" s="89"/>
    </row>
    <row r="25" spans="1:1" x14ac:dyDescent="0.35">
      <c r="A25" s="89"/>
    </row>
    <row r="26" spans="1:1" x14ac:dyDescent="0.35">
      <c r="A26" s="86"/>
    </row>
    <row r="27" spans="1:1" x14ac:dyDescent="0.35">
      <c r="A27" s="85"/>
    </row>
    <row r="28" spans="1:1" x14ac:dyDescent="0.35">
      <c r="A28" s="85"/>
    </row>
    <row r="29" spans="1:1" x14ac:dyDescent="0.35">
      <c r="A29" s="85" t="s">
        <v>338</v>
      </c>
    </row>
    <row r="30" spans="1:1" x14ac:dyDescent="0.35">
      <c r="A30" s="87"/>
    </row>
    <row r="31" spans="1:1" x14ac:dyDescent="0.35">
      <c r="A31" s="85" t="s">
        <v>344</v>
      </c>
    </row>
    <row r="32" spans="1:1" x14ac:dyDescent="0.35">
      <c r="A32" s="85" t="s">
        <v>5721</v>
      </c>
    </row>
    <row r="33" spans="1:1" x14ac:dyDescent="0.35">
      <c r="A33" s="85" t="s">
        <v>5722</v>
      </c>
    </row>
    <row r="34" spans="1:1" x14ac:dyDescent="0.35">
      <c r="A34" s="85" t="s">
        <v>353</v>
      </c>
    </row>
    <row r="35" spans="1:1" x14ac:dyDescent="0.35">
      <c r="A35" s="85" t="s">
        <v>356</v>
      </c>
    </row>
    <row r="36" spans="1:1" x14ac:dyDescent="0.35">
      <c r="A36" s="85" t="s">
        <v>5723</v>
      </c>
    </row>
    <row r="37" spans="1:1" x14ac:dyDescent="0.35">
      <c r="A37" s="85" t="s">
        <v>362</v>
      </c>
    </row>
    <row r="38" spans="1:1" x14ac:dyDescent="0.35">
      <c r="A38" s="89"/>
    </row>
    <row r="39" spans="1:1" x14ac:dyDescent="0.35">
      <c r="A39" s="89"/>
    </row>
    <row r="40" spans="1:1" x14ac:dyDescent="0.35">
      <c r="A40" s="85" t="s">
        <v>370</v>
      </c>
    </row>
    <row r="41" spans="1:1" x14ac:dyDescent="0.35">
      <c r="A41" s="89"/>
    </row>
    <row r="42" spans="1:1" x14ac:dyDescent="0.35">
      <c r="A42" s="85" t="s">
        <v>376</v>
      </c>
    </row>
    <row r="43" spans="1:1" x14ac:dyDescent="0.35">
      <c r="A43" s="85" t="s">
        <v>379</v>
      </c>
    </row>
    <row r="44" spans="1:1" x14ac:dyDescent="0.35">
      <c r="A44" s="89"/>
    </row>
    <row r="45" spans="1:1" x14ac:dyDescent="0.35">
      <c r="A45" s="85" t="s">
        <v>5724</v>
      </c>
    </row>
    <row r="46" spans="1:1" x14ac:dyDescent="0.35">
      <c r="A46" s="89"/>
    </row>
    <row r="47" spans="1:1" x14ac:dyDescent="0.35">
      <c r="A47" s="85" t="s">
        <v>389</v>
      </c>
    </row>
    <row r="48" spans="1:1" x14ac:dyDescent="0.35">
      <c r="A48" s="85" t="s">
        <v>392</v>
      </c>
    </row>
    <row r="49" spans="1:1" x14ac:dyDescent="0.35">
      <c r="A49" s="89"/>
    </row>
    <row r="50" spans="1:1" x14ac:dyDescent="0.35">
      <c r="A50" s="85" t="s">
        <v>5725</v>
      </c>
    </row>
    <row r="51" spans="1:1" x14ac:dyDescent="0.35">
      <c r="A51" s="89"/>
    </row>
    <row r="52" spans="1:1" x14ac:dyDescent="0.35">
      <c r="A52" s="86"/>
    </row>
    <row r="53" spans="1:1" x14ac:dyDescent="0.35">
      <c r="A53" s="85" t="s">
        <v>406</v>
      </c>
    </row>
    <row r="54" spans="1:1" x14ac:dyDescent="0.35">
      <c r="A54" s="85" t="s">
        <v>409</v>
      </c>
    </row>
    <row r="55" spans="1:1" x14ac:dyDescent="0.35">
      <c r="A55" s="85"/>
    </row>
    <row r="56" spans="1:1" x14ac:dyDescent="0.35">
      <c r="A56" s="85" t="s">
        <v>5726</v>
      </c>
    </row>
    <row r="57" spans="1:1" x14ac:dyDescent="0.35">
      <c r="A57" s="85" t="s">
        <v>418</v>
      </c>
    </row>
    <row r="58" spans="1:1" x14ac:dyDescent="0.35">
      <c r="A58" s="85" t="s">
        <v>421</v>
      </c>
    </row>
    <row r="59" spans="1:1" x14ac:dyDescent="0.35">
      <c r="A59" s="85" t="s">
        <v>5727</v>
      </c>
    </row>
    <row r="60" spans="1:1" x14ac:dyDescent="0.35">
      <c r="A60" s="89"/>
    </row>
    <row r="61" spans="1:1" x14ac:dyDescent="0.35">
      <c r="A61" s="85" t="s">
        <v>429</v>
      </c>
    </row>
    <row r="62" spans="1:1" x14ac:dyDescent="0.35">
      <c r="A62" s="85" t="s">
        <v>432</v>
      </c>
    </row>
    <row r="63" spans="1:1" x14ac:dyDescent="0.35">
      <c r="A63" s="89"/>
    </row>
    <row r="64" spans="1:1" x14ac:dyDescent="0.35">
      <c r="A64" s="85" t="s">
        <v>437</v>
      </c>
    </row>
    <row r="65" spans="1:1" x14ac:dyDescent="0.35">
      <c r="A65" s="85" t="s">
        <v>440</v>
      </c>
    </row>
    <row r="66" spans="1:1" x14ac:dyDescent="0.35">
      <c r="A66" s="89"/>
    </row>
    <row r="67" spans="1:1" x14ac:dyDescent="0.35">
      <c r="A67" s="85" t="s">
        <v>5728</v>
      </c>
    </row>
    <row r="68" spans="1:1" x14ac:dyDescent="0.35">
      <c r="A68" s="89"/>
    </row>
    <row r="69" spans="1:1" x14ac:dyDescent="0.35">
      <c r="A69" s="89"/>
    </row>
    <row r="70" spans="1:1" x14ac:dyDescent="0.35">
      <c r="A70" s="89"/>
    </row>
    <row r="71" spans="1:1" x14ac:dyDescent="0.35">
      <c r="A71" s="85" t="s">
        <v>5729</v>
      </c>
    </row>
    <row r="72" spans="1:1" x14ac:dyDescent="0.35">
      <c r="A72" s="89"/>
    </row>
    <row r="73" spans="1:1" x14ac:dyDescent="0.35">
      <c r="A73" s="85" t="s">
        <v>462</v>
      </c>
    </row>
    <row r="74" spans="1:1" x14ac:dyDescent="0.35">
      <c r="A74" s="85" t="s">
        <v>465</v>
      </c>
    </row>
    <row r="75" spans="1:1" x14ac:dyDescent="0.35">
      <c r="A75" s="85" t="s">
        <v>5730</v>
      </c>
    </row>
    <row r="76" spans="1:1" x14ac:dyDescent="0.35">
      <c r="A76" s="85" t="s">
        <v>471</v>
      </c>
    </row>
    <row r="77" spans="1:1" x14ac:dyDescent="0.35">
      <c r="A77" s="85" t="s">
        <v>474</v>
      </c>
    </row>
    <row r="78" spans="1:1" x14ac:dyDescent="0.35">
      <c r="A78" s="86"/>
    </row>
    <row r="79" spans="1:1" x14ac:dyDescent="0.35">
      <c r="A79" s="89"/>
    </row>
    <row r="80" spans="1:1" x14ac:dyDescent="0.35">
      <c r="A80" s="85" t="s">
        <v>5731</v>
      </c>
    </row>
    <row r="81" spans="1:1" x14ac:dyDescent="0.35">
      <c r="A81" s="85" t="s">
        <v>486</v>
      </c>
    </row>
    <row r="82" spans="1:1" x14ac:dyDescent="0.35">
      <c r="A82" s="85"/>
    </row>
    <row r="83" spans="1:1" x14ac:dyDescent="0.35">
      <c r="A83" s="85" t="s">
        <v>492</v>
      </c>
    </row>
    <row r="84" spans="1:1" x14ac:dyDescent="0.35">
      <c r="A84" s="89"/>
    </row>
    <row r="85" spans="1:1" x14ac:dyDescent="0.35">
      <c r="A85" s="85" t="s">
        <v>497</v>
      </c>
    </row>
    <row r="86" spans="1:1" x14ac:dyDescent="0.35">
      <c r="A86" s="85" t="s">
        <v>5732</v>
      </c>
    </row>
    <row r="87" spans="1:1" x14ac:dyDescent="0.35">
      <c r="A87" s="87" t="s">
        <v>503</v>
      </c>
    </row>
    <row r="88" spans="1:1" x14ac:dyDescent="0.35">
      <c r="A88" s="85" t="s">
        <v>5733</v>
      </c>
    </row>
    <row r="89" spans="1:1" x14ac:dyDescent="0.35">
      <c r="A89" s="85" t="s">
        <v>509</v>
      </c>
    </row>
    <row r="90" spans="1:1" x14ac:dyDescent="0.35">
      <c r="A90" s="85" t="s">
        <v>512</v>
      </c>
    </row>
    <row r="91" spans="1:1" x14ac:dyDescent="0.35">
      <c r="A91" s="85" t="s">
        <v>515</v>
      </c>
    </row>
    <row r="92" spans="1:1" x14ac:dyDescent="0.35">
      <c r="A92" s="85" t="s">
        <v>518</v>
      </c>
    </row>
    <row r="93" spans="1:1" x14ac:dyDescent="0.35">
      <c r="A93" s="85" t="s">
        <v>521</v>
      </c>
    </row>
    <row r="94" spans="1:1" x14ac:dyDescent="0.35">
      <c r="A94" s="85" t="s">
        <v>5734</v>
      </c>
    </row>
    <row r="95" spans="1:1" x14ac:dyDescent="0.35">
      <c r="A95" s="89"/>
    </row>
    <row r="96" spans="1:1" x14ac:dyDescent="0.35">
      <c r="A96" s="85" t="s">
        <v>5735</v>
      </c>
    </row>
    <row r="97" spans="1:1" x14ac:dyDescent="0.35">
      <c r="A97" s="85" t="s">
        <v>532</v>
      </c>
    </row>
    <row r="98" spans="1:1" x14ac:dyDescent="0.35">
      <c r="A98" s="89"/>
    </row>
    <row r="99" spans="1:1" x14ac:dyDescent="0.35">
      <c r="A99" s="85" t="s">
        <v>537</v>
      </c>
    </row>
    <row r="100" spans="1:1" x14ac:dyDescent="0.35">
      <c r="A100" s="89"/>
    </row>
    <row r="101" spans="1:1" x14ac:dyDescent="0.35">
      <c r="A101" s="85" t="s">
        <v>5736</v>
      </c>
    </row>
    <row r="102" spans="1:1" x14ac:dyDescent="0.35">
      <c r="A102" s="85" t="s">
        <v>5737</v>
      </c>
    </row>
    <row r="103" spans="1:1" x14ac:dyDescent="0.35">
      <c r="A103" s="85" t="s">
        <v>548</v>
      </c>
    </row>
    <row r="104" spans="1:1" x14ac:dyDescent="0.35">
      <c r="A104" s="86"/>
    </row>
    <row r="105" spans="1:1" x14ac:dyDescent="0.35">
      <c r="A105" s="85" t="s">
        <v>554</v>
      </c>
    </row>
    <row r="106" spans="1:1" x14ac:dyDescent="0.35">
      <c r="A106" s="85" t="s">
        <v>557</v>
      </c>
    </row>
    <row r="107" spans="1:1" x14ac:dyDescent="0.35">
      <c r="A107" s="87" t="s">
        <v>5738</v>
      </c>
    </row>
    <row r="108" spans="1:1" x14ac:dyDescent="0.35">
      <c r="A108" s="85" t="s">
        <v>5739</v>
      </c>
    </row>
    <row r="109" spans="1:1" x14ac:dyDescent="0.35">
      <c r="A109" s="85"/>
    </row>
    <row r="110" spans="1:1" x14ac:dyDescent="0.35">
      <c r="A110" s="85" t="s">
        <v>569</v>
      </c>
    </row>
    <row r="111" spans="1:1" x14ac:dyDescent="0.35">
      <c r="A111" s="85" t="s">
        <v>572</v>
      </c>
    </row>
    <row r="112" spans="1:1" x14ac:dyDescent="0.35">
      <c r="A112" s="85" t="s">
        <v>575</v>
      </c>
    </row>
    <row r="113" spans="1:1" x14ac:dyDescent="0.35">
      <c r="A113" s="85" t="s">
        <v>578</v>
      </c>
    </row>
    <row r="114" spans="1:1" x14ac:dyDescent="0.35">
      <c r="A114" s="85" t="s">
        <v>581</v>
      </c>
    </row>
    <row r="115" spans="1:1" x14ac:dyDescent="0.35">
      <c r="A115" s="85" t="s">
        <v>5740</v>
      </c>
    </row>
    <row r="116" spans="1:1" x14ac:dyDescent="0.35">
      <c r="A116" s="85" t="s">
        <v>5741</v>
      </c>
    </row>
    <row r="117" spans="1:1" x14ac:dyDescent="0.35">
      <c r="A117" s="85" t="s">
        <v>5742</v>
      </c>
    </row>
    <row r="118" spans="1:1" x14ac:dyDescent="0.35">
      <c r="A118" s="85" t="s">
        <v>593</v>
      </c>
    </row>
    <row r="119" spans="1:1" x14ac:dyDescent="0.35">
      <c r="A119" s="85" t="s">
        <v>596</v>
      </c>
    </row>
    <row r="120" spans="1:1" x14ac:dyDescent="0.35">
      <c r="A120" s="85" t="s">
        <v>599</v>
      </c>
    </row>
    <row r="121" spans="1:1" x14ac:dyDescent="0.35">
      <c r="A121" s="85" t="s">
        <v>602</v>
      </c>
    </row>
    <row r="122" spans="1:1" x14ac:dyDescent="0.35">
      <c r="A122" s="85" t="s">
        <v>605</v>
      </c>
    </row>
    <row r="123" spans="1:1" x14ac:dyDescent="0.35">
      <c r="A123" s="85" t="s">
        <v>5743</v>
      </c>
    </row>
    <row r="124" spans="1:1" x14ac:dyDescent="0.35">
      <c r="A124" s="85" t="s">
        <v>611</v>
      </c>
    </row>
    <row r="125" spans="1:1" x14ac:dyDescent="0.35">
      <c r="A125" s="85" t="s">
        <v>5744</v>
      </c>
    </row>
    <row r="126" spans="1:1" x14ac:dyDescent="0.35">
      <c r="A126" s="85" t="s">
        <v>5745</v>
      </c>
    </row>
    <row r="127" spans="1:1" x14ac:dyDescent="0.35">
      <c r="A127" s="85" t="s">
        <v>620</v>
      </c>
    </row>
    <row r="128" spans="1:1" x14ac:dyDescent="0.35">
      <c r="A128" s="85" t="s">
        <v>623</v>
      </c>
    </row>
    <row r="129" spans="1:1" x14ac:dyDescent="0.35">
      <c r="A129" s="85" t="s">
        <v>626</v>
      </c>
    </row>
    <row r="130" spans="1:1" x14ac:dyDescent="0.35">
      <c r="A130" s="86"/>
    </row>
    <row r="131" spans="1:1" x14ac:dyDescent="0.35">
      <c r="A131" s="85" t="s">
        <v>632</v>
      </c>
    </row>
    <row r="132" spans="1:1" x14ac:dyDescent="0.35">
      <c r="A132" s="85" t="s">
        <v>5746</v>
      </c>
    </row>
    <row r="133" spans="1:1" x14ac:dyDescent="0.35">
      <c r="A133" s="85" t="s">
        <v>5747</v>
      </c>
    </row>
    <row r="134" spans="1:1" x14ac:dyDescent="0.35">
      <c r="A134" s="89"/>
    </row>
    <row r="135" spans="1:1" x14ac:dyDescent="0.35">
      <c r="A135" s="85" t="s">
        <v>5748</v>
      </c>
    </row>
    <row r="136" spans="1:1" x14ac:dyDescent="0.35">
      <c r="A136" s="89"/>
    </row>
    <row r="137" spans="1:1" x14ac:dyDescent="0.35">
      <c r="A137" s="89"/>
    </row>
    <row r="138" spans="1:1" x14ac:dyDescent="0.35">
      <c r="A138" s="85" t="s">
        <v>652</v>
      </c>
    </row>
    <row r="139" spans="1:1" x14ac:dyDescent="0.35">
      <c r="A139" s="89"/>
    </row>
    <row r="140" spans="1:1" x14ac:dyDescent="0.35">
      <c r="A140" s="89"/>
    </row>
    <row r="141" spans="1:1" x14ac:dyDescent="0.35">
      <c r="A141" s="85" t="s">
        <v>660</v>
      </c>
    </row>
    <row r="142" spans="1:1" x14ac:dyDescent="0.35">
      <c r="A142" s="89"/>
    </row>
    <row r="143" spans="1:1" x14ac:dyDescent="0.35">
      <c r="A143" s="85" t="s">
        <v>5749</v>
      </c>
    </row>
    <row r="144" spans="1:1" x14ac:dyDescent="0.35">
      <c r="A144" s="85" t="s">
        <v>5750</v>
      </c>
    </row>
    <row r="145" spans="1:1" x14ac:dyDescent="0.35">
      <c r="A145" s="85" t="s">
        <v>672</v>
      </c>
    </row>
    <row r="146" spans="1:1" x14ac:dyDescent="0.35">
      <c r="A146" s="89"/>
    </row>
    <row r="147" spans="1:1" x14ac:dyDescent="0.35">
      <c r="A147" s="85" t="s">
        <v>677</v>
      </c>
    </row>
    <row r="148" spans="1:1" x14ac:dyDescent="0.35">
      <c r="A148" s="89"/>
    </row>
    <row r="149" spans="1:1" x14ac:dyDescent="0.35">
      <c r="A149" s="89"/>
    </row>
    <row r="150" spans="1:1" x14ac:dyDescent="0.35">
      <c r="A150" s="85" t="s">
        <v>5751</v>
      </c>
    </row>
    <row r="151" spans="1:1" x14ac:dyDescent="0.35">
      <c r="A151" s="85" t="s">
        <v>689</v>
      </c>
    </row>
    <row r="152" spans="1:1" x14ac:dyDescent="0.35">
      <c r="A152" s="85" t="s">
        <v>5752</v>
      </c>
    </row>
    <row r="153" spans="1:1" x14ac:dyDescent="0.35">
      <c r="A153" s="85" t="s">
        <v>5753</v>
      </c>
    </row>
    <row r="154" spans="1:1" x14ac:dyDescent="0.35">
      <c r="A154" s="85" t="s">
        <v>5754</v>
      </c>
    </row>
    <row r="155" spans="1:1" x14ac:dyDescent="0.35">
      <c r="A155" s="85" t="s">
        <v>701</v>
      </c>
    </row>
    <row r="156" spans="1:1" x14ac:dyDescent="0.35">
      <c r="A156" s="86"/>
    </row>
    <row r="157" spans="1:1" x14ac:dyDescent="0.35">
      <c r="A157" s="85" t="s">
        <v>707</v>
      </c>
    </row>
    <row r="158" spans="1:1" x14ac:dyDescent="0.35">
      <c r="A158" s="85" t="s">
        <v>710</v>
      </c>
    </row>
    <row r="159" spans="1:1" x14ac:dyDescent="0.35">
      <c r="A159" s="85" t="s">
        <v>5755</v>
      </c>
    </row>
    <row r="160" spans="1:1" x14ac:dyDescent="0.35">
      <c r="A160" s="85" t="s">
        <v>5756</v>
      </c>
    </row>
    <row r="161" spans="1:1" x14ac:dyDescent="0.35">
      <c r="A161" s="85" t="s">
        <v>719</v>
      </c>
    </row>
    <row r="162" spans="1:1" x14ac:dyDescent="0.35">
      <c r="A162" s="89"/>
    </row>
    <row r="163" spans="1:1" x14ac:dyDescent="0.35">
      <c r="A163" s="85"/>
    </row>
    <row r="164" spans="1:1" x14ac:dyDescent="0.35">
      <c r="A164" s="85" t="s">
        <v>727</v>
      </c>
    </row>
    <row r="165" spans="1:1" x14ac:dyDescent="0.35">
      <c r="A165" s="85" t="s">
        <v>730</v>
      </c>
    </row>
    <row r="166" spans="1:1" x14ac:dyDescent="0.35">
      <c r="A166" s="89"/>
    </row>
    <row r="167" spans="1:1" x14ac:dyDescent="0.35">
      <c r="A167" s="85" t="s">
        <v>736</v>
      </c>
    </row>
    <row r="168" spans="1:1" x14ac:dyDescent="0.35">
      <c r="A168" s="89"/>
    </row>
    <row r="169" spans="1:1" x14ac:dyDescent="0.35">
      <c r="A169" s="85" t="s">
        <v>742</v>
      </c>
    </row>
    <row r="170" spans="1:1" x14ac:dyDescent="0.35">
      <c r="A170" s="85" t="s">
        <v>5757</v>
      </c>
    </row>
    <row r="171" spans="1:1" x14ac:dyDescent="0.35">
      <c r="A171" s="89"/>
    </row>
    <row r="172" spans="1:1" x14ac:dyDescent="0.35">
      <c r="A172" s="85" t="s">
        <v>5758</v>
      </c>
    </row>
    <row r="173" spans="1:1" x14ac:dyDescent="0.35">
      <c r="A173" s="85" t="s">
        <v>753</v>
      </c>
    </row>
    <row r="174" spans="1:1" x14ac:dyDescent="0.35">
      <c r="A174" s="85" t="s">
        <v>756</v>
      </c>
    </row>
    <row r="175" spans="1:1" x14ac:dyDescent="0.35">
      <c r="A175" s="85" t="s">
        <v>759</v>
      </c>
    </row>
    <row r="176" spans="1:1" x14ac:dyDescent="0.35">
      <c r="A176" s="85" t="s">
        <v>762</v>
      </c>
    </row>
    <row r="177" spans="1:1" x14ac:dyDescent="0.35">
      <c r="A177" s="87" t="s">
        <v>765</v>
      </c>
    </row>
    <row r="178" spans="1:1" x14ac:dyDescent="0.35">
      <c r="A178" s="89"/>
    </row>
    <row r="179" spans="1:1" x14ac:dyDescent="0.35">
      <c r="A179" s="85" t="s">
        <v>5759</v>
      </c>
    </row>
    <row r="180" spans="1:1" x14ac:dyDescent="0.35">
      <c r="A180" s="85" t="s">
        <v>774</v>
      </c>
    </row>
    <row r="181" spans="1:1" x14ac:dyDescent="0.35">
      <c r="A181" s="85" t="s">
        <v>5760</v>
      </c>
    </row>
    <row r="182" spans="1:1" x14ac:dyDescent="0.35">
      <c r="A182" s="86"/>
    </row>
    <row r="183" spans="1:1" x14ac:dyDescent="0.35">
      <c r="A183" s="85" t="s">
        <v>783</v>
      </c>
    </row>
    <row r="184" spans="1:1" x14ac:dyDescent="0.35">
      <c r="A184" s="85" t="s">
        <v>786</v>
      </c>
    </row>
    <row r="185" spans="1:1" x14ac:dyDescent="0.35">
      <c r="A185" s="89"/>
    </row>
    <row r="186" spans="1:1" x14ac:dyDescent="0.35">
      <c r="A186" s="85" t="s">
        <v>5761</v>
      </c>
    </row>
    <row r="187" spans="1:1" x14ac:dyDescent="0.35">
      <c r="A187" s="85" t="s">
        <v>5762</v>
      </c>
    </row>
    <row r="188" spans="1:1" x14ac:dyDescent="0.35">
      <c r="A188" s="85" t="s">
        <v>797</v>
      </c>
    </row>
    <row r="189" spans="1:1" x14ac:dyDescent="0.35">
      <c r="A189" s="89"/>
    </row>
    <row r="190" spans="1:1" x14ac:dyDescent="0.35">
      <c r="A190" s="85"/>
    </row>
    <row r="191" spans="1:1" x14ac:dyDescent="0.35">
      <c r="A191" s="85" t="s">
        <v>805</v>
      </c>
    </row>
    <row r="192" spans="1:1" x14ac:dyDescent="0.35">
      <c r="A192" s="85" t="s">
        <v>808</v>
      </c>
    </row>
    <row r="193" spans="1:1" x14ac:dyDescent="0.35">
      <c r="A193" s="85" t="s">
        <v>811</v>
      </c>
    </row>
    <row r="194" spans="1:1" x14ac:dyDescent="0.35">
      <c r="A194" s="85" t="s">
        <v>5763</v>
      </c>
    </row>
    <row r="195" spans="1:1" x14ac:dyDescent="0.35">
      <c r="A195" s="89"/>
    </row>
    <row r="196" spans="1:1" x14ac:dyDescent="0.35">
      <c r="A196" s="89"/>
    </row>
    <row r="197" spans="1:1" x14ac:dyDescent="0.35">
      <c r="A197" s="89"/>
    </row>
    <row r="198" spans="1:1" x14ac:dyDescent="0.35">
      <c r="A198" s="85" t="s">
        <v>824</v>
      </c>
    </row>
    <row r="199" spans="1:1" x14ac:dyDescent="0.35">
      <c r="A199" s="85" t="s">
        <v>827</v>
      </c>
    </row>
    <row r="200" spans="1:1" x14ac:dyDescent="0.35">
      <c r="A200" s="85" t="s">
        <v>5764</v>
      </c>
    </row>
    <row r="201" spans="1:1" x14ac:dyDescent="0.35">
      <c r="A201" s="89"/>
    </row>
    <row r="202" spans="1:1" x14ac:dyDescent="0.35">
      <c r="A202" s="85" t="s">
        <v>835</v>
      </c>
    </row>
    <row r="203" spans="1:1" x14ac:dyDescent="0.35">
      <c r="A203" s="85" t="s">
        <v>5765</v>
      </c>
    </row>
    <row r="204" spans="1:1" x14ac:dyDescent="0.35">
      <c r="A204" s="85" t="s">
        <v>5766</v>
      </c>
    </row>
    <row r="205" spans="1:1" x14ac:dyDescent="0.35">
      <c r="A205" s="89"/>
    </row>
    <row r="206" spans="1:1" x14ac:dyDescent="0.35">
      <c r="A206" s="85" t="s">
        <v>847</v>
      </c>
    </row>
    <row r="207" spans="1:1" x14ac:dyDescent="0.35">
      <c r="A207" s="89"/>
    </row>
    <row r="208" spans="1:1" x14ac:dyDescent="0.35">
      <c r="A208" s="86"/>
    </row>
    <row r="209" spans="1:1" x14ac:dyDescent="0.35">
      <c r="A209" s="85" t="s">
        <v>5767</v>
      </c>
    </row>
    <row r="210" spans="1:1" x14ac:dyDescent="0.35">
      <c r="A210" s="85" t="s">
        <v>5768</v>
      </c>
    </row>
    <row r="211" spans="1:1" x14ac:dyDescent="0.35">
      <c r="A211" s="87" t="s">
        <v>5769</v>
      </c>
    </row>
    <row r="212" spans="1:1" x14ac:dyDescent="0.35">
      <c r="A212" s="85" t="s">
        <v>5770</v>
      </c>
    </row>
    <row r="213" spans="1:1" x14ac:dyDescent="0.35">
      <c r="A213" s="85" t="s">
        <v>5771</v>
      </c>
    </row>
    <row r="214" spans="1:1" x14ac:dyDescent="0.35">
      <c r="A214" s="89"/>
    </row>
    <row r="215" spans="1:1" x14ac:dyDescent="0.35">
      <c r="A215" s="85" t="s">
        <v>874</v>
      </c>
    </row>
    <row r="216" spans="1:1" x14ac:dyDescent="0.35">
      <c r="A216" s="85" t="s">
        <v>5772</v>
      </c>
    </row>
    <row r="217" spans="1:1" x14ac:dyDescent="0.35">
      <c r="A217" s="85"/>
    </row>
    <row r="218" spans="1:1" x14ac:dyDescent="0.35">
      <c r="A218" s="85" t="s">
        <v>883</v>
      </c>
    </row>
    <row r="219" spans="1:1" x14ac:dyDescent="0.35">
      <c r="A219" s="85" t="s">
        <v>5773</v>
      </c>
    </row>
    <row r="220" spans="1:1" x14ac:dyDescent="0.35">
      <c r="A220" s="85" t="s">
        <v>5774</v>
      </c>
    </row>
    <row r="221" spans="1:1" x14ac:dyDescent="0.35">
      <c r="A221" s="85" t="s">
        <v>892</v>
      </c>
    </row>
    <row r="222" spans="1:1" x14ac:dyDescent="0.35">
      <c r="A222" s="85" t="s">
        <v>895</v>
      </c>
    </row>
    <row r="223" spans="1:1" x14ac:dyDescent="0.35">
      <c r="A223" s="85" t="s">
        <v>5775</v>
      </c>
    </row>
    <row r="224" spans="1:1" x14ac:dyDescent="0.35">
      <c r="A224" s="85" t="s">
        <v>901</v>
      </c>
    </row>
    <row r="225" spans="1:1" x14ac:dyDescent="0.35">
      <c r="A225" s="85" t="s">
        <v>5776</v>
      </c>
    </row>
    <row r="226" spans="1:1" x14ac:dyDescent="0.35">
      <c r="A226" s="89"/>
    </row>
    <row r="227" spans="1:1" x14ac:dyDescent="0.35">
      <c r="A227" s="85" t="s">
        <v>909</v>
      </c>
    </row>
    <row r="228" spans="1:1" x14ac:dyDescent="0.35">
      <c r="A228" s="85" t="s">
        <v>912</v>
      </c>
    </row>
    <row r="229" spans="1:1" x14ac:dyDescent="0.35">
      <c r="A229" s="85" t="s">
        <v>5777</v>
      </c>
    </row>
    <row r="230" spans="1:1" x14ac:dyDescent="0.35">
      <c r="A230" s="85" t="s">
        <v>5778</v>
      </c>
    </row>
    <row r="231" spans="1:1" x14ac:dyDescent="0.35">
      <c r="A231" s="85" t="s">
        <v>5779</v>
      </c>
    </row>
    <row r="232" spans="1:1" x14ac:dyDescent="0.35">
      <c r="A232" s="85" t="s">
        <v>5780</v>
      </c>
    </row>
    <row r="233" spans="1:1" x14ac:dyDescent="0.35">
      <c r="A233" s="85" t="s">
        <v>927</v>
      </c>
    </row>
    <row r="234" spans="1:1" x14ac:dyDescent="0.35">
      <c r="A234" s="86"/>
    </row>
    <row r="235" spans="1:1" x14ac:dyDescent="0.35">
      <c r="A235" s="85" t="s">
        <v>933</v>
      </c>
    </row>
    <row r="236" spans="1:1" x14ac:dyDescent="0.35">
      <c r="A236" s="85" t="s">
        <v>5781</v>
      </c>
    </row>
    <row r="237" spans="1:1" x14ac:dyDescent="0.35">
      <c r="A237" s="85" t="s">
        <v>939</v>
      </c>
    </row>
    <row r="238" spans="1:1" x14ac:dyDescent="0.35">
      <c r="A238" s="85" t="s">
        <v>945</v>
      </c>
    </row>
    <row r="239" spans="1:1" x14ac:dyDescent="0.35">
      <c r="A239" s="85" t="s">
        <v>942</v>
      </c>
    </row>
    <row r="240" spans="1:1" x14ac:dyDescent="0.35">
      <c r="A240" s="85" t="s">
        <v>948</v>
      </c>
    </row>
    <row r="241" spans="1:1" x14ac:dyDescent="0.35">
      <c r="A241" s="85"/>
    </row>
    <row r="242" spans="1:1" x14ac:dyDescent="0.35">
      <c r="A242" s="85" t="s">
        <v>5782</v>
      </c>
    </row>
    <row r="243" spans="1:1" x14ac:dyDescent="0.35">
      <c r="A243" s="85" t="s">
        <v>956</v>
      </c>
    </row>
    <row r="244" spans="1:1" x14ac:dyDescent="0.35">
      <c r="A244" s="85"/>
    </row>
    <row r="245" spans="1:1" x14ac:dyDescent="0.35">
      <c r="A245" s="85" t="s">
        <v>962</v>
      </c>
    </row>
    <row r="246" spans="1:1" x14ac:dyDescent="0.35">
      <c r="A246" s="85" t="s">
        <v>965</v>
      </c>
    </row>
    <row r="247" spans="1:1" x14ac:dyDescent="0.35">
      <c r="A247" s="85" t="s">
        <v>968</v>
      </c>
    </row>
    <row r="248" spans="1:1" x14ac:dyDescent="0.35">
      <c r="A248" s="85" t="s">
        <v>5783</v>
      </c>
    </row>
    <row r="249" spans="1:1" x14ac:dyDescent="0.35">
      <c r="A249" s="85" t="s">
        <v>974</v>
      </c>
    </row>
    <row r="250" spans="1:1" x14ac:dyDescent="0.35">
      <c r="A250" s="85" t="s">
        <v>977</v>
      </c>
    </row>
    <row r="251" spans="1:1" x14ac:dyDescent="0.35">
      <c r="A251" s="89"/>
    </row>
    <row r="252" spans="1:1" x14ac:dyDescent="0.35">
      <c r="A252" s="85" t="s">
        <v>983</v>
      </c>
    </row>
    <row r="253" spans="1:1" x14ac:dyDescent="0.35">
      <c r="A253" s="85" t="s">
        <v>986</v>
      </c>
    </row>
    <row r="254" spans="1:1" x14ac:dyDescent="0.35">
      <c r="A254" s="85" t="s">
        <v>5784</v>
      </c>
    </row>
    <row r="255" spans="1:1" x14ac:dyDescent="0.35">
      <c r="A255" s="85" t="s">
        <v>992</v>
      </c>
    </row>
    <row r="256" spans="1:1" x14ac:dyDescent="0.35">
      <c r="A256" s="85" t="s">
        <v>995</v>
      </c>
    </row>
    <row r="257" spans="1:1" x14ac:dyDescent="0.35">
      <c r="A257" s="85" t="s">
        <v>998</v>
      </c>
    </row>
    <row r="258" spans="1:1" x14ac:dyDescent="0.35">
      <c r="A258" s="85" t="s">
        <v>5785</v>
      </c>
    </row>
    <row r="259" spans="1:1" x14ac:dyDescent="0.35">
      <c r="A259" s="85" t="s">
        <v>1004</v>
      </c>
    </row>
    <row r="260" spans="1:1" x14ac:dyDescent="0.35">
      <c r="A260" s="86"/>
    </row>
    <row r="261" spans="1:1" x14ac:dyDescent="0.35">
      <c r="A261" s="85" t="s">
        <v>1010</v>
      </c>
    </row>
    <row r="262" spans="1:1" x14ac:dyDescent="0.35">
      <c r="A262" s="89"/>
    </row>
    <row r="263" spans="1:1" x14ac:dyDescent="0.35">
      <c r="A263" s="85" t="s">
        <v>1015</v>
      </c>
    </row>
    <row r="264" spans="1:1" x14ac:dyDescent="0.35">
      <c r="A264" s="85" t="s">
        <v>1018</v>
      </c>
    </row>
    <row r="265" spans="1:1" x14ac:dyDescent="0.35">
      <c r="A265" s="85" t="s">
        <v>1021</v>
      </c>
    </row>
    <row r="266" spans="1:1" x14ac:dyDescent="0.35">
      <c r="A266" s="89"/>
    </row>
    <row r="267" spans="1:1" x14ac:dyDescent="0.35">
      <c r="A267" s="85" t="s">
        <v>5786</v>
      </c>
    </row>
    <row r="268" spans="1:1" x14ac:dyDescent="0.35">
      <c r="A268" s="85" t="s">
        <v>1029</v>
      </c>
    </row>
    <row r="269" spans="1:1" x14ac:dyDescent="0.35">
      <c r="A269" s="85" t="s">
        <v>1032</v>
      </c>
    </row>
    <row r="270" spans="1:1" x14ac:dyDescent="0.35">
      <c r="A270" s="85" t="s">
        <v>1035</v>
      </c>
    </row>
    <row r="271" spans="1:1" x14ac:dyDescent="0.35">
      <c r="A271" s="89"/>
    </row>
    <row r="272" spans="1:1" x14ac:dyDescent="0.35">
      <c r="A272" s="89"/>
    </row>
    <row r="273" spans="1:1" x14ac:dyDescent="0.35">
      <c r="A273" s="85" t="s">
        <v>1043</v>
      </c>
    </row>
    <row r="274" spans="1:1" x14ac:dyDescent="0.35">
      <c r="A274" s="85" t="s">
        <v>1046</v>
      </c>
    </row>
    <row r="275" spans="1:1" x14ac:dyDescent="0.35">
      <c r="A275" s="89"/>
    </row>
    <row r="276" spans="1:1" x14ac:dyDescent="0.35">
      <c r="A276" s="89"/>
    </row>
    <row r="277" spans="1:1" x14ac:dyDescent="0.35">
      <c r="A277" s="89"/>
    </row>
    <row r="278" spans="1:1" x14ac:dyDescent="0.35">
      <c r="A278" s="89"/>
    </row>
    <row r="279" spans="1:1" x14ac:dyDescent="0.35">
      <c r="A279" s="89"/>
    </row>
    <row r="280" spans="1:1" x14ac:dyDescent="0.35">
      <c r="A280" s="85" t="s">
        <v>5787</v>
      </c>
    </row>
    <row r="281" spans="1:1" x14ac:dyDescent="0.35">
      <c r="A281" s="91"/>
    </row>
    <row r="282" spans="1:1" x14ac:dyDescent="0.35">
      <c r="A282" s="85" t="s">
        <v>1065</v>
      </c>
    </row>
    <row r="283" spans="1:1" x14ac:dyDescent="0.35">
      <c r="A283" s="85" t="s">
        <v>1068</v>
      </c>
    </row>
    <row r="284" spans="1:1" x14ac:dyDescent="0.35">
      <c r="A284" s="85" t="s">
        <v>5788</v>
      </c>
    </row>
    <row r="285" spans="1:1" x14ac:dyDescent="0.35">
      <c r="A285" s="85" t="s">
        <v>1074</v>
      </c>
    </row>
    <row r="286" spans="1:1" x14ac:dyDescent="0.35">
      <c r="A286" s="86"/>
    </row>
    <row r="287" spans="1:1" x14ac:dyDescent="0.35">
      <c r="A287" s="85" t="s">
        <v>5789</v>
      </c>
    </row>
    <row r="288" spans="1:1" x14ac:dyDescent="0.35">
      <c r="A288" s="89"/>
    </row>
    <row r="289" spans="1:1" x14ac:dyDescent="0.35">
      <c r="A289" s="89"/>
    </row>
    <row r="290" spans="1:1" x14ac:dyDescent="0.35">
      <c r="A290" s="85" t="s">
        <v>5790</v>
      </c>
    </row>
    <row r="291" spans="1:1" x14ac:dyDescent="0.35">
      <c r="A291" s="85" t="s">
        <v>1091</v>
      </c>
    </row>
    <row r="292" spans="1:1" x14ac:dyDescent="0.35">
      <c r="A292" s="89"/>
    </row>
    <row r="293" spans="1:1" x14ac:dyDescent="0.35">
      <c r="A293" s="89"/>
    </row>
    <row r="294" spans="1:1" x14ac:dyDescent="0.35">
      <c r="A294" s="87" t="s">
        <v>1099</v>
      </c>
    </row>
    <row r="295" spans="1:1" x14ac:dyDescent="0.35">
      <c r="A295" s="85" t="s">
        <v>1102</v>
      </c>
    </row>
    <row r="296" spans="1:1" x14ac:dyDescent="0.35">
      <c r="A296" s="89"/>
    </row>
    <row r="297" spans="1:1" x14ac:dyDescent="0.35">
      <c r="A297" s="85" t="s">
        <v>1107</v>
      </c>
    </row>
    <row r="298" spans="1:1" x14ac:dyDescent="0.35">
      <c r="A298" s="89"/>
    </row>
    <row r="299" spans="1:1" x14ac:dyDescent="0.35">
      <c r="A299" s="85" t="s">
        <v>5791</v>
      </c>
    </row>
    <row r="300" spans="1:1" x14ac:dyDescent="0.35">
      <c r="A300" s="85" t="s">
        <v>5792</v>
      </c>
    </row>
    <row r="301" spans="1:1" x14ac:dyDescent="0.35">
      <c r="A301" s="85" t="s">
        <v>5793</v>
      </c>
    </row>
    <row r="302" spans="1:1" x14ac:dyDescent="0.35">
      <c r="A302" s="89"/>
    </row>
    <row r="303" spans="1:1" x14ac:dyDescent="0.35">
      <c r="A303" s="85" t="s">
        <v>1124</v>
      </c>
    </row>
    <row r="304" spans="1:1" x14ac:dyDescent="0.35">
      <c r="A304" s="85" t="s">
        <v>1127</v>
      </c>
    </row>
    <row r="305" spans="1:1" x14ac:dyDescent="0.35">
      <c r="A305" s="89"/>
    </row>
    <row r="306" spans="1:1" x14ac:dyDescent="0.35">
      <c r="A306" s="85" t="s">
        <v>1132</v>
      </c>
    </row>
    <row r="307" spans="1:1" x14ac:dyDescent="0.35">
      <c r="A307" s="85" t="s">
        <v>1135</v>
      </c>
    </row>
    <row r="308" spans="1:1" x14ac:dyDescent="0.35">
      <c r="A308" s="85" t="s">
        <v>5794</v>
      </c>
    </row>
    <row r="309" spans="1:1" x14ac:dyDescent="0.35">
      <c r="A309" s="85" t="s">
        <v>1141</v>
      </c>
    </row>
    <row r="310" spans="1:1" x14ac:dyDescent="0.35">
      <c r="A310" s="85" t="s">
        <v>1144</v>
      </c>
    </row>
    <row r="311" spans="1:1" x14ac:dyDescent="0.35">
      <c r="A311" s="85" t="s">
        <v>1147</v>
      </c>
    </row>
    <row r="312" spans="1:1" x14ac:dyDescent="0.35">
      <c r="A312" s="86"/>
    </row>
    <row r="313" spans="1:1" x14ac:dyDescent="0.35">
      <c r="A313" s="85" t="s">
        <v>1153</v>
      </c>
    </row>
    <row r="314" spans="1:1" x14ac:dyDescent="0.35">
      <c r="A314" s="85" t="s">
        <v>5795</v>
      </c>
    </row>
    <row r="315" spans="1:1" x14ac:dyDescent="0.35">
      <c r="A315" s="85" t="s">
        <v>5796</v>
      </c>
    </row>
    <row r="316" spans="1:1" x14ac:dyDescent="0.35">
      <c r="A316" s="85" t="s">
        <v>1162</v>
      </c>
    </row>
    <row r="317" spans="1:1" x14ac:dyDescent="0.35">
      <c r="A317" s="89"/>
    </row>
    <row r="318" spans="1:1" x14ac:dyDescent="0.35">
      <c r="A318" s="85" t="s">
        <v>1167</v>
      </c>
    </row>
    <row r="319" spans="1:1" x14ac:dyDescent="0.35">
      <c r="A319" s="85" t="s">
        <v>1170</v>
      </c>
    </row>
    <row r="320" spans="1:1" x14ac:dyDescent="0.35">
      <c r="A320" s="85" t="s">
        <v>5797</v>
      </c>
    </row>
    <row r="321" spans="1:1" x14ac:dyDescent="0.35">
      <c r="A321" s="85" t="s">
        <v>1176</v>
      </c>
    </row>
    <row r="322" spans="1:1" x14ac:dyDescent="0.35">
      <c r="A322" s="85" t="s">
        <v>5798</v>
      </c>
    </row>
    <row r="323" spans="1:1" x14ac:dyDescent="0.35">
      <c r="A323" s="85" t="s">
        <v>5799</v>
      </c>
    </row>
    <row r="324" spans="1:1" x14ac:dyDescent="0.35">
      <c r="A324" s="85" t="s">
        <v>5800</v>
      </c>
    </row>
    <row r="325" spans="1:1" x14ac:dyDescent="0.35">
      <c r="A325" s="85"/>
    </row>
    <row r="326" spans="1:1" x14ac:dyDescent="0.35">
      <c r="A326" s="85" t="s">
        <v>1191</v>
      </c>
    </row>
    <row r="327" spans="1:1" x14ac:dyDescent="0.35">
      <c r="A327" s="89"/>
    </row>
    <row r="328" spans="1:1" x14ac:dyDescent="0.35">
      <c r="A328" s="85" t="s">
        <v>5801</v>
      </c>
    </row>
    <row r="329" spans="1:1" x14ac:dyDescent="0.35">
      <c r="A329" s="85" t="s">
        <v>5802</v>
      </c>
    </row>
    <row r="330" spans="1:1" x14ac:dyDescent="0.35">
      <c r="A330" s="89"/>
    </row>
    <row r="331" spans="1:1" x14ac:dyDescent="0.35">
      <c r="A331" s="85" t="s">
        <v>5803</v>
      </c>
    </row>
    <row r="332" spans="1:1" x14ac:dyDescent="0.35">
      <c r="A332" s="85" t="s">
        <v>5804</v>
      </c>
    </row>
    <row r="333" spans="1:1" x14ac:dyDescent="0.35">
      <c r="A333" s="87" t="s">
        <v>1210</v>
      </c>
    </row>
    <row r="334" spans="1:1" x14ac:dyDescent="0.35">
      <c r="A334" s="85" t="s">
        <v>1213</v>
      </c>
    </row>
    <row r="335" spans="1:1" x14ac:dyDescent="0.35">
      <c r="A335" s="85" t="s">
        <v>1216</v>
      </c>
    </row>
    <row r="336" spans="1:1" x14ac:dyDescent="0.35">
      <c r="A336" s="85" t="s">
        <v>5805</v>
      </c>
    </row>
    <row r="337" spans="1:1" x14ac:dyDescent="0.35">
      <c r="A337" s="85" t="s">
        <v>1222</v>
      </c>
    </row>
    <row r="338" spans="1:1" x14ac:dyDescent="0.35">
      <c r="A338" s="86"/>
    </row>
    <row r="339" spans="1:1" x14ac:dyDescent="0.35">
      <c r="A339" s="85" t="s">
        <v>1228</v>
      </c>
    </row>
    <row r="340" spans="1:1" x14ac:dyDescent="0.35">
      <c r="A340" s="85" t="s">
        <v>1231</v>
      </c>
    </row>
    <row r="341" spans="1:1" x14ac:dyDescent="0.35">
      <c r="A341" s="85" t="s">
        <v>1234</v>
      </c>
    </row>
    <row r="342" spans="1:1" x14ac:dyDescent="0.35">
      <c r="A342" s="85" t="s">
        <v>5806</v>
      </c>
    </row>
    <row r="343" spans="1:1" x14ac:dyDescent="0.35">
      <c r="A343" s="85" t="s">
        <v>1240</v>
      </c>
    </row>
    <row r="344" spans="1:1" x14ac:dyDescent="0.35">
      <c r="A344" s="85" t="s">
        <v>5807</v>
      </c>
    </row>
    <row r="345" spans="1:1" x14ac:dyDescent="0.35">
      <c r="A345" s="85" t="s">
        <v>5808</v>
      </c>
    </row>
    <row r="346" spans="1:1" x14ac:dyDescent="0.35">
      <c r="A346" s="85" t="s">
        <v>1249</v>
      </c>
    </row>
    <row r="347" spans="1:1" x14ac:dyDescent="0.35">
      <c r="A347" s="85" t="s">
        <v>5809</v>
      </c>
    </row>
    <row r="348" spans="1:1" x14ac:dyDescent="0.35">
      <c r="A348" s="85" t="s">
        <v>5810</v>
      </c>
    </row>
    <row r="349" spans="1:1" x14ac:dyDescent="0.35">
      <c r="A349" s="89"/>
    </row>
    <row r="350" spans="1:1" x14ac:dyDescent="0.35">
      <c r="A350" s="85" t="s">
        <v>5811</v>
      </c>
    </row>
    <row r="351" spans="1:1" x14ac:dyDescent="0.35">
      <c r="A351" s="85" t="s">
        <v>1263</v>
      </c>
    </row>
    <row r="352" spans="1:1" x14ac:dyDescent="0.35">
      <c r="A352" s="85"/>
    </row>
    <row r="353" spans="1:1" x14ac:dyDescent="0.35">
      <c r="A353" s="85" t="s">
        <v>5812</v>
      </c>
    </row>
    <row r="354" spans="1:1" x14ac:dyDescent="0.35">
      <c r="A354" s="85" t="s">
        <v>1272</v>
      </c>
    </row>
    <row r="355" spans="1:1" x14ac:dyDescent="0.35">
      <c r="A355" s="85" t="s">
        <v>5813</v>
      </c>
    </row>
    <row r="356" spans="1:1" x14ac:dyDescent="0.35">
      <c r="A356" s="85" t="s">
        <v>5814</v>
      </c>
    </row>
    <row r="357" spans="1:1" x14ac:dyDescent="0.35">
      <c r="A357" s="89"/>
    </row>
    <row r="358" spans="1:1" x14ac:dyDescent="0.35">
      <c r="A358" s="85" t="s">
        <v>1283</v>
      </c>
    </row>
    <row r="359" spans="1:1" x14ac:dyDescent="0.35">
      <c r="A359" s="85" t="s">
        <v>1286</v>
      </c>
    </row>
    <row r="360" spans="1:1" x14ac:dyDescent="0.35">
      <c r="A360" s="89"/>
    </row>
    <row r="361" spans="1:1" x14ac:dyDescent="0.35">
      <c r="A361" s="85" t="s">
        <v>5815</v>
      </c>
    </row>
    <row r="362" spans="1:1" x14ac:dyDescent="0.35">
      <c r="A362" s="85" t="s">
        <v>5816</v>
      </c>
    </row>
    <row r="363" spans="1:1" x14ac:dyDescent="0.35">
      <c r="A363" s="85" t="s">
        <v>1297</v>
      </c>
    </row>
    <row r="364" spans="1:1" x14ac:dyDescent="0.35">
      <c r="A364" s="86"/>
    </row>
    <row r="365" spans="1:1" x14ac:dyDescent="0.35">
      <c r="A365" s="85" t="s">
        <v>1303</v>
      </c>
    </row>
    <row r="366" spans="1:1" x14ac:dyDescent="0.35">
      <c r="A366" s="85" t="s">
        <v>1306</v>
      </c>
    </row>
    <row r="367" spans="1:1" x14ac:dyDescent="0.35">
      <c r="A367" s="85" t="s">
        <v>1309</v>
      </c>
    </row>
    <row r="368" spans="1:1" x14ac:dyDescent="0.35">
      <c r="A368" s="85" t="s">
        <v>5817</v>
      </c>
    </row>
    <row r="369" spans="1:1" x14ac:dyDescent="0.35">
      <c r="A369" s="85" t="s">
        <v>1315</v>
      </c>
    </row>
    <row r="370" spans="1:1" x14ac:dyDescent="0.35">
      <c r="A370" s="85" t="s">
        <v>5818</v>
      </c>
    </row>
    <row r="371" spans="1:1" x14ac:dyDescent="0.35">
      <c r="A371" s="85" t="s">
        <v>5819</v>
      </c>
    </row>
    <row r="372" spans="1:1" x14ac:dyDescent="0.35">
      <c r="A372" s="87" t="s">
        <v>5820</v>
      </c>
    </row>
    <row r="373" spans="1:1" x14ac:dyDescent="0.35">
      <c r="A373" s="85" t="s">
        <v>1327</v>
      </c>
    </row>
    <row r="374" spans="1:1" x14ac:dyDescent="0.35">
      <c r="A374" s="85" t="s">
        <v>1330</v>
      </c>
    </row>
    <row r="375" spans="1:1" x14ac:dyDescent="0.35">
      <c r="A375" s="85" t="s">
        <v>1333</v>
      </c>
    </row>
    <row r="376" spans="1:1" x14ac:dyDescent="0.35">
      <c r="A376" s="85" t="s">
        <v>1336</v>
      </c>
    </row>
    <row r="377" spans="1:1" x14ac:dyDescent="0.35">
      <c r="A377" s="85" t="s">
        <v>5821</v>
      </c>
    </row>
    <row r="378" spans="1:1" x14ac:dyDescent="0.35">
      <c r="A378" s="89"/>
    </row>
    <row r="379" spans="1:1" x14ac:dyDescent="0.35">
      <c r="A379" s="85"/>
    </row>
    <row r="380" spans="1:1" x14ac:dyDescent="0.35">
      <c r="A380" s="85" t="s">
        <v>5822</v>
      </c>
    </row>
    <row r="381" spans="1:1" x14ac:dyDescent="0.35">
      <c r="A381" s="85" t="s">
        <v>5823</v>
      </c>
    </row>
    <row r="382" spans="1:1" x14ac:dyDescent="0.35">
      <c r="A382" s="89"/>
    </row>
    <row r="383" spans="1:1" x14ac:dyDescent="0.35">
      <c r="A383" s="85" t="s">
        <v>1356</v>
      </c>
    </row>
    <row r="384" spans="1:1" x14ac:dyDescent="0.35">
      <c r="A384" s="89"/>
    </row>
    <row r="385" spans="1:1" x14ac:dyDescent="0.35">
      <c r="A385" s="85" t="s">
        <v>1361</v>
      </c>
    </row>
    <row r="386" spans="1:1" x14ac:dyDescent="0.35">
      <c r="A386" s="85" t="s">
        <v>1364</v>
      </c>
    </row>
    <row r="387" spans="1:1" x14ac:dyDescent="0.35">
      <c r="A387" s="85" t="s">
        <v>5824</v>
      </c>
    </row>
    <row r="388" spans="1:1" x14ac:dyDescent="0.35">
      <c r="A388" s="87" t="s">
        <v>1370</v>
      </c>
    </row>
    <row r="389" spans="1:1" x14ac:dyDescent="0.35">
      <c r="A389" s="85" t="s">
        <v>5825</v>
      </c>
    </row>
    <row r="390" spans="1:1" x14ac:dyDescent="0.35">
      <c r="A390" s="86"/>
    </row>
    <row r="391" spans="1:1" x14ac:dyDescent="0.35">
      <c r="A391" s="85" t="s">
        <v>5826</v>
      </c>
    </row>
    <row r="392" spans="1:1" x14ac:dyDescent="0.35">
      <c r="A392" s="85" t="s">
        <v>1382</v>
      </c>
    </row>
    <row r="393" spans="1:1" x14ac:dyDescent="0.35">
      <c r="A393" s="85" t="s">
        <v>1385</v>
      </c>
    </row>
    <row r="394" spans="1:1" x14ac:dyDescent="0.35">
      <c r="A394" s="85" t="s">
        <v>1388</v>
      </c>
    </row>
    <row r="395" spans="1:1" x14ac:dyDescent="0.35">
      <c r="A395" s="85" t="s">
        <v>5827</v>
      </c>
    </row>
    <row r="396" spans="1:1" x14ac:dyDescent="0.35">
      <c r="A396" s="85" t="s">
        <v>5828</v>
      </c>
    </row>
    <row r="397" spans="1:1" x14ac:dyDescent="0.35">
      <c r="A397" s="85" t="s">
        <v>5829</v>
      </c>
    </row>
    <row r="398" spans="1:1" x14ac:dyDescent="0.35">
      <c r="A398" s="89"/>
    </row>
    <row r="399" spans="1:1" x14ac:dyDescent="0.35">
      <c r="A399" s="89"/>
    </row>
    <row r="400" spans="1:1" x14ac:dyDescent="0.35">
      <c r="A400" s="85" t="s">
        <v>1405</v>
      </c>
    </row>
    <row r="401" spans="1:1" x14ac:dyDescent="0.35">
      <c r="A401" s="85" t="s">
        <v>1408</v>
      </c>
    </row>
    <row r="402" spans="1:1" x14ac:dyDescent="0.35">
      <c r="A402" s="85" t="s">
        <v>5830</v>
      </c>
    </row>
    <row r="403" spans="1:1" x14ac:dyDescent="0.35">
      <c r="A403" s="85" t="s">
        <v>1414</v>
      </c>
    </row>
    <row r="404" spans="1:1" x14ac:dyDescent="0.35">
      <c r="A404" s="85" t="s">
        <v>1417</v>
      </c>
    </row>
    <row r="405" spans="1:1" x14ac:dyDescent="0.35">
      <c r="A405" s="85" t="s">
        <v>1420</v>
      </c>
    </row>
    <row r="406" spans="1:1" x14ac:dyDescent="0.35">
      <c r="A406" s="85"/>
    </row>
    <row r="407" spans="1:1" x14ac:dyDescent="0.35">
      <c r="A407" s="85" t="s">
        <v>1426</v>
      </c>
    </row>
    <row r="408" spans="1:1" x14ac:dyDescent="0.35">
      <c r="A408" s="85" t="s">
        <v>1429</v>
      </c>
    </row>
    <row r="409" spans="1:1" x14ac:dyDescent="0.35">
      <c r="A409" s="85" t="s">
        <v>5831</v>
      </c>
    </row>
    <row r="410" spans="1:1" x14ac:dyDescent="0.35">
      <c r="A410" s="89"/>
    </row>
    <row r="411" spans="1:1" x14ac:dyDescent="0.35">
      <c r="A411" s="85" t="s">
        <v>1438</v>
      </c>
    </row>
    <row r="412" spans="1:1" x14ac:dyDescent="0.35">
      <c r="A412" s="85" t="s">
        <v>1441</v>
      </c>
    </row>
    <row r="413" spans="1:1" x14ac:dyDescent="0.35">
      <c r="A413" s="85" t="s">
        <v>5832</v>
      </c>
    </row>
    <row r="414" spans="1:1" x14ac:dyDescent="0.35">
      <c r="A414" s="85" t="s">
        <v>5833</v>
      </c>
    </row>
    <row r="415" spans="1:1" x14ac:dyDescent="0.35">
      <c r="A415" s="89"/>
    </row>
    <row r="416" spans="1:1" x14ac:dyDescent="0.35">
      <c r="A416" s="86"/>
    </row>
    <row r="417" spans="1:1" x14ac:dyDescent="0.35">
      <c r="A417" s="89"/>
    </row>
    <row r="418" spans="1:1" x14ac:dyDescent="0.35">
      <c r="A418" s="85" t="s">
        <v>1458</v>
      </c>
    </row>
    <row r="419" spans="1:1" x14ac:dyDescent="0.35">
      <c r="A419" s="89"/>
    </row>
    <row r="420" spans="1:1" x14ac:dyDescent="0.35">
      <c r="A420" s="85" t="s">
        <v>1464</v>
      </c>
    </row>
    <row r="421" spans="1:1" x14ac:dyDescent="0.35">
      <c r="A421" s="85" t="s">
        <v>5834</v>
      </c>
    </row>
    <row r="422" spans="1:1" x14ac:dyDescent="0.35">
      <c r="A422" s="85" t="s">
        <v>5835</v>
      </c>
    </row>
    <row r="423" spans="1:1" x14ac:dyDescent="0.35">
      <c r="A423" s="85" t="s">
        <v>1473</v>
      </c>
    </row>
    <row r="424" spans="1:1" x14ac:dyDescent="0.35">
      <c r="A424" s="85" t="s">
        <v>5836</v>
      </c>
    </row>
    <row r="425" spans="1:1" x14ac:dyDescent="0.35">
      <c r="A425" s="85" t="s">
        <v>5837</v>
      </c>
    </row>
    <row r="426" spans="1:1" x14ac:dyDescent="0.35">
      <c r="A426" s="85" t="s">
        <v>1482</v>
      </c>
    </row>
    <row r="427" spans="1:1" x14ac:dyDescent="0.35">
      <c r="A427" s="85" t="s">
        <v>5838</v>
      </c>
    </row>
    <row r="428" spans="1:1" x14ac:dyDescent="0.35">
      <c r="A428" s="85" t="s">
        <v>1488</v>
      </c>
    </row>
    <row r="429" spans="1:1" x14ac:dyDescent="0.35">
      <c r="A429" s="85" t="s">
        <v>5839</v>
      </c>
    </row>
    <row r="430" spans="1:1" x14ac:dyDescent="0.35">
      <c r="A430" s="85" t="s">
        <v>1494</v>
      </c>
    </row>
    <row r="431" spans="1:1" x14ac:dyDescent="0.35">
      <c r="A431" s="85" t="s">
        <v>1497</v>
      </c>
    </row>
    <row r="432" spans="1:1" x14ac:dyDescent="0.35">
      <c r="A432" s="85" t="s">
        <v>1500</v>
      </c>
    </row>
    <row r="433" spans="1:1" x14ac:dyDescent="0.35">
      <c r="A433" s="85"/>
    </row>
    <row r="434" spans="1:1" x14ac:dyDescent="0.35">
      <c r="A434" s="85" t="s">
        <v>1506</v>
      </c>
    </row>
    <row r="435" spans="1:1" x14ac:dyDescent="0.35">
      <c r="A435" s="85" t="s">
        <v>1509</v>
      </c>
    </row>
    <row r="436" spans="1:1" x14ac:dyDescent="0.35">
      <c r="A436" s="85" t="s">
        <v>5840</v>
      </c>
    </row>
    <row r="437" spans="1:1" x14ac:dyDescent="0.35">
      <c r="A437" s="85" t="s">
        <v>5841</v>
      </c>
    </row>
    <row r="438" spans="1:1" x14ac:dyDescent="0.35">
      <c r="A438" s="85" t="s">
        <v>5842</v>
      </c>
    </row>
    <row r="439" spans="1:1" x14ac:dyDescent="0.35">
      <c r="A439" s="85" t="s">
        <v>5843</v>
      </c>
    </row>
    <row r="440" spans="1:1" x14ac:dyDescent="0.35">
      <c r="A440" s="85" t="s">
        <v>5844</v>
      </c>
    </row>
    <row r="441" spans="1:1" x14ac:dyDescent="0.35">
      <c r="A441" s="85" t="s">
        <v>1527</v>
      </c>
    </row>
    <row r="442" spans="1:1" x14ac:dyDescent="0.35">
      <c r="A442" s="86"/>
    </row>
    <row r="443" spans="1:1" x14ac:dyDescent="0.35">
      <c r="A443" s="85" t="s">
        <v>1533</v>
      </c>
    </row>
    <row r="444" spans="1:1" x14ac:dyDescent="0.35">
      <c r="A444" s="89"/>
    </row>
    <row r="445" spans="1:1" x14ac:dyDescent="0.35">
      <c r="A445" s="85" t="s">
        <v>5845</v>
      </c>
    </row>
    <row r="446" spans="1:1" x14ac:dyDescent="0.35">
      <c r="A446" s="85" t="s">
        <v>5846</v>
      </c>
    </row>
    <row r="447" spans="1:1" x14ac:dyDescent="0.35">
      <c r="A447" s="85" t="s">
        <v>1544</v>
      </c>
    </row>
    <row r="448" spans="1:1" x14ac:dyDescent="0.35">
      <c r="A448" s="85" t="s">
        <v>1547</v>
      </c>
    </row>
    <row r="449" spans="1:1" x14ac:dyDescent="0.35">
      <c r="A449" s="85" t="s">
        <v>1550</v>
      </c>
    </row>
    <row r="450" spans="1:1" x14ac:dyDescent="0.35">
      <c r="A450" s="85" t="s">
        <v>1553</v>
      </c>
    </row>
    <row r="451" spans="1:1" x14ac:dyDescent="0.35">
      <c r="A451" s="85" t="s">
        <v>1556</v>
      </c>
    </row>
    <row r="452" spans="1:1" x14ac:dyDescent="0.35">
      <c r="A452" s="89"/>
    </row>
    <row r="453" spans="1:1" x14ac:dyDescent="0.35">
      <c r="A453" s="85" t="s">
        <v>1562</v>
      </c>
    </row>
    <row r="454" spans="1:1" x14ac:dyDescent="0.35">
      <c r="A454" s="85" t="s">
        <v>5847</v>
      </c>
    </row>
    <row r="455" spans="1:1" x14ac:dyDescent="0.35">
      <c r="A455" s="85" t="s">
        <v>1568</v>
      </c>
    </row>
    <row r="456" spans="1:1" x14ac:dyDescent="0.35">
      <c r="A456" s="85" t="s">
        <v>1571</v>
      </c>
    </row>
    <row r="457" spans="1:1" x14ac:dyDescent="0.35">
      <c r="A457" s="85" t="s">
        <v>5848</v>
      </c>
    </row>
    <row r="458" spans="1:1" x14ac:dyDescent="0.35">
      <c r="A458" s="85" t="s">
        <v>1577</v>
      </c>
    </row>
    <row r="459" spans="1:1" x14ac:dyDescent="0.35">
      <c r="A459" s="89"/>
    </row>
    <row r="460" spans="1:1" x14ac:dyDescent="0.35">
      <c r="A460" s="89"/>
    </row>
    <row r="461" spans="1:1" x14ac:dyDescent="0.35">
      <c r="A461" s="89"/>
    </row>
    <row r="462" spans="1:1" x14ac:dyDescent="0.35">
      <c r="A462" s="85" t="s">
        <v>5849</v>
      </c>
    </row>
    <row r="463" spans="1:1" x14ac:dyDescent="0.35">
      <c r="A463" s="85" t="s">
        <v>1590</v>
      </c>
    </row>
    <row r="464" spans="1:1" x14ac:dyDescent="0.35">
      <c r="A464" s="85" t="s">
        <v>1593</v>
      </c>
    </row>
    <row r="465" spans="1:1" x14ac:dyDescent="0.35">
      <c r="A465" s="85" t="s">
        <v>1596</v>
      </c>
    </row>
    <row r="466" spans="1:1" x14ac:dyDescent="0.35">
      <c r="A466" s="85" t="s">
        <v>5850</v>
      </c>
    </row>
    <row r="467" spans="1:1" x14ac:dyDescent="0.35">
      <c r="A467" s="85" t="s">
        <v>5851</v>
      </c>
    </row>
    <row r="468" spans="1:1" x14ac:dyDescent="0.35">
      <c r="A468" s="86"/>
    </row>
    <row r="469" spans="1:1" x14ac:dyDescent="0.35">
      <c r="A469" s="85" t="s">
        <v>1608</v>
      </c>
    </row>
    <row r="470" spans="1:1" x14ac:dyDescent="0.35">
      <c r="A470" s="85" t="s">
        <v>5852</v>
      </c>
    </row>
    <row r="471" spans="1:1" x14ac:dyDescent="0.35">
      <c r="A471" s="85" t="s">
        <v>1614</v>
      </c>
    </row>
    <row r="472" spans="1:1" x14ac:dyDescent="0.35">
      <c r="A472" s="89"/>
    </row>
    <row r="473" spans="1:1" x14ac:dyDescent="0.35">
      <c r="A473" s="85" t="s">
        <v>1619</v>
      </c>
    </row>
    <row r="474" spans="1:1" x14ac:dyDescent="0.35">
      <c r="A474" s="85" t="s">
        <v>1622</v>
      </c>
    </row>
    <row r="475" spans="1:1" x14ac:dyDescent="0.35">
      <c r="A475" s="85" t="s">
        <v>1625</v>
      </c>
    </row>
    <row r="476" spans="1:1" x14ac:dyDescent="0.35">
      <c r="A476" s="89"/>
    </row>
    <row r="477" spans="1:1" x14ac:dyDescent="0.35">
      <c r="A477" s="85" t="s">
        <v>1630</v>
      </c>
    </row>
    <row r="478" spans="1:1" x14ac:dyDescent="0.35">
      <c r="A478" s="85" t="s">
        <v>5853</v>
      </c>
    </row>
    <row r="479" spans="1:1" x14ac:dyDescent="0.35">
      <c r="A479" s="85" t="s">
        <v>1636</v>
      </c>
    </row>
    <row r="480" spans="1:1" x14ac:dyDescent="0.35">
      <c r="A480" s="89"/>
    </row>
    <row r="481" spans="1:1" x14ac:dyDescent="0.35">
      <c r="A481" s="85" t="s">
        <v>1642</v>
      </c>
    </row>
    <row r="482" spans="1:1" x14ac:dyDescent="0.35">
      <c r="A482" s="85" t="s">
        <v>5854</v>
      </c>
    </row>
    <row r="483" spans="1:1" x14ac:dyDescent="0.35">
      <c r="A483" s="85" t="s">
        <v>1648</v>
      </c>
    </row>
    <row r="484" spans="1:1" x14ac:dyDescent="0.35">
      <c r="A484" s="85" t="s">
        <v>1651</v>
      </c>
    </row>
    <row r="485" spans="1:1" x14ac:dyDescent="0.35">
      <c r="A485" s="85" t="s">
        <v>5855</v>
      </c>
    </row>
    <row r="486" spans="1:1" x14ac:dyDescent="0.35">
      <c r="A486" s="85"/>
    </row>
    <row r="487" spans="1:1" x14ac:dyDescent="0.35">
      <c r="A487" s="89"/>
    </row>
    <row r="488" spans="1:1" x14ac:dyDescent="0.35">
      <c r="A488" s="89"/>
    </row>
    <row r="489" spans="1:1" x14ac:dyDescent="0.35">
      <c r="A489" s="85" t="s">
        <v>1663</v>
      </c>
    </row>
    <row r="490" spans="1:1" x14ac:dyDescent="0.35">
      <c r="A490" s="85" t="s">
        <v>1666</v>
      </c>
    </row>
    <row r="491" spans="1:1" x14ac:dyDescent="0.35">
      <c r="A491" s="89"/>
    </row>
    <row r="492" spans="1:1" x14ac:dyDescent="0.35">
      <c r="A492" s="85" t="s">
        <v>5856</v>
      </c>
    </row>
    <row r="493" spans="1:1" x14ac:dyDescent="0.35">
      <c r="A493" s="85" t="s">
        <v>5857</v>
      </c>
    </row>
    <row r="494" spans="1:1" x14ac:dyDescent="0.35">
      <c r="A494" s="86"/>
    </row>
    <row r="495" spans="1:1" x14ac:dyDescent="0.35">
      <c r="A495" s="85" t="s">
        <v>5858</v>
      </c>
    </row>
    <row r="496" spans="1:1" x14ac:dyDescent="0.35">
      <c r="A496" s="85" t="s">
        <v>1684</v>
      </c>
    </row>
    <row r="497" spans="1:1" x14ac:dyDescent="0.35">
      <c r="A497" s="89"/>
    </row>
    <row r="498" spans="1:1" x14ac:dyDescent="0.35">
      <c r="A498" s="85" t="s">
        <v>1689</v>
      </c>
    </row>
    <row r="499" spans="1:1" x14ac:dyDescent="0.35">
      <c r="A499" s="85" t="s">
        <v>1692</v>
      </c>
    </row>
    <row r="500" spans="1:1" x14ac:dyDescent="0.35">
      <c r="A500" s="85" t="s">
        <v>1695</v>
      </c>
    </row>
    <row r="501" spans="1:1" x14ac:dyDescent="0.35">
      <c r="A501" s="85" t="s">
        <v>1698</v>
      </c>
    </row>
    <row r="502" spans="1:1" x14ac:dyDescent="0.35">
      <c r="A502" s="85" t="s">
        <v>1701</v>
      </c>
    </row>
    <row r="503" spans="1:1" x14ac:dyDescent="0.35">
      <c r="A503" s="85" t="s">
        <v>1704</v>
      </c>
    </row>
    <row r="504" spans="1:1" x14ac:dyDescent="0.35">
      <c r="A504" s="85" t="s">
        <v>1707</v>
      </c>
    </row>
    <row r="505" spans="1:1" x14ac:dyDescent="0.35">
      <c r="A505" s="85" t="s">
        <v>1710</v>
      </c>
    </row>
    <row r="506" spans="1:1" x14ac:dyDescent="0.35">
      <c r="A506" s="85" t="s">
        <v>5859</v>
      </c>
    </row>
    <row r="507" spans="1:1" x14ac:dyDescent="0.35">
      <c r="A507" s="85" t="s">
        <v>1716</v>
      </c>
    </row>
    <row r="508" spans="1:1" x14ac:dyDescent="0.35">
      <c r="A508" s="85" t="s">
        <v>1719</v>
      </c>
    </row>
    <row r="509" spans="1:1" x14ac:dyDescent="0.35">
      <c r="A509" s="85" t="s">
        <v>5860</v>
      </c>
    </row>
    <row r="510" spans="1:1" x14ac:dyDescent="0.35">
      <c r="A510" s="89"/>
    </row>
    <row r="511" spans="1:1" x14ac:dyDescent="0.35">
      <c r="A511" s="89"/>
    </row>
    <row r="512" spans="1:1" x14ac:dyDescent="0.35">
      <c r="A512" s="85" t="s">
        <v>1729</v>
      </c>
    </row>
    <row r="513" spans="1:1" x14ac:dyDescent="0.35">
      <c r="A513" s="85" t="s">
        <v>1732</v>
      </c>
    </row>
    <row r="514" spans="1:1" x14ac:dyDescent="0.35">
      <c r="A514" s="85"/>
    </row>
    <row r="515" spans="1:1" x14ac:dyDescent="0.35">
      <c r="A515" s="85" t="s">
        <v>5861</v>
      </c>
    </row>
    <row r="516" spans="1:1" x14ac:dyDescent="0.35">
      <c r="A516" s="85" t="s">
        <v>1739</v>
      </c>
    </row>
    <row r="517" spans="1:1" x14ac:dyDescent="0.35">
      <c r="A517" s="85" t="s">
        <v>5862</v>
      </c>
    </row>
    <row r="518" spans="1:1" x14ac:dyDescent="0.35">
      <c r="A518" s="85" t="s">
        <v>5863</v>
      </c>
    </row>
    <row r="519" spans="1:1" x14ac:dyDescent="0.35">
      <c r="A519" s="85" t="s">
        <v>5864</v>
      </c>
    </row>
    <row r="520" spans="1:1" x14ac:dyDescent="0.35">
      <c r="A520" s="86"/>
    </row>
    <row r="521" spans="1:1" x14ac:dyDescent="0.35">
      <c r="A521" s="85" t="s">
        <v>1754</v>
      </c>
    </row>
    <row r="522" spans="1:1" x14ac:dyDescent="0.35">
      <c r="A522" s="89"/>
    </row>
    <row r="523" spans="1:1" x14ac:dyDescent="0.35">
      <c r="A523" s="89"/>
    </row>
    <row r="524" spans="1:1" x14ac:dyDescent="0.35">
      <c r="A524" s="85" t="s">
        <v>1761</v>
      </c>
    </row>
    <row r="525" spans="1:1" x14ac:dyDescent="0.35">
      <c r="A525" s="85" t="s">
        <v>1764</v>
      </c>
    </row>
    <row r="526" spans="1:1" x14ac:dyDescent="0.35">
      <c r="A526" s="85" t="s">
        <v>1767</v>
      </c>
    </row>
    <row r="527" spans="1:1" x14ac:dyDescent="0.35">
      <c r="A527" s="85" t="s">
        <v>1770</v>
      </c>
    </row>
    <row r="528" spans="1:1" x14ac:dyDescent="0.35">
      <c r="A528" s="85" t="s">
        <v>5865</v>
      </c>
    </row>
    <row r="529" spans="1:1" x14ac:dyDescent="0.35">
      <c r="A529" s="85" t="s">
        <v>1776</v>
      </c>
    </row>
    <row r="530" spans="1:1" x14ac:dyDescent="0.35">
      <c r="A530" s="85" t="s">
        <v>1779</v>
      </c>
    </row>
    <row r="531" spans="1:1" x14ac:dyDescent="0.35">
      <c r="A531" s="85" t="s">
        <v>1782</v>
      </c>
    </row>
    <row r="532" spans="1:1" x14ac:dyDescent="0.35">
      <c r="A532" s="89"/>
    </row>
    <row r="533" spans="1:1" x14ac:dyDescent="0.35">
      <c r="A533" s="85" t="s">
        <v>1787</v>
      </c>
    </row>
    <row r="534" spans="1:1" x14ac:dyDescent="0.35">
      <c r="A534" s="85" t="s">
        <v>1790</v>
      </c>
    </row>
    <row r="535" spans="1:1" x14ac:dyDescent="0.35">
      <c r="A535" s="85" t="s">
        <v>1793</v>
      </c>
    </row>
    <row r="536" spans="1:1" x14ac:dyDescent="0.35">
      <c r="A536" s="85" t="s">
        <v>5866</v>
      </c>
    </row>
    <row r="537" spans="1:1" x14ac:dyDescent="0.35">
      <c r="A537" s="89"/>
    </row>
    <row r="538" spans="1:1" x14ac:dyDescent="0.35">
      <c r="A538" s="89"/>
    </row>
    <row r="539" spans="1:1" x14ac:dyDescent="0.35">
      <c r="A539" s="85" t="s">
        <v>1803</v>
      </c>
    </row>
    <row r="540" spans="1:1" x14ac:dyDescent="0.35">
      <c r="A540" s="85" t="s">
        <v>1806</v>
      </c>
    </row>
    <row r="541" spans="1:1" x14ac:dyDescent="0.35">
      <c r="A541" s="85"/>
    </row>
    <row r="542" spans="1:1" x14ac:dyDescent="0.35">
      <c r="A542" s="85" t="s">
        <v>5867</v>
      </c>
    </row>
    <row r="543" spans="1:1" x14ac:dyDescent="0.35">
      <c r="A543" s="85" t="s">
        <v>5868</v>
      </c>
    </row>
    <row r="544" spans="1:1" x14ac:dyDescent="0.35">
      <c r="A544" s="85" t="s">
        <v>1818</v>
      </c>
    </row>
    <row r="545" spans="1:1" x14ac:dyDescent="0.35">
      <c r="A545" s="85" t="s">
        <v>5869</v>
      </c>
    </row>
    <row r="546" spans="1:1" x14ac:dyDescent="0.35">
      <c r="A546" s="86"/>
    </row>
    <row r="547" spans="1:1" x14ac:dyDescent="0.35">
      <c r="A547" s="85" t="s">
        <v>5870</v>
      </c>
    </row>
    <row r="548" spans="1:1" x14ac:dyDescent="0.35">
      <c r="A548" s="85" t="s">
        <v>5871</v>
      </c>
    </row>
    <row r="549" spans="1:1" x14ac:dyDescent="0.35">
      <c r="A549" s="85" t="s">
        <v>5872</v>
      </c>
    </row>
    <row r="550" spans="1:1" x14ac:dyDescent="0.35">
      <c r="A550" s="85"/>
    </row>
    <row r="551" spans="1:1" x14ac:dyDescent="0.35">
      <c r="A551" s="85" t="s">
        <v>1838</v>
      </c>
    </row>
    <row r="552" spans="1:1" x14ac:dyDescent="0.35">
      <c r="A552" s="85" t="s">
        <v>5873</v>
      </c>
    </row>
    <row r="553" spans="1:1" x14ac:dyDescent="0.35">
      <c r="A553" s="85" t="s">
        <v>1844</v>
      </c>
    </row>
    <row r="554" spans="1:1" x14ac:dyDescent="0.35">
      <c r="A554" s="87" t="s">
        <v>1847</v>
      </c>
    </row>
    <row r="555" spans="1:1" x14ac:dyDescent="0.35">
      <c r="A555" s="87" t="s">
        <v>1850</v>
      </c>
    </row>
    <row r="556" spans="1:1" x14ac:dyDescent="0.35">
      <c r="A556" s="85" t="s">
        <v>5874</v>
      </c>
    </row>
    <row r="557" spans="1:1" x14ac:dyDescent="0.35">
      <c r="A557" s="85" t="s">
        <v>1856</v>
      </c>
    </row>
    <row r="558" spans="1:1" x14ac:dyDescent="0.35">
      <c r="A558" s="85" t="s">
        <v>1859</v>
      </c>
    </row>
    <row r="559" spans="1:1" x14ac:dyDescent="0.35">
      <c r="A559" s="85" t="s">
        <v>1862</v>
      </c>
    </row>
    <row r="560" spans="1:1" x14ac:dyDescent="0.35">
      <c r="A560" s="85" t="s">
        <v>1865</v>
      </c>
    </row>
    <row r="561" spans="1:1" x14ac:dyDescent="0.35">
      <c r="A561" s="85" t="s">
        <v>5875</v>
      </c>
    </row>
    <row r="562" spans="1:1" x14ac:dyDescent="0.35">
      <c r="A562" s="89"/>
    </row>
    <row r="563" spans="1:1" x14ac:dyDescent="0.35">
      <c r="A563" s="89"/>
    </row>
    <row r="564" spans="1:1" x14ac:dyDescent="0.35">
      <c r="A564" s="85" t="s">
        <v>5876</v>
      </c>
    </row>
    <row r="565" spans="1:1" x14ac:dyDescent="0.35">
      <c r="A565" s="89"/>
    </row>
    <row r="566" spans="1:1" x14ac:dyDescent="0.35">
      <c r="A566" s="85" t="s">
        <v>5877</v>
      </c>
    </row>
    <row r="567" spans="1:1" x14ac:dyDescent="0.35">
      <c r="A567" s="85" t="s">
        <v>1884</v>
      </c>
    </row>
    <row r="568" spans="1:1" x14ac:dyDescent="0.35">
      <c r="A568" s="85"/>
    </row>
    <row r="569" spans="1:1" x14ac:dyDescent="0.35">
      <c r="A569" s="85" t="s">
        <v>5878</v>
      </c>
    </row>
    <row r="570" spans="1:1" x14ac:dyDescent="0.35">
      <c r="A570" s="85" t="s">
        <v>5879</v>
      </c>
    </row>
    <row r="571" spans="1:1" x14ac:dyDescent="0.35">
      <c r="A571" s="85" t="s">
        <v>5880</v>
      </c>
    </row>
    <row r="572" spans="1:1" x14ac:dyDescent="0.35">
      <c r="A572" s="86"/>
    </row>
    <row r="573" spans="1:1" x14ac:dyDescent="0.35">
      <c r="A573" s="87" t="s">
        <v>1902</v>
      </c>
    </row>
    <row r="574" spans="1:1" x14ac:dyDescent="0.35">
      <c r="A574" s="85" t="s">
        <v>5881</v>
      </c>
    </row>
    <row r="575" spans="1:1" x14ac:dyDescent="0.35">
      <c r="A575" s="85" t="s">
        <v>5882</v>
      </c>
    </row>
    <row r="576" spans="1:1" x14ac:dyDescent="0.35">
      <c r="A576" s="85" t="s">
        <v>1911</v>
      </c>
    </row>
    <row r="577" spans="1:1" x14ac:dyDescent="0.35">
      <c r="A577" s="89"/>
    </row>
    <row r="578" spans="1:1" x14ac:dyDescent="0.35">
      <c r="A578" s="89"/>
    </row>
    <row r="579" spans="1:1" x14ac:dyDescent="0.35">
      <c r="A579" s="89"/>
    </row>
    <row r="580" spans="1:1" x14ac:dyDescent="0.35">
      <c r="A580" s="89"/>
    </row>
    <row r="581" spans="1:1" x14ac:dyDescent="0.35">
      <c r="A581" s="85" t="s">
        <v>5883</v>
      </c>
    </row>
    <row r="582" spans="1:1" x14ac:dyDescent="0.35">
      <c r="A582" s="85" t="s">
        <v>1925</v>
      </c>
    </row>
    <row r="583" spans="1:1" x14ac:dyDescent="0.35">
      <c r="A583" s="89"/>
    </row>
    <row r="584" spans="1:1" x14ac:dyDescent="0.35">
      <c r="A584" s="85" t="s">
        <v>5884</v>
      </c>
    </row>
    <row r="585" spans="1:1" x14ac:dyDescent="0.35">
      <c r="A585" s="85" t="s">
        <v>1933</v>
      </c>
    </row>
    <row r="586" spans="1:1" x14ac:dyDescent="0.35">
      <c r="A586" s="85" t="s">
        <v>1936</v>
      </c>
    </row>
    <row r="587" spans="1:1" x14ac:dyDescent="0.35">
      <c r="A587" s="85" t="s">
        <v>1939</v>
      </c>
    </row>
    <row r="588" spans="1:1" x14ac:dyDescent="0.35">
      <c r="A588" s="85" t="s">
        <v>1942</v>
      </c>
    </row>
    <row r="589" spans="1:1" x14ac:dyDescent="0.35">
      <c r="A589" s="85" t="s">
        <v>1945</v>
      </c>
    </row>
    <row r="590" spans="1:1" x14ac:dyDescent="0.35">
      <c r="A590" s="85" t="s">
        <v>5885</v>
      </c>
    </row>
    <row r="591" spans="1:1" x14ac:dyDescent="0.35">
      <c r="A591" s="89"/>
    </row>
    <row r="592" spans="1:1" x14ac:dyDescent="0.35">
      <c r="A592" s="85" t="s">
        <v>1954</v>
      </c>
    </row>
    <row r="593" spans="1:1" x14ac:dyDescent="0.35">
      <c r="A593" s="85" t="s">
        <v>1957</v>
      </c>
    </row>
    <row r="594" spans="1:1" x14ac:dyDescent="0.35">
      <c r="A594" s="85" t="s">
        <v>1960</v>
      </c>
    </row>
    <row r="595" spans="1:1" x14ac:dyDescent="0.35">
      <c r="A595" s="89"/>
    </row>
    <row r="596" spans="1:1" x14ac:dyDescent="0.35">
      <c r="A596" s="89"/>
    </row>
    <row r="597" spans="1:1" x14ac:dyDescent="0.35">
      <c r="A597" s="85" t="s">
        <v>5886</v>
      </c>
    </row>
    <row r="598" spans="1:1" x14ac:dyDescent="0.35">
      <c r="A598" s="86"/>
    </row>
    <row r="599" spans="1:1" x14ac:dyDescent="0.35">
      <c r="A599" s="85" t="s">
        <v>1975</v>
      </c>
    </row>
    <row r="600" spans="1:1" x14ac:dyDescent="0.35">
      <c r="A600" s="89"/>
    </row>
    <row r="601" spans="1:1" x14ac:dyDescent="0.35">
      <c r="A601" s="85" t="s">
        <v>1980</v>
      </c>
    </row>
    <row r="602" spans="1:1" x14ac:dyDescent="0.35">
      <c r="A602" s="85" t="s">
        <v>5887</v>
      </c>
    </row>
    <row r="603" spans="1:1" x14ac:dyDescent="0.35">
      <c r="A603" s="85" t="s">
        <v>1986</v>
      </c>
    </row>
    <row r="604" spans="1:1" x14ac:dyDescent="0.35">
      <c r="A604" s="85" t="s">
        <v>1989</v>
      </c>
    </row>
    <row r="605" spans="1:1" x14ac:dyDescent="0.35">
      <c r="A605" s="85" t="s">
        <v>5888</v>
      </c>
    </row>
    <row r="606" spans="1:1" x14ac:dyDescent="0.35">
      <c r="A606" s="85" t="s">
        <v>5889</v>
      </c>
    </row>
    <row r="607" spans="1:1" x14ac:dyDescent="0.35">
      <c r="A607" s="85" t="s">
        <v>1998</v>
      </c>
    </row>
    <row r="608" spans="1:1" x14ac:dyDescent="0.35">
      <c r="A608" s="85" t="s">
        <v>2001</v>
      </c>
    </row>
    <row r="609" spans="1:1" x14ac:dyDescent="0.35">
      <c r="A609" s="85" t="s">
        <v>2004</v>
      </c>
    </row>
    <row r="610" spans="1:1" x14ac:dyDescent="0.35">
      <c r="A610" s="85" t="s">
        <v>2007</v>
      </c>
    </row>
    <row r="611" spans="1:1" x14ac:dyDescent="0.35">
      <c r="A611" s="85" t="s">
        <v>5890</v>
      </c>
    </row>
    <row r="612" spans="1:1" x14ac:dyDescent="0.35">
      <c r="A612" s="85" t="s">
        <v>2013</v>
      </c>
    </row>
    <row r="613" spans="1:1" x14ac:dyDescent="0.35">
      <c r="A613" s="85" t="s">
        <v>5891</v>
      </c>
    </row>
    <row r="614" spans="1:1" x14ac:dyDescent="0.35">
      <c r="A614" s="85" t="s">
        <v>2019</v>
      </c>
    </row>
    <row r="615" spans="1:1" x14ac:dyDescent="0.35">
      <c r="A615" s="85" t="s">
        <v>2022</v>
      </c>
    </row>
    <row r="616" spans="1:1" x14ac:dyDescent="0.35">
      <c r="A616" s="85" t="s">
        <v>2025</v>
      </c>
    </row>
    <row r="617" spans="1:1" x14ac:dyDescent="0.35">
      <c r="A617" s="85" t="s">
        <v>2028</v>
      </c>
    </row>
    <row r="618" spans="1:1" x14ac:dyDescent="0.35">
      <c r="A618" s="85" t="s">
        <v>2031</v>
      </c>
    </row>
    <row r="619" spans="1:1" x14ac:dyDescent="0.35">
      <c r="A619" s="85" t="s">
        <v>2034</v>
      </c>
    </row>
    <row r="620" spans="1:1" x14ac:dyDescent="0.35">
      <c r="A620" s="85" t="s">
        <v>5892</v>
      </c>
    </row>
    <row r="621" spans="1:1" x14ac:dyDescent="0.35">
      <c r="A621" s="85" t="s">
        <v>2040</v>
      </c>
    </row>
    <row r="622" spans="1:1" x14ac:dyDescent="0.35">
      <c r="A622" s="89"/>
    </row>
    <row r="623" spans="1:1" x14ac:dyDescent="0.35">
      <c r="A623" s="85" t="s">
        <v>2044</v>
      </c>
    </row>
    <row r="624" spans="1:1" x14ac:dyDescent="0.35">
      <c r="A624" s="86" t="s">
        <v>2047</v>
      </c>
    </row>
    <row r="625" spans="1:1" x14ac:dyDescent="0.35">
      <c r="A625" s="85" t="s">
        <v>2050</v>
      </c>
    </row>
    <row r="626" spans="1:1" x14ac:dyDescent="0.35">
      <c r="A626" s="89"/>
    </row>
    <row r="627" spans="1:1" x14ac:dyDescent="0.35">
      <c r="A627" s="89"/>
    </row>
    <row r="628" spans="1:1" x14ac:dyDescent="0.35">
      <c r="A628" s="85" t="s">
        <v>2059</v>
      </c>
    </row>
    <row r="629" spans="1:1" x14ac:dyDescent="0.35">
      <c r="A629" s="85" t="s">
        <v>5893</v>
      </c>
    </row>
    <row r="630" spans="1:1" x14ac:dyDescent="0.35">
      <c r="A630" s="85" t="s">
        <v>2065</v>
      </c>
    </row>
    <row r="631" spans="1:1" x14ac:dyDescent="0.35">
      <c r="A631" s="89"/>
    </row>
    <row r="632" spans="1:1" x14ac:dyDescent="0.35">
      <c r="A632" s="85" t="s">
        <v>2071</v>
      </c>
    </row>
    <row r="633" spans="1:1" x14ac:dyDescent="0.35">
      <c r="A633" s="89"/>
    </row>
    <row r="634" spans="1:1" x14ac:dyDescent="0.35">
      <c r="A634" s="89"/>
    </row>
    <row r="635" spans="1:1" x14ac:dyDescent="0.35">
      <c r="A635" s="89"/>
    </row>
    <row r="636" spans="1:1" x14ac:dyDescent="0.35">
      <c r="A636" s="89"/>
    </row>
    <row r="637" spans="1:1" x14ac:dyDescent="0.35">
      <c r="A637" s="89"/>
    </row>
    <row r="638" spans="1:1" x14ac:dyDescent="0.35">
      <c r="A638" s="85" t="s">
        <v>2088</v>
      </c>
    </row>
    <row r="639" spans="1:1" x14ac:dyDescent="0.35">
      <c r="A639" s="85" t="s">
        <v>2091</v>
      </c>
    </row>
    <row r="640" spans="1:1" x14ac:dyDescent="0.35">
      <c r="A640" s="89"/>
    </row>
    <row r="641" spans="1:1" x14ac:dyDescent="0.35">
      <c r="A641" s="89"/>
    </row>
    <row r="642" spans="1:1" x14ac:dyDescent="0.35">
      <c r="A642" s="89"/>
    </row>
    <row r="643" spans="1:1" x14ac:dyDescent="0.35">
      <c r="A643" s="89"/>
    </row>
    <row r="644" spans="1:1" x14ac:dyDescent="0.35">
      <c r="A644" s="89"/>
    </row>
    <row r="645" spans="1:1" x14ac:dyDescent="0.35">
      <c r="A645" s="89"/>
    </row>
    <row r="646" spans="1:1" x14ac:dyDescent="0.35">
      <c r="A646" s="89"/>
    </row>
    <row r="647" spans="1:1" x14ac:dyDescent="0.35">
      <c r="A647" s="89"/>
    </row>
    <row r="648" spans="1:1" x14ac:dyDescent="0.35">
      <c r="A648" s="89"/>
    </row>
    <row r="649" spans="1:1" x14ac:dyDescent="0.35">
      <c r="A649" s="89"/>
    </row>
    <row r="650" spans="1:1" x14ac:dyDescent="0.35">
      <c r="A650" s="86"/>
    </row>
    <row r="651" spans="1:1" x14ac:dyDescent="0.35">
      <c r="A651" s="85" t="s">
        <v>5894</v>
      </c>
    </row>
    <row r="652" spans="1:1" x14ac:dyDescent="0.35">
      <c r="A652" s="85" t="s">
        <v>2128</v>
      </c>
    </row>
    <row r="653" spans="1:1" x14ac:dyDescent="0.35">
      <c r="A653" s="85" t="s">
        <v>5895</v>
      </c>
    </row>
    <row r="654" spans="1:1" x14ac:dyDescent="0.35">
      <c r="A654" s="85" t="s">
        <v>2134</v>
      </c>
    </row>
    <row r="655" spans="1:1" x14ac:dyDescent="0.35">
      <c r="A655" s="89"/>
    </row>
    <row r="656" spans="1:1" x14ac:dyDescent="0.35">
      <c r="A656" s="85" t="s">
        <v>5896</v>
      </c>
    </row>
    <row r="657" spans="1:1" x14ac:dyDescent="0.35">
      <c r="A657" s="85" t="s">
        <v>2143</v>
      </c>
    </row>
    <row r="658" spans="1:1" x14ac:dyDescent="0.35">
      <c r="A658" s="85" t="s">
        <v>5897</v>
      </c>
    </row>
    <row r="659" spans="1:1" x14ac:dyDescent="0.35">
      <c r="A659" s="85" t="s">
        <v>5898</v>
      </c>
    </row>
    <row r="660" spans="1:1" x14ac:dyDescent="0.35">
      <c r="A660" s="85" t="s">
        <v>5899</v>
      </c>
    </row>
    <row r="661" spans="1:1" x14ac:dyDescent="0.35">
      <c r="A661" s="85" t="s">
        <v>2155</v>
      </c>
    </row>
    <row r="662" spans="1:1" x14ac:dyDescent="0.35">
      <c r="A662" s="89"/>
    </row>
    <row r="663" spans="1:1" x14ac:dyDescent="0.35">
      <c r="A663" s="85" t="s">
        <v>2160</v>
      </c>
    </row>
    <row r="664" spans="1:1" x14ac:dyDescent="0.35">
      <c r="A664" s="85" t="s">
        <v>5900</v>
      </c>
    </row>
    <row r="665" spans="1:1" x14ac:dyDescent="0.35">
      <c r="A665" s="85" t="s">
        <v>2166</v>
      </c>
    </row>
    <row r="666" spans="1:1" x14ac:dyDescent="0.35">
      <c r="A666" s="85" t="s">
        <v>2169</v>
      </c>
    </row>
    <row r="667" spans="1:1" x14ac:dyDescent="0.35">
      <c r="A667" s="85" t="s">
        <v>5901</v>
      </c>
    </row>
    <row r="668" spans="1:1" x14ac:dyDescent="0.35">
      <c r="A668" s="85" t="s">
        <v>2175</v>
      </c>
    </row>
    <row r="669" spans="1:1" x14ac:dyDescent="0.35">
      <c r="A669" s="85" t="s">
        <v>2178</v>
      </c>
    </row>
    <row r="670" spans="1:1" x14ac:dyDescent="0.35">
      <c r="A670" s="85" t="s">
        <v>5902</v>
      </c>
    </row>
    <row r="671" spans="1:1" x14ac:dyDescent="0.35">
      <c r="A671" s="89"/>
    </row>
    <row r="672" spans="1:1" x14ac:dyDescent="0.35">
      <c r="A672" s="85" t="s">
        <v>5903</v>
      </c>
    </row>
    <row r="673" spans="1:1" x14ac:dyDescent="0.35">
      <c r="A673" s="85" t="s">
        <v>2189</v>
      </c>
    </row>
    <row r="674" spans="1:1" x14ac:dyDescent="0.35">
      <c r="A674" s="85"/>
    </row>
    <row r="675" spans="1:1" x14ac:dyDescent="0.35">
      <c r="A675" s="85" t="s">
        <v>2195</v>
      </c>
    </row>
    <row r="676" spans="1:1" x14ac:dyDescent="0.35">
      <c r="A676" s="86"/>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678"/>
  <sheetViews>
    <sheetView workbookViewId="0"/>
  </sheetViews>
  <sheetFormatPr defaultColWidth="12.59765625" defaultRowHeight="15.75" customHeight="1" x14ac:dyDescent="0.35"/>
  <sheetData>
    <row r="1" spans="1:2" ht="12.75" x14ac:dyDescent="0.35">
      <c r="A1" s="11"/>
    </row>
    <row r="3" spans="1:2" ht="12.75" x14ac:dyDescent="0.35">
      <c r="A3" s="92" t="s">
        <v>261</v>
      </c>
      <c r="B3" s="85"/>
    </row>
    <row r="4" spans="1:2" ht="12.75" x14ac:dyDescent="0.35">
      <c r="A4" s="92" t="s">
        <v>263</v>
      </c>
      <c r="B4" s="85" t="s">
        <v>264</v>
      </c>
    </row>
    <row r="5" spans="1:2" ht="12.75" x14ac:dyDescent="0.35">
      <c r="A5" s="92" t="s">
        <v>266</v>
      </c>
      <c r="B5" s="85" t="s">
        <v>5904</v>
      </c>
    </row>
    <row r="6" spans="1:2" ht="12.75" x14ac:dyDescent="0.35">
      <c r="A6" s="92" t="s">
        <v>269</v>
      </c>
      <c r="B6" s="85" t="s">
        <v>5905</v>
      </c>
    </row>
    <row r="7" spans="1:2" ht="12.75" x14ac:dyDescent="0.35">
      <c r="A7" s="92" t="s">
        <v>271</v>
      </c>
      <c r="B7" s="85" t="s">
        <v>272</v>
      </c>
    </row>
    <row r="8" spans="1:2" ht="12.75" x14ac:dyDescent="0.35">
      <c r="A8" s="92" t="s">
        <v>274</v>
      </c>
      <c r="B8" s="85" t="s">
        <v>275</v>
      </c>
    </row>
    <row r="9" spans="1:2" ht="12.75" x14ac:dyDescent="0.35">
      <c r="A9" s="92" t="s">
        <v>277</v>
      </c>
      <c r="B9" s="85" t="s">
        <v>278</v>
      </c>
    </row>
    <row r="10" spans="1:2" ht="12.75" x14ac:dyDescent="0.35">
      <c r="A10" s="92" t="s">
        <v>280</v>
      </c>
      <c r="B10" s="85" t="s">
        <v>281</v>
      </c>
    </row>
    <row r="11" spans="1:2" ht="12.75" x14ac:dyDescent="0.35">
      <c r="A11" s="92" t="s">
        <v>283</v>
      </c>
      <c r="B11" s="85" t="s">
        <v>284</v>
      </c>
    </row>
    <row r="12" spans="1:2" ht="12.75" x14ac:dyDescent="0.35">
      <c r="A12" s="92" t="s">
        <v>286</v>
      </c>
      <c r="B12" s="85" t="s">
        <v>5906</v>
      </c>
    </row>
    <row r="13" spans="1:2" ht="12.75" x14ac:dyDescent="0.35">
      <c r="A13" s="92" t="s">
        <v>289</v>
      </c>
      <c r="B13" s="85" t="s">
        <v>290</v>
      </c>
    </row>
    <row r="14" spans="1:2" ht="12.75" x14ac:dyDescent="0.35">
      <c r="A14" s="92" t="s">
        <v>292</v>
      </c>
      <c r="B14" s="85" t="s">
        <v>5907</v>
      </c>
    </row>
    <row r="15" spans="1:2" ht="12.75" x14ac:dyDescent="0.35">
      <c r="A15" s="92" t="s">
        <v>295</v>
      </c>
      <c r="B15" s="85" t="s">
        <v>296</v>
      </c>
    </row>
    <row r="16" spans="1:2" ht="12.75" x14ac:dyDescent="0.35">
      <c r="A16" s="92" t="s">
        <v>297</v>
      </c>
      <c r="B16" s="85" t="s">
        <v>5908</v>
      </c>
    </row>
    <row r="17" spans="1:2" ht="12.75" x14ac:dyDescent="0.35">
      <c r="A17" s="92" t="s">
        <v>299</v>
      </c>
      <c r="B17" s="85" t="s">
        <v>300</v>
      </c>
    </row>
    <row r="18" spans="1:2" ht="12.75" x14ac:dyDescent="0.35">
      <c r="A18" s="92" t="s">
        <v>301</v>
      </c>
      <c r="B18" s="85" t="s">
        <v>302</v>
      </c>
    </row>
    <row r="19" spans="1:2" ht="12.75" x14ac:dyDescent="0.35">
      <c r="A19" s="92" t="s">
        <v>304</v>
      </c>
      <c r="B19" s="85" t="s">
        <v>305</v>
      </c>
    </row>
    <row r="20" spans="1:2" ht="12.75" x14ac:dyDescent="0.35">
      <c r="A20" s="92" t="s">
        <v>307</v>
      </c>
      <c r="B20" s="85" t="s">
        <v>308</v>
      </c>
    </row>
    <row r="21" spans="1:2" ht="12.75" x14ac:dyDescent="0.35">
      <c r="A21" s="92" t="s">
        <v>310</v>
      </c>
      <c r="B21" s="85" t="s">
        <v>311</v>
      </c>
    </row>
    <row r="22" spans="1:2" ht="12.75" x14ac:dyDescent="0.35">
      <c r="A22" s="92" t="s">
        <v>313</v>
      </c>
      <c r="B22" s="85" t="s">
        <v>314</v>
      </c>
    </row>
    <row r="23" spans="1:2" ht="12.75" x14ac:dyDescent="0.35">
      <c r="A23" s="92" t="s">
        <v>316</v>
      </c>
      <c r="B23" s="85" t="s">
        <v>317</v>
      </c>
    </row>
    <row r="24" spans="1:2" ht="12.75" x14ac:dyDescent="0.35">
      <c r="A24" s="92" t="s">
        <v>318</v>
      </c>
      <c r="B24" s="85" t="s">
        <v>5909</v>
      </c>
    </row>
    <row r="25" spans="1:2" ht="12.75" x14ac:dyDescent="0.35">
      <c r="A25" s="92" t="s">
        <v>321</v>
      </c>
      <c r="B25" s="85" t="s">
        <v>322</v>
      </c>
    </row>
    <row r="26" spans="1:2" ht="12.75" x14ac:dyDescent="0.35">
      <c r="A26" s="92" t="s">
        <v>324</v>
      </c>
      <c r="B26" s="85" t="s">
        <v>325</v>
      </c>
    </row>
    <row r="27" spans="1:2" ht="12.75" x14ac:dyDescent="0.35">
      <c r="A27" s="92" t="s">
        <v>327</v>
      </c>
      <c r="B27" s="85" t="s">
        <v>328</v>
      </c>
    </row>
    <row r="28" spans="1:2" ht="12.75" x14ac:dyDescent="0.35">
      <c r="A28" s="93" t="s">
        <v>329</v>
      </c>
      <c r="B28" s="86"/>
    </row>
    <row r="29" spans="1:2" ht="12.75" x14ac:dyDescent="0.35">
      <c r="A29" s="92" t="s">
        <v>331</v>
      </c>
      <c r="B29" s="85" t="s">
        <v>5910</v>
      </c>
    </row>
    <row r="30" spans="1:2" ht="12.75" x14ac:dyDescent="0.35">
      <c r="A30" s="92" t="s">
        <v>333</v>
      </c>
      <c r="B30" s="85"/>
    </row>
    <row r="31" spans="1:2" ht="12.75" x14ac:dyDescent="0.35">
      <c r="A31" s="92" t="s">
        <v>336</v>
      </c>
      <c r="B31" s="85" t="s">
        <v>337</v>
      </c>
    </row>
    <row r="32" spans="1:2" ht="12.75" x14ac:dyDescent="0.35">
      <c r="A32" s="92" t="s">
        <v>339</v>
      </c>
      <c r="B32" s="85" t="s">
        <v>5911</v>
      </c>
    </row>
    <row r="33" spans="1:2" ht="12.75" x14ac:dyDescent="0.35">
      <c r="A33" s="92" t="s">
        <v>342</v>
      </c>
      <c r="B33" s="85" t="s">
        <v>343</v>
      </c>
    </row>
    <row r="34" spans="1:2" ht="12.75" x14ac:dyDescent="0.35">
      <c r="A34" s="92" t="s">
        <v>345</v>
      </c>
      <c r="B34" s="85" t="s">
        <v>346</v>
      </c>
    </row>
    <row r="35" spans="1:2" ht="12.75" x14ac:dyDescent="0.35">
      <c r="A35" s="92" t="s">
        <v>348</v>
      </c>
      <c r="B35" s="85" t="s">
        <v>5912</v>
      </c>
    </row>
    <row r="36" spans="1:2" ht="12.75" x14ac:dyDescent="0.35">
      <c r="A36" s="92" t="s">
        <v>351</v>
      </c>
      <c r="B36" s="85" t="s">
        <v>352</v>
      </c>
    </row>
    <row r="37" spans="1:2" ht="12.75" x14ac:dyDescent="0.35">
      <c r="A37" s="92" t="s">
        <v>354</v>
      </c>
      <c r="B37" s="85" t="s">
        <v>355</v>
      </c>
    </row>
    <row r="38" spans="1:2" ht="12.75" x14ac:dyDescent="0.35">
      <c r="A38" s="92" t="s">
        <v>357</v>
      </c>
      <c r="B38" s="85" t="s">
        <v>358</v>
      </c>
    </row>
    <row r="39" spans="1:2" ht="12.75" x14ac:dyDescent="0.35">
      <c r="A39" s="92" t="s">
        <v>360</v>
      </c>
      <c r="B39" s="85" t="s">
        <v>361</v>
      </c>
    </row>
    <row r="40" spans="1:2" ht="12.75" x14ac:dyDescent="0.35">
      <c r="A40" s="92" t="s">
        <v>363</v>
      </c>
      <c r="B40" s="85" t="s">
        <v>364</v>
      </c>
    </row>
    <row r="41" spans="1:2" ht="12.75" x14ac:dyDescent="0.35">
      <c r="A41" s="92" t="s">
        <v>365</v>
      </c>
      <c r="B41" s="85" t="s">
        <v>366</v>
      </c>
    </row>
    <row r="42" spans="1:2" ht="12.75" x14ac:dyDescent="0.35">
      <c r="A42" s="92" t="s">
        <v>368</v>
      </c>
      <c r="B42" s="85" t="s">
        <v>369</v>
      </c>
    </row>
    <row r="43" spans="1:2" ht="12.75" x14ac:dyDescent="0.35">
      <c r="A43" s="92" t="s">
        <v>371</v>
      </c>
      <c r="B43" s="85" t="s">
        <v>5913</v>
      </c>
    </row>
    <row r="44" spans="1:2" ht="12.75" x14ac:dyDescent="0.35">
      <c r="A44" s="92" t="s">
        <v>374</v>
      </c>
      <c r="B44" s="85" t="s">
        <v>375</v>
      </c>
    </row>
    <row r="45" spans="1:2" ht="12.75" x14ac:dyDescent="0.35">
      <c r="A45" s="92" t="s">
        <v>377</v>
      </c>
      <c r="B45" s="85" t="s">
        <v>378</v>
      </c>
    </row>
    <row r="46" spans="1:2" ht="12.75" x14ac:dyDescent="0.35">
      <c r="A46" s="92" t="s">
        <v>380</v>
      </c>
      <c r="B46" s="85" t="s">
        <v>381</v>
      </c>
    </row>
    <row r="47" spans="1:2" ht="12.75" x14ac:dyDescent="0.35">
      <c r="A47" s="92" t="s">
        <v>382</v>
      </c>
      <c r="B47" s="85" t="s">
        <v>5914</v>
      </c>
    </row>
    <row r="48" spans="1:2" ht="12.75" x14ac:dyDescent="0.35">
      <c r="A48" s="92" t="s">
        <v>385</v>
      </c>
      <c r="B48" s="85" t="s">
        <v>386</v>
      </c>
    </row>
    <row r="49" spans="1:2" ht="12.75" x14ac:dyDescent="0.35">
      <c r="A49" s="92" t="s">
        <v>387</v>
      </c>
      <c r="B49" s="87" t="s">
        <v>5915</v>
      </c>
    </row>
    <row r="50" spans="1:2" ht="12.75" x14ac:dyDescent="0.35">
      <c r="A50" s="92" t="s">
        <v>390</v>
      </c>
      <c r="B50" s="85" t="s">
        <v>5916</v>
      </c>
    </row>
    <row r="51" spans="1:2" ht="12.75" x14ac:dyDescent="0.35">
      <c r="A51" s="92" t="s">
        <v>393</v>
      </c>
      <c r="B51" s="85" t="s">
        <v>394</v>
      </c>
    </row>
    <row r="52" spans="1:2" ht="12.75" x14ac:dyDescent="0.35">
      <c r="A52" s="92" t="s">
        <v>396</v>
      </c>
      <c r="B52" s="85" t="s">
        <v>397</v>
      </c>
    </row>
    <row r="53" spans="1:2" ht="12.75" x14ac:dyDescent="0.35">
      <c r="A53" s="92" t="s">
        <v>399</v>
      </c>
      <c r="B53" s="85" t="s">
        <v>400</v>
      </c>
    </row>
    <row r="54" spans="1:2" ht="12.75" x14ac:dyDescent="0.35">
      <c r="A54" s="93" t="s">
        <v>401</v>
      </c>
      <c r="B54" s="86"/>
    </row>
    <row r="55" spans="1:2" ht="12.75" x14ac:dyDescent="0.35">
      <c r="A55" s="92" t="s">
        <v>404</v>
      </c>
      <c r="B55" s="85" t="s">
        <v>405</v>
      </c>
    </row>
    <row r="56" spans="1:2" ht="12.75" x14ac:dyDescent="0.35">
      <c r="A56" s="92" t="s">
        <v>407</v>
      </c>
      <c r="B56" s="85" t="s">
        <v>408</v>
      </c>
    </row>
    <row r="57" spans="1:2" ht="12.75" x14ac:dyDescent="0.35">
      <c r="A57" s="92" t="s">
        <v>410</v>
      </c>
      <c r="B57" s="85"/>
    </row>
    <row r="58" spans="1:2" ht="12.75" x14ac:dyDescent="0.35">
      <c r="A58" s="92" t="s">
        <v>413</v>
      </c>
      <c r="B58" s="85" t="s">
        <v>414</v>
      </c>
    </row>
    <row r="59" spans="1:2" ht="12.75" x14ac:dyDescent="0.35">
      <c r="A59" s="92" t="s">
        <v>416</v>
      </c>
      <c r="B59" s="85" t="s">
        <v>5917</v>
      </c>
    </row>
    <row r="60" spans="1:2" ht="12.75" x14ac:dyDescent="0.35">
      <c r="A60" s="92" t="s">
        <v>419</v>
      </c>
      <c r="B60" s="85" t="s">
        <v>420</v>
      </c>
    </row>
    <row r="61" spans="1:2" ht="12.75" x14ac:dyDescent="0.35">
      <c r="A61" s="92" t="s">
        <v>422</v>
      </c>
      <c r="B61" s="85" t="s">
        <v>5918</v>
      </c>
    </row>
    <row r="62" spans="1:2" ht="12.75" x14ac:dyDescent="0.35">
      <c r="A62" s="92" t="s">
        <v>425</v>
      </c>
      <c r="B62" s="85" t="s">
        <v>426</v>
      </c>
    </row>
    <row r="63" spans="1:2" ht="12.75" x14ac:dyDescent="0.35">
      <c r="A63" s="92" t="s">
        <v>427</v>
      </c>
      <c r="B63" s="85" t="s">
        <v>428</v>
      </c>
    </row>
    <row r="64" spans="1:2" ht="12.75" x14ac:dyDescent="0.35">
      <c r="A64" s="92" t="s">
        <v>430</v>
      </c>
      <c r="B64" s="85" t="s">
        <v>431</v>
      </c>
    </row>
    <row r="65" spans="1:2" ht="12.75" x14ac:dyDescent="0.35">
      <c r="A65" s="92" t="s">
        <v>433</v>
      </c>
      <c r="B65" s="85" t="s">
        <v>434</v>
      </c>
    </row>
    <row r="66" spans="1:2" ht="12.75" x14ac:dyDescent="0.35">
      <c r="A66" s="92" t="s">
        <v>435</v>
      </c>
      <c r="B66" s="85" t="s">
        <v>436</v>
      </c>
    </row>
    <row r="67" spans="1:2" ht="12.75" x14ac:dyDescent="0.35">
      <c r="A67" s="92" t="s">
        <v>438</v>
      </c>
      <c r="B67" s="85" t="s">
        <v>439</v>
      </c>
    </row>
    <row r="68" spans="1:2" ht="12.75" x14ac:dyDescent="0.35">
      <c r="A68" s="92" t="s">
        <v>441</v>
      </c>
      <c r="B68" s="85" t="s">
        <v>442</v>
      </c>
    </row>
    <row r="69" spans="1:2" ht="12.75" x14ac:dyDescent="0.35">
      <c r="A69" s="92" t="s">
        <v>443</v>
      </c>
      <c r="B69" s="85" t="s">
        <v>444</v>
      </c>
    </row>
    <row r="70" spans="1:2" ht="12.75" x14ac:dyDescent="0.35">
      <c r="A70" s="92" t="s">
        <v>446</v>
      </c>
      <c r="B70" s="85" t="s">
        <v>5919</v>
      </c>
    </row>
    <row r="71" spans="1:2" ht="12.75" x14ac:dyDescent="0.35">
      <c r="A71" s="92" t="s">
        <v>449</v>
      </c>
      <c r="B71" s="85" t="s">
        <v>5920</v>
      </c>
    </row>
    <row r="72" spans="1:2" ht="12.75" x14ac:dyDescent="0.35">
      <c r="A72" s="92" t="s">
        <v>452</v>
      </c>
      <c r="B72" s="85" t="s">
        <v>5921</v>
      </c>
    </row>
    <row r="73" spans="1:2" ht="12.75" x14ac:dyDescent="0.35">
      <c r="A73" s="92" t="s">
        <v>455</v>
      </c>
      <c r="B73" s="85" t="s">
        <v>5922</v>
      </c>
    </row>
    <row r="74" spans="1:2" ht="12.75" x14ac:dyDescent="0.35">
      <c r="A74" s="92" t="s">
        <v>458</v>
      </c>
      <c r="B74" s="85" t="s">
        <v>459</v>
      </c>
    </row>
    <row r="75" spans="1:2" ht="12.75" x14ac:dyDescent="0.35">
      <c r="A75" s="92" t="s">
        <v>460</v>
      </c>
      <c r="B75" s="85" t="s">
        <v>461</v>
      </c>
    </row>
    <row r="76" spans="1:2" ht="12.75" x14ac:dyDescent="0.35">
      <c r="A76" s="92" t="s">
        <v>463</v>
      </c>
      <c r="B76" s="85" t="s">
        <v>464</v>
      </c>
    </row>
    <row r="77" spans="1:2" ht="12.75" x14ac:dyDescent="0.35">
      <c r="A77" s="92" t="s">
        <v>466</v>
      </c>
      <c r="B77" s="85" t="s">
        <v>467</v>
      </c>
    </row>
    <row r="78" spans="1:2" ht="12.75" x14ac:dyDescent="0.35">
      <c r="A78" s="92" t="s">
        <v>469</v>
      </c>
      <c r="B78" s="85" t="s">
        <v>470</v>
      </c>
    </row>
    <row r="79" spans="1:2" ht="12.75" x14ac:dyDescent="0.35">
      <c r="A79" s="92" t="s">
        <v>472</v>
      </c>
      <c r="B79" s="85" t="s">
        <v>473</v>
      </c>
    </row>
    <row r="80" spans="1:2" ht="12.75" x14ac:dyDescent="0.35">
      <c r="A80" s="93" t="s">
        <v>475</v>
      </c>
      <c r="B80" s="86"/>
    </row>
    <row r="81" spans="1:2" ht="12.75" x14ac:dyDescent="0.35">
      <c r="A81" s="92" t="s">
        <v>478</v>
      </c>
      <c r="B81" s="85" t="s">
        <v>479</v>
      </c>
    </row>
    <row r="82" spans="1:2" ht="12.75" x14ac:dyDescent="0.35">
      <c r="A82" s="92" t="s">
        <v>481</v>
      </c>
      <c r="B82" s="85" t="s">
        <v>5591</v>
      </c>
    </row>
    <row r="83" spans="1:2" ht="12.75" x14ac:dyDescent="0.35">
      <c r="A83" s="92" t="s">
        <v>484</v>
      </c>
      <c r="B83" s="85" t="s">
        <v>5923</v>
      </c>
    </row>
    <row r="84" spans="1:2" ht="12.75" x14ac:dyDescent="0.35">
      <c r="A84" s="92" t="s">
        <v>487</v>
      </c>
      <c r="B84" s="85"/>
    </row>
    <row r="85" spans="1:2" ht="12.75" x14ac:dyDescent="0.35">
      <c r="A85" s="92" t="s">
        <v>490</v>
      </c>
      <c r="B85" s="85" t="s">
        <v>491</v>
      </c>
    </row>
    <row r="86" spans="1:2" ht="12.75" x14ac:dyDescent="0.35">
      <c r="A86" s="92" t="s">
        <v>493</v>
      </c>
      <c r="B86" s="85" t="s">
        <v>494</v>
      </c>
    </row>
    <row r="87" spans="1:2" ht="12.75" x14ac:dyDescent="0.35">
      <c r="A87" s="92" t="s">
        <v>495</v>
      </c>
      <c r="B87" s="85" t="s">
        <v>496</v>
      </c>
    </row>
    <row r="88" spans="1:2" ht="12.75" x14ac:dyDescent="0.35">
      <c r="A88" s="92" t="s">
        <v>498</v>
      </c>
      <c r="B88" s="85" t="s">
        <v>499</v>
      </c>
    </row>
    <row r="89" spans="1:2" ht="12.75" x14ac:dyDescent="0.35">
      <c r="A89" s="92" t="s">
        <v>501</v>
      </c>
      <c r="B89" s="85" t="s">
        <v>502</v>
      </c>
    </row>
    <row r="90" spans="1:2" ht="12.75" x14ac:dyDescent="0.35">
      <c r="A90" s="92" t="s">
        <v>504</v>
      </c>
      <c r="B90" s="85" t="s">
        <v>5924</v>
      </c>
    </row>
    <row r="91" spans="1:2" ht="12.75" x14ac:dyDescent="0.35">
      <c r="A91" s="92" t="s">
        <v>507</v>
      </c>
      <c r="B91" s="85" t="s">
        <v>5925</v>
      </c>
    </row>
    <row r="92" spans="1:2" ht="12.75" x14ac:dyDescent="0.35">
      <c r="A92" s="92" t="s">
        <v>510</v>
      </c>
      <c r="B92" s="85" t="s">
        <v>511</v>
      </c>
    </row>
    <row r="93" spans="1:2" ht="12.75" x14ac:dyDescent="0.35">
      <c r="A93" s="92" t="s">
        <v>513</v>
      </c>
      <c r="B93" s="85" t="s">
        <v>514</v>
      </c>
    </row>
    <row r="94" spans="1:2" ht="12.75" x14ac:dyDescent="0.35">
      <c r="A94" s="92" t="s">
        <v>516</v>
      </c>
      <c r="B94" s="85" t="s">
        <v>5926</v>
      </c>
    </row>
    <row r="95" spans="1:2" ht="12.75" x14ac:dyDescent="0.35">
      <c r="A95" s="92" t="s">
        <v>519</v>
      </c>
      <c r="B95" s="85" t="s">
        <v>520</v>
      </c>
    </row>
    <row r="96" spans="1:2" ht="12.75" x14ac:dyDescent="0.35">
      <c r="A96" s="92" t="s">
        <v>522</v>
      </c>
      <c r="B96" s="85" t="s">
        <v>523</v>
      </c>
    </row>
    <row r="97" spans="1:2" ht="12.75" x14ac:dyDescent="0.35">
      <c r="A97" s="92" t="s">
        <v>525</v>
      </c>
      <c r="B97" s="85" t="s">
        <v>526</v>
      </c>
    </row>
    <row r="98" spans="1:2" ht="12.75" x14ac:dyDescent="0.35">
      <c r="A98" s="92" t="s">
        <v>527</v>
      </c>
      <c r="B98" s="85" t="s">
        <v>528</v>
      </c>
    </row>
    <row r="99" spans="1:2" ht="12.75" x14ac:dyDescent="0.35">
      <c r="A99" s="92" t="s">
        <v>530</v>
      </c>
      <c r="B99" s="85" t="s">
        <v>531</v>
      </c>
    </row>
    <row r="100" spans="1:2" ht="12.75" x14ac:dyDescent="0.35">
      <c r="A100" s="92" t="s">
        <v>533</v>
      </c>
      <c r="B100" s="85" t="s">
        <v>534</v>
      </c>
    </row>
    <row r="101" spans="1:2" ht="12.75" x14ac:dyDescent="0.35">
      <c r="A101" s="92" t="s">
        <v>535</v>
      </c>
      <c r="B101" s="85" t="s">
        <v>536</v>
      </c>
    </row>
    <row r="102" spans="1:2" ht="12.75" x14ac:dyDescent="0.35">
      <c r="A102" s="92" t="s">
        <v>538</v>
      </c>
      <c r="B102" s="85" t="s">
        <v>539</v>
      </c>
    </row>
    <row r="103" spans="1:2" ht="12.75" x14ac:dyDescent="0.35">
      <c r="A103" s="92" t="s">
        <v>540</v>
      </c>
      <c r="B103" s="85" t="s">
        <v>541</v>
      </c>
    </row>
    <row r="104" spans="1:2" ht="12.75" x14ac:dyDescent="0.35">
      <c r="A104" s="92" t="s">
        <v>543</v>
      </c>
      <c r="B104" s="85" t="s">
        <v>5927</v>
      </c>
    </row>
    <row r="105" spans="1:2" ht="12.75" x14ac:dyDescent="0.35">
      <c r="A105" s="92" t="s">
        <v>546</v>
      </c>
      <c r="B105" s="85" t="s">
        <v>547</v>
      </c>
    </row>
    <row r="106" spans="1:2" ht="12.75" x14ac:dyDescent="0.35">
      <c r="A106" s="93" t="s">
        <v>549</v>
      </c>
      <c r="B106" s="86"/>
    </row>
    <row r="107" spans="1:2" ht="12.75" x14ac:dyDescent="0.35">
      <c r="A107" s="92" t="s">
        <v>552</v>
      </c>
      <c r="B107" s="85" t="s">
        <v>553</v>
      </c>
    </row>
    <row r="108" spans="1:2" ht="12.75" x14ac:dyDescent="0.35">
      <c r="A108" s="92" t="s">
        <v>555</v>
      </c>
      <c r="B108" s="85" t="s">
        <v>5928</v>
      </c>
    </row>
    <row r="109" spans="1:2" ht="12.75" x14ac:dyDescent="0.35">
      <c r="A109" s="92" t="s">
        <v>558</v>
      </c>
      <c r="B109" s="87" t="s">
        <v>559</v>
      </c>
    </row>
    <row r="110" spans="1:2" ht="12.75" x14ac:dyDescent="0.35">
      <c r="A110" s="92" t="s">
        <v>561</v>
      </c>
      <c r="B110" s="85" t="s">
        <v>5929</v>
      </c>
    </row>
    <row r="111" spans="1:2" ht="12.75" x14ac:dyDescent="0.35">
      <c r="A111" s="92" t="s">
        <v>564</v>
      </c>
      <c r="B111" s="85"/>
    </row>
    <row r="112" spans="1:2" ht="12.75" x14ac:dyDescent="0.35">
      <c r="A112" s="92" t="s">
        <v>567</v>
      </c>
      <c r="B112" s="85" t="s">
        <v>568</v>
      </c>
    </row>
    <row r="113" spans="1:2" ht="12.75" x14ac:dyDescent="0.35">
      <c r="A113" s="92" t="s">
        <v>570</v>
      </c>
      <c r="B113" s="85" t="s">
        <v>5930</v>
      </c>
    </row>
    <row r="114" spans="1:2" ht="12.75" x14ac:dyDescent="0.35">
      <c r="A114" s="92" t="s">
        <v>573</v>
      </c>
      <c r="B114" s="85" t="s">
        <v>574</v>
      </c>
    </row>
    <row r="115" spans="1:2" ht="12.75" x14ac:dyDescent="0.35">
      <c r="A115" s="92" t="s">
        <v>576</v>
      </c>
      <c r="B115" s="85" t="s">
        <v>577</v>
      </c>
    </row>
    <row r="116" spans="1:2" ht="12.75" x14ac:dyDescent="0.35">
      <c r="A116" s="92" t="s">
        <v>579</v>
      </c>
      <c r="B116" s="85" t="s">
        <v>580</v>
      </c>
    </row>
    <row r="117" spans="1:2" ht="12.75" x14ac:dyDescent="0.35">
      <c r="A117" s="92" t="s">
        <v>582</v>
      </c>
      <c r="B117" s="85" t="s">
        <v>583</v>
      </c>
    </row>
    <row r="118" spans="1:2" ht="12.75" x14ac:dyDescent="0.35">
      <c r="A118" s="92" t="s">
        <v>585</v>
      </c>
      <c r="B118" s="85" t="s">
        <v>5931</v>
      </c>
    </row>
    <row r="119" spans="1:2" ht="12.75" x14ac:dyDescent="0.35">
      <c r="A119" s="92" t="s">
        <v>588</v>
      </c>
      <c r="B119" s="85" t="s">
        <v>5932</v>
      </c>
    </row>
    <row r="120" spans="1:2" ht="12.75" x14ac:dyDescent="0.35">
      <c r="A120" s="92" t="s">
        <v>591</v>
      </c>
      <c r="B120" s="85" t="s">
        <v>592</v>
      </c>
    </row>
    <row r="121" spans="1:2" ht="12.75" x14ac:dyDescent="0.35">
      <c r="A121" s="92" t="s">
        <v>594</v>
      </c>
      <c r="B121" s="85" t="s">
        <v>595</v>
      </c>
    </row>
    <row r="122" spans="1:2" ht="12.75" x14ac:dyDescent="0.35">
      <c r="A122" s="92" t="s">
        <v>597</v>
      </c>
      <c r="B122" s="85" t="s">
        <v>598</v>
      </c>
    </row>
    <row r="123" spans="1:2" ht="12.75" x14ac:dyDescent="0.35">
      <c r="A123" s="92" t="s">
        <v>600</v>
      </c>
      <c r="B123" s="85" t="s">
        <v>601</v>
      </c>
    </row>
    <row r="124" spans="1:2" ht="12.75" x14ac:dyDescent="0.35">
      <c r="A124" s="92" t="s">
        <v>603</v>
      </c>
      <c r="B124" s="85" t="s">
        <v>604</v>
      </c>
    </row>
    <row r="125" spans="1:2" ht="12.75" x14ac:dyDescent="0.35">
      <c r="A125" s="92" t="s">
        <v>606</v>
      </c>
      <c r="B125" s="85" t="s">
        <v>5933</v>
      </c>
    </row>
    <row r="126" spans="1:2" ht="12.75" x14ac:dyDescent="0.35">
      <c r="A126" s="92" t="s">
        <v>609</v>
      </c>
      <c r="B126" s="85" t="s">
        <v>610</v>
      </c>
    </row>
    <row r="127" spans="1:2" ht="12.75" x14ac:dyDescent="0.35">
      <c r="A127" s="92" t="s">
        <v>612</v>
      </c>
      <c r="B127" s="85" t="s">
        <v>613</v>
      </c>
    </row>
    <row r="128" spans="1:2" ht="12.75" x14ac:dyDescent="0.35">
      <c r="A128" s="92" t="s">
        <v>615</v>
      </c>
      <c r="B128" s="85" t="s">
        <v>5934</v>
      </c>
    </row>
    <row r="129" spans="1:2" ht="12.75" x14ac:dyDescent="0.35">
      <c r="A129" s="92" t="s">
        <v>618</v>
      </c>
      <c r="B129" s="85" t="s">
        <v>619</v>
      </c>
    </row>
    <row r="130" spans="1:2" ht="12.75" x14ac:dyDescent="0.35">
      <c r="A130" s="92" t="s">
        <v>621</v>
      </c>
      <c r="B130" s="85" t="s">
        <v>622</v>
      </c>
    </row>
    <row r="131" spans="1:2" ht="12.75" x14ac:dyDescent="0.35">
      <c r="A131" s="92" t="s">
        <v>624</v>
      </c>
      <c r="B131" s="85" t="s">
        <v>625</v>
      </c>
    </row>
    <row r="132" spans="1:2" ht="12.75" x14ac:dyDescent="0.35">
      <c r="A132" s="93" t="s">
        <v>627</v>
      </c>
      <c r="B132" s="86"/>
    </row>
    <row r="133" spans="1:2" ht="12.75" x14ac:dyDescent="0.35">
      <c r="A133" s="92" t="s">
        <v>630</v>
      </c>
      <c r="B133" s="85" t="s">
        <v>631</v>
      </c>
    </row>
    <row r="134" spans="1:2" ht="12.75" x14ac:dyDescent="0.35">
      <c r="A134" s="92" t="s">
        <v>633</v>
      </c>
      <c r="B134" s="85" t="s">
        <v>634</v>
      </c>
    </row>
    <row r="135" spans="1:2" ht="12.75" x14ac:dyDescent="0.35">
      <c r="A135" s="92" t="s">
        <v>636</v>
      </c>
      <c r="B135" s="85" t="s">
        <v>5935</v>
      </c>
    </row>
    <row r="136" spans="1:2" ht="12.75" x14ac:dyDescent="0.35">
      <c r="A136" s="92" t="s">
        <v>639</v>
      </c>
      <c r="B136" s="85" t="s">
        <v>640</v>
      </c>
    </row>
    <row r="137" spans="1:2" ht="12.75" x14ac:dyDescent="0.35">
      <c r="A137" s="92" t="s">
        <v>641</v>
      </c>
      <c r="B137" s="85" t="s">
        <v>5936</v>
      </c>
    </row>
    <row r="138" spans="1:2" ht="12.75" x14ac:dyDescent="0.35">
      <c r="A138" s="92" t="s">
        <v>644</v>
      </c>
      <c r="B138" s="85"/>
    </row>
    <row r="139" spans="1:2" ht="12.75" x14ac:dyDescent="0.35">
      <c r="A139" s="92" t="s">
        <v>647</v>
      </c>
      <c r="B139" s="85" t="s">
        <v>648</v>
      </c>
    </row>
    <row r="140" spans="1:2" ht="12.75" x14ac:dyDescent="0.35">
      <c r="A140" s="92" t="s">
        <v>650</v>
      </c>
      <c r="B140" s="85" t="s">
        <v>651</v>
      </c>
    </row>
    <row r="141" spans="1:2" ht="12.75" x14ac:dyDescent="0.35">
      <c r="A141" s="92" t="s">
        <v>653</v>
      </c>
      <c r="B141" s="85" t="s">
        <v>654</v>
      </c>
    </row>
    <row r="142" spans="1:2" ht="12.75" x14ac:dyDescent="0.35">
      <c r="A142" s="92" t="s">
        <v>655</v>
      </c>
      <c r="B142" s="85" t="s">
        <v>5937</v>
      </c>
    </row>
    <row r="143" spans="1:2" ht="12.75" x14ac:dyDescent="0.35">
      <c r="A143" s="92" t="s">
        <v>658</v>
      </c>
      <c r="B143" s="85" t="s">
        <v>659</v>
      </c>
    </row>
    <row r="144" spans="1:2" ht="12.75" x14ac:dyDescent="0.35">
      <c r="A144" s="92" t="s">
        <v>661</v>
      </c>
      <c r="B144" s="85" t="s">
        <v>662</v>
      </c>
    </row>
    <row r="145" spans="1:2" ht="12.75" x14ac:dyDescent="0.35">
      <c r="A145" s="92" t="s">
        <v>664</v>
      </c>
      <c r="B145" s="85" t="s">
        <v>665</v>
      </c>
    </row>
    <row r="146" spans="1:2" ht="12.75" x14ac:dyDescent="0.35">
      <c r="A146" s="92" t="s">
        <v>667</v>
      </c>
      <c r="B146" s="85" t="s">
        <v>5938</v>
      </c>
    </row>
    <row r="147" spans="1:2" ht="12.75" x14ac:dyDescent="0.35">
      <c r="A147" s="92" t="s">
        <v>670</v>
      </c>
      <c r="B147" s="85" t="s">
        <v>671</v>
      </c>
    </row>
    <row r="148" spans="1:2" ht="12.75" x14ac:dyDescent="0.35">
      <c r="A148" s="92" t="s">
        <v>673</v>
      </c>
      <c r="B148" s="85" t="s">
        <v>674</v>
      </c>
    </row>
    <row r="149" spans="1:2" ht="12.75" x14ac:dyDescent="0.35">
      <c r="A149" s="92" t="s">
        <v>675</v>
      </c>
      <c r="B149" s="85" t="s">
        <v>676</v>
      </c>
    </row>
    <row r="150" spans="1:2" ht="12.75" x14ac:dyDescent="0.35">
      <c r="A150" s="92" t="s">
        <v>678</v>
      </c>
      <c r="B150" s="85" t="s">
        <v>5939</v>
      </c>
    </row>
    <row r="151" spans="1:2" ht="12.75" x14ac:dyDescent="0.35">
      <c r="A151" s="92" t="s">
        <v>681</v>
      </c>
      <c r="B151" s="85" t="s">
        <v>682</v>
      </c>
    </row>
    <row r="152" spans="1:2" ht="15.75" customHeight="1" x14ac:dyDescent="0.4">
      <c r="A152" s="92" t="s">
        <v>684</v>
      </c>
      <c r="B152" s="85" t="s">
        <v>5940</v>
      </c>
    </row>
    <row r="153" spans="1:2" ht="12.75" x14ac:dyDescent="0.35">
      <c r="A153" s="92" t="s">
        <v>687</v>
      </c>
      <c r="B153" s="87" t="s">
        <v>688</v>
      </c>
    </row>
    <row r="154" spans="1:2" ht="12.75" x14ac:dyDescent="0.35">
      <c r="A154" s="92" t="s">
        <v>690</v>
      </c>
      <c r="B154" s="85" t="s">
        <v>5941</v>
      </c>
    </row>
    <row r="155" spans="1:2" ht="12.75" x14ac:dyDescent="0.35">
      <c r="A155" s="92" t="s">
        <v>693</v>
      </c>
      <c r="B155" s="85" t="s">
        <v>5942</v>
      </c>
    </row>
    <row r="156" spans="1:2" ht="12.75" x14ac:dyDescent="0.35">
      <c r="A156" s="92" t="s">
        <v>696</v>
      </c>
      <c r="B156" s="85" t="s">
        <v>697</v>
      </c>
    </row>
    <row r="157" spans="1:2" ht="12.75" x14ac:dyDescent="0.35">
      <c r="A157" s="92" t="s">
        <v>699</v>
      </c>
      <c r="B157" s="85" t="s">
        <v>700</v>
      </c>
    </row>
    <row r="158" spans="1:2" ht="12.75" x14ac:dyDescent="0.35">
      <c r="A158" s="93" t="s">
        <v>702</v>
      </c>
      <c r="B158" s="86"/>
    </row>
    <row r="159" spans="1:2" ht="12.75" x14ac:dyDescent="0.35">
      <c r="A159" s="92" t="s">
        <v>705</v>
      </c>
      <c r="B159" s="85" t="s">
        <v>706</v>
      </c>
    </row>
    <row r="160" spans="1:2" ht="12.75" x14ac:dyDescent="0.35">
      <c r="A160" s="92" t="s">
        <v>708</v>
      </c>
      <c r="B160" s="85" t="s">
        <v>709</v>
      </c>
    </row>
    <row r="161" spans="1:2" ht="12.75" x14ac:dyDescent="0.35">
      <c r="A161" s="92" t="s">
        <v>711</v>
      </c>
      <c r="B161" s="85" t="s">
        <v>5943</v>
      </c>
    </row>
    <row r="162" spans="1:2" ht="12.75" x14ac:dyDescent="0.35">
      <c r="A162" s="92" t="s">
        <v>714</v>
      </c>
      <c r="B162" s="85" t="s">
        <v>715</v>
      </c>
    </row>
    <row r="163" spans="1:2" ht="12.75" x14ac:dyDescent="0.35">
      <c r="A163" s="92" t="s">
        <v>717</v>
      </c>
      <c r="B163" s="85" t="s">
        <v>718</v>
      </c>
    </row>
    <row r="164" spans="1:2" ht="12.75" x14ac:dyDescent="0.35">
      <c r="A164" s="92" t="s">
        <v>720</v>
      </c>
      <c r="B164" s="85" t="s">
        <v>721</v>
      </c>
    </row>
    <row r="165" spans="1:2" ht="12.75" x14ac:dyDescent="0.35">
      <c r="A165" s="92" t="s">
        <v>722</v>
      </c>
      <c r="B165" s="85"/>
    </row>
    <row r="166" spans="1:2" ht="12.75" x14ac:dyDescent="0.35">
      <c r="A166" s="92" t="s">
        <v>725</v>
      </c>
      <c r="B166" s="85" t="s">
        <v>5944</v>
      </c>
    </row>
    <row r="167" spans="1:2" ht="12.75" x14ac:dyDescent="0.35">
      <c r="A167" s="92" t="s">
        <v>728</v>
      </c>
      <c r="B167" s="85" t="s">
        <v>729</v>
      </c>
    </row>
    <row r="168" spans="1:2" ht="12.75" x14ac:dyDescent="0.35">
      <c r="A168" s="92" t="s">
        <v>731</v>
      </c>
      <c r="B168" s="85" t="s">
        <v>732</v>
      </c>
    </row>
    <row r="169" spans="1:2" ht="12.75" x14ac:dyDescent="0.35">
      <c r="A169" s="92" t="s">
        <v>734</v>
      </c>
      <c r="B169" s="85" t="s">
        <v>735</v>
      </c>
    </row>
    <row r="170" spans="1:2" ht="12.75" x14ac:dyDescent="0.35">
      <c r="A170" s="92" t="s">
        <v>737</v>
      </c>
      <c r="B170" s="85" t="s">
        <v>5945</v>
      </c>
    </row>
    <row r="171" spans="1:2" ht="12.75" x14ac:dyDescent="0.35">
      <c r="A171" s="92" t="s">
        <v>740</v>
      </c>
      <c r="B171" s="85" t="s">
        <v>741</v>
      </c>
    </row>
    <row r="172" spans="1:2" ht="12.75" x14ac:dyDescent="0.35">
      <c r="A172" s="92" t="s">
        <v>743</v>
      </c>
      <c r="B172" s="85" t="s">
        <v>5946</v>
      </c>
    </row>
    <row r="173" spans="1:2" ht="12.75" x14ac:dyDescent="0.35">
      <c r="A173" s="92" t="s">
        <v>746</v>
      </c>
      <c r="B173" s="85" t="s">
        <v>747</v>
      </c>
    </row>
    <row r="174" spans="1:2" ht="12.75" x14ac:dyDescent="0.35">
      <c r="A174" s="92" t="s">
        <v>748</v>
      </c>
      <c r="B174" s="85" t="s">
        <v>5947</v>
      </c>
    </row>
    <row r="175" spans="1:2" ht="12.75" x14ac:dyDescent="0.35">
      <c r="A175" s="92" t="s">
        <v>751</v>
      </c>
      <c r="B175" s="85" t="s">
        <v>752</v>
      </c>
    </row>
    <row r="176" spans="1:2" ht="12.75" x14ac:dyDescent="0.35">
      <c r="A176" s="92" t="s">
        <v>754</v>
      </c>
      <c r="B176" s="85" t="s">
        <v>755</v>
      </c>
    </row>
    <row r="177" spans="1:2" ht="12.75" x14ac:dyDescent="0.35">
      <c r="A177" s="92" t="s">
        <v>757</v>
      </c>
      <c r="B177" s="85" t="s">
        <v>758</v>
      </c>
    </row>
    <row r="178" spans="1:2" ht="12.75" x14ac:dyDescent="0.35">
      <c r="A178" s="92" t="s">
        <v>760</v>
      </c>
      <c r="B178" s="85" t="s">
        <v>761</v>
      </c>
    </row>
    <row r="179" spans="1:2" ht="12.75" x14ac:dyDescent="0.35">
      <c r="A179" s="92" t="s">
        <v>763</v>
      </c>
      <c r="B179" s="87" t="s">
        <v>764</v>
      </c>
    </row>
    <row r="180" spans="1:2" ht="12.75" x14ac:dyDescent="0.35">
      <c r="A180" s="92" t="s">
        <v>766</v>
      </c>
      <c r="B180" s="85" t="s">
        <v>5948</v>
      </c>
    </row>
    <row r="181" spans="1:2" ht="12.75" x14ac:dyDescent="0.35">
      <c r="A181" s="92" t="s">
        <v>769</v>
      </c>
      <c r="B181" s="85" t="s">
        <v>5949</v>
      </c>
    </row>
    <row r="182" spans="1:2" ht="12.75" x14ac:dyDescent="0.35">
      <c r="A182" s="92" t="s">
        <v>772</v>
      </c>
      <c r="B182" s="85" t="s">
        <v>773</v>
      </c>
    </row>
    <row r="183" spans="1:2" ht="12.75" x14ac:dyDescent="0.35">
      <c r="A183" s="92" t="s">
        <v>775</v>
      </c>
      <c r="B183" s="85" t="s">
        <v>5950</v>
      </c>
    </row>
    <row r="184" spans="1:2" ht="12.75" x14ac:dyDescent="0.35">
      <c r="A184" s="93" t="s">
        <v>778</v>
      </c>
      <c r="B184" s="86"/>
    </row>
    <row r="185" spans="1:2" ht="12.75" x14ac:dyDescent="0.35">
      <c r="A185" s="92" t="s">
        <v>781</v>
      </c>
      <c r="B185" s="85" t="s">
        <v>782</v>
      </c>
    </row>
    <row r="186" spans="1:2" ht="15.75" customHeight="1" x14ac:dyDescent="0.4">
      <c r="A186" s="92" t="s">
        <v>784</v>
      </c>
      <c r="B186" s="85" t="s">
        <v>5951</v>
      </c>
    </row>
    <row r="187" spans="1:2" ht="12.75" x14ac:dyDescent="0.35">
      <c r="A187" s="92" t="s">
        <v>787</v>
      </c>
      <c r="B187" s="85" t="s">
        <v>788</v>
      </c>
    </row>
    <row r="188" spans="1:2" ht="12.75" x14ac:dyDescent="0.35">
      <c r="A188" s="92" t="s">
        <v>789</v>
      </c>
      <c r="B188" s="85" t="s">
        <v>790</v>
      </c>
    </row>
    <row r="189" spans="1:2" ht="12.75" x14ac:dyDescent="0.35">
      <c r="A189" s="92" t="s">
        <v>792</v>
      </c>
      <c r="B189" s="85" t="s">
        <v>5952</v>
      </c>
    </row>
    <row r="190" spans="1:2" ht="12.75" x14ac:dyDescent="0.35">
      <c r="A190" s="92" t="s">
        <v>795</v>
      </c>
      <c r="B190" s="85" t="s">
        <v>796</v>
      </c>
    </row>
    <row r="191" spans="1:2" ht="12.75" x14ac:dyDescent="0.35">
      <c r="A191" s="92" t="s">
        <v>798</v>
      </c>
      <c r="B191" s="85" t="s">
        <v>799</v>
      </c>
    </row>
    <row r="192" spans="1:2" ht="12.75" x14ac:dyDescent="0.35">
      <c r="A192" s="92" t="s">
        <v>800</v>
      </c>
      <c r="B192" s="85"/>
    </row>
    <row r="193" spans="1:2" ht="12.75" x14ac:dyDescent="0.35">
      <c r="A193" s="92" t="s">
        <v>803</v>
      </c>
      <c r="B193" s="85" t="s">
        <v>804</v>
      </c>
    </row>
    <row r="194" spans="1:2" ht="12.75" x14ac:dyDescent="0.35">
      <c r="A194" s="92" t="s">
        <v>806</v>
      </c>
      <c r="B194" s="85" t="s">
        <v>807</v>
      </c>
    </row>
    <row r="195" spans="1:2" ht="12.75" x14ac:dyDescent="0.35">
      <c r="A195" s="92" t="s">
        <v>809</v>
      </c>
      <c r="B195" s="85" t="s">
        <v>810</v>
      </c>
    </row>
    <row r="196" spans="1:2" ht="12.75" x14ac:dyDescent="0.35">
      <c r="A196" s="92" t="s">
        <v>812</v>
      </c>
      <c r="B196" s="85" t="s">
        <v>5953</v>
      </c>
    </row>
    <row r="197" spans="1:2" ht="12.75" x14ac:dyDescent="0.35">
      <c r="A197" s="92" t="s">
        <v>815</v>
      </c>
      <c r="B197" s="85" t="s">
        <v>816</v>
      </c>
    </row>
    <row r="198" spans="1:2" ht="12.75" x14ac:dyDescent="0.35">
      <c r="A198" s="92" t="s">
        <v>817</v>
      </c>
      <c r="B198" s="85" t="s">
        <v>818</v>
      </c>
    </row>
    <row r="199" spans="1:2" ht="12.75" x14ac:dyDescent="0.35">
      <c r="A199" s="92" t="s">
        <v>819</v>
      </c>
      <c r="B199" s="85" t="s">
        <v>5954</v>
      </c>
    </row>
    <row r="200" spans="1:2" ht="12.75" x14ac:dyDescent="0.35">
      <c r="A200" s="92" t="s">
        <v>822</v>
      </c>
      <c r="B200" s="85" t="s">
        <v>823</v>
      </c>
    </row>
    <row r="201" spans="1:2" ht="12.75" x14ac:dyDescent="0.35">
      <c r="A201" s="92" t="s">
        <v>825</v>
      </c>
      <c r="B201" s="85" t="s">
        <v>826</v>
      </c>
    </row>
    <row r="202" spans="1:2" ht="12.75" x14ac:dyDescent="0.35">
      <c r="A202" s="92" t="s">
        <v>828</v>
      </c>
      <c r="B202" s="85" t="s">
        <v>5955</v>
      </c>
    </row>
    <row r="203" spans="1:2" ht="12.75" x14ac:dyDescent="0.35">
      <c r="A203" s="92" t="s">
        <v>831</v>
      </c>
      <c r="B203" s="85" t="s">
        <v>832</v>
      </c>
    </row>
    <row r="204" spans="1:2" ht="12.75" x14ac:dyDescent="0.35">
      <c r="A204" s="92" t="s">
        <v>833</v>
      </c>
      <c r="B204" s="85" t="s">
        <v>834</v>
      </c>
    </row>
    <row r="205" spans="1:2" ht="12.75" x14ac:dyDescent="0.35">
      <c r="A205" s="92" t="s">
        <v>836</v>
      </c>
      <c r="B205" s="85" t="s">
        <v>837</v>
      </c>
    </row>
    <row r="206" spans="1:2" ht="12.75" x14ac:dyDescent="0.35">
      <c r="A206" s="92" t="s">
        <v>839</v>
      </c>
      <c r="B206" s="85" t="s">
        <v>5956</v>
      </c>
    </row>
    <row r="207" spans="1:2" ht="12.75" x14ac:dyDescent="0.35">
      <c r="A207" s="92" t="s">
        <v>842</v>
      </c>
      <c r="B207" s="85" t="s">
        <v>843</v>
      </c>
    </row>
    <row r="208" spans="1:2" ht="12.75" x14ac:dyDescent="0.35">
      <c r="A208" s="92" t="s">
        <v>845</v>
      </c>
      <c r="B208" s="85" t="s">
        <v>846</v>
      </c>
    </row>
    <row r="209" spans="1:2" ht="12.75" x14ac:dyDescent="0.35">
      <c r="A209" s="92" t="s">
        <v>848</v>
      </c>
      <c r="B209" s="85" t="s">
        <v>5957</v>
      </c>
    </row>
    <row r="210" spans="1:2" ht="12.75" x14ac:dyDescent="0.35">
      <c r="A210" s="93" t="s">
        <v>851</v>
      </c>
      <c r="B210" s="86"/>
    </row>
    <row r="211" spans="1:2" ht="12.75" x14ac:dyDescent="0.35">
      <c r="A211" s="92" t="s">
        <v>854</v>
      </c>
      <c r="B211" s="85" t="s">
        <v>5958</v>
      </c>
    </row>
    <row r="212" spans="1:2" ht="12.75" x14ac:dyDescent="0.35">
      <c r="A212" s="92" t="s">
        <v>857</v>
      </c>
      <c r="B212" s="85" t="s">
        <v>5959</v>
      </c>
    </row>
    <row r="213" spans="1:2" ht="12.75" x14ac:dyDescent="0.35">
      <c r="A213" s="92" t="s">
        <v>860</v>
      </c>
      <c r="B213" s="87" t="s">
        <v>5960</v>
      </c>
    </row>
    <row r="214" spans="1:2" ht="12.75" x14ac:dyDescent="0.35">
      <c r="A214" s="92" t="s">
        <v>863</v>
      </c>
      <c r="B214" s="85" t="s">
        <v>5961</v>
      </c>
    </row>
    <row r="215" spans="1:2" ht="12.75" x14ac:dyDescent="0.35">
      <c r="A215" s="92" t="s">
        <v>866</v>
      </c>
      <c r="B215" s="85" t="s">
        <v>867</v>
      </c>
    </row>
    <row r="216" spans="1:2" ht="12.75" x14ac:dyDescent="0.35">
      <c r="A216" s="92" t="s">
        <v>869</v>
      </c>
      <c r="B216" s="85" t="s">
        <v>5962</v>
      </c>
    </row>
    <row r="217" spans="1:2" ht="12.75" x14ac:dyDescent="0.35">
      <c r="A217" s="92" t="s">
        <v>872</v>
      </c>
      <c r="B217" s="85" t="s">
        <v>873</v>
      </c>
    </row>
    <row r="218" spans="1:2" ht="12.75" x14ac:dyDescent="0.35">
      <c r="A218" s="92" t="s">
        <v>875</v>
      </c>
      <c r="B218" s="85" t="s">
        <v>5963</v>
      </c>
    </row>
    <row r="219" spans="1:2" ht="12.75" x14ac:dyDescent="0.35">
      <c r="A219" s="92" t="s">
        <v>878</v>
      </c>
      <c r="B219" s="85"/>
    </row>
    <row r="220" spans="1:2" ht="12.75" x14ac:dyDescent="0.35">
      <c r="A220" s="92" t="s">
        <v>881</v>
      </c>
      <c r="B220" s="85" t="s">
        <v>5964</v>
      </c>
    </row>
    <row r="221" spans="1:2" ht="12.75" x14ac:dyDescent="0.35">
      <c r="A221" s="92" t="s">
        <v>884</v>
      </c>
      <c r="B221" s="85" t="s">
        <v>5965</v>
      </c>
    </row>
    <row r="222" spans="1:2" ht="12.75" x14ac:dyDescent="0.35">
      <c r="A222" s="92" t="s">
        <v>887</v>
      </c>
      <c r="B222" s="85" t="s">
        <v>5966</v>
      </c>
    </row>
    <row r="223" spans="1:2" ht="12.75" x14ac:dyDescent="0.35">
      <c r="A223" s="92" t="s">
        <v>890</v>
      </c>
      <c r="B223" s="85" t="s">
        <v>5967</v>
      </c>
    </row>
    <row r="224" spans="1:2" ht="12.75" x14ac:dyDescent="0.35">
      <c r="A224" s="92" t="s">
        <v>893</v>
      </c>
      <c r="B224" s="85" t="s">
        <v>5968</v>
      </c>
    </row>
    <row r="225" spans="1:2" ht="12.75" x14ac:dyDescent="0.35">
      <c r="A225" s="92" t="s">
        <v>896</v>
      </c>
      <c r="B225" s="85" t="s">
        <v>5969</v>
      </c>
    </row>
    <row r="226" spans="1:2" ht="12.75" x14ac:dyDescent="0.35">
      <c r="A226" s="92" t="s">
        <v>899</v>
      </c>
      <c r="B226" s="85" t="s">
        <v>900</v>
      </c>
    </row>
    <row r="227" spans="1:2" ht="12.75" x14ac:dyDescent="0.35">
      <c r="A227" s="92" t="s">
        <v>902</v>
      </c>
      <c r="B227" s="85" t="s">
        <v>5970</v>
      </c>
    </row>
    <row r="228" spans="1:2" ht="12.75" x14ac:dyDescent="0.35">
      <c r="A228" s="92" t="s">
        <v>905</v>
      </c>
      <c r="B228" s="85" t="s">
        <v>5971</v>
      </c>
    </row>
    <row r="229" spans="1:2" ht="12.75" x14ac:dyDescent="0.35">
      <c r="A229" s="92" t="s">
        <v>907</v>
      </c>
      <c r="B229" s="85" t="s">
        <v>908</v>
      </c>
    </row>
    <row r="230" spans="1:2" ht="12.75" x14ac:dyDescent="0.35">
      <c r="A230" s="92" t="s">
        <v>910</v>
      </c>
      <c r="B230" s="85" t="s">
        <v>5972</v>
      </c>
    </row>
    <row r="231" spans="1:2" ht="12.75" x14ac:dyDescent="0.35">
      <c r="A231" s="92" t="s">
        <v>913</v>
      </c>
      <c r="B231" s="85" t="s">
        <v>5973</v>
      </c>
    </row>
    <row r="232" spans="1:2" ht="12.75" x14ac:dyDescent="0.35">
      <c r="A232" s="92" t="s">
        <v>916</v>
      </c>
      <c r="B232" s="85" t="s">
        <v>5974</v>
      </c>
    </row>
    <row r="233" spans="1:2" ht="12.75" x14ac:dyDescent="0.35">
      <c r="A233" s="92" t="s">
        <v>919</v>
      </c>
      <c r="B233" s="85" t="s">
        <v>920</v>
      </c>
    </row>
    <row r="234" spans="1:2" ht="12.75" x14ac:dyDescent="0.35">
      <c r="A234" s="92" t="s">
        <v>922</v>
      </c>
      <c r="B234" s="85" t="s">
        <v>5975</v>
      </c>
    </row>
    <row r="235" spans="1:2" ht="12.75" x14ac:dyDescent="0.35">
      <c r="A235" s="92" t="s">
        <v>925</v>
      </c>
      <c r="B235" s="85" t="s">
        <v>5976</v>
      </c>
    </row>
    <row r="236" spans="1:2" ht="12.75" x14ac:dyDescent="0.35">
      <c r="A236" s="93" t="s">
        <v>928</v>
      </c>
      <c r="B236" s="86"/>
    </row>
    <row r="237" spans="1:2" ht="12.75" x14ac:dyDescent="0.35">
      <c r="A237" s="92" t="s">
        <v>931</v>
      </c>
      <c r="B237" s="85" t="s">
        <v>932</v>
      </c>
    </row>
    <row r="238" spans="1:2" ht="12.75" x14ac:dyDescent="0.35">
      <c r="A238" s="92" t="s">
        <v>934</v>
      </c>
      <c r="B238" s="85" t="s">
        <v>5977</v>
      </c>
    </row>
    <row r="239" spans="1:2" ht="12.75" x14ac:dyDescent="0.35">
      <c r="A239" s="92" t="s">
        <v>937</v>
      </c>
      <c r="B239" s="85" t="s">
        <v>938</v>
      </c>
    </row>
    <row r="240" spans="1:2" ht="12.75" x14ac:dyDescent="0.35">
      <c r="A240" s="92" t="s">
        <v>943</v>
      </c>
      <c r="B240" s="85" t="s">
        <v>944</v>
      </c>
    </row>
    <row r="241" spans="1:2" ht="12.75" x14ac:dyDescent="0.35">
      <c r="A241" s="92" t="s">
        <v>940</v>
      </c>
      <c r="B241" s="85" t="s">
        <v>5978</v>
      </c>
    </row>
    <row r="242" spans="1:2" ht="12.75" x14ac:dyDescent="0.35">
      <c r="A242" s="92" t="s">
        <v>946</v>
      </c>
      <c r="B242" s="85" t="s">
        <v>947</v>
      </c>
    </row>
    <row r="243" spans="1:2" ht="12.75" x14ac:dyDescent="0.35">
      <c r="A243" s="92" t="s">
        <v>949</v>
      </c>
      <c r="B243" s="85" t="s">
        <v>950</v>
      </c>
    </row>
    <row r="244" spans="1:2" ht="12.75" x14ac:dyDescent="0.35">
      <c r="A244" s="92" t="s">
        <v>951</v>
      </c>
      <c r="B244" s="85" t="s">
        <v>952</v>
      </c>
    </row>
    <row r="245" spans="1:2" ht="12.75" x14ac:dyDescent="0.35">
      <c r="A245" s="92" t="s">
        <v>954</v>
      </c>
      <c r="B245" s="85" t="s">
        <v>955</v>
      </c>
    </row>
    <row r="246" spans="1:2" ht="12.75" x14ac:dyDescent="0.35">
      <c r="A246" s="92" t="s">
        <v>957</v>
      </c>
      <c r="B246" s="85"/>
    </row>
    <row r="247" spans="1:2" ht="12.75" x14ac:dyDescent="0.35">
      <c r="A247" s="92" t="s">
        <v>960</v>
      </c>
      <c r="B247" s="85" t="s">
        <v>961</v>
      </c>
    </row>
    <row r="248" spans="1:2" ht="12.75" x14ac:dyDescent="0.35">
      <c r="A248" s="92" t="s">
        <v>963</v>
      </c>
      <c r="B248" s="85" t="s">
        <v>964</v>
      </c>
    </row>
    <row r="249" spans="1:2" ht="12.75" x14ac:dyDescent="0.35">
      <c r="A249" s="92" t="s">
        <v>966</v>
      </c>
      <c r="B249" s="87" t="s">
        <v>967</v>
      </c>
    </row>
    <row r="250" spans="1:2" ht="12.75" x14ac:dyDescent="0.35">
      <c r="A250" s="92" t="s">
        <v>969</v>
      </c>
      <c r="B250" s="85" t="s">
        <v>5979</v>
      </c>
    </row>
    <row r="251" spans="1:2" ht="12.75" x14ac:dyDescent="0.35">
      <c r="A251" s="92" t="s">
        <v>972</v>
      </c>
      <c r="B251" s="85" t="s">
        <v>973</v>
      </c>
    </row>
    <row r="252" spans="1:2" ht="12.75" x14ac:dyDescent="0.35">
      <c r="A252" s="92" t="s">
        <v>975</v>
      </c>
      <c r="B252" s="85" t="s">
        <v>976</v>
      </c>
    </row>
    <row r="253" spans="1:2" ht="12.75" x14ac:dyDescent="0.35">
      <c r="A253" s="92" t="s">
        <v>978</v>
      </c>
      <c r="B253" s="85" t="s">
        <v>979</v>
      </c>
    </row>
    <row r="254" spans="1:2" ht="12.75" x14ac:dyDescent="0.35">
      <c r="A254" s="92" t="s">
        <v>981</v>
      </c>
      <c r="B254" s="85" t="s">
        <v>982</v>
      </c>
    </row>
    <row r="255" spans="1:2" ht="12.75" x14ac:dyDescent="0.35">
      <c r="A255" s="92" t="s">
        <v>984</v>
      </c>
      <c r="B255" s="85" t="s">
        <v>985</v>
      </c>
    </row>
    <row r="256" spans="1:2" ht="12.75" x14ac:dyDescent="0.35">
      <c r="A256" s="92" t="s">
        <v>987</v>
      </c>
      <c r="B256" s="85" t="s">
        <v>988</v>
      </c>
    </row>
    <row r="257" spans="1:2" ht="12.75" x14ac:dyDescent="0.35">
      <c r="A257" s="92" t="s">
        <v>990</v>
      </c>
      <c r="B257" s="85" t="s">
        <v>991</v>
      </c>
    </row>
    <row r="258" spans="1:2" ht="12.75" x14ac:dyDescent="0.35">
      <c r="A258" s="92" t="s">
        <v>993</v>
      </c>
      <c r="B258" s="85" t="s">
        <v>994</v>
      </c>
    </row>
    <row r="259" spans="1:2" ht="12.75" x14ac:dyDescent="0.35">
      <c r="A259" s="92" t="s">
        <v>996</v>
      </c>
      <c r="B259" s="85" t="s">
        <v>997</v>
      </c>
    </row>
    <row r="260" spans="1:2" ht="12.75" x14ac:dyDescent="0.35">
      <c r="A260" s="92" t="s">
        <v>999</v>
      </c>
      <c r="B260" s="85" t="s">
        <v>1000</v>
      </c>
    </row>
    <row r="261" spans="1:2" ht="12.75" x14ac:dyDescent="0.35">
      <c r="A261" s="92" t="s">
        <v>1002</v>
      </c>
      <c r="B261" s="85" t="s">
        <v>1003</v>
      </c>
    </row>
    <row r="262" spans="1:2" ht="12.75" x14ac:dyDescent="0.35">
      <c r="A262" s="93" t="s">
        <v>1005</v>
      </c>
      <c r="B262" s="86"/>
    </row>
    <row r="263" spans="1:2" ht="12.75" x14ac:dyDescent="0.35">
      <c r="A263" s="92" t="s">
        <v>1008</v>
      </c>
      <c r="B263" s="85" t="s">
        <v>1009</v>
      </c>
    </row>
    <row r="264" spans="1:2" ht="12.75" x14ac:dyDescent="0.35">
      <c r="A264" s="92" t="s">
        <v>1011</v>
      </c>
      <c r="B264" s="85" t="s">
        <v>1012</v>
      </c>
    </row>
    <row r="265" spans="1:2" ht="12.75" x14ac:dyDescent="0.35">
      <c r="A265" s="92" t="s">
        <v>1013</v>
      </c>
      <c r="B265" s="85" t="s">
        <v>1014</v>
      </c>
    </row>
    <row r="266" spans="1:2" ht="12.75" x14ac:dyDescent="0.35">
      <c r="A266" s="92" t="s">
        <v>1016</v>
      </c>
      <c r="B266" s="85" t="s">
        <v>1017</v>
      </c>
    </row>
    <row r="267" spans="1:2" ht="12.75" x14ac:dyDescent="0.35">
      <c r="A267" s="92" t="s">
        <v>1019</v>
      </c>
      <c r="B267" s="85" t="s">
        <v>1020</v>
      </c>
    </row>
    <row r="268" spans="1:2" ht="12.75" x14ac:dyDescent="0.35">
      <c r="A268" s="92" t="s">
        <v>1022</v>
      </c>
      <c r="B268" s="85" t="s">
        <v>1023</v>
      </c>
    </row>
    <row r="269" spans="1:2" ht="12.75" x14ac:dyDescent="0.35">
      <c r="A269" s="92" t="s">
        <v>1024</v>
      </c>
      <c r="B269" s="85" t="s">
        <v>5980</v>
      </c>
    </row>
    <row r="270" spans="1:2" ht="12.75" x14ac:dyDescent="0.35">
      <c r="A270" s="92" t="s">
        <v>1027</v>
      </c>
      <c r="B270" s="85" t="s">
        <v>1028</v>
      </c>
    </row>
    <row r="271" spans="1:2" ht="12.75" x14ac:dyDescent="0.35">
      <c r="A271" s="92" t="s">
        <v>1030</v>
      </c>
      <c r="B271" s="85" t="s">
        <v>1031</v>
      </c>
    </row>
    <row r="272" spans="1:2" ht="12.75" x14ac:dyDescent="0.35">
      <c r="A272" s="92" t="s">
        <v>1033</v>
      </c>
      <c r="B272" s="85" t="s">
        <v>5981</v>
      </c>
    </row>
    <row r="273" spans="1:2" ht="12.75" x14ac:dyDescent="0.35">
      <c r="A273" s="92" t="s">
        <v>1036</v>
      </c>
      <c r="B273" s="85"/>
    </row>
    <row r="274" spans="1:2" ht="12.75" x14ac:dyDescent="0.35">
      <c r="A274" s="92" t="s">
        <v>1039</v>
      </c>
      <c r="B274" s="85" t="s">
        <v>1040</v>
      </c>
    </row>
    <row r="275" spans="1:2" ht="12.75" x14ac:dyDescent="0.35">
      <c r="A275" s="92" t="s">
        <v>1041</v>
      </c>
      <c r="B275" s="85" t="s">
        <v>1042</v>
      </c>
    </row>
    <row r="276" spans="1:2" ht="12.75" x14ac:dyDescent="0.35">
      <c r="A276" s="92" t="s">
        <v>1044</v>
      </c>
      <c r="B276" s="85" t="s">
        <v>1045</v>
      </c>
    </row>
    <row r="277" spans="1:2" ht="12.75" x14ac:dyDescent="0.35">
      <c r="A277" s="92" t="s">
        <v>1047</v>
      </c>
      <c r="B277" s="85" t="s">
        <v>1048</v>
      </c>
    </row>
    <row r="278" spans="1:2" ht="12.75" x14ac:dyDescent="0.35">
      <c r="A278" s="92" t="s">
        <v>1050</v>
      </c>
      <c r="B278" s="85" t="s">
        <v>1051</v>
      </c>
    </row>
    <row r="279" spans="1:2" ht="12.75" x14ac:dyDescent="0.35">
      <c r="A279" s="92" t="s">
        <v>1052</v>
      </c>
      <c r="B279" s="85" t="s">
        <v>1053</v>
      </c>
    </row>
    <row r="280" spans="1:2" ht="12.75" x14ac:dyDescent="0.35">
      <c r="A280" s="92" t="s">
        <v>1054</v>
      </c>
      <c r="B280" s="85" t="s">
        <v>1055</v>
      </c>
    </row>
    <row r="281" spans="1:2" ht="12.75" x14ac:dyDescent="0.35">
      <c r="A281" s="92" t="s">
        <v>1056</v>
      </c>
      <c r="B281" s="85" t="s">
        <v>1057</v>
      </c>
    </row>
    <row r="282" spans="1:2" ht="12.75" x14ac:dyDescent="0.35">
      <c r="A282" s="92" t="s">
        <v>1058</v>
      </c>
      <c r="B282" s="85" t="s">
        <v>1059</v>
      </c>
    </row>
    <row r="283" spans="1:2" ht="12.75" x14ac:dyDescent="0.35">
      <c r="A283" s="92" t="s">
        <v>1061</v>
      </c>
      <c r="B283" s="87" t="s">
        <v>1062</v>
      </c>
    </row>
    <row r="284" spans="1:2" ht="12.75" x14ac:dyDescent="0.35">
      <c r="A284" s="92" t="s">
        <v>1063</v>
      </c>
      <c r="B284" s="85" t="s">
        <v>1064</v>
      </c>
    </row>
    <row r="285" spans="1:2" ht="12.75" x14ac:dyDescent="0.35">
      <c r="A285" s="92" t="s">
        <v>1066</v>
      </c>
      <c r="B285" s="85" t="s">
        <v>1067</v>
      </c>
    </row>
    <row r="286" spans="1:2" ht="12.75" x14ac:dyDescent="0.35">
      <c r="A286" s="92" t="s">
        <v>1069</v>
      </c>
      <c r="B286" s="85" t="s">
        <v>1070</v>
      </c>
    </row>
    <row r="287" spans="1:2" ht="12.75" x14ac:dyDescent="0.35">
      <c r="A287" s="92" t="s">
        <v>1072</v>
      </c>
      <c r="B287" s="85" t="s">
        <v>1073</v>
      </c>
    </row>
    <row r="288" spans="1:2" ht="12.75" x14ac:dyDescent="0.35">
      <c r="A288" s="93" t="s">
        <v>1075</v>
      </c>
      <c r="B288" s="86"/>
    </row>
    <row r="289" spans="1:2" ht="12.75" x14ac:dyDescent="0.35">
      <c r="A289" s="92" t="s">
        <v>1078</v>
      </c>
      <c r="B289" s="87" t="s">
        <v>1079</v>
      </c>
    </row>
    <row r="290" spans="1:2" ht="12.75" x14ac:dyDescent="0.35">
      <c r="A290" s="92" t="s">
        <v>1081</v>
      </c>
      <c r="B290" s="85" t="s">
        <v>1082</v>
      </c>
    </row>
    <row r="291" spans="1:2" ht="12.75" x14ac:dyDescent="0.35">
      <c r="A291" s="92" t="s">
        <v>1083</v>
      </c>
      <c r="B291" s="85" t="s">
        <v>1084</v>
      </c>
    </row>
    <row r="292" spans="1:2" ht="12.75" x14ac:dyDescent="0.35">
      <c r="A292" s="92" t="s">
        <v>1086</v>
      </c>
      <c r="B292" s="85" t="s">
        <v>1087</v>
      </c>
    </row>
    <row r="293" spans="1:2" ht="12.75" x14ac:dyDescent="0.35">
      <c r="A293" s="92" t="s">
        <v>1089</v>
      </c>
      <c r="B293" s="87" t="s">
        <v>1090</v>
      </c>
    </row>
    <row r="294" spans="1:2" ht="12.75" x14ac:dyDescent="0.35">
      <c r="A294" s="92" t="s">
        <v>1092</v>
      </c>
      <c r="B294" s="85" t="s">
        <v>5982</v>
      </c>
    </row>
    <row r="295" spans="1:2" ht="12.75" x14ac:dyDescent="0.35">
      <c r="A295" s="92" t="s">
        <v>1095</v>
      </c>
      <c r="B295" s="85" t="s">
        <v>1096</v>
      </c>
    </row>
    <row r="296" spans="1:2" ht="12.75" x14ac:dyDescent="0.35">
      <c r="A296" s="92" t="s">
        <v>1097</v>
      </c>
      <c r="B296" s="85" t="s">
        <v>5983</v>
      </c>
    </row>
    <row r="297" spans="1:2" ht="12.75" x14ac:dyDescent="0.35">
      <c r="A297" s="92" t="s">
        <v>1100</v>
      </c>
      <c r="B297" s="85" t="s">
        <v>1101</v>
      </c>
    </row>
    <row r="298" spans="1:2" ht="12.75" x14ac:dyDescent="0.35">
      <c r="A298" s="92" t="s">
        <v>1103</v>
      </c>
      <c r="B298" s="85" t="s">
        <v>1104</v>
      </c>
    </row>
    <row r="299" spans="1:2" ht="12.75" x14ac:dyDescent="0.35">
      <c r="A299" s="92" t="s">
        <v>1105</v>
      </c>
      <c r="B299" s="85" t="s">
        <v>1106</v>
      </c>
    </row>
    <row r="300" spans="1:2" ht="12.75" x14ac:dyDescent="0.35">
      <c r="A300" s="92" t="s">
        <v>1108</v>
      </c>
      <c r="B300" s="85"/>
    </row>
    <row r="301" spans="1:2" ht="12.75" x14ac:dyDescent="0.35">
      <c r="A301" s="92" t="s">
        <v>1111</v>
      </c>
      <c r="B301" s="85" t="s">
        <v>5984</v>
      </c>
    </row>
    <row r="302" spans="1:2" ht="12.75" x14ac:dyDescent="0.35">
      <c r="A302" s="92" t="s">
        <v>1114</v>
      </c>
      <c r="B302" s="85" t="s">
        <v>5985</v>
      </c>
    </row>
    <row r="303" spans="1:2" ht="12.75" x14ac:dyDescent="0.35">
      <c r="A303" s="92" t="s">
        <v>1117</v>
      </c>
      <c r="B303" s="85" t="s">
        <v>1118</v>
      </c>
    </row>
    <row r="304" spans="1:2" ht="12.75" x14ac:dyDescent="0.35">
      <c r="A304" s="92" t="s">
        <v>1120</v>
      </c>
      <c r="B304" s="85" t="s">
        <v>1121</v>
      </c>
    </row>
    <row r="305" spans="1:2" ht="12.75" x14ac:dyDescent="0.35">
      <c r="A305" s="92" t="s">
        <v>1122</v>
      </c>
      <c r="B305" s="85" t="s">
        <v>1123</v>
      </c>
    </row>
    <row r="306" spans="1:2" ht="12.75" x14ac:dyDescent="0.35">
      <c r="A306" s="92" t="s">
        <v>1125</v>
      </c>
      <c r="B306" s="85" t="s">
        <v>1126</v>
      </c>
    </row>
    <row r="307" spans="1:2" ht="12.75" x14ac:dyDescent="0.35">
      <c r="A307" s="92" t="s">
        <v>1128</v>
      </c>
      <c r="B307" s="85" t="s">
        <v>5986</v>
      </c>
    </row>
    <row r="308" spans="1:2" ht="12.75" x14ac:dyDescent="0.35">
      <c r="A308" s="92" t="s">
        <v>1130</v>
      </c>
      <c r="B308" s="85" t="s">
        <v>1131</v>
      </c>
    </row>
    <row r="309" spans="1:2" ht="12.75" x14ac:dyDescent="0.35">
      <c r="A309" s="92" t="s">
        <v>1133</v>
      </c>
      <c r="B309" s="85" t="s">
        <v>1134</v>
      </c>
    </row>
    <row r="310" spans="1:2" ht="12.75" x14ac:dyDescent="0.35">
      <c r="A310" s="92" t="s">
        <v>1136</v>
      </c>
      <c r="B310" s="85" t="s">
        <v>1137</v>
      </c>
    </row>
    <row r="311" spans="1:2" ht="12.75" x14ac:dyDescent="0.35">
      <c r="A311" s="92" t="s">
        <v>1139</v>
      </c>
      <c r="B311" s="85" t="s">
        <v>1140</v>
      </c>
    </row>
    <row r="312" spans="1:2" ht="12.75" x14ac:dyDescent="0.35">
      <c r="A312" s="92" t="s">
        <v>1142</v>
      </c>
      <c r="B312" s="85" t="s">
        <v>1143</v>
      </c>
    </row>
    <row r="313" spans="1:2" ht="12.75" x14ac:dyDescent="0.35">
      <c r="A313" s="92" t="s">
        <v>1145</v>
      </c>
      <c r="B313" s="85" t="s">
        <v>1146</v>
      </c>
    </row>
    <row r="314" spans="1:2" ht="12.75" x14ac:dyDescent="0.35">
      <c r="A314" s="93" t="s">
        <v>1148</v>
      </c>
      <c r="B314" s="86"/>
    </row>
    <row r="315" spans="1:2" ht="12.75" x14ac:dyDescent="0.35">
      <c r="A315" s="92" t="s">
        <v>1151</v>
      </c>
      <c r="B315" s="85" t="s">
        <v>1152</v>
      </c>
    </row>
    <row r="316" spans="1:2" ht="12.75" x14ac:dyDescent="0.35">
      <c r="A316" s="92" t="s">
        <v>1154</v>
      </c>
      <c r="B316" s="85" t="s">
        <v>5987</v>
      </c>
    </row>
    <row r="317" spans="1:2" ht="12.75" x14ac:dyDescent="0.35">
      <c r="A317" s="92" t="s">
        <v>1157</v>
      </c>
      <c r="B317" s="85" t="s">
        <v>1158</v>
      </c>
    </row>
    <row r="318" spans="1:2" ht="12.75" x14ac:dyDescent="0.35">
      <c r="A318" s="92" t="s">
        <v>1160</v>
      </c>
      <c r="B318" s="85" t="s">
        <v>5988</v>
      </c>
    </row>
    <row r="319" spans="1:2" ht="12.75" x14ac:dyDescent="0.35">
      <c r="A319" s="92" t="s">
        <v>1163</v>
      </c>
      <c r="B319" s="85" t="s">
        <v>1164</v>
      </c>
    </row>
    <row r="320" spans="1:2" ht="12.75" x14ac:dyDescent="0.35">
      <c r="A320" s="92" t="s">
        <v>1165</v>
      </c>
      <c r="B320" s="85" t="s">
        <v>1166</v>
      </c>
    </row>
    <row r="321" spans="1:2" ht="12.75" x14ac:dyDescent="0.35">
      <c r="A321" s="92" t="s">
        <v>1168</v>
      </c>
      <c r="B321" s="85" t="s">
        <v>1169</v>
      </c>
    </row>
    <row r="322" spans="1:2" ht="12.75" x14ac:dyDescent="0.35">
      <c r="A322" s="92" t="s">
        <v>1171</v>
      </c>
      <c r="B322" s="85" t="s">
        <v>5989</v>
      </c>
    </row>
    <row r="323" spans="1:2" ht="12.75" x14ac:dyDescent="0.35">
      <c r="A323" s="92" t="s">
        <v>1174</v>
      </c>
      <c r="B323" s="85" t="s">
        <v>1175</v>
      </c>
    </row>
    <row r="324" spans="1:2" ht="12.75" x14ac:dyDescent="0.35">
      <c r="A324" s="92" t="s">
        <v>1177</v>
      </c>
      <c r="B324" s="85" t="s">
        <v>5990</v>
      </c>
    </row>
    <row r="325" spans="1:2" ht="12.75" x14ac:dyDescent="0.35">
      <c r="A325" s="92" t="s">
        <v>1180</v>
      </c>
      <c r="B325" s="85" t="s">
        <v>1181</v>
      </c>
    </row>
    <row r="326" spans="1:2" ht="12.75" x14ac:dyDescent="0.35">
      <c r="A326" s="92" t="s">
        <v>1183</v>
      </c>
      <c r="B326" s="85" t="s">
        <v>1184</v>
      </c>
    </row>
    <row r="327" spans="1:2" ht="12.75" x14ac:dyDescent="0.35">
      <c r="A327" s="92" t="s">
        <v>1186</v>
      </c>
      <c r="B327" s="85"/>
    </row>
    <row r="328" spans="1:2" ht="12.75" x14ac:dyDescent="0.35">
      <c r="A328" s="92" t="s">
        <v>1189</v>
      </c>
      <c r="B328" s="85" t="s">
        <v>1190</v>
      </c>
    </row>
    <row r="329" spans="1:2" ht="12.75" x14ac:dyDescent="0.35">
      <c r="A329" s="92" t="s">
        <v>1192</v>
      </c>
      <c r="B329" s="85" t="s">
        <v>1193</v>
      </c>
    </row>
    <row r="330" spans="1:2" ht="12.75" x14ac:dyDescent="0.35">
      <c r="A330" s="92" t="s">
        <v>1194</v>
      </c>
      <c r="B330" s="85" t="s">
        <v>1195</v>
      </c>
    </row>
    <row r="331" spans="1:2" ht="12.75" x14ac:dyDescent="0.35">
      <c r="A331" s="92" t="s">
        <v>1197</v>
      </c>
      <c r="B331" s="85" t="s">
        <v>5991</v>
      </c>
    </row>
    <row r="332" spans="1:2" ht="12.75" x14ac:dyDescent="0.35">
      <c r="A332" s="92" t="s">
        <v>1200</v>
      </c>
      <c r="B332" s="85" t="s">
        <v>1201</v>
      </c>
    </row>
    <row r="333" spans="1:2" ht="12.75" x14ac:dyDescent="0.35">
      <c r="A333" s="92" t="s">
        <v>1202</v>
      </c>
      <c r="B333" s="85" t="s">
        <v>1203</v>
      </c>
    </row>
    <row r="334" spans="1:2" ht="12.75" x14ac:dyDescent="0.35">
      <c r="A334" s="92" t="s">
        <v>1205</v>
      </c>
      <c r="B334" s="85" t="s">
        <v>1206</v>
      </c>
    </row>
    <row r="335" spans="1:2" ht="12.75" x14ac:dyDescent="0.35">
      <c r="A335" s="92" t="s">
        <v>1208</v>
      </c>
      <c r="B335" s="87" t="s">
        <v>1209</v>
      </c>
    </row>
    <row r="336" spans="1:2" ht="12.75" x14ac:dyDescent="0.35">
      <c r="A336" s="92" t="s">
        <v>1211</v>
      </c>
      <c r="B336" s="85" t="s">
        <v>1212</v>
      </c>
    </row>
    <row r="337" spans="1:2" ht="12.75" x14ac:dyDescent="0.35">
      <c r="A337" s="92" t="s">
        <v>1214</v>
      </c>
      <c r="B337" s="85" t="s">
        <v>1215</v>
      </c>
    </row>
    <row r="338" spans="1:2" ht="12.75" x14ac:dyDescent="0.35">
      <c r="A338" s="92" t="s">
        <v>1217</v>
      </c>
      <c r="B338" s="85" t="s">
        <v>1218</v>
      </c>
    </row>
    <row r="339" spans="1:2" ht="12.75" x14ac:dyDescent="0.35">
      <c r="A339" s="92" t="s">
        <v>1220</v>
      </c>
      <c r="B339" s="85" t="s">
        <v>1221</v>
      </c>
    </row>
    <row r="340" spans="1:2" ht="12.75" x14ac:dyDescent="0.35">
      <c r="A340" s="93" t="s">
        <v>1223</v>
      </c>
      <c r="B340" s="86"/>
    </row>
    <row r="341" spans="1:2" ht="12.75" x14ac:dyDescent="0.35">
      <c r="A341" s="92" t="s">
        <v>1226</v>
      </c>
      <c r="B341" s="85" t="s">
        <v>1227</v>
      </c>
    </row>
    <row r="342" spans="1:2" ht="12.75" x14ac:dyDescent="0.35">
      <c r="A342" s="92" t="s">
        <v>1229</v>
      </c>
      <c r="B342" s="85" t="s">
        <v>1230</v>
      </c>
    </row>
    <row r="343" spans="1:2" ht="12.75" x14ac:dyDescent="0.35">
      <c r="A343" s="92" t="s">
        <v>1232</v>
      </c>
      <c r="B343" s="85" t="s">
        <v>1233</v>
      </c>
    </row>
    <row r="344" spans="1:2" ht="12.75" x14ac:dyDescent="0.35">
      <c r="A344" s="92" t="s">
        <v>1235</v>
      </c>
      <c r="B344" s="85" t="s">
        <v>1236</v>
      </c>
    </row>
    <row r="345" spans="1:2" ht="12.75" x14ac:dyDescent="0.35">
      <c r="A345" s="92" t="s">
        <v>1238</v>
      </c>
      <c r="B345" s="85" t="s">
        <v>1239</v>
      </c>
    </row>
    <row r="346" spans="1:2" ht="12.75" x14ac:dyDescent="0.35">
      <c r="A346" s="92" t="s">
        <v>1241</v>
      </c>
      <c r="B346" s="85" t="s">
        <v>1242</v>
      </c>
    </row>
    <row r="347" spans="1:2" ht="12.75" x14ac:dyDescent="0.35">
      <c r="A347" s="92" t="s">
        <v>1244</v>
      </c>
      <c r="B347" s="85" t="s">
        <v>5992</v>
      </c>
    </row>
    <row r="348" spans="1:2" ht="12.75" x14ac:dyDescent="0.35">
      <c r="A348" s="92" t="s">
        <v>1247</v>
      </c>
      <c r="B348" s="85" t="s">
        <v>1248</v>
      </c>
    </row>
    <row r="349" spans="1:2" ht="12.75" x14ac:dyDescent="0.35">
      <c r="A349" s="92" t="s">
        <v>1250</v>
      </c>
      <c r="B349" s="85" t="s">
        <v>1251</v>
      </c>
    </row>
    <row r="350" spans="1:2" ht="12.75" x14ac:dyDescent="0.35">
      <c r="A350" s="92" t="s">
        <v>1253</v>
      </c>
      <c r="B350" s="85" t="s">
        <v>1254</v>
      </c>
    </row>
    <row r="351" spans="1:2" ht="12.75" x14ac:dyDescent="0.35">
      <c r="A351" s="92" t="s">
        <v>1256</v>
      </c>
      <c r="B351" s="85" t="s">
        <v>1257</v>
      </c>
    </row>
    <row r="352" spans="1:2" ht="12.75" x14ac:dyDescent="0.35">
      <c r="A352" s="92" t="s">
        <v>1258</v>
      </c>
      <c r="B352" s="85" t="s">
        <v>1259</v>
      </c>
    </row>
    <row r="353" spans="1:2" ht="12.75" x14ac:dyDescent="0.35">
      <c r="A353" s="92" t="s">
        <v>1261</v>
      </c>
      <c r="B353" s="85" t="s">
        <v>1262</v>
      </c>
    </row>
    <row r="354" spans="1:2" ht="12.75" x14ac:dyDescent="0.35">
      <c r="A354" s="92" t="s">
        <v>1264</v>
      </c>
      <c r="B354" s="85"/>
    </row>
    <row r="355" spans="1:2" ht="12.75" x14ac:dyDescent="0.35">
      <c r="A355" s="92" t="s">
        <v>1267</v>
      </c>
      <c r="B355" s="85" t="s">
        <v>5993</v>
      </c>
    </row>
    <row r="356" spans="1:2" ht="12.75" x14ac:dyDescent="0.35">
      <c r="A356" s="92" t="s">
        <v>1270</v>
      </c>
      <c r="B356" s="85" t="s">
        <v>1271</v>
      </c>
    </row>
    <row r="357" spans="1:2" ht="12.75" x14ac:dyDescent="0.35">
      <c r="A357" s="92" t="s">
        <v>1273</v>
      </c>
      <c r="B357" s="85" t="s">
        <v>5994</v>
      </c>
    </row>
    <row r="358" spans="1:2" ht="12.75" x14ac:dyDescent="0.35">
      <c r="A358" s="92" t="s">
        <v>1276</v>
      </c>
      <c r="B358" s="85" t="s">
        <v>1277</v>
      </c>
    </row>
    <row r="359" spans="1:2" ht="12.75" x14ac:dyDescent="0.35">
      <c r="A359" s="92" t="s">
        <v>1279</v>
      </c>
      <c r="B359" s="85" t="s">
        <v>1280</v>
      </c>
    </row>
    <row r="360" spans="1:2" ht="12.75" x14ac:dyDescent="0.35">
      <c r="A360" s="92" t="s">
        <v>1281</v>
      </c>
      <c r="B360" s="85" t="s">
        <v>1282</v>
      </c>
    </row>
    <row r="361" spans="1:2" ht="12.75" x14ac:dyDescent="0.35">
      <c r="A361" s="92" t="s">
        <v>1284</v>
      </c>
      <c r="B361" s="85" t="s">
        <v>1285</v>
      </c>
    </row>
    <row r="362" spans="1:2" ht="12.75" x14ac:dyDescent="0.35">
      <c r="A362" s="92" t="s">
        <v>1287</v>
      </c>
      <c r="B362" s="85" t="s">
        <v>1288</v>
      </c>
    </row>
    <row r="363" spans="1:2" ht="12.75" x14ac:dyDescent="0.35">
      <c r="A363" s="92" t="s">
        <v>1289</v>
      </c>
      <c r="B363" s="85" t="s">
        <v>5995</v>
      </c>
    </row>
    <row r="364" spans="1:2" ht="12.75" x14ac:dyDescent="0.35">
      <c r="A364" s="92" t="s">
        <v>1292</v>
      </c>
      <c r="B364" s="85" t="s">
        <v>5996</v>
      </c>
    </row>
    <row r="365" spans="1:2" ht="12.75" x14ac:dyDescent="0.35">
      <c r="A365" s="92" t="s">
        <v>1295</v>
      </c>
      <c r="B365" s="85" t="s">
        <v>1296</v>
      </c>
    </row>
    <row r="366" spans="1:2" ht="12.75" x14ac:dyDescent="0.35">
      <c r="A366" s="93" t="s">
        <v>1298</v>
      </c>
      <c r="B366" s="86"/>
    </row>
    <row r="367" spans="1:2" ht="12.75" x14ac:dyDescent="0.35">
      <c r="A367" s="92" t="s">
        <v>1301</v>
      </c>
      <c r="B367" s="85" t="s">
        <v>1302</v>
      </c>
    </row>
    <row r="368" spans="1:2" ht="12.75" x14ac:dyDescent="0.35">
      <c r="A368" s="92" t="s">
        <v>1304</v>
      </c>
      <c r="B368" s="85" t="s">
        <v>1305</v>
      </c>
    </row>
    <row r="369" spans="1:2" ht="12.75" x14ac:dyDescent="0.35">
      <c r="A369" s="92" t="s">
        <v>1307</v>
      </c>
      <c r="B369" s="85" t="s">
        <v>1308</v>
      </c>
    </row>
    <row r="370" spans="1:2" ht="12.75" x14ac:dyDescent="0.35">
      <c r="A370" s="92" t="s">
        <v>1310</v>
      </c>
      <c r="B370" s="85" t="s">
        <v>5997</v>
      </c>
    </row>
    <row r="371" spans="1:2" ht="12.75" x14ac:dyDescent="0.35">
      <c r="A371" s="92" t="s">
        <v>1313</v>
      </c>
      <c r="B371" s="85" t="s">
        <v>1314</v>
      </c>
    </row>
    <row r="372" spans="1:2" ht="12.75" x14ac:dyDescent="0.35">
      <c r="A372" s="92" t="s">
        <v>1316</v>
      </c>
      <c r="B372" s="85" t="s">
        <v>5998</v>
      </c>
    </row>
    <row r="373" spans="1:2" ht="12.75" x14ac:dyDescent="0.35">
      <c r="A373" s="92" t="s">
        <v>1319</v>
      </c>
      <c r="B373" s="85" t="s">
        <v>1320</v>
      </c>
    </row>
    <row r="374" spans="1:2" ht="12.75" x14ac:dyDescent="0.35">
      <c r="A374" s="92" t="s">
        <v>1322</v>
      </c>
      <c r="B374" s="85" t="s">
        <v>5999</v>
      </c>
    </row>
    <row r="375" spans="1:2" ht="12.75" x14ac:dyDescent="0.35">
      <c r="A375" s="92" t="s">
        <v>1325</v>
      </c>
      <c r="B375" s="85" t="s">
        <v>1326</v>
      </c>
    </row>
    <row r="376" spans="1:2" ht="12.75" x14ac:dyDescent="0.35">
      <c r="A376" s="92" t="s">
        <v>1328</v>
      </c>
      <c r="B376" s="85" t="s">
        <v>1329</v>
      </c>
    </row>
    <row r="377" spans="1:2" ht="12.75" x14ac:dyDescent="0.35">
      <c r="A377" s="92" t="s">
        <v>1331</v>
      </c>
      <c r="B377" s="85" t="s">
        <v>1332</v>
      </c>
    </row>
    <row r="378" spans="1:2" ht="12.75" x14ac:dyDescent="0.35">
      <c r="A378" s="92" t="s">
        <v>1334</v>
      </c>
      <c r="B378" s="85" t="s">
        <v>1335</v>
      </c>
    </row>
    <row r="379" spans="1:2" ht="12.75" x14ac:dyDescent="0.35">
      <c r="A379" s="92" t="s">
        <v>1337</v>
      </c>
      <c r="B379" s="85" t="s">
        <v>1338</v>
      </c>
    </row>
    <row r="380" spans="1:2" ht="12.75" x14ac:dyDescent="0.35">
      <c r="A380" s="92" t="s">
        <v>1340</v>
      </c>
      <c r="B380" s="85" t="s">
        <v>6000</v>
      </c>
    </row>
    <row r="381" spans="1:2" ht="12.75" x14ac:dyDescent="0.35">
      <c r="A381" s="92" t="s">
        <v>1342</v>
      </c>
      <c r="B381" s="85"/>
    </row>
    <row r="382" spans="1:2" ht="12.75" x14ac:dyDescent="0.35">
      <c r="A382" s="92" t="s">
        <v>1345</v>
      </c>
      <c r="B382" s="85" t="s">
        <v>1346</v>
      </c>
    </row>
    <row r="383" spans="1:2" ht="12.75" x14ac:dyDescent="0.35">
      <c r="A383" s="92" t="s">
        <v>1348</v>
      </c>
      <c r="B383" s="85" t="s">
        <v>6001</v>
      </c>
    </row>
    <row r="384" spans="1:2" ht="12.75" x14ac:dyDescent="0.35">
      <c r="A384" s="92" t="s">
        <v>1351</v>
      </c>
      <c r="B384" s="85" t="s">
        <v>1352</v>
      </c>
    </row>
    <row r="385" spans="1:2" ht="12.75" x14ac:dyDescent="0.35">
      <c r="A385" s="92" t="s">
        <v>1354</v>
      </c>
      <c r="B385" s="85" t="s">
        <v>1355</v>
      </c>
    </row>
    <row r="386" spans="1:2" ht="12.75" x14ac:dyDescent="0.35">
      <c r="A386" s="92" t="s">
        <v>1357</v>
      </c>
      <c r="B386" s="85" t="s">
        <v>1358</v>
      </c>
    </row>
    <row r="387" spans="1:2" ht="12.75" x14ac:dyDescent="0.35">
      <c r="A387" s="92" t="s">
        <v>1359</v>
      </c>
      <c r="B387" s="85" t="s">
        <v>1360</v>
      </c>
    </row>
    <row r="388" spans="1:2" ht="12.75" x14ac:dyDescent="0.35">
      <c r="A388" s="92" t="s">
        <v>1362</v>
      </c>
      <c r="B388" s="85" t="s">
        <v>1363</v>
      </c>
    </row>
    <row r="389" spans="1:2" ht="12.75" x14ac:dyDescent="0.35">
      <c r="A389" s="92" t="s">
        <v>1365</v>
      </c>
      <c r="B389" s="85" t="s">
        <v>1366</v>
      </c>
    </row>
    <row r="390" spans="1:2" ht="12.75" x14ac:dyDescent="0.35">
      <c r="A390" s="92" t="s">
        <v>1368</v>
      </c>
      <c r="B390" s="85" t="s">
        <v>6002</v>
      </c>
    </row>
    <row r="391" spans="1:2" ht="12.75" x14ac:dyDescent="0.35">
      <c r="A391" s="92" t="s">
        <v>1371</v>
      </c>
      <c r="B391" s="85" t="s">
        <v>1372</v>
      </c>
    </row>
    <row r="392" spans="1:2" ht="12.75" x14ac:dyDescent="0.35">
      <c r="A392" s="93" t="s">
        <v>1374</v>
      </c>
      <c r="B392" s="86"/>
    </row>
    <row r="393" spans="1:2" ht="12.75" x14ac:dyDescent="0.35">
      <c r="A393" s="92" t="s">
        <v>1377</v>
      </c>
      <c r="B393" s="85" t="s">
        <v>1378</v>
      </c>
    </row>
    <row r="394" spans="1:2" ht="12.75" x14ac:dyDescent="0.35">
      <c r="A394" s="92" t="s">
        <v>1380</v>
      </c>
      <c r="B394" s="85" t="s">
        <v>1381</v>
      </c>
    </row>
    <row r="395" spans="1:2" ht="12.75" x14ac:dyDescent="0.35">
      <c r="A395" s="92" t="s">
        <v>1383</v>
      </c>
      <c r="B395" s="85" t="s">
        <v>1384</v>
      </c>
    </row>
    <row r="396" spans="1:2" ht="12.75" x14ac:dyDescent="0.35">
      <c r="A396" s="92" t="s">
        <v>1386</v>
      </c>
      <c r="B396" s="85" t="s">
        <v>1387</v>
      </c>
    </row>
    <row r="397" spans="1:2" ht="12.75" x14ac:dyDescent="0.35">
      <c r="A397" s="92" t="s">
        <v>1389</v>
      </c>
      <c r="B397" s="85" t="s">
        <v>6003</v>
      </c>
    </row>
    <row r="398" spans="1:2" ht="12.75" x14ac:dyDescent="0.35">
      <c r="A398" s="92" t="s">
        <v>1392</v>
      </c>
      <c r="B398" s="85" t="s">
        <v>6004</v>
      </c>
    </row>
    <row r="399" spans="1:2" ht="12.75" x14ac:dyDescent="0.35">
      <c r="A399" s="92" t="s">
        <v>1395</v>
      </c>
      <c r="B399" s="85" t="s">
        <v>1396</v>
      </c>
    </row>
    <row r="400" spans="1:2" ht="12.75" x14ac:dyDescent="0.35">
      <c r="A400" s="92" t="s">
        <v>1398</v>
      </c>
      <c r="B400" s="85" t="s">
        <v>1399</v>
      </c>
    </row>
    <row r="401" spans="1:2" ht="12.75" x14ac:dyDescent="0.35">
      <c r="A401" s="92" t="s">
        <v>1400</v>
      </c>
      <c r="B401" s="85" t="s">
        <v>6005</v>
      </c>
    </row>
    <row r="402" spans="1:2" ht="12.75" x14ac:dyDescent="0.35">
      <c r="A402" s="92" t="s">
        <v>1403</v>
      </c>
      <c r="B402" s="85" t="s">
        <v>1404</v>
      </c>
    </row>
    <row r="403" spans="1:2" ht="12.75" x14ac:dyDescent="0.35">
      <c r="A403" s="92" t="s">
        <v>1406</v>
      </c>
      <c r="B403" s="85" t="s">
        <v>1407</v>
      </c>
    </row>
    <row r="404" spans="1:2" ht="12.75" x14ac:dyDescent="0.35">
      <c r="A404" s="92" t="s">
        <v>1409</v>
      </c>
      <c r="B404" s="85" t="s">
        <v>6006</v>
      </c>
    </row>
    <row r="405" spans="1:2" ht="12.75" x14ac:dyDescent="0.35">
      <c r="A405" s="92" t="s">
        <v>1412</v>
      </c>
      <c r="B405" s="85" t="s">
        <v>1413</v>
      </c>
    </row>
    <row r="406" spans="1:2" ht="12.75" x14ac:dyDescent="0.35">
      <c r="A406" s="92" t="s">
        <v>1415</v>
      </c>
      <c r="B406" s="85" t="s">
        <v>1416</v>
      </c>
    </row>
    <row r="407" spans="1:2" ht="12.75" x14ac:dyDescent="0.35">
      <c r="A407" s="92" t="s">
        <v>1418</v>
      </c>
      <c r="B407" s="85" t="s">
        <v>1419</v>
      </c>
    </row>
    <row r="408" spans="1:2" ht="12.75" x14ac:dyDescent="0.35">
      <c r="A408" s="92" t="s">
        <v>1421</v>
      </c>
      <c r="B408" s="85"/>
    </row>
    <row r="409" spans="1:2" ht="12.75" x14ac:dyDescent="0.35">
      <c r="A409" s="92" t="s">
        <v>1424</v>
      </c>
      <c r="B409" s="85" t="s">
        <v>1425</v>
      </c>
    </row>
    <row r="410" spans="1:2" ht="12.75" x14ac:dyDescent="0.35">
      <c r="A410" s="92" t="s">
        <v>1427</v>
      </c>
      <c r="B410" s="85" t="s">
        <v>1428</v>
      </c>
    </row>
    <row r="411" spans="1:2" ht="12.75" x14ac:dyDescent="0.35">
      <c r="A411" s="92" t="s">
        <v>1430</v>
      </c>
      <c r="B411" s="85" t="s">
        <v>6007</v>
      </c>
    </row>
    <row r="412" spans="1:2" ht="12.75" x14ac:dyDescent="0.35">
      <c r="A412" s="92" t="s">
        <v>1433</v>
      </c>
      <c r="B412" s="85" t="s">
        <v>1434</v>
      </c>
    </row>
    <row r="413" spans="1:2" ht="12.75" x14ac:dyDescent="0.35">
      <c r="A413" s="92" t="s">
        <v>1436</v>
      </c>
      <c r="B413" s="87" t="s">
        <v>1437</v>
      </c>
    </row>
    <row r="414" spans="1:2" ht="12.75" x14ac:dyDescent="0.35">
      <c r="A414" s="92" t="s">
        <v>1439</v>
      </c>
      <c r="B414" s="85" t="s">
        <v>1440</v>
      </c>
    </row>
    <row r="415" spans="1:2" ht="12.75" x14ac:dyDescent="0.35">
      <c r="A415" s="92" t="s">
        <v>1442</v>
      </c>
      <c r="B415" s="85" t="s">
        <v>1443</v>
      </c>
    </row>
    <row r="416" spans="1:2" ht="12.75" x14ac:dyDescent="0.35">
      <c r="A416" s="92" t="s">
        <v>1445</v>
      </c>
      <c r="B416" s="85" t="s">
        <v>6008</v>
      </c>
    </row>
    <row r="417" spans="1:2" ht="12.75" x14ac:dyDescent="0.35">
      <c r="A417" s="92" t="s">
        <v>1448</v>
      </c>
      <c r="B417" s="85" t="s">
        <v>1449</v>
      </c>
    </row>
    <row r="418" spans="1:2" ht="12.75" x14ac:dyDescent="0.35">
      <c r="A418" s="93" t="s">
        <v>1450</v>
      </c>
      <c r="B418" s="86"/>
    </row>
    <row r="419" spans="1:2" ht="12.75" x14ac:dyDescent="0.35">
      <c r="A419" s="92" t="s">
        <v>1453</v>
      </c>
      <c r="B419" s="85" t="s">
        <v>1454</v>
      </c>
    </row>
    <row r="420" spans="1:2" ht="12.75" x14ac:dyDescent="0.35">
      <c r="A420" s="92" t="s">
        <v>1456</v>
      </c>
      <c r="B420" s="85" t="s">
        <v>1457</v>
      </c>
    </row>
    <row r="421" spans="1:2" ht="12.75" x14ac:dyDescent="0.35">
      <c r="A421" s="92" t="s">
        <v>1459</v>
      </c>
      <c r="B421" s="85" t="s">
        <v>6009</v>
      </c>
    </row>
    <row r="422" spans="1:2" ht="12.75" x14ac:dyDescent="0.35">
      <c r="A422" s="92" t="s">
        <v>1462</v>
      </c>
      <c r="B422" s="85" t="s">
        <v>1463</v>
      </c>
    </row>
    <row r="423" spans="1:2" ht="12.75" x14ac:dyDescent="0.35">
      <c r="A423" s="92" t="s">
        <v>1465</v>
      </c>
      <c r="B423" s="85" t="s">
        <v>1466</v>
      </c>
    </row>
    <row r="424" spans="1:2" ht="12.75" x14ac:dyDescent="0.35">
      <c r="A424" s="92" t="s">
        <v>1468</v>
      </c>
      <c r="B424" s="85" t="s">
        <v>1469</v>
      </c>
    </row>
    <row r="425" spans="1:2" ht="12.75" x14ac:dyDescent="0.35">
      <c r="A425" s="92" t="s">
        <v>1471</v>
      </c>
      <c r="B425" s="85" t="s">
        <v>1472</v>
      </c>
    </row>
    <row r="426" spans="1:2" ht="12.75" x14ac:dyDescent="0.35">
      <c r="A426" s="92" t="s">
        <v>1474</v>
      </c>
      <c r="B426" s="87" t="s">
        <v>1475</v>
      </c>
    </row>
    <row r="427" spans="1:2" ht="12.75" x14ac:dyDescent="0.35">
      <c r="A427" s="92" t="s">
        <v>1477</v>
      </c>
      <c r="B427" s="85" t="s">
        <v>1478</v>
      </c>
    </row>
    <row r="428" spans="1:2" ht="12.75" x14ac:dyDescent="0.35">
      <c r="A428" s="92" t="s">
        <v>1480</v>
      </c>
      <c r="B428" s="85" t="s">
        <v>6010</v>
      </c>
    </row>
    <row r="429" spans="1:2" ht="12.75" x14ac:dyDescent="0.35">
      <c r="A429" s="92" t="s">
        <v>1483</v>
      </c>
      <c r="B429" s="85" t="s">
        <v>1484</v>
      </c>
    </row>
    <row r="430" spans="1:2" ht="12.75" x14ac:dyDescent="0.35">
      <c r="A430" s="92" t="s">
        <v>1486</v>
      </c>
      <c r="B430" s="85" t="s">
        <v>1487</v>
      </c>
    </row>
    <row r="431" spans="1:2" ht="12.75" x14ac:dyDescent="0.35">
      <c r="A431" s="92" t="s">
        <v>1489</v>
      </c>
      <c r="B431" s="85" t="s">
        <v>1490</v>
      </c>
    </row>
    <row r="432" spans="1:2" ht="12.75" x14ac:dyDescent="0.35">
      <c r="A432" s="92" t="s">
        <v>1492</v>
      </c>
      <c r="B432" s="85" t="s">
        <v>1493</v>
      </c>
    </row>
    <row r="433" spans="1:2" ht="12.75" x14ac:dyDescent="0.35">
      <c r="A433" s="92" t="s">
        <v>1495</v>
      </c>
      <c r="B433" s="85" t="s">
        <v>1496</v>
      </c>
    </row>
    <row r="434" spans="1:2" ht="12.75" x14ac:dyDescent="0.35">
      <c r="A434" s="92" t="s">
        <v>1498</v>
      </c>
      <c r="B434" s="85" t="s">
        <v>1499</v>
      </c>
    </row>
    <row r="435" spans="1:2" ht="12.75" x14ac:dyDescent="0.35">
      <c r="A435" s="92" t="s">
        <v>1501</v>
      </c>
      <c r="B435" s="85"/>
    </row>
    <row r="436" spans="1:2" ht="12.75" x14ac:dyDescent="0.35">
      <c r="A436" s="92" t="s">
        <v>1504</v>
      </c>
      <c r="B436" s="85" t="s">
        <v>1505</v>
      </c>
    </row>
    <row r="437" spans="1:2" ht="12.75" x14ac:dyDescent="0.35">
      <c r="A437" s="92" t="s">
        <v>1507</v>
      </c>
      <c r="B437" s="85" t="s">
        <v>1508</v>
      </c>
    </row>
    <row r="438" spans="1:2" ht="12.75" x14ac:dyDescent="0.35">
      <c r="A438" s="92" t="s">
        <v>1510</v>
      </c>
      <c r="B438" s="85" t="s">
        <v>1511</v>
      </c>
    </row>
    <row r="439" spans="1:2" ht="12.75" x14ac:dyDescent="0.35">
      <c r="A439" s="92" t="s">
        <v>1513</v>
      </c>
      <c r="B439" s="85" t="s">
        <v>1514</v>
      </c>
    </row>
    <row r="440" spans="1:2" ht="12.75" x14ac:dyDescent="0.35">
      <c r="A440" s="92" t="s">
        <v>1516</v>
      </c>
      <c r="B440" s="85" t="s">
        <v>1517</v>
      </c>
    </row>
    <row r="441" spans="1:2" ht="12.75" x14ac:dyDescent="0.35">
      <c r="A441" s="92" t="s">
        <v>1519</v>
      </c>
      <c r="B441" s="85" t="s">
        <v>1520</v>
      </c>
    </row>
    <row r="442" spans="1:2" ht="12.75" x14ac:dyDescent="0.35">
      <c r="A442" s="92" t="s">
        <v>1522</v>
      </c>
      <c r="B442" s="85" t="s">
        <v>1523</v>
      </c>
    </row>
    <row r="443" spans="1:2" ht="12.75" x14ac:dyDescent="0.35">
      <c r="A443" s="92" t="s">
        <v>1525</v>
      </c>
      <c r="B443" s="85" t="s">
        <v>1526</v>
      </c>
    </row>
    <row r="444" spans="1:2" ht="12.75" x14ac:dyDescent="0.35">
      <c r="A444" s="93" t="s">
        <v>1528</v>
      </c>
      <c r="B444" s="86"/>
    </row>
    <row r="445" spans="1:2" ht="12.75" x14ac:dyDescent="0.35">
      <c r="A445" s="92" t="s">
        <v>1531</v>
      </c>
      <c r="B445" s="85" t="s">
        <v>1532</v>
      </c>
    </row>
    <row r="446" spans="1:2" ht="12.75" x14ac:dyDescent="0.35">
      <c r="A446" s="92" t="s">
        <v>1534</v>
      </c>
      <c r="B446" s="85" t="s">
        <v>1535</v>
      </c>
    </row>
    <row r="447" spans="1:2" ht="12.75" x14ac:dyDescent="0.35">
      <c r="A447" s="92" t="s">
        <v>1536</v>
      </c>
      <c r="B447" s="85" t="s">
        <v>6011</v>
      </c>
    </row>
    <row r="448" spans="1:2" ht="12.75" x14ac:dyDescent="0.35">
      <c r="A448" s="92" t="s">
        <v>1539</v>
      </c>
      <c r="B448" s="85" t="s">
        <v>1540</v>
      </c>
    </row>
    <row r="449" spans="1:2" ht="12.75" x14ac:dyDescent="0.35">
      <c r="A449" s="92" t="s">
        <v>1542</v>
      </c>
      <c r="B449" s="85" t="s">
        <v>1543</v>
      </c>
    </row>
    <row r="450" spans="1:2" ht="12.75" x14ac:dyDescent="0.35">
      <c r="A450" s="92" t="s">
        <v>1545</v>
      </c>
      <c r="B450" s="85" t="s">
        <v>1546</v>
      </c>
    </row>
    <row r="451" spans="1:2" ht="12.75" x14ac:dyDescent="0.35">
      <c r="A451" s="92" t="s">
        <v>1548</v>
      </c>
      <c r="B451" s="85" t="s">
        <v>1549</v>
      </c>
    </row>
    <row r="452" spans="1:2" ht="12.75" x14ac:dyDescent="0.35">
      <c r="A452" s="92" t="s">
        <v>1551</v>
      </c>
      <c r="B452" s="85" t="s">
        <v>1552</v>
      </c>
    </row>
    <row r="453" spans="1:2" ht="12.75" x14ac:dyDescent="0.35">
      <c r="A453" s="92" t="s">
        <v>1554</v>
      </c>
      <c r="B453" s="85" t="s">
        <v>1555</v>
      </c>
    </row>
    <row r="454" spans="1:2" ht="12.75" x14ac:dyDescent="0.35">
      <c r="A454" s="92" t="s">
        <v>1557</v>
      </c>
      <c r="B454" s="85" t="s">
        <v>1558</v>
      </c>
    </row>
    <row r="455" spans="1:2" ht="12.75" x14ac:dyDescent="0.35">
      <c r="A455" s="92" t="s">
        <v>1560</v>
      </c>
      <c r="B455" s="87" t="s">
        <v>1561</v>
      </c>
    </row>
    <row r="456" spans="1:2" ht="12.75" x14ac:dyDescent="0.35">
      <c r="A456" s="92" t="s">
        <v>1563</v>
      </c>
      <c r="B456" s="85" t="s">
        <v>1564</v>
      </c>
    </row>
    <row r="457" spans="1:2" ht="12.75" x14ac:dyDescent="0.35">
      <c r="A457" s="92" t="s">
        <v>1566</v>
      </c>
      <c r="B457" s="85" t="s">
        <v>1567</v>
      </c>
    </row>
    <row r="458" spans="1:2" ht="12.75" x14ac:dyDescent="0.35">
      <c r="A458" s="92" t="s">
        <v>1569</v>
      </c>
      <c r="B458" s="85" t="s">
        <v>1570</v>
      </c>
    </row>
    <row r="459" spans="1:2" ht="12.75" x14ac:dyDescent="0.35">
      <c r="A459" s="92" t="s">
        <v>1572</v>
      </c>
      <c r="B459" s="85" t="s">
        <v>1573</v>
      </c>
    </row>
    <row r="460" spans="1:2" ht="12.75" x14ac:dyDescent="0.35">
      <c r="A460" s="92" t="s">
        <v>1575</v>
      </c>
      <c r="B460" s="85" t="s">
        <v>1576</v>
      </c>
    </row>
    <row r="461" spans="1:2" ht="12.75" x14ac:dyDescent="0.35">
      <c r="A461" s="92" t="s">
        <v>1578</v>
      </c>
      <c r="B461" s="85" t="s">
        <v>1579</v>
      </c>
    </row>
    <row r="462" spans="1:2" ht="12.75" x14ac:dyDescent="0.35">
      <c r="A462" s="92" t="s">
        <v>1580</v>
      </c>
      <c r="B462" s="85"/>
    </row>
    <row r="463" spans="1:2" ht="12.75" x14ac:dyDescent="0.35">
      <c r="A463" s="92" t="s">
        <v>1583</v>
      </c>
      <c r="B463" s="85" t="s">
        <v>1584</v>
      </c>
    </row>
    <row r="464" spans="1:2" ht="12.75" x14ac:dyDescent="0.35">
      <c r="A464" s="92" t="s">
        <v>1585</v>
      </c>
      <c r="B464" s="85" t="s">
        <v>6012</v>
      </c>
    </row>
    <row r="465" spans="1:2" ht="12.75" x14ac:dyDescent="0.35">
      <c r="A465" s="92" t="s">
        <v>1588</v>
      </c>
      <c r="B465" s="85" t="s">
        <v>6013</v>
      </c>
    </row>
    <row r="466" spans="1:2" ht="12.75" x14ac:dyDescent="0.35">
      <c r="A466" s="92" t="s">
        <v>1591</v>
      </c>
      <c r="B466" s="85" t="s">
        <v>1592</v>
      </c>
    </row>
    <row r="467" spans="1:2" ht="12.75" x14ac:dyDescent="0.35">
      <c r="A467" s="92" t="s">
        <v>1594</v>
      </c>
      <c r="B467" s="85" t="s">
        <v>1595</v>
      </c>
    </row>
    <row r="468" spans="1:2" ht="12.75" x14ac:dyDescent="0.35">
      <c r="A468" s="92" t="s">
        <v>1597</v>
      </c>
      <c r="B468" s="85" t="s">
        <v>1598</v>
      </c>
    </row>
    <row r="469" spans="1:2" ht="12.75" x14ac:dyDescent="0.35">
      <c r="A469" s="92" t="s">
        <v>1600</v>
      </c>
      <c r="B469" s="85" t="s">
        <v>1601</v>
      </c>
    </row>
    <row r="470" spans="1:2" ht="12.75" x14ac:dyDescent="0.35">
      <c r="A470" s="93" t="s">
        <v>1603</v>
      </c>
      <c r="B470" s="86"/>
    </row>
    <row r="471" spans="1:2" ht="12.75" x14ac:dyDescent="0.35">
      <c r="A471" s="92" t="s">
        <v>1606</v>
      </c>
      <c r="B471" s="85" t="s">
        <v>1607</v>
      </c>
    </row>
    <row r="472" spans="1:2" ht="12.75" x14ac:dyDescent="0.35">
      <c r="A472" s="92" t="s">
        <v>1609</v>
      </c>
      <c r="B472" s="85" t="s">
        <v>1610</v>
      </c>
    </row>
    <row r="473" spans="1:2" ht="12.75" x14ac:dyDescent="0.35">
      <c r="A473" s="92" t="s">
        <v>1612</v>
      </c>
      <c r="B473" s="85" t="s">
        <v>1613</v>
      </c>
    </row>
    <row r="474" spans="1:2" ht="12.75" x14ac:dyDescent="0.35">
      <c r="A474" s="92" t="s">
        <v>1615</v>
      </c>
      <c r="B474" s="85" t="s">
        <v>1616</v>
      </c>
    </row>
    <row r="475" spans="1:2" ht="12.75" x14ac:dyDescent="0.35">
      <c r="A475" s="92" t="s">
        <v>1617</v>
      </c>
      <c r="B475" s="85" t="s">
        <v>1618</v>
      </c>
    </row>
    <row r="476" spans="1:2" ht="12.75" x14ac:dyDescent="0.35">
      <c r="A476" s="92" t="s">
        <v>1620</v>
      </c>
      <c r="B476" s="85" t="s">
        <v>1621</v>
      </c>
    </row>
    <row r="477" spans="1:2" ht="12.75" x14ac:dyDescent="0.35">
      <c r="A477" s="92" t="s">
        <v>1623</v>
      </c>
      <c r="B477" s="85" t="s">
        <v>6014</v>
      </c>
    </row>
    <row r="478" spans="1:2" ht="12.75" x14ac:dyDescent="0.35">
      <c r="A478" s="92" t="s">
        <v>1626</v>
      </c>
      <c r="B478" s="85" t="s">
        <v>1627</v>
      </c>
    </row>
    <row r="479" spans="1:2" ht="12.75" x14ac:dyDescent="0.35">
      <c r="A479" s="92" t="s">
        <v>1628</v>
      </c>
      <c r="B479" s="87" t="s">
        <v>1629</v>
      </c>
    </row>
    <row r="480" spans="1:2" ht="12.75" x14ac:dyDescent="0.35">
      <c r="A480" s="92" t="s">
        <v>1631</v>
      </c>
      <c r="B480" s="85" t="s">
        <v>6015</v>
      </c>
    </row>
    <row r="481" spans="1:2" ht="12.75" x14ac:dyDescent="0.35">
      <c r="A481" s="92" t="s">
        <v>1634</v>
      </c>
      <c r="B481" s="85" t="s">
        <v>6016</v>
      </c>
    </row>
    <row r="482" spans="1:2" ht="12.75" x14ac:dyDescent="0.35">
      <c r="A482" s="92" t="s">
        <v>1637</v>
      </c>
      <c r="B482" s="85" t="s">
        <v>1638</v>
      </c>
    </row>
    <row r="483" spans="1:2" ht="12.75" x14ac:dyDescent="0.35">
      <c r="A483" s="92" t="s">
        <v>1640</v>
      </c>
      <c r="B483" s="85" t="s">
        <v>1641</v>
      </c>
    </row>
    <row r="484" spans="1:2" ht="12.75" x14ac:dyDescent="0.35">
      <c r="A484" s="92" t="s">
        <v>1643</v>
      </c>
      <c r="B484" s="85" t="s">
        <v>6017</v>
      </c>
    </row>
    <row r="485" spans="1:2" ht="12.75" x14ac:dyDescent="0.35">
      <c r="A485" s="92" t="s">
        <v>1646</v>
      </c>
      <c r="B485" s="85" t="s">
        <v>1647</v>
      </c>
    </row>
    <row r="486" spans="1:2" ht="12.75" x14ac:dyDescent="0.35">
      <c r="A486" s="92" t="s">
        <v>1649</v>
      </c>
      <c r="B486" s="85" t="s">
        <v>1650</v>
      </c>
    </row>
    <row r="487" spans="1:2" ht="12.75" x14ac:dyDescent="0.35">
      <c r="A487" s="92" t="s">
        <v>1652</v>
      </c>
      <c r="B487" s="85" t="s">
        <v>1653</v>
      </c>
    </row>
    <row r="488" spans="1:2" ht="12.75" x14ac:dyDescent="0.35">
      <c r="A488" s="92" t="s">
        <v>1654</v>
      </c>
      <c r="B488" s="85" t="s">
        <v>1655</v>
      </c>
    </row>
    <row r="489" spans="1:2" ht="12.75" x14ac:dyDescent="0.35">
      <c r="A489" s="92" t="s">
        <v>1656</v>
      </c>
      <c r="B489" s="85"/>
    </row>
    <row r="490" spans="1:2" ht="12.75" x14ac:dyDescent="0.35">
      <c r="A490" s="92" t="s">
        <v>1659</v>
      </c>
      <c r="B490" s="85" t="s">
        <v>1660</v>
      </c>
    </row>
    <row r="491" spans="1:2" ht="12.75" x14ac:dyDescent="0.35">
      <c r="A491" s="92" t="s">
        <v>1661</v>
      </c>
      <c r="B491" s="85" t="s">
        <v>1662</v>
      </c>
    </row>
    <row r="492" spans="1:2" ht="12.75" x14ac:dyDescent="0.35">
      <c r="A492" s="92" t="s">
        <v>1664</v>
      </c>
      <c r="B492" s="85" t="s">
        <v>6018</v>
      </c>
    </row>
    <row r="493" spans="1:2" ht="12.75" x14ac:dyDescent="0.35">
      <c r="A493" s="92" t="s">
        <v>1667</v>
      </c>
      <c r="B493" s="85" t="s">
        <v>6019</v>
      </c>
    </row>
    <row r="494" spans="1:2" ht="12.75" x14ac:dyDescent="0.35">
      <c r="A494" s="92" t="s">
        <v>1670</v>
      </c>
      <c r="B494" s="85" t="s">
        <v>1671</v>
      </c>
    </row>
    <row r="495" spans="1:2" ht="12.75" x14ac:dyDescent="0.35">
      <c r="A495" s="92" t="s">
        <v>1673</v>
      </c>
      <c r="B495" s="85" t="s">
        <v>1674</v>
      </c>
    </row>
    <row r="496" spans="1:2" ht="12.75" x14ac:dyDescent="0.35">
      <c r="A496" s="93" t="s">
        <v>1676</v>
      </c>
      <c r="B496" s="86"/>
    </row>
    <row r="497" spans="1:2" ht="12.75" x14ac:dyDescent="0.35">
      <c r="A497" s="92" t="s">
        <v>1679</v>
      </c>
      <c r="B497" s="85" t="s">
        <v>6020</v>
      </c>
    </row>
    <row r="498" spans="1:2" ht="12.75" x14ac:dyDescent="0.35">
      <c r="A498" s="92" t="s">
        <v>1682</v>
      </c>
      <c r="B498" s="85" t="s">
        <v>6021</v>
      </c>
    </row>
    <row r="499" spans="1:2" ht="12.75" x14ac:dyDescent="0.35">
      <c r="A499" s="92" t="s">
        <v>1685</v>
      </c>
      <c r="B499" s="85" t="s">
        <v>1686</v>
      </c>
    </row>
    <row r="500" spans="1:2" ht="12.75" x14ac:dyDescent="0.35">
      <c r="A500" s="92" t="s">
        <v>1687</v>
      </c>
      <c r="B500" s="85" t="s">
        <v>1688</v>
      </c>
    </row>
    <row r="501" spans="1:2" ht="12.75" x14ac:dyDescent="0.35">
      <c r="A501" s="92" t="s">
        <v>1690</v>
      </c>
      <c r="B501" s="85" t="s">
        <v>6022</v>
      </c>
    </row>
    <row r="502" spans="1:2" ht="12.75" x14ac:dyDescent="0.35">
      <c r="A502" s="92" t="s">
        <v>1693</v>
      </c>
      <c r="B502" s="85" t="s">
        <v>6023</v>
      </c>
    </row>
    <row r="503" spans="1:2" ht="12.75" x14ac:dyDescent="0.35">
      <c r="A503" s="92" t="s">
        <v>1696</v>
      </c>
      <c r="B503" s="85" t="s">
        <v>1697</v>
      </c>
    </row>
    <row r="504" spans="1:2" ht="12.75" x14ac:dyDescent="0.35">
      <c r="A504" s="92" t="s">
        <v>1699</v>
      </c>
      <c r="B504" s="85" t="s">
        <v>1700</v>
      </c>
    </row>
    <row r="505" spans="1:2" ht="12.75" x14ac:dyDescent="0.35">
      <c r="A505" s="92" t="s">
        <v>1702</v>
      </c>
      <c r="B505" s="85" t="s">
        <v>1703</v>
      </c>
    </row>
    <row r="506" spans="1:2" ht="12.75" x14ac:dyDescent="0.35">
      <c r="A506" s="92" t="s">
        <v>1705</v>
      </c>
      <c r="B506" s="85" t="s">
        <v>1706</v>
      </c>
    </row>
    <row r="507" spans="1:2" ht="12.75" x14ac:dyDescent="0.35">
      <c r="A507" s="92" t="s">
        <v>1708</v>
      </c>
      <c r="B507" s="85" t="s">
        <v>1709</v>
      </c>
    </row>
    <row r="508" spans="1:2" ht="12.75" x14ac:dyDescent="0.35">
      <c r="A508" s="92" t="s">
        <v>1711</v>
      </c>
      <c r="B508" s="85" t="s">
        <v>1712</v>
      </c>
    </row>
    <row r="509" spans="1:2" ht="12.75" x14ac:dyDescent="0.35">
      <c r="A509" s="92" t="s">
        <v>1714</v>
      </c>
      <c r="B509" s="85" t="s">
        <v>1715</v>
      </c>
    </row>
    <row r="510" spans="1:2" ht="12.75" x14ac:dyDescent="0.35">
      <c r="A510" s="92" t="s">
        <v>1717</v>
      </c>
      <c r="B510" s="85" t="s">
        <v>1718</v>
      </c>
    </row>
    <row r="511" spans="1:2" ht="12.75" x14ac:dyDescent="0.35">
      <c r="A511" s="92" t="s">
        <v>1720</v>
      </c>
      <c r="B511" s="85" t="s">
        <v>6024</v>
      </c>
    </row>
    <row r="512" spans="1:2" ht="12.75" x14ac:dyDescent="0.35">
      <c r="A512" s="92" t="s">
        <v>1723</v>
      </c>
      <c r="B512" s="85" t="s">
        <v>1724</v>
      </c>
    </row>
    <row r="513" spans="1:2" ht="12.75" x14ac:dyDescent="0.35">
      <c r="A513" s="92" t="s">
        <v>1725</v>
      </c>
      <c r="B513" s="85" t="s">
        <v>1726</v>
      </c>
    </row>
    <row r="514" spans="1:2" ht="12.75" x14ac:dyDescent="0.35">
      <c r="A514" s="92" t="s">
        <v>1727</v>
      </c>
      <c r="B514" s="85" t="s">
        <v>1728</v>
      </c>
    </row>
    <row r="515" spans="1:2" ht="12.75" x14ac:dyDescent="0.35">
      <c r="A515" s="92" t="s">
        <v>1730</v>
      </c>
      <c r="B515" s="85" t="s">
        <v>1731</v>
      </c>
    </row>
    <row r="516" spans="1:2" ht="12.75" x14ac:dyDescent="0.35">
      <c r="A516" s="92" t="s">
        <v>1733</v>
      </c>
      <c r="B516" s="85"/>
    </row>
    <row r="517" spans="1:2" ht="12.75" x14ac:dyDescent="0.35">
      <c r="A517" s="92" t="s">
        <v>1734</v>
      </c>
      <c r="B517" s="85" t="s">
        <v>6025</v>
      </c>
    </row>
    <row r="518" spans="1:2" ht="12.75" x14ac:dyDescent="0.35">
      <c r="A518" s="92" t="s">
        <v>1737</v>
      </c>
      <c r="B518" s="85" t="s">
        <v>1738</v>
      </c>
    </row>
    <row r="519" spans="1:2" ht="12.75" x14ac:dyDescent="0.35">
      <c r="A519" s="92" t="s">
        <v>1740</v>
      </c>
      <c r="B519" s="85" t="s">
        <v>1741</v>
      </c>
    </row>
    <row r="520" spans="1:2" ht="12.75" x14ac:dyDescent="0.35">
      <c r="A520" s="92" t="s">
        <v>1743</v>
      </c>
      <c r="B520" s="85" t="s">
        <v>1744</v>
      </c>
    </row>
    <row r="521" spans="1:2" ht="12.75" x14ac:dyDescent="0.35">
      <c r="A521" s="92" t="s">
        <v>1746</v>
      </c>
      <c r="B521" s="85" t="s">
        <v>1747</v>
      </c>
    </row>
    <row r="522" spans="1:2" ht="12.75" x14ac:dyDescent="0.35">
      <c r="A522" s="93" t="s">
        <v>1749</v>
      </c>
      <c r="B522" s="86"/>
    </row>
    <row r="523" spans="1:2" ht="12.75" x14ac:dyDescent="0.35">
      <c r="A523" s="92" t="s">
        <v>1752</v>
      </c>
      <c r="B523" s="85" t="s">
        <v>1753</v>
      </c>
    </row>
    <row r="524" spans="1:2" ht="12.75" x14ac:dyDescent="0.35">
      <c r="A524" s="92" t="s">
        <v>1755</v>
      </c>
      <c r="B524" s="85" t="s">
        <v>1756</v>
      </c>
    </row>
    <row r="525" spans="1:2" ht="12.75" x14ac:dyDescent="0.35">
      <c r="A525" s="92" t="s">
        <v>1757</v>
      </c>
      <c r="B525" s="85" t="s">
        <v>1758</v>
      </c>
    </row>
    <row r="526" spans="1:2" ht="12.75" x14ac:dyDescent="0.35">
      <c r="A526" s="92" t="s">
        <v>1759</v>
      </c>
      <c r="B526" s="85" t="s">
        <v>1760</v>
      </c>
    </row>
    <row r="527" spans="1:2" ht="12.75" x14ac:dyDescent="0.35">
      <c r="A527" s="92" t="s">
        <v>1762</v>
      </c>
      <c r="B527" s="85" t="s">
        <v>1763</v>
      </c>
    </row>
    <row r="528" spans="1:2" ht="12.75" x14ac:dyDescent="0.35">
      <c r="A528" s="92" t="s">
        <v>1765</v>
      </c>
      <c r="B528" s="85" t="s">
        <v>1766</v>
      </c>
    </row>
    <row r="529" spans="1:2" ht="12.75" x14ac:dyDescent="0.35">
      <c r="A529" s="92" t="s">
        <v>1768</v>
      </c>
      <c r="B529" s="85" t="s">
        <v>1769</v>
      </c>
    </row>
    <row r="530" spans="1:2" ht="12.75" x14ac:dyDescent="0.35">
      <c r="A530" s="92" t="s">
        <v>1771</v>
      </c>
      <c r="B530" s="85" t="s">
        <v>1772</v>
      </c>
    </row>
    <row r="531" spans="1:2" ht="12.75" x14ac:dyDescent="0.35">
      <c r="A531" s="92" t="s">
        <v>1774</v>
      </c>
      <c r="B531" s="85" t="s">
        <v>1775</v>
      </c>
    </row>
    <row r="532" spans="1:2" ht="12.75" x14ac:dyDescent="0.35">
      <c r="A532" s="92" t="s">
        <v>1777</v>
      </c>
      <c r="B532" s="85" t="s">
        <v>6026</v>
      </c>
    </row>
    <row r="533" spans="1:2" ht="12.75" x14ac:dyDescent="0.35">
      <c r="A533" s="92" t="s">
        <v>1780</v>
      </c>
      <c r="B533" s="85" t="s">
        <v>1781</v>
      </c>
    </row>
    <row r="534" spans="1:2" ht="12.75" x14ac:dyDescent="0.35">
      <c r="A534" s="92" t="s">
        <v>1783</v>
      </c>
      <c r="B534" s="85" t="s">
        <v>1784</v>
      </c>
    </row>
    <row r="535" spans="1:2" ht="12.75" x14ac:dyDescent="0.35">
      <c r="A535" s="92" t="s">
        <v>1785</v>
      </c>
      <c r="B535" s="85" t="s">
        <v>1786</v>
      </c>
    </row>
    <row r="536" spans="1:2" ht="12.75" x14ac:dyDescent="0.35">
      <c r="A536" s="92" t="s">
        <v>1788</v>
      </c>
      <c r="B536" s="85" t="s">
        <v>1789</v>
      </c>
    </row>
    <row r="537" spans="1:2" ht="12.75" x14ac:dyDescent="0.35">
      <c r="A537" s="92" t="s">
        <v>1791</v>
      </c>
      <c r="B537" s="85" t="s">
        <v>1792</v>
      </c>
    </row>
    <row r="538" spans="1:2" ht="12.75" x14ac:dyDescent="0.35">
      <c r="A538" s="92" t="s">
        <v>1794</v>
      </c>
      <c r="B538" s="85" t="s">
        <v>6027</v>
      </c>
    </row>
    <row r="539" spans="1:2" ht="12.75" x14ac:dyDescent="0.35">
      <c r="A539" s="92" t="s">
        <v>1797</v>
      </c>
      <c r="B539" s="85" t="s">
        <v>1798</v>
      </c>
    </row>
    <row r="540" spans="1:2" ht="12.75" x14ac:dyDescent="0.35">
      <c r="A540" s="92" t="s">
        <v>1799</v>
      </c>
      <c r="B540" s="85" t="s">
        <v>1800</v>
      </c>
    </row>
    <row r="541" spans="1:2" ht="12.75" x14ac:dyDescent="0.35">
      <c r="A541" s="92" t="s">
        <v>1801</v>
      </c>
      <c r="B541" s="85" t="s">
        <v>6028</v>
      </c>
    </row>
    <row r="542" spans="1:2" ht="12.75" x14ac:dyDescent="0.35">
      <c r="A542" s="92" t="s">
        <v>1804</v>
      </c>
      <c r="B542" s="85" t="s">
        <v>1805</v>
      </c>
    </row>
    <row r="543" spans="1:2" ht="12.75" x14ac:dyDescent="0.35">
      <c r="A543" s="92" t="s">
        <v>1807</v>
      </c>
      <c r="B543" s="85"/>
    </row>
    <row r="544" spans="1:2" ht="12.75" x14ac:dyDescent="0.35">
      <c r="A544" s="92" t="s">
        <v>1810</v>
      </c>
      <c r="B544" s="85" t="s">
        <v>6029</v>
      </c>
    </row>
    <row r="545" spans="1:2" ht="12.75" x14ac:dyDescent="0.35">
      <c r="A545" s="92" t="s">
        <v>1813</v>
      </c>
      <c r="B545" s="85" t="s">
        <v>1814</v>
      </c>
    </row>
    <row r="546" spans="1:2" ht="12.75" x14ac:dyDescent="0.35">
      <c r="A546" s="92" t="s">
        <v>1816</v>
      </c>
      <c r="B546" s="85" t="s">
        <v>1817</v>
      </c>
    </row>
    <row r="547" spans="1:2" ht="12.75" x14ac:dyDescent="0.35">
      <c r="A547" s="92" t="s">
        <v>1819</v>
      </c>
      <c r="B547" s="85" t="s">
        <v>1820</v>
      </c>
    </row>
    <row r="548" spans="1:2" ht="12.75" x14ac:dyDescent="0.35">
      <c r="A548" s="93" t="s">
        <v>1822</v>
      </c>
      <c r="B548" s="86"/>
    </row>
    <row r="549" spans="1:2" ht="12.75" x14ac:dyDescent="0.35">
      <c r="A549" s="92" t="s">
        <v>1825</v>
      </c>
      <c r="B549" s="85" t="s">
        <v>6030</v>
      </c>
    </row>
    <row r="550" spans="1:2" ht="12.75" x14ac:dyDescent="0.35">
      <c r="A550" s="92" t="s">
        <v>1828</v>
      </c>
      <c r="B550" s="85" t="s">
        <v>1829</v>
      </c>
    </row>
    <row r="551" spans="1:2" ht="12.75" x14ac:dyDescent="0.35">
      <c r="A551" s="92" t="s">
        <v>1831</v>
      </c>
      <c r="B551" s="85" t="s">
        <v>1832</v>
      </c>
    </row>
    <row r="552" spans="1:2" ht="12.75" x14ac:dyDescent="0.35">
      <c r="A552" s="92" t="s">
        <v>1834</v>
      </c>
      <c r="B552" s="85" t="s">
        <v>1835</v>
      </c>
    </row>
    <row r="553" spans="1:2" ht="12.75" x14ac:dyDescent="0.35">
      <c r="A553" s="92" t="s">
        <v>1836</v>
      </c>
      <c r="B553" s="85" t="s">
        <v>1837</v>
      </c>
    </row>
    <row r="554" spans="1:2" ht="12.75" x14ac:dyDescent="0.35">
      <c r="A554" s="92" t="s">
        <v>1839</v>
      </c>
      <c r="B554" s="85" t="s">
        <v>1840</v>
      </c>
    </row>
    <row r="555" spans="1:2" ht="12.75" x14ac:dyDescent="0.35">
      <c r="A555" s="92" t="s">
        <v>1842</v>
      </c>
      <c r="B555" s="85" t="s">
        <v>1843</v>
      </c>
    </row>
    <row r="556" spans="1:2" ht="12.75" x14ac:dyDescent="0.35">
      <c r="A556" s="92" t="s">
        <v>1845</v>
      </c>
      <c r="B556" s="87" t="s">
        <v>1846</v>
      </c>
    </row>
    <row r="557" spans="1:2" ht="12.75" x14ac:dyDescent="0.35">
      <c r="A557" s="92" t="s">
        <v>1848</v>
      </c>
      <c r="B557" s="87" t="s">
        <v>1849</v>
      </c>
    </row>
    <row r="558" spans="1:2" ht="12.75" x14ac:dyDescent="0.35">
      <c r="A558" s="92" t="s">
        <v>1851</v>
      </c>
      <c r="B558" s="85" t="s">
        <v>6031</v>
      </c>
    </row>
    <row r="559" spans="1:2" ht="12.75" x14ac:dyDescent="0.35">
      <c r="A559" s="92" t="s">
        <v>1854</v>
      </c>
      <c r="B559" s="85" t="s">
        <v>1855</v>
      </c>
    </row>
    <row r="560" spans="1:2" ht="12.75" x14ac:dyDescent="0.35">
      <c r="A560" s="92" t="s">
        <v>1857</v>
      </c>
      <c r="B560" s="85" t="s">
        <v>1858</v>
      </c>
    </row>
    <row r="561" spans="1:2" ht="12.75" x14ac:dyDescent="0.35">
      <c r="A561" s="92" t="s">
        <v>1860</v>
      </c>
      <c r="B561" s="85" t="s">
        <v>1861</v>
      </c>
    </row>
    <row r="562" spans="1:2" ht="12.75" x14ac:dyDescent="0.35">
      <c r="A562" s="92" t="s">
        <v>1863</v>
      </c>
      <c r="B562" s="85" t="s">
        <v>1864</v>
      </c>
    </row>
    <row r="563" spans="1:2" ht="12.75" x14ac:dyDescent="0.35">
      <c r="A563" s="92" t="s">
        <v>1866</v>
      </c>
      <c r="B563" s="85" t="s">
        <v>1867</v>
      </c>
    </row>
    <row r="564" spans="1:2" ht="12.75" x14ac:dyDescent="0.35">
      <c r="A564" s="92" t="s">
        <v>1869</v>
      </c>
      <c r="B564" s="85" t="s">
        <v>1870</v>
      </c>
    </row>
    <row r="565" spans="1:2" ht="12.75" x14ac:dyDescent="0.35">
      <c r="A565" s="92" t="s">
        <v>1871</v>
      </c>
      <c r="B565" s="85" t="s">
        <v>1872</v>
      </c>
    </row>
    <row r="566" spans="1:2" ht="12.75" x14ac:dyDescent="0.35">
      <c r="A566" s="92" t="s">
        <v>1873</v>
      </c>
      <c r="B566" s="85" t="s">
        <v>6032</v>
      </c>
    </row>
    <row r="567" spans="1:2" ht="12.75" x14ac:dyDescent="0.35">
      <c r="A567" s="92" t="s">
        <v>1876</v>
      </c>
      <c r="B567" s="85" t="s">
        <v>6033</v>
      </c>
    </row>
    <row r="568" spans="1:2" ht="12.75" x14ac:dyDescent="0.35">
      <c r="A568" s="92" t="s">
        <v>1879</v>
      </c>
      <c r="B568" s="85" t="s">
        <v>1880</v>
      </c>
    </row>
    <row r="569" spans="1:2" ht="12.75" x14ac:dyDescent="0.35">
      <c r="A569" s="92" t="s">
        <v>1882</v>
      </c>
      <c r="B569" s="85" t="s">
        <v>1883</v>
      </c>
    </row>
    <row r="570" spans="1:2" ht="12.75" x14ac:dyDescent="0.35">
      <c r="A570" s="92" t="s">
        <v>1885</v>
      </c>
      <c r="B570" s="85"/>
    </row>
    <row r="571" spans="1:2" ht="12.75" x14ac:dyDescent="0.35">
      <c r="A571" s="92" t="s">
        <v>1888</v>
      </c>
      <c r="B571" s="85" t="s">
        <v>1889</v>
      </c>
    </row>
    <row r="572" spans="1:2" ht="12.75" x14ac:dyDescent="0.35">
      <c r="A572" s="92" t="s">
        <v>1891</v>
      </c>
      <c r="B572" s="85" t="s">
        <v>1892</v>
      </c>
    </row>
    <row r="573" spans="1:2" ht="12.75" x14ac:dyDescent="0.35">
      <c r="A573" s="92" t="s">
        <v>1894</v>
      </c>
      <c r="B573" s="85" t="s">
        <v>1895</v>
      </c>
    </row>
    <row r="574" spans="1:2" ht="12.75" x14ac:dyDescent="0.35">
      <c r="A574" s="93" t="s">
        <v>1897</v>
      </c>
      <c r="B574" s="86"/>
    </row>
    <row r="575" spans="1:2" ht="12.75" x14ac:dyDescent="0.35">
      <c r="A575" s="92" t="s">
        <v>1900</v>
      </c>
      <c r="B575" s="87" t="s">
        <v>6034</v>
      </c>
    </row>
    <row r="576" spans="1:2" ht="12.75" x14ac:dyDescent="0.35">
      <c r="A576" s="92" t="s">
        <v>1903</v>
      </c>
      <c r="B576" s="85" t="s">
        <v>6035</v>
      </c>
    </row>
    <row r="577" spans="1:2" ht="12.75" x14ac:dyDescent="0.35">
      <c r="A577" s="92" t="s">
        <v>1906</v>
      </c>
      <c r="B577" s="85" t="s">
        <v>1907</v>
      </c>
    </row>
    <row r="578" spans="1:2" ht="12.75" x14ac:dyDescent="0.35">
      <c r="A578" s="92" t="s">
        <v>1909</v>
      </c>
      <c r="B578" s="85" t="s">
        <v>1910</v>
      </c>
    </row>
    <row r="579" spans="1:2" ht="12.75" x14ac:dyDescent="0.35">
      <c r="A579" s="92" t="s">
        <v>1912</v>
      </c>
      <c r="B579" s="85" t="s">
        <v>1913</v>
      </c>
    </row>
    <row r="580" spans="1:2" ht="12.75" x14ac:dyDescent="0.35">
      <c r="A580" s="92" t="s">
        <v>1914</v>
      </c>
      <c r="B580" s="85" t="s">
        <v>1915</v>
      </c>
    </row>
    <row r="581" spans="1:2" ht="12.75" x14ac:dyDescent="0.35">
      <c r="A581" s="92" t="s">
        <v>1916</v>
      </c>
      <c r="B581" s="85" t="s">
        <v>1917</v>
      </c>
    </row>
    <row r="582" spans="1:2" ht="12.75" x14ac:dyDescent="0.35">
      <c r="A582" s="92" t="s">
        <v>1918</v>
      </c>
      <c r="B582" s="85" t="s">
        <v>1919</v>
      </c>
    </row>
    <row r="583" spans="1:2" ht="12.75" x14ac:dyDescent="0.35">
      <c r="A583" s="92" t="s">
        <v>1920</v>
      </c>
      <c r="B583" s="85" t="s">
        <v>1921</v>
      </c>
    </row>
    <row r="584" spans="1:2" ht="12.75" x14ac:dyDescent="0.35">
      <c r="A584" s="92" t="s">
        <v>1923</v>
      </c>
      <c r="B584" s="85" t="s">
        <v>1924</v>
      </c>
    </row>
    <row r="585" spans="1:2" ht="12.75" x14ac:dyDescent="0.35">
      <c r="A585" s="92" t="s">
        <v>1926</v>
      </c>
      <c r="B585" s="85" t="s">
        <v>1927</v>
      </c>
    </row>
    <row r="586" spans="1:2" ht="12.75" x14ac:dyDescent="0.35">
      <c r="A586" s="92" t="s">
        <v>1928</v>
      </c>
      <c r="B586" s="85" t="s">
        <v>6036</v>
      </c>
    </row>
    <row r="587" spans="1:2" ht="12.75" x14ac:dyDescent="0.35">
      <c r="A587" s="92" t="s">
        <v>1931</v>
      </c>
      <c r="B587" s="85" t="s">
        <v>1932</v>
      </c>
    </row>
    <row r="588" spans="1:2" ht="12.75" x14ac:dyDescent="0.35">
      <c r="A588" s="92" t="s">
        <v>1934</v>
      </c>
      <c r="B588" s="85" t="s">
        <v>1935</v>
      </c>
    </row>
    <row r="589" spans="1:2" ht="12.75" x14ac:dyDescent="0.35">
      <c r="A589" s="92" t="s">
        <v>1937</v>
      </c>
      <c r="B589" s="85" t="s">
        <v>6037</v>
      </c>
    </row>
    <row r="590" spans="1:2" ht="12.75" x14ac:dyDescent="0.35">
      <c r="A590" s="92" t="s">
        <v>1940</v>
      </c>
      <c r="B590" s="85" t="s">
        <v>1941</v>
      </c>
    </row>
    <row r="591" spans="1:2" ht="12.75" x14ac:dyDescent="0.35">
      <c r="A591" s="92" t="s">
        <v>1943</v>
      </c>
      <c r="B591" s="85" t="s">
        <v>1944</v>
      </c>
    </row>
    <row r="592" spans="1:2" ht="12.75" x14ac:dyDescent="0.35">
      <c r="A592" s="92" t="s">
        <v>1946</v>
      </c>
      <c r="B592" s="85" t="s">
        <v>6038</v>
      </c>
    </row>
    <row r="593" spans="1:2" ht="12.75" x14ac:dyDescent="0.35">
      <c r="A593" s="92" t="s">
        <v>1949</v>
      </c>
      <c r="B593" s="85" t="s">
        <v>1950</v>
      </c>
    </row>
    <row r="594" spans="1:2" ht="12.75" x14ac:dyDescent="0.35">
      <c r="A594" s="92" t="s">
        <v>1952</v>
      </c>
      <c r="B594" s="85" t="s">
        <v>6039</v>
      </c>
    </row>
    <row r="595" spans="1:2" ht="12.75" x14ac:dyDescent="0.35">
      <c r="A595" s="92" t="s">
        <v>1955</v>
      </c>
      <c r="B595" s="85" t="s">
        <v>1956</v>
      </c>
    </row>
    <row r="596" spans="1:2" ht="12.75" x14ac:dyDescent="0.35">
      <c r="A596" s="92" t="s">
        <v>1958</v>
      </c>
      <c r="B596" s="85" t="s">
        <v>6040</v>
      </c>
    </row>
    <row r="597" spans="1:2" ht="12.75" x14ac:dyDescent="0.35">
      <c r="A597" s="92" t="s">
        <v>1961</v>
      </c>
      <c r="B597" s="89"/>
    </row>
    <row r="598" spans="1:2" ht="12.75" x14ac:dyDescent="0.35">
      <c r="A598" s="92" t="s">
        <v>1964</v>
      </c>
      <c r="B598" s="85" t="s">
        <v>1965</v>
      </c>
    </row>
    <row r="599" spans="1:2" ht="12.75" x14ac:dyDescent="0.35">
      <c r="A599" s="92" t="s">
        <v>1967</v>
      </c>
      <c r="B599" s="85" t="s">
        <v>6041</v>
      </c>
    </row>
    <row r="600" spans="1:2" ht="12.75" x14ac:dyDescent="0.35">
      <c r="A600" s="93" t="s">
        <v>1970</v>
      </c>
      <c r="B600" s="86"/>
    </row>
    <row r="601" spans="1:2" ht="12.75" x14ac:dyDescent="0.35">
      <c r="A601" s="92" t="s">
        <v>1973</v>
      </c>
      <c r="B601" s="85" t="s">
        <v>6042</v>
      </c>
    </row>
    <row r="602" spans="1:2" ht="12.75" x14ac:dyDescent="0.35">
      <c r="A602" s="92" t="s">
        <v>1976</v>
      </c>
      <c r="B602" s="85" t="s">
        <v>1977</v>
      </c>
    </row>
    <row r="603" spans="1:2" ht="12.75" x14ac:dyDescent="0.35">
      <c r="A603" s="92" t="s">
        <v>1978</v>
      </c>
      <c r="B603" s="85" t="s">
        <v>1979</v>
      </c>
    </row>
    <row r="604" spans="1:2" ht="12.75" x14ac:dyDescent="0.35">
      <c r="A604" s="92" t="s">
        <v>1981</v>
      </c>
      <c r="B604" s="85" t="s">
        <v>6043</v>
      </c>
    </row>
    <row r="605" spans="1:2" ht="12.75" x14ac:dyDescent="0.35">
      <c r="A605" s="92" t="s">
        <v>1984</v>
      </c>
      <c r="B605" s="85" t="s">
        <v>1985</v>
      </c>
    </row>
    <row r="606" spans="1:2" ht="12.75" x14ac:dyDescent="0.35">
      <c r="A606" s="92" t="s">
        <v>1987</v>
      </c>
      <c r="B606" s="85" t="s">
        <v>1988</v>
      </c>
    </row>
    <row r="607" spans="1:2" ht="12.75" x14ac:dyDescent="0.35">
      <c r="A607" s="92" t="s">
        <v>1990</v>
      </c>
      <c r="B607" s="85" t="s">
        <v>6044</v>
      </c>
    </row>
    <row r="608" spans="1:2" ht="12.75" x14ac:dyDescent="0.35">
      <c r="A608" s="92" t="s">
        <v>1993</v>
      </c>
      <c r="B608" s="85" t="s">
        <v>1994</v>
      </c>
    </row>
    <row r="609" spans="1:2" ht="12.75" x14ac:dyDescent="0.35">
      <c r="A609" s="92" t="s">
        <v>1996</v>
      </c>
      <c r="B609" s="85" t="s">
        <v>1997</v>
      </c>
    </row>
    <row r="610" spans="1:2" ht="12.75" x14ac:dyDescent="0.35">
      <c r="A610" s="92" t="s">
        <v>1999</v>
      </c>
      <c r="B610" s="85" t="s">
        <v>2000</v>
      </c>
    </row>
    <row r="611" spans="1:2" ht="12.75" x14ac:dyDescent="0.35">
      <c r="A611" s="92" t="s">
        <v>2002</v>
      </c>
      <c r="B611" s="85" t="s">
        <v>2003</v>
      </c>
    </row>
    <row r="612" spans="1:2" ht="12.75" x14ac:dyDescent="0.35">
      <c r="A612" s="92" t="s">
        <v>2005</v>
      </c>
      <c r="B612" s="85" t="s">
        <v>2006</v>
      </c>
    </row>
    <row r="613" spans="1:2" ht="12.75" x14ac:dyDescent="0.35">
      <c r="A613" s="92" t="s">
        <v>2008</v>
      </c>
      <c r="B613" s="85" t="s">
        <v>2009</v>
      </c>
    </row>
    <row r="614" spans="1:2" ht="12.75" x14ac:dyDescent="0.35">
      <c r="A614" s="92" t="s">
        <v>2011</v>
      </c>
      <c r="B614" s="85" t="s">
        <v>2012</v>
      </c>
    </row>
    <row r="615" spans="1:2" ht="12.75" x14ac:dyDescent="0.35">
      <c r="A615" s="92" t="s">
        <v>2014</v>
      </c>
      <c r="B615" s="85" t="s">
        <v>6045</v>
      </c>
    </row>
    <row r="616" spans="1:2" ht="12.75" x14ac:dyDescent="0.35">
      <c r="A616" s="92" t="s">
        <v>2017</v>
      </c>
      <c r="B616" s="85" t="s">
        <v>2018</v>
      </c>
    </row>
    <row r="617" spans="1:2" ht="12.75" x14ac:dyDescent="0.35">
      <c r="A617" s="92" t="s">
        <v>2020</v>
      </c>
      <c r="B617" s="85" t="s">
        <v>6046</v>
      </c>
    </row>
    <row r="618" spans="1:2" ht="12.75" x14ac:dyDescent="0.35">
      <c r="A618" s="92" t="s">
        <v>2023</v>
      </c>
      <c r="B618" s="85" t="s">
        <v>2024</v>
      </c>
    </row>
    <row r="619" spans="1:2" ht="12.75" x14ac:dyDescent="0.35">
      <c r="A619" s="92" t="s">
        <v>2026</v>
      </c>
      <c r="B619" s="85" t="s">
        <v>2027</v>
      </c>
    </row>
    <row r="620" spans="1:2" ht="12.75" x14ac:dyDescent="0.35">
      <c r="A620" s="92" t="s">
        <v>2029</v>
      </c>
      <c r="B620" s="85" t="s">
        <v>2030</v>
      </c>
    </row>
    <row r="621" spans="1:2" ht="12.75" x14ac:dyDescent="0.35">
      <c r="A621" s="92" t="s">
        <v>2032</v>
      </c>
      <c r="B621" s="85" t="s">
        <v>6047</v>
      </c>
    </row>
    <row r="622" spans="1:2" ht="12.75" x14ac:dyDescent="0.35">
      <c r="A622" s="92" t="s">
        <v>2035</v>
      </c>
      <c r="B622" s="85" t="s">
        <v>6048</v>
      </c>
    </row>
    <row r="623" spans="1:2" ht="12.75" x14ac:dyDescent="0.35">
      <c r="A623" s="92" t="s">
        <v>2038</v>
      </c>
      <c r="B623" s="85" t="s">
        <v>2039</v>
      </c>
    </row>
    <row r="624" spans="1:2" ht="12.75" x14ac:dyDescent="0.35">
      <c r="A624" s="92" t="s">
        <v>2041</v>
      </c>
      <c r="B624" s="85"/>
    </row>
    <row r="625" spans="1:2" ht="12.75" x14ac:dyDescent="0.35">
      <c r="A625" s="92" t="s">
        <v>2042</v>
      </c>
      <c r="B625" s="85" t="s">
        <v>2043</v>
      </c>
    </row>
    <row r="626" spans="1:2" ht="12.75" x14ac:dyDescent="0.35">
      <c r="A626" s="93" t="s">
        <v>2045</v>
      </c>
      <c r="B626" s="86" t="s">
        <v>2046</v>
      </c>
    </row>
    <row r="627" spans="1:2" ht="12.75" x14ac:dyDescent="0.35">
      <c r="A627" s="92" t="s">
        <v>2048</v>
      </c>
      <c r="B627" s="85" t="s">
        <v>2049</v>
      </c>
    </row>
    <row r="628" spans="1:2" ht="12.75" x14ac:dyDescent="0.35">
      <c r="A628" s="92" t="s">
        <v>2051</v>
      </c>
      <c r="B628" s="85" t="s">
        <v>6049</v>
      </c>
    </row>
    <row r="629" spans="1:2" ht="12.75" x14ac:dyDescent="0.35">
      <c r="A629" s="92" t="s">
        <v>2054</v>
      </c>
      <c r="B629" s="85" t="s">
        <v>6050</v>
      </c>
    </row>
    <row r="630" spans="1:2" ht="12.75" x14ac:dyDescent="0.35">
      <c r="A630" s="92" t="s">
        <v>2057</v>
      </c>
      <c r="B630" s="85" t="s">
        <v>2058</v>
      </c>
    </row>
    <row r="631" spans="1:2" ht="12.75" x14ac:dyDescent="0.35">
      <c r="A631" s="92" t="s">
        <v>2060</v>
      </c>
      <c r="B631" s="85" t="s">
        <v>2061</v>
      </c>
    </row>
    <row r="632" spans="1:2" ht="12.75" x14ac:dyDescent="0.35">
      <c r="A632" s="92" t="s">
        <v>2063</v>
      </c>
      <c r="B632" s="85" t="s">
        <v>2064</v>
      </c>
    </row>
    <row r="633" spans="1:2" ht="12.75" x14ac:dyDescent="0.35">
      <c r="A633" s="92" t="s">
        <v>2066</v>
      </c>
      <c r="B633" s="85" t="s">
        <v>6051</v>
      </c>
    </row>
    <row r="634" spans="1:2" ht="12.75" x14ac:dyDescent="0.35">
      <c r="A634" s="92" t="s">
        <v>2069</v>
      </c>
      <c r="B634" s="85" t="s">
        <v>2070</v>
      </c>
    </row>
    <row r="635" spans="1:2" ht="12.75" x14ac:dyDescent="0.35">
      <c r="A635" s="92" t="s">
        <v>2072</v>
      </c>
      <c r="B635" s="85" t="s">
        <v>6052</v>
      </c>
    </row>
    <row r="636" spans="1:2" ht="12.75" x14ac:dyDescent="0.35">
      <c r="A636" s="92" t="s">
        <v>2075</v>
      </c>
      <c r="B636" s="85" t="s">
        <v>6053</v>
      </c>
    </row>
    <row r="637" spans="1:2" ht="12.75" x14ac:dyDescent="0.35">
      <c r="A637" s="92" t="s">
        <v>2078</v>
      </c>
      <c r="B637" s="85" t="s">
        <v>6054</v>
      </c>
    </row>
    <row r="638" spans="1:2" ht="12.75" x14ac:dyDescent="0.35">
      <c r="A638" s="92" t="s">
        <v>2080</v>
      </c>
      <c r="B638" s="85" t="s">
        <v>6055</v>
      </c>
    </row>
    <row r="639" spans="1:2" ht="12.75" x14ac:dyDescent="0.35">
      <c r="A639" s="92" t="s">
        <v>2083</v>
      </c>
      <c r="B639" s="89"/>
    </row>
    <row r="640" spans="1:2" ht="12.75" x14ac:dyDescent="0.35">
      <c r="A640" s="92" t="s">
        <v>2086</v>
      </c>
      <c r="B640" s="85" t="s">
        <v>2087</v>
      </c>
    </row>
    <row r="641" spans="1:2" ht="12.75" x14ac:dyDescent="0.35">
      <c r="A641" s="92" t="s">
        <v>2089</v>
      </c>
      <c r="B641" s="85" t="s">
        <v>2090</v>
      </c>
    </row>
    <row r="642" spans="1:2" ht="12.75" x14ac:dyDescent="0.35">
      <c r="A642" s="92" t="s">
        <v>2092</v>
      </c>
      <c r="B642" s="85" t="s">
        <v>6056</v>
      </c>
    </row>
    <row r="643" spans="1:2" ht="12.75" x14ac:dyDescent="0.35">
      <c r="A643" s="92" t="s">
        <v>2095</v>
      </c>
      <c r="B643" s="85" t="s">
        <v>6057</v>
      </c>
    </row>
    <row r="644" spans="1:2" ht="12.75" x14ac:dyDescent="0.35">
      <c r="A644" s="92" t="s">
        <v>2098</v>
      </c>
      <c r="B644" s="89"/>
    </row>
    <row r="645" spans="1:2" ht="12.75" x14ac:dyDescent="0.35">
      <c r="A645" s="92" t="s">
        <v>2101</v>
      </c>
      <c r="B645" s="85" t="s">
        <v>6058</v>
      </c>
    </row>
    <row r="646" spans="1:2" ht="12.75" x14ac:dyDescent="0.35">
      <c r="A646" s="92" t="s">
        <v>2104</v>
      </c>
      <c r="B646" s="85" t="s">
        <v>6059</v>
      </c>
    </row>
    <row r="647" spans="1:2" ht="12.75" x14ac:dyDescent="0.35">
      <c r="A647" s="92" t="s">
        <v>2107</v>
      </c>
      <c r="B647" s="85" t="s">
        <v>6060</v>
      </c>
    </row>
    <row r="648" spans="1:2" ht="12.75" x14ac:dyDescent="0.35">
      <c r="A648" s="92" t="s">
        <v>2110</v>
      </c>
      <c r="B648" s="85" t="s">
        <v>6061</v>
      </c>
    </row>
    <row r="649" spans="1:2" ht="12.75" x14ac:dyDescent="0.35">
      <c r="A649" s="92" t="s">
        <v>2113</v>
      </c>
      <c r="B649" s="85" t="s">
        <v>5484</v>
      </c>
    </row>
    <row r="650" spans="1:2" ht="12.75" x14ac:dyDescent="0.35">
      <c r="A650" s="92" t="s">
        <v>2116</v>
      </c>
      <c r="B650" s="89"/>
    </row>
    <row r="651" spans="1:2" ht="12.75" x14ac:dyDescent="0.35">
      <c r="A651" s="92" t="s">
        <v>2119</v>
      </c>
      <c r="B651" s="89"/>
    </row>
    <row r="652" spans="1:2" ht="12.75" x14ac:dyDescent="0.35">
      <c r="A652" s="93" t="s">
        <v>2120</v>
      </c>
      <c r="B652" s="86"/>
    </row>
    <row r="653" spans="1:2" ht="12.75" x14ac:dyDescent="0.35">
      <c r="A653" s="92" t="s">
        <v>2123</v>
      </c>
      <c r="B653" s="85" t="s">
        <v>6062</v>
      </c>
    </row>
    <row r="654" spans="1:2" ht="12.75" x14ac:dyDescent="0.35">
      <c r="A654" s="92" t="s">
        <v>2126</v>
      </c>
      <c r="B654" s="85" t="s">
        <v>2127</v>
      </c>
    </row>
    <row r="655" spans="1:2" ht="12.75" x14ac:dyDescent="0.35">
      <c r="A655" s="92" t="s">
        <v>2129</v>
      </c>
      <c r="B655" s="85" t="s">
        <v>6063</v>
      </c>
    </row>
    <row r="656" spans="1:2" ht="12.75" x14ac:dyDescent="0.35">
      <c r="A656" s="92" t="s">
        <v>2132</v>
      </c>
      <c r="B656" s="85" t="s">
        <v>6064</v>
      </c>
    </row>
    <row r="657" spans="1:2" ht="15.75" customHeight="1" x14ac:dyDescent="0.4">
      <c r="A657" s="92" t="s">
        <v>2135</v>
      </c>
      <c r="B657" s="85" t="s">
        <v>6065</v>
      </c>
    </row>
    <row r="658" spans="1:2" ht="12.75" x14ac:dyDescent="0.35">
      <c r="A658" s="92" t="s">
        <v>2138</v>
      </c>
      <c r="B658" s="85" t="s">
        <v>2139</v>
      </c>
    </row>
    <row r="659" spans="1:2" ht="12.75" x14ac:dyDescent="0.35">
      <c r="A659" s="92" t="s">
        <v>2141</v>
      </c>
      <c r="B659" s="85" t="s">
        <v>6066</v>
      </c>
    </row>
    <row r="660" spans="1:2" ht="15.75" customHeight="1" x14ac:dyDescent="0.4">
      <c r="A660" s="92" t="s">
        <v>2144</v>
      </c>
      <c r="B660" s="85" t="s">
        <v>6067</v>
      </c>
    </row>
    <row r="661" spans="1:2" ht="12.75" x14ac:dyDescent="0.35">
      <c r="A661" s="92" t="s">
        <v>2147</v>
      </c>
      <c r="B661" s="85" t="s">
        <v>6068</v>
      </c>
    </row>
    <row r="662" spans="1:2" ht="12.75" x14ac:dyDescent="0.35">
      <c r="A662" s="92" t="s">
        <v>2150</v>
      </c>
      <c r="B662" s="85" t="s">
        <v>2151</v>
      </c>
    </row>
    <row r="663" spans="1:2" ht="12.75" x14ac:dyDescent="0.35">
      <c r="A663" s="92" t="s">
        <v>2153</v>
      </c>
      <c r="B663" s="85" t="s">
        <v>2154</v>
      </c>
    </row>
    <row r="664" spans="1:2" ht="12.75" x14ac:dyDescent="0.35">
      <c r="A664" s="92" t="s">
        <v>2156</v>
      </c>
      <c r="B664" s="85" t="s">
        <v>2157</v>
      </c>
    </row>
    <row r="665" spans="1:2" ht="12.75" x14ac:dyDescent="0.35">
      <c r="A665" s="92" t="s">
        <v>2158</v>
      </c>
      <c r="B665" s="85" t="s">
        <v>2159</v>
      </c>
    </row>
    <row r="666" spans="1:2" ht="12.75" x14ac:dyDescent="0.35">
      <c r="A666" s="92" t="s">
        <v>2161</v>
      </c>
      <c r="B666" s="85" t="s">
        <v>6069</v>
      </c>
    </row>
    <row r="667" spans="1:2" ht="12.75" x14ac:dyDescent="0.35">
      <c r="A667" s="92" t="s">
        <v>2164</v>
      </c>
      <c r="B667" s="85" t="s">
        <v>2165</v>
      </c>
    </row>
    <row r="668" spans="1:2" ht="12.75" x14ac:dyDescent="0.35">
      <c r="A668" s="92" t="s">
        <v>2167</v>
      </c>
      <c r="B668" s="85" t="s">
        <v>6070</v>
      </c>
    </row>
    <row r="669" spans="1:2" ht="12.75" x14ac:dyDescent="0.35">
      <c r="A669" s="92" t="s">
        <v>2170</v>
      </c>
      <c r="B669" s="85" t="s">
        <v>2171</v>
      </c>
    </row>
    <row r="670" spans="1:2" ht="12.75" x14ac:dyDescent="0.35">
      <c r="A670" s="92" t="s">
        <v>2173</v>
      </c>
      <c r="B670" s="85" t="s">
        <v>2174</v>
      </c>
    </row>
    <row r="671" spans="1:2" ht="12.75" x14ac:dyDescent="0.35">
      <c r="A671" s="92" t="s">
        <v>2176</v>
      </c>
      <c r="B671" s="85" t="s">
        <v>2177</v>
      </c>
    </row>
    <row r="672" spans="1:2" ht="12.75" x14ac:dyDescent="0.35">
      <c r="A672" s="92" t="s">
        <v>2179</v>
      </c>
      <c r="B672" s="85" t="s">
        <v>2180</v>
      </c>
    </row>
    <row r="673" spans="1:2" ht="12.75" x14ac:dyDescent="0.35">
      <c r="A673" s="92" t="s">
        <v>2182</v>
      </c>
      <c r="B673" s="85" t="s">
        <v>2183</v>
      </c>
    </row>
    <row r="674" spans="1:2" ht="12.75" x14ac:dyDescent="0.35">
      <c r="A674" s="92" t="s">
        <v>2184</v>
      </c>
      <c r="B674" s="85" t="s">
        <v>2185</v>
      </c>
    </row>
    <row r="675" spans="1:2" ht="12.75" x14ac:dyDescent="0.35">
      <c r="A675" s="92" t="s">
        <v>2187</v>
      </c>
      <c r="B675" s="85" t="s">
        <v>2188</v>
      </c>
    </row>
    <row r="676" spans="1:2" ht="12.75" x14ac:dyDescent="0.35">
      <c r="A676" s="92" t="s">
        <v>2190</v>
      </c>
      <c r="B676" s="85"/>
    </row>
    <row r="677" spans="1:2" ht="12.75" x14ac:dyDescent="0.35">
      <c r="A677" s="92" t="s">
        <v>2193</v>
      </c>
      <c r="B677" s="85" t="s">
        <v>6071</v>
      </c>
    </row>
    <row r="678" spans="1:2" ht="12.75" x14ac:dyDescent="0.35">
      <c r="A678" s="93" t="s">
        <v>2196</v>
      </c>
      <c r="B678" s="86"/>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Q100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9765625" defaultRowHeight="15.75" customHeight="1" x14ac:dyDescent="0.35"/>
  <cols>
    <col min="1" max="1" width="4" customWidth="1"/>
    <col min="4" max="4" width="4.73046875" customWidth="1"/>
    <col min="5" max="5" width="5" customWidth="1"/>
    <col min="6" max="7" width="6.46484375" customWidth="1"/>
    <col min="8" max="14" width="6.1328125" customWidth="1"/>
    <col min="15" max="15" width="19.46484375" customWidth="1"/>
    <col min="19" max="21" width="4.1328125" customWidth="1"/>
    <col min="23" max="23" width="26" customWidth="1"/>
    <col min="24" max="26" width="6.86328125" customWidth="1"/>
  </cols>
  <sheetData>
    <row r="1" spans="1:43" ht="15.75" customHeight="1" x14ac:dyDescent="0.4">
      <c r="A1" s="94"/>
      <c r="B1" s="41" t="s">
        <v>6072</v>
      </c>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row>
    <row r="2" spans="1:43" ht="15.75" customHeight="1" x14ac:dyDescent="0.4">
      <c r="A2" s="94" t="s">
        <v>253</v>
      </c>
      <c r="B2" s="96" t="s">
        <v>6073</v>
      </c>
      <c r="C2" s="94" t="s">
        <v>254</v>
      </c>
      <c r="D2" s="97" t="s">
        <v>6074</v>
      </c>
      <c r="E2" s="94" t="s">
        <v>6075</v>
      </c>
      <c r="F2" s="94" t="s">
        <v>6076</v>
      </c>
      <c r="G2" s="94" t="s">
        <v>6077</v>
      </c>
      <c r="H2" s="94" t="s">
        <v>6078</v>
      </c>
      <c r="I2" s="94" t="s">
        <v>6079</v>
      </c>
      <c r="J2" s="94" t="s">
        <v>6080</v>
      </c>
      <c r="K2" s="94" t="s">
        <v>6081</v>
      </c>
      <c r="L2" s="94" t="s">
        <v>6082</v>
      </c>
      <c r="M2" s="94" t="s">
        <v>6083</v>
      </c>
      <c r="N2" s="94" t="s">
        <v>6084</v>
      </c>
      <c r="O2" s="94" t="s">
        <v>2197</v>
      </c>
      <c r="P2" s="94" t="s">
        <v>6085</v>
      </c>
      <c r="Q2" s="94" t="s">
        <v>6086</v>
      </c>
      <c r="R2" s="94" t="s">
        <v>6087</v>
      </c>
      <c r="S2" s="94" t="s">
        <v>6088</v>
      </c>
      <c r="T2" s="94" t="s">
        <v>6089</v>
      </c>
      <c r="U2" s="94" t="s">
        <v>6090</v>
      </c>
      <c r="V2" s="94" t="s">
        <v>6091</v>
      </c>
      <c r="W2" s="94" t="s">
        <v>6092</v>
      </c>
      <c r="X2" s="94" t="s">
        <v>6093</v>
      </c>
      <c r="Y2" s="94" t="s">
        <v>6094</v>
      </c>
      <c r="Z2" s="94" t="s">
        <v>6095</v>
      </c>
      <c r="AA2" s="96" t="s">
        <v>6096</v>
      </c>
      <c r="AB2" s="96" t="s">
        <v>6097</v>
      </c>
      <c r="AC2" s="95"/>
      <c r="AD2" s="95"/>
      <c r="AE2" s="94" t="s">
        <v>6098</v>
      </c>
      <c r="AF2" s="94" t="s">
        <v>2931</v>
      </c>
      <c r="AG2" s="94" t="s">
        <v>2935</v>
      </c>
      <c r="AH2" s="94" t="s">
        <v>6099</v>
      </c>
      <c r="AI2" s="95"/>
      <c r="AJ2" s="95"/>
      <c r="AK2" s="95"/>
      <c r="AL2" s="95"/>
      <c r="AM2" s="95"/>
      <c r="AN2" s="95"/>
      <c r="AO2" s="95"/>
      <c r="AP2" s="95"/>
      <c r="AQ2" s="95"/>
    </row>
    <row r="3" spans="1:43" ht="12.75" x14ac:dyDescent="0.35">
      <c r="A3" s="41" t="s">
        <v>261</v>
      </c>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row>
    <row r="4" spans="1:43" ht="12.75" x14ac:dyDescent="0.35">
      <c r="A4" s="41" t="s">
        <v>263</v>
      </c>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row>
    <row r="5" spans="1:43" ht="12.75" x14ac:dyDescent="0.35">
      <c r="A5" s="41" t="s">
        <v>266</v>
      </c>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row>
    <row r="6" spans="1:43" ht="12.75" x14ac:dyDescent="0.35">
      <c r="A6" s="41" t="s">
        <v>269</v>
      </c>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row>
    <row r="7" spans="1:43" ht="12.75" x14ac:dyDescent="0.35">
      <c r="A7" s="41" t="s">
        <v>271</v>
      </c>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row>
    <row r="8" spans="1:43" ht="12.75" x14ac:dyDescent="0.35">
      <c r="A8" s="41" t="s">
        <v>274</v>
      </c>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row>
    <row r="9" spans="1:43" ht="12.75" x14ac:dyDescent="0.35">
      <c r="A9" s="41" t="s">
        <v>277</v>
      </c>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row>
    <row r="10" spans="1:43" ht="12.75" x14ac:dyDescent="0.35">
      <c r="A10" s="41" t="s">
        <v>280</v>
      </c>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row>
    <row r="11" spans="1:43" ht="12.75" x14ac:dyDescent="0.35">
      <c r="A11" s="41" t="s">
        <v>283</v>
      </c>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row>
    <row r="12" spans="1:43" ht="12.75" x14ac:dyDescent="0.35">
      <c r="A12" s="41" t="s">
        <v>286</v>
      </c>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row>
    <row r="13" spans="1:43" ht="12.75" x14ac:dyDescent="0.35">
      <c r="A13" s="41" t="s">
        <v>289</v>
      </c>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row>
    <row r="14" spans="1:43" ht="12.75" x14ac:dyDescent="0.35">
      <c r="A14" s="41" t="s">
        <v>292</v>
      </c>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row>
    <row r="15" spans="1:43" ht="12.75" x14ac:dyDescent="0.35">
      <c r="A15" s="41" t="s">
        <v>295</v>
      </c>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row>
    <row r="16" spans="1:43" ht="12.75" x14ac:dyDescent="0.35">
      <c r="A16" s="41" t="s">
        <v>297</v>
      </c>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row>
    <row r="17" spans="1:43" ht="12.75" x14ac:dyDescent="0.35">
      <c r="A17" s="41" t="s">
        <v>299</v>
      </c>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row>
    <row r="18" spans="1:43" ht="12.75" x14ac:dyDescent="0.35">
      <c r="A18" s="41" t="s">
        <v>301</v>
      </c>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row>
    <row r="19" spans="1:43" ht="12.75" x14ac:dyDescent="0.35">
      <c r="A19" s="41" t="s">
        <v>304</v>
      </c>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row>
    <row r="20" spans="1:43" ht="12.75" x14ac:dyDescent="0.35">
      <c r="A20" s="41" t="s">
        <v>307</v>
      </c>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row>
    <row r="21" spans="1:43" ht="12.75" x14ac:dyDescent="0.35">
      <c r="A21" s="41" t="s">
        <v>310</v>
      </c>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row>
    <row r="22" spans="1:43" ht="12.75" x14ac:dyDescent="0.35">
      <c r="A22" s="41" t="s">
        <v>313</v>
      </c>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row>
    <row r="23" spans="1:43" ht="12.75" x14ac:dyDescent="0.35">
      <c r="A23" s="41" t="s">
        <v>316</v>
      </c>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row>
    <row r="24" spans="1:43" ht="12.75" x14ac:dyDescent="0.35">
      <c r="A24" s="41" t="s">
        <v>318</v>
      </c>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row>
    <row r="25" spans="1:43" ht="12.75" x14ac:dyDescent="0.35">
      <c r="A25" s="41" t="s">
        <v>321</v>
      </c>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row>
    <row r="26" spans="1:43" ht="12.75" x14ac:dyDescent="0.35">
      <c r="A26" s="41" t="s">
        <v>324</v>
      </c>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row>
    <row r="27" spans="1:43" ht="12.75" x14ac:dyDescent="0.35">
      <c r="A27" s="41" t="s">
        <v>327</v>
      </c>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row>
    <row r="28" spans="1:43" ht="12.75" x14ac:dyDescent="0.35">
      <c r="A28" s="41" t="s">
        <v>329</v>
      </c>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row>
    <row r="29" spans="1:43" ht="12.75" x14ac:dyDescent="0.35">
      <c r="A29" s="41" t="s">
        <v>331</v>
      </c>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row>
    <row r="30" spans="1:43" ht="12.75" x14ac:dyDescent="0.35">
      <c r="A30" s="41" t="s">
        <v>333</v>
      </c>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row>
    <row r="31" spans="1:43" ht="12.75" x14ac:dyDescent="0.35">
      <c r="A31" s="41" t="s">
        <v>336</v>
      </c>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row>
    <row r="32" spans="1:43" ht="12.75" x14ac:dyDescent="0.35">
      <c r="A32" s="41" t="s">
        <v>339</v>
      </c>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row>
    <row r="33" spans="1:43" ht="12.75" x14ac:dyDescent="0.35">
      <c r="A33" s="41" t="s">
        <v>342</v>
      </c>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row>
    <row r="34" spans="1:43" ht="12.75" x14ac:dyDescent="0.35">
      <c r="A34" s="41" t="s">
        <v>345</v>
      </c>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row>
    <row r="35" spans="1:43" ht="12.75" x14ac:dyDescent="0.35">
      <c r="A35" s="41" t="s">
        <v>348</v>
      </c>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row>
    <row r="36" spans="1:43" ht="12.75" x14ac:dyDescent="0.35">
      <c r="A36" s="41" t="s">
        <v>351</v>
      </c>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row>
    <row r="37" spans="1:43" ht="12.75" x14ac:dyDescent="0.35">
      <c r="A37" s="41" t="s">
        <v>354</v>
      </c>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row>
    <row r="38" spans="1:43" ht="12.75" x14ac:dyDescent="0.35">
      <c r="A38" s="41" t="s">
        <v>357</v>
      </c>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row>
    <row r="39" spans="1:43" ht="12.75" x14ac:dyDescent="0.35">
      <c r="A39" s="41" t="s">
        <v>360</v>
      </c>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row>
    <row r="40" spans="1:43" ht="12.75" x14ac:dyDescent="0.35">
      <c r="A40" s="41" t="s">
        <v>363</v>
      </c>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row>
    <row r="41" spans="1:43" ht="12.75" x14ac:dyDescent="0.35">
      <c r="A41" s="41" t="s">
        <v>365</v>
      </c>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row>
    <row r="42" spans="1:43" ht="12.75" x14ac:dyDescent="0.35">
      <c r="A42" s="41" t="s">
        <v>368</v>
      </c>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row>
    <row r="43" spans="1:43" ht="12.75" x14ac:dyDescent="0.35">
      <c r="A43" s="41" t="s">
        <v>371</v>
      </c>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row>
    <row r="44" spans="1:43" ht="12.75" x14ac:dyDescent="0.35">
      <c r="A44" s="41" t="s">
        <v>374</v>
      </c>
      <c r="B44" s="95"/>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row>
    <row r="45" spans="1:43" ht="12.75" x14ac:dyDescent="0.35">
      <c r="A45" s="41" t="s">
        <v>377</v>
      </c>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row>
    <row r="46" spans="1:43" ht="12.75" x14ac:dyDescent="0.35">
      <c r="A46" s="41" t="s">
        <v>380</v>
      </c>
      <c r="B46" s="95"/>
      <c r="C46" s="95"/>
      <c r="D46" s="95"/>
      <c r="E46" s="95"/>
      <c r="F46" s="95"/>
      <c r="G46" s="95"/>
      <c r="H46" s="95"/>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row>
    <row r="47" spans="1:43" ht="12.75" x14ac:dyDescent="0.35">
      <c r="A47" s="41" t="s">
        <v>382</v>
      </c>
      <c r="B47" s="95"/>
      <c r="C47" s="95"/>
      <c r="D47" s="95"/>
      <c r="E47" s="95"/>
      <c r="F47" s="95"/>
      <c r="G47" s="95"/>
      <c r="H47" s="95"/>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row>
    <row r="48" spans="1:43" ht="12.75" x14ac:dyDescent="0.35">
      <c r="A48" s="41" t="s">
        <v>385</v>
      </c>
      <c r="B48" s="95"/>
      <c r="C48" s="95"/>
      <c r="D48" s="95"/>
      <c r="E48" s="95"/>
      <c r="F48" s="95"/>
      <c r="G48" s="95"/>
      <c r="H48" s="95"/>
      <c r="I48" s="95"/>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row>
    <row r="49" spans="1:43" ht="12.75" x14ac:dyDescent="0.35">
      <c r="A49" s="41" t="s">
        <v>387</v>
      </c>
      <c r="B49" s="95"/>
      <c r="C49" s="95"/>
      <c r="D49" s="95"/>
      <c r="E49" s="95"/>
      <c r="F49" s="95"/>
      <c r="G49" s="95"/>
      <c r="H49" s="95"/>
      <c r="I49" s="95"/>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row>
    <row r="50" spans="1:43" ht="12.75" x14ac:dyDescent="0.35">
      <c r="A50" s="41" t="s">
        <v>390</v>
      </c>
      <c r="B50" s="95"/>
      <c r="C50" s="95"/>
      <c r="D50" s="95"/>
      <c r="E50" s="95"/>
      <c r="F50" s="95"/>
      <c r="G50" s="95"/>
      <c r="H50" s="95"/>
      <c r="I50" s="95"/>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row>
    <row r="51" spans="1:43" ht="12.75" x14ac:dyDescent="0.35">
      <c r="A51" s="41" t="s">
        <v>393</v>
      </c>
      <c r="B51" s="95"/>
      <c r="C51" s="95"/>
      <c r="D51" s="95"/>
      <c r="E51" s="95"/>
      <c r="F51" s="95"/>
      <c r="G51" s="95"/>
      <c r="H51" s="95"/>
      <c r="I51" s="95"/>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row>
    <row r="52" spans="1:43" ht="12.75" x14ac:dyDescent="0.35">
      <c r="A52" s="41" t="s">
        <v>396</v>
      </c>
      <c r="B52" s="95"/>
      <c r="C52" s="95"/>
      <c r="D52" s="95"/>
      <c r="E52" s="95"/>
      <c r="F52" s="95"/>
      <c r="G52" s="95"/>
      <c r="H52" s="95"/>
      <c r="I52" s="95"/>
      <c r="J52" s="95"/>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row>
    <row r="53" spans="1:43" ht="12.75" x14ac:dyDescent="0.35">
      <c r="A53" s="41" t="s">
        <v>399</v>
      </c>
      <c r="B53" s="95"/>
      <c r="C53" s="95"/>
      <c r="D53" s="95"/>
      <c r="E53" s="95"/>
      <c r="F53" s="95"/>
      <c r="G53" s="95"/>
      <c r="H53" s="95"/>
      <c r="I53" s="95"/>
      <c r="J53" s="95"/>
      <c r="K53" s="95"/>
      <c r="L53" s="95"/>
      <c r="M53" s="95"/>
      <c r="N53" s="95"/>
      <c r="O53" s="95"/>
      <c r="P53" s="95"/>
      <c r="Q53" s="95"/>
      <c r="R53" s="95"/>
      <c r="S53" s="95"/>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row>
    <row r="54" spans="1:43" ht="12.75" x14ac:dyDescent="0.35">
      <c r="A54" s="41" t="s">
        <v>401</v>
      </c>
      <c r="B54" s="95"/>
      <c r="C54" s="95"/>
      <c r="D54" s="95"/>
      <c r="E54" s="95"/>
      <c r="F54" s="95"/>
      <c r="G54" s="95"/>
      <c r="H54" s="95"/>
      <c r="I54" s="95"/>
      <c r="J54" s="95"/>
      <c r="K54" s="95"/>
      <c r="L54" s="95"/>
      <c r="M54" s="95"/>
      <c r="N54" s="95"/>
      <c r="O54" s="95"/>
      <c r="P54" s="95"/>
      <c r="Q54" s="95"/>
      <c r="R54" s="95"/>
      <c r="S54" s="95"/>
      <c r="T54" s="95"/>
      <c r="U54" s="95"/>
      <c r="V54" s="95"/>
      <c r="W54" s="95"/>
      <c r="X54" s="95"/>
      <c r="Y54" s="95"/>
      <c r="Z54" s="95"/>
      <c r="AA54" s="95"/>
      <c r="AB54" s="95"/>
      <c r="AC54" s="95"/>
      <c r="AD54" s="95"/>
      <c r="AE54" s="95"/>
      <c r="AF54" s="95"/>
      <c r="AG54" s="95"/>
      <c r="AH54" s="95"/>
      <c r="AI54" s="95"/>
      <c r="AJ54" s="95"/>
      <c r="AK54" s="95"/>
      <c r="AL54" s="95"/>
      <c r="AM54" s="95"/>
      <c r="AN54" s="95"/>
      <c r="AO54" s="95"/>
      <c r="AP54" s="95"/>
      <c r="AQ54" s="95"/>
    </row>
    <row r="55" spans="1:43" ht="12.75" x14ac:dyDescent="0.35">
      <c r="A55" s="41" t="s">
        <v>404</v>
      </c>
      <c r="B55" s="95"/>
      <c r="C55" s="95"/>
      <c r="D55" s="95"/>
      <c r="E55" s="95"/>
      <c r="F55" s="95"/>
      <c r="G55" s="95"/>
      <c r="H55" s="95"/>
      <c r="I55" s="95"/>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95"/>
      <c r="AK55" s="95"/>
      <c r="AL55" s="95"/>
      <c r="AM55" s="95"/>
      <c r="AN55" s="95"/>
      <c r="AO55" s="95"/>
      <c r="AP55" s="95"/>
      <c r="AQ55" s="95"/>
    </row>
    <row r="56" spans="1:43" ht="12.75" x14ac:dyDescent="0.35">
      <c r="A56" s="41" t="s">
        <v>407</v>
      </c>
      <c r="B56" s="95"/>
      <c r="C56" s="95"/>
      <c r="D56" s="95"/>
      <c r="E56" s="95"/>
      <c r="F56" s="95"/>
      <c r="G56" s="95"/>
      <c r="H56" s="95"/>
      <c r="I56" s="95"/>
      <c r="J56" s="95"/>
      <c r="K56" s="95"/>
      <c r="L56" s="95"/>
      <c r="M56" s="95"/>
      <c r="N56" s="95"/>
      <c r="O56" s="95"/>
      <c r="P56" s="95"/>
      <c r="Q56" s="95"/>
      <c r="R56" s="95"/>
      <c r="S56" s="95"/>
      <c r="T56" s="95"/>
      <c r="U56" s="95"/>
      <c r="V56" s="95"/>
      <c r="W56" s="95"/>
      <c r="X56" s="95"/>
      <c r="Y56" s="95"/>
      <c r="Z56" s="95"/>
      <c r="AA56" s="95"/>
      <c r="AB56" s="95"/>
      <c r="AC56" s="95"/>
      <c r="AD56" s="95"/>
      <c r="AE56" s="95"/>
      <c r="AF56" s="95"/>
      <c r="AG56" s="95"/>
      <c r="AH56" s="95"/>
      <c r="AI56" s="95"/>
      <c r="AJ56" s="95"/>
      <c r="AK56" s="95"/>
      <c r="AL56" s="95"/>
      <c r="AM56" s="95"/>
      <c r="AN56" s="95"/>
      <c r="AO56" s="95"/>
      <c r="AP56" s="95"/>
      <c r="AQ56" s="95"/>
    </row>
    <row r="57" spans="1:43" ht="12.75" x14ac:dyDescent="0.35">
      <c r="A57" s="41" t="s">
        <v>410</v>
      </c>
      <c r="B57" s="95"/>
      <c r="C57" s="95"/>
      <c r="D57" s="95"/>
      <c r="E57" s="95"/>
      <c r="F57" s="95"/>
      <c r="G57" s="95"/>
      <c r="H57" s="95"/>
      <c r="I57" s="95"/>
      <c r="J57" s="95"/>
      <c r="K57" s="95"/>
      <c r="L57" s="95"/>
      <c r="M57" s="95"/>
      <c r="N57" s="95"/>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row>
    <row r="58" spans="1:43" ht="12.75" x14ac:dyDescent="0.35">
      <c r="A58" s="41" t="s">
        <v>413</v>
      </c>
      <c r="B58" s="95"/>
      <c r="C58" s="95"/>
      <c r="D58" s="95"/>
      <c r="E58" s="95"/>
      <c r="F58" s="95"/>
      <c r="G58" s="95"/>
      <c r="H58" s="95"/>
      <c r="I58" s="95"/>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row>
    <row r="59" spans="1:43" ht="12.75" x14ac:dyDescent="0.35">
      <c r="A59" s="41" t="s">
        <v>416</v>
      </c>
      <c r="B59" s="95"/>
      <c r="C59" s="95"/>
      <c r="D59" s="95"/>
      <c r="E59" s="95"/>
      <c r="F59" s="95"/>
      <c r="G59" s="95"/>
      <c r="H59" s="95"/>
      <c r="I59" s="95"/>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row>
    <row r="60" spans="1:43" ht="12.75" x14ac:dyDescent="0.35">
      <c r="A60" s="41" t="s">
        <v>419</v>
      </c>
      <c r="B60" s="95"/>
      <c r="C60" s="95"/>
      <c r="D60" s="95"/>
      <c r="E60" s="95"/>
      <c r="F60" s="95"/>
      <c r="G60" s="95"/>
      <c r="H60" s="95"/>
      <c r="I60" s="95"/>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row>
    <row r="61" spans="1:43" ht="12.75" x14ac:dyDescent="0.35">
      <c r="A61" s="41" t="s">
        <v>422</v>
      </c>
      <c r="B61" s="95"/>
      <c r="C61" s="95"/>
      <c r="D61" s="95"/>
      <c r="E61" s="95"/>
      <c r="F61" s="95"/>
      <c r="G61" s="95"/>
      <c r="H61" s="95"/>
      <c r="I61" s="95"/>
      <c r="J61" s="95"/>
      <c r="K61" s="95"/>
      <c r="L61" s="95"/>
      <c r="M61" s="95"/>
      <c r="N61" s="95"/>
      <c r="O61" s="95"/>
      <c r="P61" s="95"/>
      <c r="Q61" s="95"/>
      <c r="R61" s="95"/>
      <c r="S61" s="95"/>
      <c r="T61" s="95"/>
      <c r="U61" s="95"/>
      <c r="V61" s="95"/>
      <c r="W61" s="95"/>
      <c r="X61" s="95"/>
      <c r="Y61" s="95"/>
      <c r="Z61" s="95"/>
      <c r="AA61" s="95"/>
      <c r="AB61" s="95"/>
      <c r="AC61" s="95"/>
      <c r="AD61" s="95"/>
      <c r="AE61" s="95"/>
      <c r="AF61" s="95"/>
      <c r="AG61" s="95"/>
      <c r="AH61" s="95"/>
      <c r="AI61" s="95"/>
      <c r="AJ61" s="95"/>
      <c r="AK61" s="95"/>
      <c r="AL61" s="95"/>
      <c r="AM61" s="95"/>
      <c r="AN61" s="95"/>
      <c r="AO61" s="95"/>
      <c r="AP61" s="95"/>
      <c r="AQ61" s="95"/>
    </row>
    <row r="62" spans="1:43" ht="12.75" x14ac:dyDescent="0.35">
      <c r="A62" s="41" t="s">
        <v>425</v>
      </c>
      <c r="B62" s="95"/>
      <c r="C62" s="95"/>
      <c r="D62" s="95"/>
      <c r="E62" s="95"/>
      <c r="F62" s="95"/>
      <c r="G62" s="95"/>
      <c r="H62" s="95"/>
      <c r="I62" s="95"/>
      <c r="J62" s="95"/>
      <c r="K62" s="95"/>
      <c r="L62" s="95"/>
      <c r="M62" s="95"/>
      <c r="N62" s="95"/>
      <c r="O62" s="95"/>
      <c r="P62" s="95"/>
      <c r="Q62" s="95"/>
      <c r="R62" s="95"/>
      <c r="S62" s="95"/>
      <c r="T62" s="95"/>
      <c r="U62" s="95"/>
      <c r="V62" s="95"/>
      <c r="W62" s="95"/>
      <c r="X62" s="95"/>
      <c r="Y62" s="95"/>
      <c r="Z62" s="95"/>
      <c r="AA62" s="95"/>
      <c r="AB62" s="95"/>
      <c r="AC62" s="95"/>
      <c r="AD62" s="95"/>
      <c r="AE62" s="95"/>
      <c r="AF62" s="95"/>
      <c r="AG62" s="95"/>
      <c r="AH62" s="95"/>
      <c r="AI62" s="95"/>
      <c r="AJ62" s="95"/>
      <c r="AK62" s="95"/>
      <c r="AL62" s="95"/>
      <c r="AM62" s="95"/>
      <c r="AN62" s="95"/>
      <c r="AO62" s="95"/>
      <c r="AP62" s="95"/>
      <c r="AQ62" s="95"/>
    </row>
    <row r="63" spans="1:43" ht="12.75" x14ac:dyDescent="0.35">
      <c r="A63" s="41" t="s">
        <v>427</v>
      </c>
      <c r="B63" s="95"/>
      <c r="C63" s="95"/>
      <c r="D63" s="95"/>
      <c r="E63" s="95"/>
      <c r="F63" s="95"/>
      <c r="G63" s="95"/>
      <c r="H63" s="95"/>
      <c r="I63" s="95"/>
      <c r="J63" s="95"/>
      <c r="K63" s="95"/>
      <c r="L63" s="95"/>
      <c r="M63" s="95"/>
      <c r="N63" s="95"/>
      <c r="O63" s="95"/>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5"/>
      <c r="AO63" s="95"/>
      <c r="AP63" s="95"/>
      <c r="AQ63" s="95"/>
    </row>
    <row r="64" spans="1:43" ht="12.75" x14ac:dyDescent="0.35">
      <c r="A64" s="41" t="s">
        <v>430</v>
      </c>
      <c r="B64" s="95"/>
      <c r="C64" s="95"/>
      <c r="D64" s="95"/>
      <c r="E64" s="95"/>
      <c r="F64" s="95"/>
      <c r="G64" s="95"/>
      <c r="H64" s="95"/>
      <c r="I64" s="95"/>
      <c r="J64" s="95"/>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5"/>
      <c r="AP64" s="95"/>
      <c r="AQ64" s="95"/>
    </row>
    <row r="65" spans="1:43" ht="12.75" x14ac:dyDescent="0.35">
      <c r="A65" s="41" t="s">
        <v>433</v>
      </c>
      <c r="B65" s="95"/>
      <c r="C65" s="95"/>
      <c r="D65" s="95"/>
      <c r="E65" s="95"/>
      <c r="F65" s="95"/>
      <c r="G65" s="95"/>
      <c r="H65" s="95"/>
      <c r="I65" s="95"/>
      <c r="J65" s="95"/>
      <c r="K65" s="95"/>
      <c r="L65" s="95"/>
      <c r="M65" s="95"/>
      <c r="N65" s="95"/>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c r="AO65" s="95"/>
      <c r="AP65" s="95"/>
      <c r="AQ65" s="95"/>
    </row>
    <row r="66" spans="1:43" ht="12.75" x14ac:dyDescent="0.35">
      <c r="A66" s="41" t="s">
        <v>435</v>
      </c>
      <c r="B66" s="95"/>
      <c r="C66" s="95"/>
      <c r="D66" s="95"/>
      <c r="E66" s="95"/>
      <c r="F66" s="95"/>
      <c r="G66" s="95"/>
      <c r="H66" s="95"/>
      <c r="I66" s="95"/>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row>
    <row r="67" spans="1:43" ht="12.75" x14ac:dyDescent="0.35">
      <c r="A67" s="41" t="s">
        <v>438</v>
      </c>
      <c r="B67" s="95"/>
      <c r="C67" s="95"/>
      <c r="D67" s="95"/>
      <c r="E67" s="95"/>
      <c r="F67" s="95"/>
      <c r="G67" s="95"/>
      <c r="H67" s="95"/>
      <c r="I67" s="95"/>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row>
    <row r="68" spans="1:43" ht="12.75" x14ac:dyDescent="0.35">
      <c r="A68" s="41" t="s">
        <v>441</v>
      </c>
      <c r="B68" s="95"/>
      <c r="C68" s="95"/>
      <c r="D68" s="95"/>
      <c r="E68" s="95"/>
      <c r="F68" s="95"/>
      <c r="G68" s="95"/>
      <c r="H68" s="95"/>
      <c r="I68" s="95"/>
      <c r="J68" s="95"/>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row>
    <row r="69" spans="1:43" ht="12.75" x14ac:dyDescent="0.35">
      <c r="A69" s="41" t="s">
        <v>443</v>
      </c>
      <c r="B69" s="95"/>
      <c r="C69" s="95"/>
      <c r="D69" s="95"/>
      <c r="E69" s="95"/>
      <c r="F69" s="95"/>
      <c r="G69" s="95"/>
      <c r="H69" s="95"/>
      <c r="I69" s="95"/>
      <c r="J69" s="95"/>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row>
    <row r="70" spans="1:43" ht="12.75" x14ac:dyDescent="0.35">
      <c r="A70" s="41" t="s">
        <v>446</v>
      </c>
      <c r="B70" s="95"/>
      <c r="C70" s="95"/>
      <c r="D70" s="95"/>
      <c r="E70" s="95"/>
      <c r="F70" s="95"/>
      <c r="G70" s="95"/>
      <c r="H70" s="95"/>
      <c r="I70" s="95"/>
      <c r="J70" s="95"/>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row>
    <row r="71" spans="1:43" ht="12.75" x14ac:dyDescent="0.35">
      <c r="A71" s="41" t="s">
        <v>449</v>
      </c>
      <c r="B71" s="95"/>
      <c r="C71" s="95"/>
      <c r="D71" s="95"/>
      <c r="E71" s="95"/>
      <c r="F71" s="95"/>
      <c r="G71" s="95"/>
      <c r="H71" s="95"/>
      <c r="I71" s="95"/>
      <c r="J71" s="95"/>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row>
    <row r="72" spans="1:43" ht="12.75" x14ac:dyDescent="0.35">
      <c r="A72" s="41" t="s">
        <v>452</v>
      </c>
      <c r="B72" s="95"/>
      <c r="C72" s="95"/>
      <c r="D72" s="95"/>
      <c r="E72" s="9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row>
    <row r="73" spans="1:43" ht="12.75" x14ac:dyDescent="0.35">
      <c r="A73" s="41" t="s">
        <v>455</v>
      </c>
      <c r="B73" s="95"/>
      <c r="C73" s="95"/>
      <c r="D73" s="95"/>
      <c r="E73" s="95"/>
      <c r="F73" s="95"/>
      <c r="G73" s="95"/>
      <c r="H73" s="95"/>
      <c r="I73" s="95"/>
      <c r="J73" s="95"/>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row>
    <row r="74" spans="1:43" ht="12.75" x14ac:dyDescent="0.35">
      <c r="A74" s="41" t="s">
        <v>458</v>
      </c>
      <c r="B74" s="95"/>
      <c r="C74" s="95"/>
      <c r="D74" s="95"/>
      <c r="E74" s="95"/>
      <c r="F74" s="95"/>
      <c r="G74" s="95"/>
      <c r="H74" s="95"/>
      <c r="I74" s="95"/>
      <c r="J74" s="95"/>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row>
    <row r="75" spans="1:43" ht="12.75" x14ac:dyDescent="0.35">
      <c r="A75" s="41" t="s">
        <v>460</v>
      </c>
      <c r="B75" s="95"/>
      <c r="C75" s="95"/>
      <c r="D75" s="95"/>
      <c r="E75" s="95"/>
      <c r="F75" s="95"/>
      <c r="G75" s="95"/>
      <c r="H75" s="95"/>
      <c r="I75" s="95"/>
      <c r="J75" s="95"/>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row>
    <row r="76" spans="1:43" ht="12.75" x14ac:dyDescent="0.35">
      <c r="A76" s="41" t="s">
        <v>463</v>
      </c>
      <c r="B76" s="95"/>
      <c r="C76" s="95"/>
      <c r="D76" s="95"/>
      <c r="E76" s="95"/>
      <c r="F76" s="95"/>
      <c r="G76" s="95"/>
      <c r="H76" s="95"/>
      <c r="I76" s="95"/>
      <c r="J76" s="95"/>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row>
    <row r="77" spans="1:43" ht="12.75" x14ac:dyDescent="0.35">
      <c r="A77" s="41" t="s">
        <v>466</v>
      </c>
      <c r="B77" s="95"/>
      <c r="C77" s="95"/>
      <c r="D77" s="95"/>
      <c r="E77" s="95"/>
      <c r="F77" s="95"/>
      <c r="G77" s="95"/>
      <c r="H77" s="95"/>
      <c r="I77" s="95"/>
      <c r="J77" s="95"/>
      <c r="K77" s="95"/>
      <c r="L77" s="95"/>
      <c r="M77" s="95"/>
      <c r="N77" s="95"/>
      <c r="O77" s="95"/>
      <c r="P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row>
    <row r="78" spans="1:43" ht="12.75" x14ac:dyDescent="0.35">
      <c r="A78" s="41" t="s">
        <v>469</v>
      </c>
      <c r="B78" s="95"/>
      <c r="C78" s="95"/>
      <c r="D78" s="95"/>
      <c r="E78" s="95"/>
      <c r="F78" s="95"/>
      <c r="G78" s="95"/>
      <c r="H78" s="95"/>
      <c r="I78" s="95"/>
      <c r="J78" s="95"/>
      <c r="K78" s="95"/>
      <c r="L78" s="95"/>
      <c r="M78" s="95"/>
      <c r="N78" s="95"/>
      <c r="O78" s="95"/>
      <c r="P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row>
    <row r="79" spans="1:43" ht="12.75" x14ac:dyDescent="0.35">
      <c r="A79" s="41" t="s">
        <v>472</v>
      </c>
      <c r="B79" s="95"/>
      <c r="C79" s="95"/>
      <c r="D79" s="95"/>
      <c r="E79" s="95"/>
      <c r="F79" s="95"/>
      <c r="G79" s="95"/>
      <c r="H79" s="95"/>
      <c r="I79" s="95"/>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row>
    <row r="80" spans="1:43" ht="12.75" x14ac:dyDescent="0.35">
      <c r="A80" s="41" t="s">
        <v>475</v>
      </c>
      <c r="B80" s="95"/>
      <c r="C80" s="95"/>
      <c r="D80" s="95"/>
      <c r="E80" s="95"/>
      <c r="F80" s="95"/>
      <c r="G80" s="95"/>
      <c r="H80" s="95"/>
      <c r="I80" s="95"/>
      <c r="J80" s="95"/>
      <c r="K80" s="95"/>
      <c r="L80" s="95"/>
      <c r="M80" s="95"/>
      <c r="N80" s="95"/>
      <c r="O80" s="95"/>
      <c r="P80" s="95"/>
      <c r="Q80" s="95"/>
      <c r="R80" s="95"/>
      <c r="S80" s="95"/>
      <c r="T80" s="95"/>
      <c r="U80" s="95"/>
      <c r="V80" s="95"/>
      <c r="W80" s="95"/>
      <c r="X80" s="95"/>
      <c r="Y80" s="95"/>
      <c r="Z80" s="95"/>
      <c r="AA80" s="95"/>
      <c r="AB80" s="95"/>
      <c r="AC80" s="95"/>
      <c r="AD80" s="95"/>
      <c r="AE80" s="95"/>
      <c r="AF80" s="95"/>
      <c r="AG80" s="95"/>
      <c r="AH80" s="95"/>
      <c r="AI80" s="95"/>
      <c r="AJ80" s="95"/>
      <c r="AK80" s="95"/>
      <c r="AL80" s="95"/>
      <c r="AM80" s="95"/>
      <c r="AN80" s="95"/>
      <c r="AO80" s="95"/>
      <c r="AP80" s="95"/>
      <c r="AQ80" s="95"/>
    </row>
    <row r="81" spans="1:43" ht="12.75" x14ac:dyDescent="0.35">
      <c r="A81" s="41" t="s">
        <v>478</v>
      </c>
      <c r="B81" s="95"/>
      <c r="C81" s="95"/>
      <c r="D81" s="95"/>
      <c r="E81" s="95"/>
      <c r="F81" s="95"/>
      <c r="G81" s="95"/>
      <c r="H81" s="95"/>
      <c r="I81" s="95"/>
      <c r="J81" s="95"/>
      <c r="K81" s="95"/>
      <c r="L81" s="95"/>
      <c r="M81" s="95"/>
      <c r="N81" s="95"/>
      <c r="O81" s="95"/>
      <c r="P81" s="95"/>
      <c r="Q81" s="95"/>
      <c r="R81" s="95"/>
      <c r="S81" s="95"/>
      <c r="T81" s="95"/>
      <c r="U81" s="95"/>
      <c r="V81" s="95"/>
      <c r="W81" s="95"/>
      <c r="X81" s="95"/>
      <c r="Y81" s="95"/>
      <c r="Z81" s="95"/>
      <c r="AA81" s="95"/>
      <c r="AB81" s="95"/>
      <c r="AC81" s="95"/>
      <c r="AD81" s="95"/>
      <c r="AE81" s="95"/>
      <c r="AF81" s="95"/>
      <c r="AG81" s="95"/>
      <c r="AH81" s="95"/>
      <c r="AI81" s="95"/>
      <c r="AJ81" s="95"/>
      <c r="AK81" s="95"/>
      <c r="AL81" s="95"/>
      <c r="AM81" s="95"/>
      <c r="AN81" s="95"/>
      <c r="AO81" s="95"/>
      <c r="AP81" s="95"/>
      <c r="AQ81" s="95"/>
    </row>
    <row r="82" spans="1:43" ht="12.75" x14ac:dyDescent="0.35">
      <c r="A82" s="41" t="s">
        <v>481</v>
      </c>
      <c r="B82" s="95"/>
      <c r="C82" s="95"/>
      <c r="D82" s="95"/>
      <c r="E82" s="95"/>
      <c r="F82" s="95"/>
      <c r="G82" s="95"/>
      <c r="H82" s="95"/>
      <c r="I82" s="95"/>
      <c r="J82" s="95"/>
      <c r="K82" s="95"/>
      <c r="L82" s="95"/>
      <c r="M82" s="95"/>
      <c r="N82" s="95"/>
      <c r="O82" s="95"/>
      <c r="P82" s="95"/>
      <c r="Q82" s="95"/>
      <c r="R82" s="95"/>
      <c r="S82" s="95"/>
      <c r="T82" s="95"/>
      <c r="U82" s="95"/>
      <c r="V82" s="95"/>
      <c r="W82" s="95"/>
      <c r="X82" s="95"/>
      <c r="Y82" s="95"/>
      <c r="Z82" s="95"/>
      <c r="AA82" s="95"/>
      <c r="AB82" s="95"/>
      <c r="AC82" s="95"/>
      <c r="AD82" s="95"/>
      <c r="AE82" s="95"/>
      <c r="AF82" s="95"/>
      <c r="AG82" s="95"/>
      <c r="AH82" s="95"/>
      <c r="AI82" s="95"/>
      <c r="AJ82" s="95"/>
      <c r="AK82" s="95"/>
      <c r="AL82" s="95"/>
      <c r="AM82" s="95"/>
      <c r="AN82" s="95"/>
      <c r="AO82" s="95"/>
      <c r="AP82" s="95"/>
      <c r="AQ82" s="95"/>
    </row>
    <row r="83" spans="1:43" ht="12.75" x14ac:dyDescent="0.35">
      <c r="A83" s="41" t="s">
        <v>484</v>
      </c>
      <c r="B83" s="95"/>
      <c r="C83" s="95"/>
      <c r="D83" s="95"/>
      <c r="E83" s="95"/>
      <c r="F83" s="95"/>
      <c r="G83" s="95"/>
      <c r="H83" s="95"/>
      <c r="I83" s="95"/>
      <c r="J83" s="95"/>
      <c r="K83" s="95"/>
      <c r="L83" s="95"/>
      <c r="M83" s="95"/>
      <c r="N83" s="95"/>
      <c r="O83" s="95"/>
      <c r="P83" s="95"/>
      <c r="Q83" s="95"/>
      <c r="R83" s="95"/>
      <c r="S83" s="95"/>
      <c r="T83" s="95"/>
      <c r="U83" s="95"/>
      <c r="V83" s="95"/>
      <c r="W83" s="95"/>
      <c r="X83" s="95"/>
      <c r="Y83" s="95"/>
      <c r="Z83" s="95"/>
      <c r="AA83" s="95"/>
      <c r="AB83" s="95"/>
      <c r="AC83" s="95"/>
      <c r="AD83" s="95"/>
      <c r="AE83" s="95"/>
      <c r="AF83" s="95"/>
      <c r="AG83" s="95"/>
      <c r="AH83" s="95"/>
      <c r="AI83" s="95"/>
      <c r="AJ83" s="95"/>
      <c r="AK83" s="95"/>
      <c r="AL83" s="95"/>
      <c r="AM83" s="95"/>
      <c r="AN83" s="95"/>
      <c r="AO83" s="95"/>
      <c r="AP83" s="95"/>
      <c r="AQ83" s="95"/>
    </row>
    <row r="84" spans="1:43" ht="12.75" x14ac:dyDescent="0.35">
      <c r="A84" s="41" t="s">
        <v>487</v>
      </c>
      <c r="B84" s="95"/>
      <c r="C84" s="95"/>
      <c r="D84" s="95"/>
      <c r="E84" s="95"/>
      <c r="F84" s="95"/>
      <c r="G84" s="95"/>
      <c r="H84" s="95"/>
      <c r="I84" s="95"/>
      <c r="J84" s="95"/>
      <c r="K84" s="95"/>
      <c r="L84" s="95"/>
      <c r="M84" s="95"/>
      <c r="N84" s="95"/>
      <c r="O84" s="95"/>
      <c r="P84" s="95"/>
      <c r="Q84" s="95"/>
      <c r="R84" s="95"/>
      <c r="S84" s="95"/>
      <c r="T84" s="95"/>
      <c r="U84" s="95"/>
      <c r="V84" s="95"/>
      <c r="W84" s="95"/>
      <c r="X84" s="95"/>
      <c r="Y84" s="95"/>
      <c r="Z84" s="95"/>
      <c r="AA84" s="95"/>
      <c r="AB84" s="95"/>
      <c r="AC84" s="95"/>
      <c r="AD84" s="95"/>
      <c r="AE84" s="95"/>
      <c r="AF84" s="95"/>
      <c r="AG84" s="95"/>
      <c r="AH84" s="95"/>
      <c r="AI84" s="95"/>
      <c r="AJ84" s="95"/>
      <c r="AK84" s="95"/>
      <c r="AL84" s="95"/>
      <c r="AM84" s="95"/>
      <c r="AN84" s="95"/>
      <c r="AO84" s="95"/>
      <c r="AP84" s="95"/>
      <c r="AQ84" s="95"/>
    </row>
    <row r="85" spans="1:43" ht="12.75" x14ac:dyDescent="0.35">
      <c r="A85" s="41" t="s">
        <v>490</v>
      </c>
      <c r="B85" s="95"/>
      <c r="C85" s="95"/>
      <c r="D85" s="95"/>
      <c r="E85" s="95"/>
      <c r="F85" s="95"/>
      <c r="G85" s="95"/>
      <c r="H85" s="95"/>
      <c r="I85" s="95"/>
      <c r="J85" s="95"/>
      <c r="K85" s="95"/>
      <c r="L85" s="95"/>
      <c r="M85" s="95"/>
      <c r="N85" s="95"/>
      <c r="O85" s="95"/>
      <c r="P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row>
    <row r="86" spans="1:43" ht="12.75" x14ac:dyDescent="0.35">
      <c r="A86" s="41" t="s">
        <v>493</v>
      </c>
      <c r="B86" s="95"/>
      <c r="C86" s="95"/>
      <c r="D86" s="95"/>
      <c r="E86" s="95"/>
      <c r="F86" s="95"/>
      <c r="G86" s="95"/>
      <c r="H86" s="95"/>
      <c r="I86" s="95"/>
      <c r="J86" s="95"/>
      <c r="K86" s="95"/>
      <c r="L86" s="95"/>
      <c r="M86" s="95"/>
      <c r="N86" s="95"/>
      <c r="O86" s="95"/>
      <c r="P86" s="95"/>
      <c r="Q86" s="95"/>
      <c r="R86" s="95"/>
      <c r="S86" s="95"/>
      <c r="T86" s="95"/>
      <c r="U86" s="95"/>
      <c r="V86" s="95"/>
      <c r="W86" s="95"/>
      <c r="X86" s="95"/>
      <c r="Y86" s="95"/>
      <c r="Z86" s="95"/>
      <c r="AA86" s="95"/>
      <c r="AB86" s="95"/>
      <c r="AC86" s="95"/>
      <c r="AD86" s="95"/>
      <c r="AE86" s="95"/>
      <c r="AF86" s="95"/>
      <c r="AG86" s="95"/>
      <c r="AH86" s="95"/>
      <c r="AI86" s="95"/>
      <c r="AJ86" s="95"/>
      <c r="AK86" s="95"/>
      <c r="AL86" s="95"/>
      <c r="AM86" s="95"/>
      <c r="AN86" s="95"/>
      <c r="AO86" s="95"/>
      <c r="AP86" s="95"/>
      <c r="AQ86" s="95"/>
    </row>
    <row r="87" spans="1:43" ht="12.75" x14ac:dyDescent="0.35">
      <c r="A87" s="41" t="s">
        <v>495</v>
      </c>
      <c r="B87" s="95"/>
      <c r="C87" s="95"/>
      <c r="D87" s="95"/>
      <c r="E87" s="95"/>
      <c r="F87" s="95"/>
      <c r="G87" s="95"/>
      <c r="H87" s="95"/>
      <c r="I87" s="95"/>
      <c r="J87" s="95"/>
      <c r="K87" s="95"/>
      <c r="L87" s="95"/>
      <c r="M87" s="95"/>
      <c r="N87" s="95"/>
      <c r="O87" s="95"/>
      <c r="P87" s="95"/>
      <c r="Q87" s="95"/>
      <c r="R87" s="95"/>
      <c r="S87" s="95"/>
      <c r="T87" s="95"/>
      <c r="U87" s="95"/>
      <c r="V87" s="95"/>
      <c r="W87" s="95"/>
      <c r="X87" s="95"/>
      <c r="Y87" s="95"/>
      <c r="Z87" s="95"/>
      <c r="AA87" s="95"/>
      <c r="AB87" s="95"/>
      <c r="AC87" s="95"/>
      <c r="AD87" s="95"/>
      <c r="AE87" s="95"/>
      <c r="AF87" s="95"/>
      <c r="AG87" s="95"/>
      <c r="AH87" s="95"/>
      <c r="AI87" s="95"/>
      <c r="AJ87" s="95"/>
      <c r="AK87" s="95"/>
      <c r="AL87" s="95"/>
      <c r="AM87" s="95"/>
      <c r="AN87" s="95"/>
      <c r="AO87" s="95"/>
      <c r="AP87" s="95"/>
      <c r="AQ87" s="95"/>
    </row>
    <row r="88" spans="1:43" ht="12.75" x14ac:dyDescent="0.35">
      <c r="A88" s="41" t="s">
        <v>498</v>
      </c>
      <c r="B88" s="95"/>
      <c r="C88" s="95"/>
      <c r="D88" s="95"/>
      <c r="E88" s="95"/>
      <c r="F88" s="95"/>
      <c r="G88" s="95"/>
      <c r="H88" s="95"/>
      <c r="I88" s="95"/>
      <c r="J88" s="95"/>
      <c r="K88" s="95"/>
      <c r="L88" s="95"/>
      <c r="M88" s="95"/>
      <c r="N88" s="95"/>
      <c r="O88" s="95"/>
      <c r="P88" s="95"/>
      <c r="Q88" s="95"/>
      <c r="R88" s="95"/>
      <c r="S88" s="95"/>
      <c r="T88" s="95"/>
      <c r="U88" s="95"/>
      <c r="V88" s="95"/>
      <c r="W88" s="95"/>
      <c r="X88" s="95"/>
      <c r="Y88" s="95"/>
      <c r="Z88" s="95"/>
      <c r="AA88" s="95"/>
      <c r="AB88" s="95"/>
      <c r="AC88" s="95"/>
      <c r="AD88" s="95"/>
      <c r="AE88" s="95"/>
      <c r="AF88" s="95"/>
      <c r="AG88" s="95"/>
      <c r="AH88" s="95"/>
      <c r="AI88" s="95"/>
      <c r="AJ88" s="95"/>
      <c r="AK88" s="95"/>
      <c r="AL88" s="95"/>
      <c r="AM88" s="95"/>
      <c r="AN88" s="95"/>
      <c r="AO88" s="95"/>
      <c r="AP88" s="95"/>
      <c r="AQ88" s="95"/>
    </row>
    <row r="89" spans="1:43" ht="12.75" x14ac:dyDescent="0.35">
      <c r="A89" s="41" t="s">
        <v>501</v>
      </c>
      <c r="B89" s="95"/>
      <c r="C89" s="95"/>
      <c r="D89" s="95"/>
      <c r="E89" s="95"/>
      <c r="F89" s="95"/>
      <c r="G89" s="95"/>
      <c r="H89" s="95"/>
      <c r="I89" s="95"/>
      <c r="J89" s="95"/>
      <c r="K89" s="95"/>
      <c r="L89" s="95"/>
      <c r="M89" s="95"/>
      <c r="N89" s="95"/>
      <c r="O89" s="95"/>
      <c r="P89" s="95"/>
      <c r="Q89" s="95"/>
      <c r="R89" s="95"/>
      <c r="S89" s="95"/>
      <c r="T89" s="95"/>
      <c r="U89" s="95"/>
      <c r="V89" s="95"/>
      <c r="W89" s="95"/>
      <c r="X89" s="95"/>
      <c r="Y89" s="95"/>
      <c r="Z89" s="95"/>
      <c r="AA89" s="95"/>
      <c r="AB89" s="95"/>
      <c r="AC89" s="95"/>
      <c r="AD89" s="95"/>
      <c r="AE89" s="95"/>
      <c r="AF89" s="95"/>
      <c r="AG89" s="95"/>
      <c r="AH89" s="95"/>
      <c r="AI89" s="95"/>
      <c r="AJ89" s="95"/>
      <c r="AK89" s="95"/>
      <c r="AL89" s="95"/>
      <c r="AM89" s="95"/>
      <c r="AN89" s="95"/>
      <c r="AO89" s="95"/>
      <c r="AP89" s="95"/>
      <c r="AQ89" s="95"/>
    </row>
    <row r="90" spans="1:43" ht="12.75" x14ac:dyDescent="0.35">
      <c r="A90" s="41" t="s">
        <v>504</v>
      </c>
      <c r="B90" s="95"/>
      <c r="C90" s="95"/>
      <c r="D90" s="95"/>
      <c r="E90" s="95"/>
      <c r="F90" s="95"/>
      <c r="G90" s="95"/>
      <c r="H90" s="95"/>
      <c r="I90" s="95"/>
      <c r="J90" s="95"/>
      <c r="K90" s="95"/>
      <c r="L90" s="95"/>
      <c r="M90" s="95"/>
      <c r="N90" s="95"/>
      <c r="O90" s="95"/>
      <c r="P90" s="95"/>
      <c r="Q90" s="95"/>
      <c r="R90" s="95"/>
      <c r="S90" s="95"/>
      <c r="T90" s="95"/>
      <c r="U90" s="95"/>
      <c r="V90" s="95"/>
      <c r="W90" s="95"/>
      <c r="X90" s="95"/>
      <c r="Y90" s="95"/>
      <c r="Z90" s="95"/>
      <c r="AA90" s="95"/>
      <c r="AB90" s="95"/>
      <c r="AC90" s="95"/>
      <c r="AD90" s="95"/>
      <c r="AE90" s="95"/>
      <c r="AF90" s="95"/>
      <c r="AG90" s="95"/>
      <c r="AH90" s="95"/>
      <c r="AI90" s="95"/>
      <c r="AJ90" s="95"/>
      <c r="AK90" s="95"/>
      <c r="AL90" s="95"/>
      <c r="AM90" s="95"/>
      <c r="AN90" s="95"/>
      <c r="AO90" s="95"/>
      <c r="AP90" s="95"/>
      <c r="AQ90" s="95"/>
    </row>
    <row r="91" spans="1:43" ht="12.75" x14ac:dyDescent="0.35">
      <c r="A91" s="41" t="s">
        <v>507</v>
      </c>
      <c r="B91" s="95"/>
      <c r="C91" s="95"/>
      <c r="D91" s="95"/>
      <c r="E91" s="95"/>
      <c r="F91" s="95"/>
      <c r="G91" s="95"/>
      <c r="H91" s="95"/>
      <c r="I91" s="95"/>
      <c r="J91" s="95"/>
      <c r="K91" s="95"/>
      <c r="L91" s="95"/>
      <c r="M91" s="95"/>
      <c r="N91" s="95"/>
      <c r="O91" s="95"/>
      <c r="P91" s="95"/>
      <c r="Q91" s="95"/>
      <c r="R91" s="95"/>
      <c r="S91" s="95"/>
      <c r="T91" s="95"/>
      <c r="U91" s="95"/>
      <c r="V91" s="95"/>
      <c r="W91" s="95"/>
      <c r="X91" s="95"/>
      <c r="Y91" s="95"/>
      <c r="Z91" s="95"/>
      <c r="AA91" s="95"/>
      <c r="AB91" s="95"/>
      <c r="AC91" s="95"/>
      <c r="AD91" s="95"/>
      <c r="AE91" s="95"/>
      <c r="AF91" s="95"/>
      <c r="AG91" s="95"/>
      <c r="AH91" s="95"/>
      <c r="AI91" s="95"/>
      <c r="AJ91" s="95"/>
      <c r="AK91" s="95"/>
      <c r="AL91" s="95"/>
      <c r="AM91" s="95"/>
      <c r="AN91" s="95"/>
      <c r="AO91" s="95"/>
      <c r="AP91" s="95"/>
      <c r="AQ91" s="95"/>
    </row>
    <row r="92" spans="1:43" ht="12.75" x14ac:dyDescent="0.35">
      <c r="A92" s="41" t="s">
        <v>510</v>
      </c>
      <c r="B92" s="95"/>
      <c r="C92" s="95"/>
      <c r="D92" s="95"/>
      <c r="E92" s="95"/>
      <c r="F92" s="95"/>
      <c r="G92" s="95"/>
      <c r="H92" s="95"/>
      <c r="I92" s="95"/>
      <c r="J92" s="95"/>
      <c r="K92" s="95"/>
      <c r="L92" s="95"/>
      <c r="M92" s="95"/>
      <c r="N92" s="95"/>
      <c r="O92" s="95"/>
      <c r="P92" s="95"/>
      <c r="Q92" s="95"/>
      <c r="R92" s="95"/>
      <c r="S92" s="95"/>
      <c r="T92" s="95"/>
      <c r="U92" s="95"/>
      <c r="V92" s="95"/>
      <c r="W92" s="95"/>
      <c r="X92" s="95"/>
      <c r="Y92" s="95"/>
      <c r="Z92" s="95"/>
      <c r="AA92" s="95"/>
      <c r="AB92" s="95"/>
      <c r="AC92" s="95"/>
      <c r="AD92" s="95"/>
      <c r="AE92" s="95"/>
      <c r="AF92" s="95"/>
      <c r="AG92" s="95"/>
      <c r="AH92" s="95"/>
      <c r="AI92" s="95"/>
      <c r="AJ92" s="95"/>
      <c r="AK92" s="95"/>
      <c r="AL92" s="95"/>
      <c r="AM92" s="95"/>
      <c r="AN92" s="95"/>
      <c r="AO92" s="95"/>
      <c r="AP92" s="95"/>
      <c r="AQ92" s="95"/>
    </row>
    <row r="93" spans="1:43" ht="12.75" x14ac:dyDescent="0.35">
      <c r="A93" s="41" t="s">
        <v>513</v>
      </c>
      <c r="B93" s="95"/>
      <c r="C93" s="95"/>
      <c r="D93" s="95"/>
      <c r="E93" s="95"/>
      <c r="F93" s="95"/>
      <c r="G93" s="95"/>
      <c r="H93" s="95"/>
      <c r="I93" s="95"/>
      <c r="J93" s="95"/>
      <c r="K93" s="95"/>
      <c r="L93" s="95"/>
      <c r="M93" s="95"/>
      <c r="N93" s="95"/>
      <c r="O93" s="95"/>
      <c r="P93" s="95"/>
      <c r="Q93" s="95"/>
      <c r="R93" s="95"/>
      <c r="S93" s="95"/>
      <c r="T93" s="95"/>
      <c r="U93" s="95"/>
      <c r="V93" s="95"/>
      <c r="W93" s="95"/>
      <c r="X93" s="95"/>
      <c r="Y93" s="95"/>
      <c r="Z93" s="95"/>
      <c r="AA93" s="95"/>
      <c r="AB93" s="95"/>
      <c r="AC93" s="95"/>
      <c r="AD93" s="95"/>
      <c r="AE93" s="95"/>
      <c r="AF93" s="95"/>
      <c r="AG93" s="95"/>
      <c r="AH93" s="95"/>
      <c r="AI93" s="95"/>
      <c r="AJ93" s="95"/>
      <c r="AK93" s="95"/>
      <c r="AL93" s="95"/>
      <c r="AM93" s="95"/>
      <c r="AN93" s="95"/>
      <c r="AO93" s="95"/>
      <c r="AP93" s="95"/>
      <c r="AQ93" s="95"/>
    </row>
    <row r="94" spans="1:43" ht="12.75" x14ac:dyDescent="0.35">
      <c r="A94" s="41" t="s">
        <v>516</v>
      </c>
      <c r="B94" s="95"/>
      <c r="C94" s="95"/>
      <c r="D94" s="95"/>
      <c r="E94" s="95"/>
      <c r="F94" s="95"/>
      <c r="G94" s="95"/>
      <c r="H94" s="95"/>
      <c r="I94" s="95"/>
      <c r="J94" s="95"/>
      <c r="K94" s="95"/>
      <c r="L94" s="95"/>
      <c r="M94" s="95"/>
      <c r="N94" s="95"/>
      <c r="O94" s="95"/>
      <c r="P94" s="95"/>
      <c r="Q94" s="95"/>
      <c r="R94" s="95"/>
      <c r="S94" s="95"/>
      <c r="T94" s="95"/>
      <c r="U94" s="95"/>
      <c r="V94" s="95"/>
      <c r="W94" s="95"/>
      <c r="X94" s="95"/>
      <c r="Y94" s="95"/>
      <c r="Z94" s="95"/>
      <c r="AA94" s="95"/>
      <c r="AB94" s="95"/>
      <c r="AC94" s="95"/>
      <c r="AD94" s="95"/>
      <c r="AE94" s="95"/>
      <c r="AF94" s="95"/>
      <c r="AG94" s="95"/>
      <c r="AH94" s="95"/>
      <c r="AI94" s="95"/>
      <c r="AJ94" s="95"/>
      <c r="AK94" s="95"/>
      <c r="AL94" s="95"/>
      <c r="AM94" s="95"/>
      <c r="AN94" s="95"/>
      <c r="AO94" s="95"/>
      <c r="AP94" s="95"/>
      <c r="AQ94" s="95"/>
    </row>
    <row r="95" spans="1:43" ht="12.75" x14ac:dyDescent="0.35">
      <c r="A95" s="41" t="s">
        <v>519</v>
      </c>
      <c r="B95" s="95"/>
      <c r="C95" s="95"/>
      <c r="D95" s="95"/>
      <c r="E95" s="95"/>
      <c r="F95" s="95"/>
      <c r="G95" s="95"/>
      <c r="H95" s="95"/>
      <c r="I95" s="95"/>
      <c r="J95" s="95"/>
      <c r="K95" s="95"/>
      <c r="L95" s="95"/>
      <c r="M95" s="95"/>
      <c r="N95" s="95"/>
      <c r="O95" s="95"/>
      <c r="P95" s="95"/>
      <c r="Q95" s="95"/>
      <c r="R95" s="95"/>
      <c r="S95" s="95"/>
      <c r="T95" s="95"/>
      <c r="U95" s="95"/>
      <c r="V95" s="95"/>
      <c r="W95" s="95"/>
      <c r="X95" s="95"/>
      <c r="Y95" s="95"/>
      <c r="Z95" s="95"/>
      <c r="AA95" s="95"/>
      <c r="AB95" s="95"/>
      <c r="AC95" s="95"/>
      <c r="AD95" s="95"/>
      <c r="AE95" s="95"/>
      <c r="AF95" s="95"/>
      <c r="AG95" s="95"/>
      <c r="AH95" s="95"/>
      <c r="AI95" s="95"/>
      <c r="AJ95" s="95"/>
      <c r="AK95" s="95"/>
      <c r="AL95" s="95"/>
      <c r="AM95" s="95"/>
      <c r="AN95" s="95"/>
      <c r="AO95" s="95"/>
      <c r="AP95" s="95"/>
      <c r="AQ95" s="95"/>
    </row>
    <row r="96" spans="1:43" ht="12.75" x14ac:dyDescent="0.35">
      <c r="A96" s="41" t="s">
        <v>522</v>
      </c>
      <c r="B96" s="95"/>
      <c r="C96" s="95"/>
      <c r="D96" s="95"/>
      <c r="E96" s="95"/>
      <c r="F96" s="95"/>
      <c r="G96" s="95"/>
      <c r="H96" s="95"/>
      <c r="I96" s="95"/>
      <c r="J96" s="95"/>
      <c r="K96" s="95"/>
      <c r="L96" s="95"/>
      <c r="M96" s="95"/>
      <c r="N96" s="95"/>
      <c r="O96" s="95"/>
      <c r="P96" s="95"/>
      <c r="Q96" s="95"/>
      <c r="R96" s="95"/>
      <c r="S96" s="95"/>
      <c r="T96" s="95"/>
      <c r="U96" s="95"/>
      <c r="V96" s="95"/>
      <c r="W96" s="95"/>
      <c r="X96" s="95"/>
      <c r="Y96" s="95"/>
      <c r="Z96" s="95"/>
      <c r="AA96" s="95"/>
      <c r="AB96" s="95"/>
      <c r="AC96" s="95"/>
      <c r="AD96" s="95"/>
      <c r="AE96" s="95"/>
      <c r="AF96" s="95"/>
      <c r="AG96" s="95"/>
      <c r="AH96" s="95"/>
      <c r="AI96" s="95"/>
      <c r="AJ96" s="95"/>
      <c r="AK96" s="95"/>
      <c r="AL96" s="95"/>
      <c r="AM96" s="95"/>
      <c r="AN96" s="95"/>
      <c r="AO96" s="95"/>
      <c r="AP96" s="95"/>
      <c r="AQ96" s="95"/>
    </row>
    <row r="97" spans="1:43" ht="12.75" x14ac:dyDescent="0.35">
      <c r="A97" s="41" t="s">
        <v>525</v>
      </c>
      <c r="B97" s="95"/>
      <c r="C97" s="95"/>
      <c r="D97" s="95"/>
      <c r="E97" s="95"/>
      <c r="F97" s="95"/>
      <c r="G97" s="95"/>
      <c r="H97" s="95"/>
      <c r="I97" s="95"/>
      <c r="J97" s="95"/>
      <c r="K97" s="95"/>
      <c r="L97" s="95"/>
      <c r="M97" s="95"/>
      <c r="N97" s="95"/>
      <c r="O97" s="95"/>
      <c r="P97" s="95"/>
      <c r="Q97" s="95"/>
      <c r="R97" s="95"/>
      <c r="S97" s="95"/>
      <c r="T97" s="95"/>
      <c r="U97" s="95"/>
      <c r="V97" s="95"/>
      <c r="W97" s="95"/>
      <c r="X97" s="95"/>
      <c r="Y97" s="95"/>
      <c r="Z97" s="95"/>
      <c r="AA97" s="95"/>
      <c r="AB97" s="95"/>
      <c r="AC97" s="95"/>
      <c r="AD97" s="95"/>
      <c r="AE97" s="95"/>
      <c r="AF97" s="95"/>
      <c r="AG97" s="95"/>
      <c r="AH97" s="95"/>
      <c r="AI97" s="95"/>
      <c r="AJ97" s="95"/>
      <c r="AK97" s="95"/>
      <c r="AL97" s="95"/>
      <c r="AM97" s="95"/>
      <c r="AN97" s="95"/>
      <c r="AO97" s="95"/>
      <c r="AP97" s="95"/>
      <c r="AQ97" s="95"/>
    </row>
    <row r="98" spans="1:43" ht="12.75" x14ac:dyDescent="0.35">
      <c r="A98" s="41" t="s">
        <v>527</v>
      </c>
      <c r="B98" s="95"/>
      <c r="C98" s="95"/>
      <c r="D98" s="95"/>
      <c r="E98" s="95"/>
      <c r="F98" s="95"/>
      <c r="G98" s="95"/>
      <c r="H98" s="95"/>
      <c r="I98" s="95"/>
      <c r="J98" s="95"/>
      <c r="K98" s="95"/>
      <c r="L98" s="95"/>
      <c r="M98" s="95"/>
      <c r="N98" s="95"/>
      <c r="O98" s="95"/>
      <c r="P98" s="95"/>
      <c r="Q98" s="95"/>
      <c r="R98" s="95"/>
      <c r="S98" s="95"/>
      <c r="T98" s="95"/>
      <c r="U98" s="95"/>
      <c r="V98" s="95"/>
      <c r="W98" s="95"/>
      <c r="X98" s="95"/>
      <c r="Y98" s="95"/>
      <c r="Z98" s="95"/>
      <c r="AA98" s="95"/>
      <c r="AB98" s="95"/>
      <c r="AC98" s="95"/>
      <c r="AD98" s="95"/>
      <c r="AE98" s="95"/>
      <c r="AF98" s="95"/>
      <c r="AG98" s="95"/>
      <c r="AH98" s="95"/>
      <c r="AI98" s="95"/>
      <c r="AJ98" s="95"/>
      <c r="AK98" s="95"/>
      <c r="AL98" s="95"/>
      <c r="AM98" s="95"/>
      <c r="AN98" s="95"/>
      <c r="AO98" s="95"/>
      <c r="AP98" s="95"/>
      <c r="AQ98" s="95"/>
    </row>
    <row r="99" spans="1:43" ht="12.75" x14ac:dyDescent="0.35">
      <c r="A99" s="41" t="s">
        <v>530</v>
      </c>
      <c r="B99" s="95"/>
      <c r="C99" s="95"/>
      <c r="D99" s="95"/>
      <c r="E99" s="95"/>
      <c r="F99" s="95"/>
      <c r="G99" s="95"/>
      <c r="H99" s="95"/>
      <c r="I99" s="95"/>
      <c r="J99" s="95"/>
      <c r="K99" s="95"/>
      <c r="L99" s="95"/>
      <c r="M99" s="95"/>
      <c r="N99" s="95"/>
      <c r="O99" s="95"/>
      <c r="P99" s="95"/>
      <c r="Q99" s="95"/>
      <c r="R99" s="95"/>
      <c r="S99" s="95"/>
      <c r="T99" s="95"/>
      <c r="U99" s="95"/>
      <c r="V99" s="95"/>
      <c r="W99" s="95"/>
      <c r="X99" s="95"/>
      <c r="Y99" s="95"/>
      <c r="Z99" s="95"/>
      <c r="AA99" s="95"/>
      <c r="AB99" s="95"/>
      <c r="AC99" s="95"/>
      <c r="AD99" s="95"/>
      <c r="AE99" s="95"/>
      <c r="AF99" s="95"/>
      <c r="AG99" s="95"/>
      <c r="AH99" s="95"/>
      <c r="AI99" s="95"/>
      <c r="AJ99" s="95"/>
      <c r="AK99" s="95"/>
      <c r="AL99" s="95"/>
      <c r="AM99" s="95"/>
      <c r="AN99" s="95"/>
      <c r="AO99" s="95"/>
      <c r="AP99" s="95"/>
      <c r="AQ99" s="95"/>
    </row>
    <row r="100" spans="1:43" ht="12.75" x14ac:dyDescent="0.35">
      <c r="A100" s="41" t="s">
        <v>533</v>
      </c>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c r="AA100" s="95"/>
      <c r="AB100" s="95"/>
      <c r="AC100" s="95"/>
      <c r="AD100" s="95"/>
      <c r="AE100" s="95"/>
      <c r="AF100" s="95"/>
      <c r="AG100" s="95"/>
      <c r="AH100" s="95"/>
      <c r="AI100" s="95"/>
      <c r="AJ100" s="95"/>
      <c r="AK100" s="95"/>
      <c r="AL100" s="95"/>
      <c r="AM100" s="95"/>
      <c r="AN100" s="95"/>
      <c r="AO100" s="95"/>
      <c r="AP100" s="95"/>
      <c r="AQ100" s="95"/>
    </row>
    <row r="101" spans="1:43" ht="12.75" x14ac:dyDescent="0.35">
      <c r="A101" s="41" t="s">
        <v>535</v>
      </c>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c r="AA101" s="95"/>
      <c r="AB101" s="95"/>
      <c r="AC101" s="95"/>
      <c r="AD101" s="95"/>
      <c r="AE101" s="95"/>
      <c r="AF101" s="95"/>
      <c r="AG101" s="95"/>
      <c r="AH101" s="95"/>
      <c r="AI101" s="95"/>
      <c r="AJ101" s="95"/>
      <c r="AK101" s="95"/>
      <c r="AL101" s="95"/>
      <c r="AM101" s="95"/>
      <c r="AN101" s="95"/>
      <c r="AO101" s="95"/>
      <c r="AP101" s="95"/>
      <c r="AQ101" s="95"/>
    </row>
    <row r="102" spans="1:43" ht="12.75" x14ac:dyDescent="0.35">
      <c r="A102" s="41" t="s">
        <v>538</v>
      </c>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c r="AA102" s="95"/>
      <c r="AB102" s="95"/>
      <c r="AC102" s="95"/>
      <c r="AD102" s="95"/>
      <c r="AE102" s="95"/>
      <c r="AF102" s="95"/>
      <c r="AG102" s="95"/>
      <c r="AH102" s="95"/>
      <c r="AI102" s="95"/>
      <c r="AJ102" s="95"/>
      <c r="AK102" s="95"/>
      <c r="AL102" s="95"/>
      <c r="AM102" s="95"/>
      <c r="AN102" s="95"/>
      <c r="AO102" s="95"/>
      <c r="AP102" s="95"/>
      <c r="AQ102" s="95"/>
    </row>
    <row r="103" spans="1:43" ht="12.75" x14ac:dyDescent="0.35">
      <c r="A103" s="41" t="s">
        <v>540</v>
      </c>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c r="AA103" s="95"/>
      <c r="AB103" s="95"/>
      <c r="AC103" s="95"/>
      <c r="AD103" s="95"/>
      <c r="AE103" s="95"/>
      <c r="AF103" s="95"/>
      <c r="AG103" s="95"/>
      <c r="AH103" s="95"/>
      <c r="AI103" s="95"/>
      <c r="AJ103" s="95"/>
      <c r="AK103" s="95"/>
      <c r="AL103" s="95"/>
      <c r="AM103" s="95"/>
      <c r="AN103" s="95"/>
      <c r="AO103" s="95"/>
      <c r="AP103" s="95"/>
      <c r="AQ103" s="95"/>
    </row>
    <row r="104" spans="1:43" ht="12.75" x14ac:dyDescent="0.35">
      <c r="A104" s="41" t="s">
        <v>543</v>
      </c>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c r="AA104" s="95"/>
      <c r="AB104" s="95"/>
      <c r="AC104" s="95"/>
      <c r="AD104" s="95"/>
      <c r="AE104" s="95"/>
      <c r="AF104" s="95"/>
      <c r="AG104" s="95"/>
      <c r="AH104" s="95"/>
      <c r="AI104" s="95"/>
      <c r="AJ104" s="95"/>
      <c r="AK104" s="95"/>
      <c r="AL104" s="95"/>
      <c r="AM104" s="95"/>
      <c r="AN104" s="95"/>
      <c r="AO104" s="95"/>
      <c r="AP104" s="95"/>
      <c r="AQ104" s="95"/>
    </row>
    <row r="105" spans="1:43" ht="12.75" x14ac:dyDescent="0.35">
      <c r="A105" s="41" t="s">
        <v>546</v>
      </c>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c r="AA105" s="95"/>
      <c r="AB105" s="95"/>
      <c r="AC105" s="95"/>
      <c r="AD105" s="95"/>
      <c r="AE105" s="95"/>
      <c r="AF105" s="95"/>
      <c r="AG105" s="95"/>
      <c r="AH105" s="95"/>
      <c r="AI105" s="95"/>
      <c r="AJ105" s="95"/>
      <c r="AK105" s="95"/>
      <c r="AL105" s="95"/>
      <c r="AM105" s="95"/>
      <c r="AN105" s="95"/>
      <c r="AO105" s="95"/>
      <c r="AP105" s="95"/>
      <c r="AQ105" s="95"/>
    </row>
    <row r="106" spans="1:43" ht="12.75" x14ac:dyDescent="0.35">
      <c r="A106" s="41" t="s">
        <v>549</v>
      </c>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c r="AA106" s="95"/>
      <c r="AB106" s="95"/>
      <c r="AC106" s="95"/>
      <c r="AD106" s="95"/>
      <c r="AE106" s="95"/>
      <c r="AF106" s="95"/>
      <c r="AG106" s="95"/>
      <c r="AH106" s="95"/>
      <c r="AI106" s="95"/>
      <c r="AJ106" s="95"/>
      <c r="AK106" s="95"/>
      <c r="AL106" s="95"/>
      <c r="AM106" s="95"/>
      <c r="AN106" s="95"/>
      <c r="AO106" s="95"/>
      <c r="AP106" s="95"/>
      <c r="AQ106" s="95"/>
    </row>
    <row r="107" spans="1:43" ht="12.75" x14ac:dyDescent="0.35">
      <c r="A107" s="41" t="s">
        <v>552</v>
      </c>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c r="AA107" s="95"/>
      <c r="AB107" s="95"/>
      <c r="AC107" s="95"/>
      <c r="AD107" s="95"/>
      <c r="AE107" s="95"/>
      <c r="AF107" s="95"/>
      <c r="AG107" s="95"/>
      <c r="AH107" s="95"/>
      <c r="AI107" s="95"/>
      <c r="AJ107" s="95"/>
      <c r="AK107" s="95"/>
      <c r="AL107" s="95"/>
      <c r="AM107" s="95"/>
      <c r="AN107" s="95"/>
      <c r="AO107" s="95"/>
      <c r="AP107" s="95"/>
      <c r="AQ107" s="95"/>
    </row>
    <row r="108" spans="1:43" ht="12.75" x14ac:dyDescent="0.35">
      <c r="A108" s="41" t="s">
        <v>555</v>
      </c>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c r="AA108" s="95"/>
      <c r="AB108" s="95"/>
      <c r="AC108" s="95"/>
      <c r="AD108" s="95"/>
      <c r="AE108" s="95"/>
      <c r="AF108" s="95"/>
      <c r="AG108" s="95"/>
      <c r="AH108" s="95"/>
      <c r="AI108" s="95"/>
      <c r="AJ108" s="95"/>
      <c r="AK108" s="95"/>
      <c r="AL108" s="95"/>
      <c r="AM108" s="95"/>
      <c r="AN108" s="95"/>
      <c r="AO108" s="95"/>
      <c r="AP108" s="95"/>
      <c r="AQ108" s="95"/>
    </row>
    <row r="109" spans="1:43" ht="12.75" x14ac:dyDescent="0.35">
      <c r="A109" s="41" t="s">
        <v>558</v>
      </c>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c r="AA109" s="95"/>
      <c r="AB109" s="95"/>
      <c r="AC109" s="95"/>
      <c r="AD109" s="95"/>
      <c r="AE109" s="95"/>
      <c r="AF109" s="95"/>
      <c r="AG109" s="95"/>
      <c r="AH109" s="95"/>
      <c r="AI109" s="95"/>
      <c r="AJ109" s="95"/>
      <c r="AK109" s="95"/>
      <c r="AL109" s="95"/>
      <c r="AM109" s="95"/>
      <c r="AN109" s="95"/>
      <c r="AO109" s="95"/>
      <c r="AP109" s="95"/>
      <c r="AQ109" s="95"/>
    </row>
    <row r="110" spans="1:43" ht="12.75" x14ac:dyDescent="0.35">
      <c r="A110" s="41" t="s">
        <v>561</v>
      </c>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c r="AA110" s="95"/>
      <c r="AB110" s="95"/>
      <c r="AC110" s="95"/>
      <c r="AD110" s="95"/>
      <c r="AE110" s="95"/>
      <c r="AF110" s="95"/>
      <c r="AG110" s="95"/>
      <c r="AH110" s="95"/>
      <c r="AI110" s="95"/>
      <c r="AJ110" s="95"/>
      <c r="AK110" s="95"/>
      <c r="AL110" s="95"/>
      <c r="AM110" s="95"/>
      <c r="AN110" s="95"/>
      <c r="AO110" s="95"/>
      <c r="AP110" s="95"/>
      <c r="AQ110" s="95"/>
    </row>
    <row r="111" spans="1:43" ht="12.75" x14ac:dyDescent="0.35">
      <c r="A111" s="41" t="s">
        <v>564</v>
      </c>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c r="AA111" s="95"/>
      <c r="AB111" s="95"/>
      <c r="AC111" s="95"/>
      <c r="AD111" s="95"/>
      <c r="AE111" s="95"/>
      <c r="AF111" s="95"/>
      <c r="AG111" s="95"/>
      <c r="AH111" s="95"/>
      <c r="AI111" s="95"/>
      <c r="AJ111" s="95"/>
      <c r="AK111" s="95"/>
      <c r="AL111" s="95"/>
      <c r="AM111" s="95"/>
      <c r="AN111" s="95"/>
      <c r="AO111" s="95"/>
      <c r="AP111" s="95"/>
      <c r="AQ111" s="95"/>
    </row>
    <row r="112" spans="1:43" ht="12.75" x14ac:dyDescent="0.35">
      <c r="A112" s="41" t="s">
        <v>567</v>
      </c>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c r="AA112" s="95"/>
      <c r="AB112" s="95"/>
      <c r="AC112" s="95"/>
      <c r="AD112" s="95"/>
      <c r="AE112" s="95"/>
      <c r="AF112" s="95"/>
      <c r="AG112" s="95"/>
      <c r="AH112" s="95"/>
      <c r="AI112" s="95"/>
      <c r="AJ112" s="95"/>
      <c r="AK112" s="95"/>
      <c r="AL112" s="95"/>
      <c r="AM112" s="95"/>
      <c r="AN112" s="95"/>
      <c r="AO112" s="95"/>
      <c r="AP112" s="95"/>
      <c r="AQ112" s="95"/>
    </row>
    <row r="113" spans="1:43" ht="12.75" x14ac:dyDescent="0.35">
      <c r="A113" s="41" t="s">
        <v>570</v>
      </c>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c r="AA113" s="95"/>
      <c r="AB113" s="95"/>
      <c r="AC113" s="95"/>
      <c r="AD113" s="95"/>
      <c r="AE113" s="95"/>
      <c r="AF113" s="95"/>
      <c r="AG113" s="95"/>
      <c r="AH113" s="95"/>
      <c r="AI113" s="95"/>
      <c r="AJ113" s="95"/>
      <c r="AK113" s="95"/>
      <c r="AL113" s="95"/>
      <c r="AM113" s="95"/>
      <c r="AN113" s="95"/>
      <c r="AO113" s="95"/>
      <c r="AP113" s="95"/>
      <c r="AQ113" s="95"/>
    </row>
    <row r="114" spans="1:43" ht="12.75" x14ac:dyDescent="0.35">
      <c r="A114" s="41" t="s">
        <v>573</v>
      </c>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c r="AA114" s="95"/>
      <c r="AB114" s="95"/>
      <c r="AC114" s="95"/>
      <c r="AD114" s="95"/>
      <c r="AE114" s="95"/>
      <c r="AF114" s="95"/>
      <c r="AG114" s="95"/>
      <c r="AH114" s="95"/>
      <c r="AI114" s="95"/>
      <c r="AJ114" s="95"/>
      <c r="AK114" s="95"/>
      <c r="AL114" s="95"/>
      <c r="AM114" s="95"/>
      <c r="AN114" s="95"/>
      <c r="AO114" s="95"/>
      <c r="AP114" s="95"/>
      <c r="AQ114" s="95"/>
    </row>
    <row r="115" spans="1:43" ht="12.75" x14ac:dyDescent="0.35">
      <c r="A115" s="41" t="s">
        <v>576</v>
      </c>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c r="AA115" s="95"/>
      <c r="AB115" s="95"/>
      <c r="AC115" s="95"/>
      <c r="AD115" s="95"/>
      <c r="AE115" s="95"/>
      <c r="AF115" s="95"/>
      <c r="AG115" s="95"/>
      <c r="AH115" s="95"/>
      <c r="AI115" s="95"/>
      <c r="AJ115" s="95"/>
      <c r="AK115" s="95"/>
      <c r="AL115" s="95"/>
      <c r="AM115" s="95"/>
      <c r="AN115" s="95"/>
      <c r="AO115" s="95"/>
      <c r="AP115" s="95"/>
      <c r="AQ115" s="95"/>
    </row>
    <row r="116" spans="1:43" ht="12.75" x14ac:dyDescent="0.35">
      <c r="A116" s="41" t="s">
        <v>579</v>
      </c>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c r="AA116" s="95"/>
      <c r="AB116" s="95"/>
      <c r="AC116" s="95"/>
      <c r="AD116" s="95"/>
      <c r="AE116" s="95"/>
      <c r="AF116" s="95"/>
      <c r="AG116" s="95"/>
      <c r="AH116" s="95"/>
      <c r="AI116" s="95"/>
      <c r="AJ116" s="95"/>
      <c r="AK116" s="95"/>
      <c r="AL116" s="95"/>
      <c r="AM116" s="95"/>
      <c r="AN116" s="95"/>
      <c r="AO116" s="95"/>
      <c r="AP116" s="95"/>
      <c r="AQ116" s="95"/>
    </row>
    <row r="117" spans="1:43" ht="12.75" x14ac:dyDescent="0.35">
      <c r="A117" s="41" t="s">
        <v>582</v>
      </c>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c r="AA117" s="95"/>
      <c r="AB117" s="95"/>
      <c r="AC117" s="95"/>
      <c r="AD117" s="95"/>
      <c r="AE117" s="95"/>
      <c r="AF117" s="95"/>
      <c r="AG117" s="95"/>
      <c r="AH117" s="95"/>
      <c r="AI117" s="95"/>
      <c r="AJ117" s="95"/>
      <c r="AK117" s="95"/>
      <c r="AL117" s="95"/>
      <c r="AM117" s="95"/>
      <c r="AN117" s="95"/>
      <c r="AO117" s="95"/>
      <c r="AP117" s="95"/>
      <c r="AQ117" s="95"/>
    </row>
    <row r="118" spans="1:43" ht="12.75" x14ac:dyDescent="0.35">
      <c r="A118" s="41" t="s">
        <v>585</v>
      </c>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c r="AA118" s="95"/>
      <c r="AB118" s="95"/>
      <c r="AC118" s="95"/>
      <c r="AD118" s="95"/>
      <c r="AE118" s="95"/>
      <c r="AF118" s="95"/>
      <c r="AG118" s="95"/>
      <c r="AH118" s="95"/>
      <c r="AI118" s="95"/>
      <c r="AJ118" s="95"/>
      <c r="AK118" s="95"/>
      <c r="AL118" s="95"/>
      <c r="AM118" s="95"/>
      <c r="AN118" s="95"/>
      <c r="AO118" s="95"/>
      <c r="AP118" s="95"/>
      <c r="AQ118" s="95"/>
    </row>
    <row r="119" spans="1:43" ht="12.75" x14ac:dyDescent="0.35">
      <c r="A119" s="41" t="s">
        <v>588</v>
      </c>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c r="AA119" s="95"/>
      <c r="AB119" s="95"/>
      <c r="AC119" s="95"/>
      <c r="AD119" s="95"/>
      <c r="AE119" s="95"/>
      <c r="AF119" s="95"/>
      <c r="AG119" s="95"/>
      <c r="AH119" s="95"/>
      <c r="AI119" s="95"/>
      <c r="AJ119" s="95"/>
      <c r="AK119" s="95"/>
      <c r="AL119" s="95"/>
      <c r="AM119" s="95"/>
      <c r="AN119" s="95"/>
      <c r="AO119" s="95"/>
      <c r="AP119" s="95"/>
      <c r="AQ119" s="95"/>
    </row>
    <row r="120" spans="1:43" ht="12.75" x14ac:dyDescent="0.35">
      <c r="A120" s="41" t="s">
        <v>591</v>
      </c>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c r="AA120" s="95"/>
      <c r="AB120" s="95"/>
      <c r="AC120" s="95"/>
      <c r="AD120" s="95"/>
      <c r="AE120" s="95"/>
      <c r="AF120" s="95"/>
      <c r="AG120" s="95"/>
      <c r="AH120" s="95"/>
      <c r="AI120" s="95"/>
      <c r="AJ120" s="95"/>
      <c r="AK120" s="95"/>
      <c r="AL120" s="95"/>
      <c r="AM120" s="95"/>
      <c r="AN120" s="95"/>
      <c r="AO120" s="95"/>
      <c r="AP120" s="95"/>
      <c r="AQ120" s="95"/>
    </row>
    <row r="121" spans="1:43" ht="12.75" x14ac:dyDescent="0.35">
      <c r="A121" s="41" t="s">
        <v>594</v>
      </c>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c r="AA121" s="95"/>
      <c r="AB121" s="95"/>
      <c r="AC121" s="95"/>
      <c r="AD121" s="95"/>
      <c r="AE121" s="95"/>
      <c r="AF121" s="95"/>
      <c r="AG121" s="95"/>
      <c r="AH121" s="95"/>
      <c r="AI121" s="95"/>
      <c r="AJ121" s="95"/>
      <c r="AK121" s="95"/>
      <c r="AL121" s="95"/>
      <c r="AM121" s="95"/>
      <c r="AN121" s="95"/>
      <c r="AO121" s="95"/>
      <c r="AP121" s="95"/>
      <c r="AQ121" s="95"/>
    </row>
    <row r="122" spans="1:43" ht="12.75" x14ac:dyDescent="0.35">
      <c r="A122" s="41" t="s">
        <v>597</v>
      </c>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c r="AA122" s="95"/>
      <c r="AB122" s="95"/>
      <c r="AC122" s="95"/>
      <c r="AD122" s="95"/>
      <c r="AE122" s="95"/>
      <c r="AF122" s="95"/>
      <c r="AG122" s="95"/>
      <c r="AH122" s="95"/>
      <c r="AI122" s="95"/>
      <c r="AJ122" s="95"/>
      <c r="AK122" s="95"/>
      <c r="AL122" s="95"/>
      <c r="AM122" s="95"/>
      <c r="AN122" s="95"/>
      <c r="AO122" s="95"/>
      <c r="AP122" s="95"/>
      <c r="AQ122" s="95"/>
    </row>
    <row r="123" spans="1:43" ht="12.75" x14ac:dyDescent="0.35">
      <c r="A123" s="41" t="s">
        <v>600</v>
      </c>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c r="AA123" s="95"/>
      <c r="AB123" s="95"/>
      <c r="AC123" s="95"/>
      <c r="AD123" s="95"/>
      <c r="AE123" s="95"/>
      <c r="AF123" s="95"/>
      <c r="AG123" s="95"/>
      <c r="AH123" s="95"/>
      <c r="AI123" s="95"/>
      <c r="AJ123" s="95"/>
      <c r="AK123" s="95"/>
      <c r="AL123" s="95"/>
      <c r="AM123" s="95"/>
      <c r="AN123" s="95"/>
      <c r="AO123" s="95"/>
      <c r="AP123" s="95"/>
      <c r="AQ123" s="95"/>
    </row>
    <row r="124" spans="1:43" ht="12.75" x14ac:dyDescent="0.35">
      <c r="A124" s="41" t="s">
        <v>603</v>
      </c>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c r="AA124" s="95"/>
      <c r="AB124" s="95"/>
      <c r="AC124" s="95"/>
      <c r="AD124" s="95"/>
      <c r="AE124" s="95"/>
      <c r="AF124" s="95"/>
      <c r="AG124" s="95"/>
      <c r="AH124" s="95"/>
      <c r="AI124" s="95"/>
      <c r="AJ124" s="95"/>
      <c r="AK124" s="95"/>
      <c r="AL124" s="95"/>
      <c r="AM124" s="95"/>
      <c r="AN124" s="95"/>
      <c r="AO124" s="95"/>
      <c r="AP124" s="95"/>
      <c r="AQ124" s="95"/>
    </row>
    <row r="125" spans="1:43" ht="12.75" x14ac:dyDescent="0.35">
      <c r="A125" s="41" t="s">
        <v>606</v>
      </c>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c r="AA125" s="95"/>
      <c r="AB125" s="95"/>
      <c r="AC125" s="95"/>
      <c r="AD125" s="95"/>
      <c r="AE125" s="95"/>
      <c r="AF125" s="95"/>
      <c r="AG125" s="95"/>
      <c r="AH125" s="95"/>
      <c r="AI125" s="95"/>
      <c r="AJ125" s="95"/>
      <c r="AK125" s="95"/>
      <c r="AL125" s="95"/>
      <c r="AM125" s="95"/>
      <c r="AN125" s="95"/>
      <c r="AO125" s="95"/>
      <c r="AP125" s="95"/>
      <c r="AQ125" s="95"/>
    </row>
    <row r="126" spans="1:43" ht="12.75" x14ac:dyDescent="0.35">
      <c r="A126" s="41" t="s">
        <v>609</v>
      </c>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c r="AA126" s="95"/>
      <c r="AB126" s="95"/>
      <c r="AC126" s="95"/>
      <c r="AD126" s="95"/>
      <c r="AE126" s="95"/>
      <c r="AF126" s="95"/>
      <c r="AG126" s="95"/>
      <c r="AH126" s="95"/>
      <c r="AI126" s="95"/>
      <c r="AJ126" s="95"/>
      <c r="AK126" s="95"/>
      <c r="AL126" s="95"/>
      <c r="AM126" s="95"/>
      <c r="AN126" s="95"/>
      <c r="AO126" s="95"/>
      <c r="AP126" s="95"/>
      <c r="AQ126" s="95"/>
    </row>
    <row r="127" spans="1:43" ht="12.75" x14ac:dyDescent="0.35">
      <c r="A127" s="41" t="s">
        <v>612</v>
      </c>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c r="AA127" s="95"/>
      <c r="AB127" s="95"/>
      <c r="AC127" s="95"/>
      <c r="AD127" s="95"/>
      <c r="AE127" s="95"/>
      <c r="AF127" s="95"/>
      <c r="AG127" s="95"/>
      <c r="AH127" s="95"/>
      <c r="AI127" s="95"/>
      <c r="AJ127" s="95"/>
      <c r="AK127" s="95"/>
      <c r="AL127" s="95"/>
      <c r="AM127" s="95"/>
      <c r="AN127" s="95"/>
      <c r="AO127" s="95"/>
      <c r="AP127" s="95"/>
      <c r="AQ127" s="95"/>
    </row>
    <row r="128" spans="1:43" ht="12.75" x14ac:dyDescent="0.35">
      <c r="A128" s="41" t="s">
        <v>615</v>
      </c>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c r="AA128" s="95"/>
      <c r="AB128" s="95"/>
      <c r="AC128" s="95"/>
      <c r="AD128" s="95"/>
      <c r="AE128" s="95"/>
      <c r="AF128" s="95"/>
      <c r="AG128" s="95"/>
      <c r="AH128" s="95"/>
      <c r="AI128" s="95"/>
      <c r="AJ128" s="95"/>
      <c r="AK128" s="95"/>
      <c r="AL128" s="95"/>
      <c r="AM128" s="95"/>
      <c r="AN128" s="95"/>
      <c r="AO128" s="95"/>
      <c r="AP128" s="95"/>
      <c r="AQ128" s="95"/>
    </row>
    <row r="129" spans="1:43" ht="12.75" x14ac:dyDescent="0.35">
      <c r="A129" s="41" t="s">
        <v>618</v>
      </c>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c r="AA129" s="95"/>
      <c r="AB129" s="95"/>
      <c r="AC129" s="95"/>
      <c r="AD129" s="95"/>
      <c r="AE129" s="95"/>
      <c r="AF129" s="95"/>
      <c r="AG129" s="95"/>
      <c r="AH129" s="95"/>
      <c r="AI129" s="95"/>
      <c r="AJ129" s="95"/>
      <c r="AK129" s="95"/>
      <c r="AL129" s="95"/>
      <c r="AM129" s="95"/>
      <c r="AN129" s="95"/>
      <c r="AO129" s="95"/>
      <c r="AP129" s="95"/>
      <c r="AQ129" s="95"/>
    </row>
    <row r="130" spans="1:43" ht="12.75" x14ac:dyDescent="0.35">
      <c r="A130" s="41" t="s">
        <v>621</v>
      </c>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c r="AA130" s="95"/>
      <c r="AB130" s="95"/>
      <c r="AC130" s="95"/>
      <c r="AD130" s="95"/>
      <c r="AE130" s="95"/>
      <c r="AF130" s="95"/>
      <c r="AG130" s="95"/>
      <c r="AH130" s="95"/>
      <c r="AI130" s="95"/>
      <c r="AJ130" s="95"/>
      <c r="AK130" s="95"/>
      <c r="AL130" s="95"/>
      <c r="AM130" s="95"/>
      <c r="AN130" s="95"/>
      <c r="AO130" s="95"/>
      <c r="AP130" s="95"/>
      <c r="AQ130" s="95"/>
    </row>
    <row r="131" spans="1:43" ht="12.75" x14ac:dyDescent="0.35">
      <c r="A131" s="41" t="s">
        <v>624</v>
      </c>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c r="AA131" s="95"/>
      <c r="AB131" s="95"/>
      <c r="AC131" s="95"/>
      <c r="AD131" s="95"/>
      <c r="AE131" s="95"/>
      <c r="AF131" s="95"/>
      <c r="AG131" s="95"/>
      <c r="AH131" s="95"/>
      <c r="AI131" s="95"/>
      <c r="AJ131" s="95"/>
      <c r="AK131" s="95"/>
      <c r="AL131" s="95"/>
      <c r="AM131" s="95"/>
      <c r="AN131" s="95"/>
      <c r="AO131" s="95"/>
      <c r="AP131" s="95"/>
      <c r="AQ131" s="95"/>
    </row>
    <row r="132" spans="1:43" ht="12.75" x14ac:dyDescent="0.35">
      <c r="A132" s="41" t="s">
        <v>627</v>
      </c>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c r="AA132" s="95"/>
      <c r="AB132" s="95"/>
      <c r="AC132" s="95"/>
      <c r="AD132" s="95"/>
      <c r="AE132" s="95"/>
      <c r="AF132" s="95"/>
      <c r="AG132" s="95"/>
      <c r="AH132" s="95"/>
      <c r="AI132" s="95"/>
      <c r="AJ132" s="95"/>
      <c r="AK132" s="95"/>
      <c r="AL132" s="95"/>
      <c r="AM132" s="95"/>
      <c r="AN132" s="95"/>
      <c r="AO132" s="95"/>
      <c r="AP132" s="95"/>
      <c r="AQ132" s="95"/>
    </row>
    <row r="133" spans="1:43" ht="12.75" x14ac:dyDescent="0.35">
      <c r="A133" s="41" t="s">
        <v>630</v>
      </c>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c r="AA133" s="95"/>
      <c r="AB133" s="95"/>
      <c r="AC133" s="95"/>
      <c r="AD133" s="95"/>
      <c r="AE133" s="95"/>
      <c r="AF133" s="95"/>
      <c r="AG133" s="95"/>
      <c r="AH133" s="95"/>
      <c r="AI133" s="95"/>
      <c r="AJ133" s="95"/>
      <c r="AK133" s="95"/>
      <c r="AL133" s="95"/>
      <c r="AM133" s="95"/>
      <c r="AN133" s="95"/>
      <c r="AO133" s="95"/>
      <c r="AP133" s="95"/>
      <c r="AQ133" s="95"/>
    </row>
    <row r="134" spans="1:43" ht="12.75" x14ac:dyDescent="0.35">
      <c r="A134" s="41" t="s">
        <v>633</v>
      </c>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c r="AA134" s="95"/>
      <c r="AB134" s="95"/>
      <c r="AC134" s="95"/>
      <c r="AD134" s="95"/>
      <c r="AE134" s="95"/>
      <c r="AF134" s="95"/>
      <c r="AG134" s="95"/>
      <c r="AH134" s="95"/>
      <c r="AI134" s="95"/>
      <c r="AJ134" s="95"/>
      <c r="AK134" s="95"/>
      <c r="AL134" s="95"/>
      <c r="AM134" s="95"/>
      <c r="AN134" s="95"/>
      <c r="AO134" s="95"/>
      <c r="AP134" s="95"/>
      <c r="AQ134" s="95"/>
    </row>
    <row r="135" spans="1:43" ht="12.75" x14ac:dyDescent="0.35">
      <c r="A135" s="41" t="s">
        <v>636</v>
      </c>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c r="AA135" s="95"/>
      <c r="AB135" s="95"/>
      <c r="AC135" s="95"/>
      <c r="AD135" s="95"/>
      <c r="AE135" s="95"/>
      <c r="AF135" s="95"/>
      <c r="AG135" s="95"/>
      <c r="AH135" s="95"/>
      <c r="AI135" s="95"/>
      <c r="AJ135" s="95"/>
      <c r="AK135" s="95"/>
      <c r="AL135" s="95"/>
      <c r="AM135" s="95"/>
      <c r="AN135" s="95"/>
      <c r="AO135" s="95"/>
      <c r="AP135" s="95"/>
      <c r="AQ135" s="95"/>
    </row>
    <row r="136" spans="1:43" ht="12.75" x14ac:dyDescent="0.35">
      <c r="A136" s="41" t="s">
        <v>639</v>
      </c>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c r="AA136" s="95"/>
      <c r="AB136" s="95"/>
      <c r="AC136" s="95"/>
      <c r="AD136" s="95"/>
      <c r="AE136" s="95"/>
      <c r="AF136" s="95"/>
      <c r="AG136" s="95"/>
      <c r="AH136" s="95"/>
      <c r="AI136" s="95"/>
      <c r="AJ136" s="95"/>
      <c r="AK136" s="95"/>
      <c r="AL136" s="95"/>
      <c r="AM136" s="95"/>
      <c r="AN136" s="95"/>
      <c r="AO136" s="95"/>
      <c r="AP136" s="95"/>
      <c r="AQ136" s="95"/>
    </row>
    <row r="137" spans="1:43" ht="12.75" x14ac:dyDescent="0.35">
      <c r="A137" s="41" t="s">
        <v>641</v>
      </c>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c r="AA137" s="95"/>
      <c r="AB137" s="95"/>
      <c r="AC137" s="95"/>
      <c r="AD137" s="95"/>
      <c r="AE137" s="95"/>
      <c r="AF137" s="95"/>
      <c r="AG137" s="95"/>
      <c r="AH137" s="95"/>
      <c r="AI137" s="95"/>
      <c r="AJ137" s="95"/>
      <c r="AK137" s="95"/>
      <c r="AL137" s="95"/>
      <c r="AM137" s="95"/>
      <c r="AN137" s="95"/>
      <c r="AO137" s="95"/>
      <c r="AP137" s="95"/>
      <c r="AQ137" s="95"/>
    </row>
    <row r="138" spans="1:43" ht="12.75" x14ac:dyDescent="0.35">
      <c r="A138" s="41" t="s">
        <v>644</v>
      </c>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c r="AA138" s="95"/>
      <c r="AB138" s="95"/>
      <c r="AC138" s="95"/>
      <c r="AD138" s="95"/>
      <c r="AE138" s="95"/>
      <c r="AF138" s="95"/>
      <c r="AG138" s="95"/>
      <c r="AH138" s="95"/>
      <c r="AI138" s="95"/>
      <c r="AJ138" s="95"/>
      <c r="AK138" s="95"/>
      <c r="AL138" s="95"/>
      <c r="AM138" s="95"/>
      <c r="AN138" s="95"/>
      <c r="AO138" s="95"/>
      <c r="AP138" s="95"/>
      <c r="AQ138" s="95"/>
    </row>
    <row r="139" spans="1:43" ht="12.75" x14ac:dyDescent="0.35">
      <c r="A139" s="41" t="s">
        <v>647</v>
      </c>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c r="AA139" s="95"/>
      <c r="AB139" s="95"/>
      <c r="AC139" s="95"/>
      <c r="AD139" s="95"/>
      <c r="AE139" s="95"/>
      <c r="AF139" s="95"/>
      <c r="AG139" s="95"/>
      <c r="AH139" s="95"/>
      <c r="AI139" s="95"/>
      <c r="AJ139" s="95"/>
      <c r="AK139" s="95"/>
      <c r="AL139" s="95"/>
      <c r="AM139" s="95"/>
      <c r="AN139" s="95"/>
      <c r="AO139" s="95"/>
      <c r="AP139" s="95"/>
      <c r="AQ139" s="95"/>
    </row>
    <row r="140" spans="1:43" ht="12.75" x14ac:dyDescent="0.35">
      <c r="A140" s="41" t="s">
        <v>650</v>
      </c>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c r="AA140" s="95"/>
      <c r="AB140" s="95"/>
      <c r="AC140" s="95"/>
      <c r="AD140" s="95"/>
      <c r="AE140" s="95"/>
      <c r="AF140" s="95"/>
      <c r="AG140" s="95"/>
      <c r="AH140" s="95"/>
      <c r="AI140" s="95"/>
      <c r="AJ140" s="95"/>
      <c r="AK140" s="95"/>
      <c r="AL140" s="95"/>
      <c r="AM140" s="95"/>
      <c r="AN140" s="95"/>
      <c r="AO140" s="95"/>
      <c r="AP140" s="95"/>
      <c r="AQ140" s="95"/>
    </row>
    <row r="141" spans="1:43" ht="12.75" x14ac:dyDescent="0.35">
      <c r="A141" s="41" t="s">
        <v>653</v>
      </c>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c r="AA141" s="95"/>
      <c r="AB141" s="95"/>
      <c r="AC141" s="95"/>
      <c r="AD141" s="95"/>
      <c r="AE141" s="95"/>
      <c r="AF141" s="95"/>
      <c r="AG141" s="95"/>
      <c r="AH141" s="95"/>
      <c r="AI141" s="95"/>
      <c r="AJ141" s="95"/>
      <c r="AK141" s="95"/>
      <c r="AL141" s="95"/>
      <c r="AM141" s="95"/>
      <c r="AN141" s="95"/>
      <c r="AO141" s="95"/>
      <c r="AP141" s="95"/>
      <c r="AQ141" s="95"/>
    </row>
    <row r="142" spans="1:43" ht="12.75" x14ac:dyDescent="0.35">
      <c r="A142" s="41" t="s">
        <v>655</v>
      </c>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c r="AA142" s="95"/>
      <c r="AB142" s="95"/>
      <c r="AC142" s="95"/>
      <c r="AD142" s="95"/>
      <c r="AE142" s="95"/>
      <c r="AF142" s="95"/>
      <c r="AG142" s="95"/>
      <c r="AH142" s="95"/>
      <c r="AI142" s="95"/>
      <c r="AJ142" s="95"/>
      <c r="AK142" s="95"/>
      <c r="AL142" s="95"/>
      <c r="AM142" s="95"/>
      <c r="AN142" s="95"/>
      <c r="AO142" s="95"/>
      <c r="AP142" s="95"/>
      <c r="AQ142" s="95"/>
    </row>
    <row r="143" spans="1:43" ht="12.75" x14ac:dyDescent="0.35">
      <c r="A143" s="41" t="s">
        <v>658</v>
      </c>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c r="AA143" s="95"/>
      <c r="AB143" s="95"/>
      <c r="AC143" s="95"/>
      <c r="AD143" s="95"/>
      <c r="AE143" s="95"/>
      <c r="AF143" s="95"/>
      <c r="AG143" s="95"/>
      <c r="AH143" s="95"/>
      <c r="AI143" s="95"/>
      <c r="AJ143" s="95"/>
      <c r="AK143" s="95"/>
      <c r="AL143" s="95"/>
      <c r="AM143" s="95"/>
      <c r="AN143" s="95"/>
      <c r="AO143" s="95"/>
      <c r="AP143" s="95"/>
      <c r="AQ143" s="95"/>
    </row>
    <row r="144" spans="1:43" ht="12.75" x14ac:dyDescent="0.35">
      <c r="A144" s="41" t="s">
        <v>661</v>
      </c>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c r="AA144" s="95"/>
      <c r="AB144" s="95"/>
      <c r="AC144" s="95"/>
      <c r="AD144" s="95"/>
      <c r="AE144" s="95"/>
      <c r="AF144" s="95"/>
      <c r="AG144" s="95"/>
      <c r="AH144" s="95"/>
      <c r="AI144" s="95"/>
      <c r="AJ144" s="95"/>
      <c r="AK144" s="95"/>
      <c r="AL144" s="95"/>
      <c r="AM144" s="95"/>
      <c r="AN144" s="95"/>
      <c r="AO144" s="95"/>
      <c r="AP144" s="95"/>
      <c r="AQ144" s="95"/>
    </row>
    <row r="145" spans="1:43" ht="12.75" x14ac:dyDescent="0.35">
      <c r="A145" s="41" t="s">
        <v>664</v>
      </c>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5"/>
      <c r="AH145" s="95"/>
      <c r="AI145" s="95"/>
      <c r="AJ145" s="95"/>
      <c r="AK145" s="95"/>
      <c r="AL145" s="95"/>
      <c r="AM145" s="95"/>
      <c r="AN145" s="95"/>
      <c r="AO145" s="95"/>
      <c r="AP145" s="95"/>
      <c r="AQ145" s="95"/>
    </row>
    <row r="146" spans="1:43" ht="12.75" x14ac:dyDescent="0.35">
      <c r="A146" s="41" t="s">
        <v>667</v>
      </c>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5"/>
      <c r="AH146" s="95"/>
      <c r="AI146" s="95"/>
      <c r="AJ146" s="95"/>
      <c r="AK146" s="95"/>
      <c r="AL146" s="95"/>
      <c r="AM146" s="95"/>
      <c r="AN146" s="95"/>
      <c r="AO146" s="95"/>
      <c r="AP146" s="95"/>
      <c r="AQ146" s="95"/>
    </row>
    <row r="147" spans="1:43" ht="12.75" x14ac:dyDescent="0.35">
      <c r="A147" s="41" t="s">
        <v>670</v>
      </c>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5"/>
      <c r="AH147" s="95"/>
      <c r="AI147" s="95"/>
      <c r="AJ147" s="95"/>
      <c r="AK147" s="95"/>
      <c r="AL147" s="95"/>
      <c r="AM147" s="95"/>
      <c r="AN147" s="95"/>
      <c r="AO147" s="95"/>
      <c r="AP147" s="95"/>
      <c r="AQ147" s="95"/>
    </row>
    <row r="148" spans="1:43" ht="12.75" x14ac:dyDescent="0.35">
      <c r="A148" s="41" t="s">
        <v>673</v>
      </c>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c r="AA148" s="95"/>
      <c r="AB148" s="95"/>
      <c r="AC148" s="95"/>
      <c r="AD148" s="95"/>
      <c r="AE148" s="95"/>
      <c r="AF148" s="95"/>
      <c r="AG148" s="95"/>
      <c r="AH148" s="95"/>
      <c r="AI148" s="95"/>
      <c r="AJ148" s="95"/>
      <c r="AK148" s="95"/>
      <c r="AL148" s="95"/>
      <c r="AM148" s="95"/>
      <c r="AN148" s="95"/>
      <c r="AO148" s="95"/>
      <c r="AP148" s="95"/>
      <c r="AQ148" s="95"/>
    </row>
    <row r="149" spans="1:43" ht="12.75" x14ac:dyDescent="0.35">
      <c r="A149" s="41" t="s">
        <v>675</v>
      </c>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c r="AA149" s="95"/>
      <c r="AB149" s="95"/>
      <c r="AC149" s="95"/>
      <c r="AD149" s="95"/>
      <c r="AE149" s="95"/>
      <c r="AF149" s="95"/>
      <c r="AG149" s="95"/>
      <c r="AH149" s="95"/>
      <c r="AI149" s="95"/>
      <c r="AJ149" s="95"/>
      <c r="AK149" s="95"/>
      <c r="AL149" s="95"/>
      <c r="AM149" s="95"/>
      <c r="AN149" s="95"/>
      <c r="AO149" s="95"/>
      <c r="AP149" s="95"/>
      <c r="AQ149" s="95"/>
    </row>
    <row r="150" spans="1:43" ht="12.75" x14ac:dyDescent="0.35">
      <c r="A150" s="41" t="s">
        <v>678</v>
      </c>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c r="AA150" s="95"/>
      <c r="AB150" s="95"/>
      <c r="AC150" s="95"/>
      <c r="AD150" s="95"/>
      <c r="AE150" s="95"/>
      <c r="AF150" s="95"/>
      <c r="AG150" s="95"/>
      <c r="AH150" s="95"/>
      <c r="AI150" s="95"/>
      <c r="AJ150" s="95"/>
      <c r="AK150" s="95"/>
      <c r="AL150" s="95"/>
      <c r="AM150" s="95"/>
      <c r="AN150" s="95"/>
      <c r="AO150" s="95"/>
      <c r="AP150" s="95"/>
      <c r="AQ150" s="95"/>
    </row>
    <row r="151" spans="1:43" ht="12.75" x14ac:dyDescent="0.35">
      <c r="A151" s="41" t="s">
        <v>681</v>
      </c>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c r="AA151" s="95"/>
      <c r="AB151" s="95"/>
      <c r="AC151" s="95"/>
      <c r="AD151" s="95"/>
      <c r="AE151" s="95"/>
      <c r="AF151" s="95"/>
      <c r="AG151" s="95"/>
      <c r="AH151" s="95"/>
      <c r="AI151" s="95"/>
      <c r="AJ151" s="95"/>
      <c r="AK151" s="95"/>
      <c r="AL151" s="95"/>
      <c r="AM151" s="95"/>
      <c r="AN151" s="95"/>
      <c r="AO151" s="95"/>
      <c r="AP151" s="95"/>
      <c r="AQ151" s="95"/>
    </row>
    <row r="152" spans="1:43" ht="12.75" x14ac:dyDescent="0.35">
      <c r="A152" s="41" t="s">
        <v>684</v>
      </c>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c r="AA152" s="95"/>
      <c r="AB152" s="95"/>
      <c r="AC152" s="95"/>
      <c r="AD152" s="95"/>
      <c r="AE152" s="95"/>
      <c r="AF152" s="95"/>
      <c r="AG152" s="95"/>
      <c r="AH152" s="95"/>
      <c r="AI152" s="95"/>
      <c r="AJ152" s="95"/>
      <c r="AK152" s="95"/>
      <c r="AL152" s="95"/>
      <c r="AM152" s="95"/>
      <c r="AN152" s="95"/>
      <c r="AO152" s="95"/>
      <c r="AP152" s="95"/>
      <c r="AQ152" s="95"/>
    </row>
    <row r="153" spans="1:43" ht="12.75" x14ac:dyDescent="0.35">
      <c r="A153" s="41" t="s">
        <v>687</v>
      </c>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c r="AF153" s="95"/>
      <c r="AG153" s="95"/>
      <c r="AH153" s="95"/>
      <c r="AI153" s="95"/>
      <c r="AJ153" s="95"/>
      <c r="AK153" s="95"/>
      <c r="AL153" s="95"/>
      <c r="AM153" s="95"/>
      <c r="AN153" s="95"/>
      <c r="AO153" s="95"/>
      <c r="AP153" s="95"/>
      <c r="AQ153" s="95"/>
    </row>
    <row r="154" spans="1:43" ht="12.75" x14ac:dyDescent="0.35">
      <c r="A154" s="41" t="s">
        <v>690</v>
      </c>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c r="AF154" s="95"/>
      <c r="AG154" s="95"/>
      <c r="AH154" s="95"/>
      <c r="AI154" s="95"/>
      <c r="AJ154" s="95"/>
      <c r="AK154" s="95"/>
      <c r="AL154" s="95"/>
      <c r="AM154" s="95"/>
      <c r="AN154" s="95"/>
      <c r="AO154" s="95"/>
      <c r="AP154" s="95"/>
      <c r="AQ154" s="95"/>
    </row>
    <row r="155" spans="1:43" ht="12.75" x14ac:dyDescent="0.35">
      <c r="A155" s="41" t="s">
        <v>693</v>
      </c>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c r="AF155" s="95"/>
      <c r="AG155" s="95"/>
      <c r="AH155" s="95"/>
      <c r="AI155" s="95"/>
      <c r="AJ155" s="95"/>
      <c r="AK155" s="95"/>
      <c r="AL155" s="95"/>
      <c r="AM155" s="95"/>
      <c r="AN155" s="95"/>
      <c r="AO155" s="95"/>
      <c r="AP155" s="95"/>
      <c r="AQ155" s="95"/>
    </row>
    <row r="156" spans="1:43" ht="12.75" x14ac:dyDescent="0.35">
      <c r="A156" s="41" t="s">
        <v>696</v>
      </c>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c r="AF156" s="95"/>
      <c r="AG156" s="95"/>
      <c r="AH156" s="95"/>
      <c r="AI156" s="95"/>
      <c r="AJ156" s="95"/>
      <c r="AK156" s="95"/>
      <c r="AL156" s="95"/>
      <c r="AM156" s="95"/>
      <c r="AN156" s="95"/>
      <c r="AO156" s="95"/>
      <c r="AP156" s="95"/>
      <c r="AQ156" s="95"/>
    </row>
    <row r="157" spans="1:43" ht="12.75" x14ac:dyDescent="0.35">
      <c r="A157" s="41" t="s">
        <v>699</v>
      </c>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c r="AF157" s="95"/>
      <c r="AG157" s="95"/>
      <c r="AH157" s="95"/>
      <c r="AI157" s="95"/>
      <c r="AJ157" s="95"/>
      <c r="AK157" s="95"/>
      <c r="AL157" s="95"/>
      <c r="AM157" s="95"/>
      <c r="AN157" s="95"/>
      <c r="AO157" s="95"/>
      <c r="AP157" s="95"/>
      <c r="AQ157" s="95"/>
    </row>
    <row r="158" spans="1:43" ht="12.75" x14ac:dyDescent="0.35">
      <c r="A158" s="41" t="s">
        <v>702</v>
      </c>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c r="AF158" s="95"/>
      <c r="AG158" s="95"/>
      <c r="AH158" s="95"/>
      <c r="AI158" s="95"/>
      <c r="AJ158" s="95"/>
      <c r="AK158" s="95"/>
      <c r="AL158" s="95"/>
      <c r="AM158" s="95"/>
      <c r="AN158" s="95"/>
      <c r="AO158" s="95"/>
      <c r="AP158" s="95"/>
      <c r="AQ158" s="95"/>
    </row>
    <row r="159" spans="1:43" ht="12.75" x14ac:dyDescent="0.35">
      <c r="A159" s="41" t="s">
        <v>705</v>
      </c>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c r="AF159" s="95"/>
      <c r="AG159" s="95"/>
      <c r="AH159" s="95"/>
      <c r="AI159" s="95"/>
      <c r="AJ159" s="95"/>
      <c r="AK159" s="95"/>
      <c r="AL159" s="95"/>
      <c r="AM159" s="95"/>
      <c r="AN159" s="95"/>
      <c r="AO159" s="95"/>
      <c r="AP159" s="95"/>
      <c r="AQ159" s="95"/>
    </row>
    <row r="160" spans="1:43" ht="12.75" x14ac:dyDescent="0.35">
      <c r="A160" s="41" t="s">
        <v>708</v>
      </c>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c r="AF160" s="95"/>
      <c r="AG160" s="95"/>
      <c r="AH160" s="95"/>
      <c r="AI160" s="95"/>
      <c r="AJ160" s="95"/>
      <c r="AK160" s="95"/>
      <c r="AL160" s="95"/>
      <c r="AM160" s="95"/>
      <c r="AN160" s="95"/>
      <c r="AO160" s="95"/>
      <c r="AP160" s="95"/>
      <c r="AQ160" s="95"/>
    </row>
    <row r="161" spans="1:43" ht="12.75" x14ac:dyDescent="0.35">
      <c r="A161" s="41" t="s">
        <v>711</v>
      </c>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c r="AF161" s="95"/>
      <c r="AG161" s="95"/>
      <c r="AH161" s="95"/>
      <c r="AI161" s="95"/>
      <c r="AJ161" s="95"/>
      <c r="AK161" s="95"/>
      <c r="AL161" s="95"/>
      <c r="AM161" s="95"/>
      <c r="AN161" s="95"/>
      <c r="AO161" s="95"/>
      <c r="AP161" s="95"/>
      <c r="AQ161" s="95"/>
    </row>
    <row r="162" spans="1:43" ht="12.75" x14ac:dyDescent="0.35">
      <c r="A162" s="41" t="s">
        <v>714</v>
      </c>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c r="AA162" s="95"/>
      <c r="AB162" s="95"/>
      <c r="AC162" s="95"/>
      <c r="AD162" s="95"/>
      <c r="AE162" s="95"/>
      <c r="AF162" s="95"/>
      <c r="AG162" s="95"/>
      <c r="AH162" s="95"/>
      <c r="AI162" s="95"/>
      <c r="AJ162" s="95"/>
      <c r="AK162" s="95"/>
      <c r="AL162" s="95"/>
      <c r="AM162" s="95"/>
      <c r="AN162" s="95"/>
      <c r="AO162" s="95"/>
      <c r="AP162" s="95"/>
      <c r="AQ162" s="95"/>
    </row>
    <row r="163" spans="1:43" ht="12.75" x14ac:dyDescent="0.35">
      <c r="A163" s="41" t="s">
        <v>717</v>
      </c>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c r="AA163" s="95"/>
      <c r="AB163" s="95"/>
      <c r="AC163" s="95"/>
      <c r="AD163" s="95"/>
      <c r="AE163" s="95"/>
      <c r="AF163" s="95"/>
      <c r="AG163" s="95"/>
      <c r="AH163" s="95"/>
      <c r="AI163" s="95"/>
      <c r="AJ163" s="95"/>
      <c r="AK163" s="95"/>
      <c r="AL163" s="95"/>
      <c r="AM163" s="95"/>
      <c r="AN163" s="95"/>
      <c r="AO163" s="95"/>
      <c r="AP163" s="95"/>
      <c r="AQ163" s="95"/>
    </row>
    <row r="164" spans="1:43" ht="12.75" x14ac:dyDescent="0.35">
      <c r="A164" s="41" t="s">
        <v>720</v>
      </c>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c r="AA164" s="95"/>
      <c r="AB164" s="95"/>
      <c r="AC164" s="95"/>
      <c r="AD164" s="95"/>
      <c r="AE164" s="95"/>
      <c r="AF164" s="95"/>
      <c r="AG164" s="95"/>
      <c r="AH164" s="95"/>
      <c r="AI164" s="95"/>
      <c r="AJ164" s="95"/>
      <c r="AK164" s="95"/>
      <c r="AL164" s="95"/>
      <c r="AM164" s="95"/>
      <c r="AN164" s="95"/>
      <c r="AO164" s="95"/>
      <c r="AP164" s="95"/>
      <c r="AQ164" s="95"/>
    </row>
    <row r="165" spans="1:43" ht="12.75" x14ac:dyDescent="0.35">
      <c r="A165" s="41" t="s">
        <v>722</v>
      </c>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c r="AA165" s="95"/>
      <c r="AB165" s="95"/>
      <c r="AC165" s="95"/>
      <c r="AD165" s="95"/>
      <c r="AE165" s="95"/>
      <c r="AF165" s="95"/>
      <c r="AG165" s="95"/>
      <c r="AH165" s="95"/>
      <c r="AI165" s="95"/>
      <c r="AJ165" s="95"/>
      <c r="AK165" s="95"/>
      <c r="AL165" s="95"/>
      <c r="AM165" s="95"/>
      <c r="AN165" s="95"/>
      <c r="AO165" s="95"/>
      <c r="AP165" s="95"/>
      <c r="AQ165" s="95"/>
    </row>
    <row r="166" spans="1:43" ht="12.75" x14ac:dyDescent="0.35">
      <c r="A166" s="41" t="s">
        <v>725</v>
      </c>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c r="AA166" s="95"/>
      <c r="AB166" s="95"/>
      <c r="AC166" s="95"/>
      <c r="AD166" s="95"/>
      <c r="AE166" s="95"/>
      <c r="AF166" s="95"/>
      <c r="AG166" s="95"/>
      <c r="AH166" s="95"/>
      <c r="AI166" s="95"/>
      <c r="AJ166" s="95"/>
      <c r="AK166" s="95"/>
      <c r="AL166" s="95"/>
      <c r="AM166" s="95"/>
      <c r="AN166" s="95"/>
      <c r="AO166" s="95"/>
      <c r="AP166" s="95"/>
      <c r="AQ166" s="95"/>
    </row>
    <row r="167" spans="1:43" ht="12.75" x14ac:dyDescent="0.35">
      <c r="A167" s="41" t="s">
        <v>728</v>
      </c>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c r="AA167" s="95"/>
      <c r="AB167" s="95"/>
      <c r="AC167" s="95"/>
      <c r="AD167" s="95"/>
      <c r="AE167" s="95"/>
      <c r="AF167" s="95"/>
      <c r="AG167" s="95"/>
      <c r="AH167" s="95"/>
      <c r="AI167" s="95"/>
      <c r="AJ167" s="95"/>
      <c r="AK167" s="95"/>
      <c r="AL167" s="95"/>
      <c r="AM167" s="95"/>
      <c r="AN167" s="95"/>
      <c r="AO167" s="95"/>
      <c r="AP167" s="95"/>
      <c r="AQ167" s="95"/>
    </row>
    <row r="168" spans="1:43" ht="12.75" x14ac:dyDescent="0.35">
      <c r="A168" s="41" t="s">
        <v>731</v>
      </c>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c r="AA168" s="95"/>
      <c r="AB168" s="95"/>
      <c r="AC168" s="95"/>
      <c r="AD168" s="95"/>
      <c r="AE168" s="95"/>
      <c r="AF168" s="95"/>
      <c r="AG168" s="95"/>
      <c r="AH168" s="95"/>
      <c r="AI168" s="95"/>
      <c r="AJ168" s="95"/>
      <c r="AK168" s="95"/>
      <c r="AL168" s="95"/>
      <c r="AM168" s="95"/>
      <c r="AN168" s="95"/>
      <c r="AO168" s="95"/>
      <c r="AP168" s="95"/>
      <c r="AQ168" s="95"/>
    </row>
    <row r="169" spans="1:43" ht="12.75" x14ac:dyDescent="0.35">
      <c r="A169" s="41" t="s">
        <v>734</v>
      </c>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c r="AA169" s="95"/>
      <c r="AB169" s="95"/>
      <c r="AC169" s="95"/>
      <c r="AD169" s="95"/>
      <c r="AE169" s="95"/>
      <c r="AF169" s="95"/>
      <c r="AG169" s="95"/>
      <c r="AH169" s="95"/>
      <c r="AI169" s="95"/>
      <c r="AJ169" s="95"/>
      <c r="AK169" s="95"/>
      <c r="AL169" s="95"/>
      <c r="AM169" s="95"/>
      <c r="AN169" s="95"/>
      <c r="AO169" s="95"/>
      <c r="AP169" s="95"/>
      <c r="AQ169" s="95"/>
    </row>
    <row r="170" spans="1:43" ht="12.75" x14ac:dyDescent="0.35">
      <c r="A170" s="41" t="s">
        <v>737</v>
      </c>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c r="AA170" s="95"/>
      <c r="AB170" s="95"/>
      <c r="AC170" s="95"/>
      <c r="AD170" s="95"/>
      <c r="AE170" s="95"/>
      <c r="AF170" s="95"/>
      <c r="AG170" s="95"/>
      <c r="AH170" s="95"/>
      <c r="AI170" s="95"/>
      <c r="AJ170" s="95"/>
      <c r="AK170" s="95"/>
      <c r="AL170" s="95"/>
      <c r="AM170" s="95"/>
      <c r="AN170" s="95"/>
      <c r="AO170" s="95"/>
      <c r="AP170" s="95"/>
      <c r="AQ170" s="95"/>
    </row>
    <row r="171" spans="1:43" ht="12.75" x14ac:dyDescent="0.35">
      <c r="A171" s="41" t="s">
        <v>740</v>
      </c>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c r="AA171" s="95"/>
      <c r="AB171" s="95"/>
      <c r="AC171" s="95"/>
      <c r="AD171" s="95"/>
      <c r="AE171" s="95"/>
      <c r="AF171" s="95"/>
      <c r="AG171" s="95"/>
      <c r="AH171" s="95"/>
      <c r="AI171" s="95"/>
      <c r="AJ171" s="95"/>
      <c r="AK171" s="95"/>
      <c r="AL171" s="95"/>
      <c r="AM171" s="95"/>
      <c r="AN171" s="95"/>
      <c r="AO171" s="95"/>
      <c r="AP171" s="95"/>
      <c r="AQ171" s="95"/>
    </row>
    <row r="172" spans="1:43" ht="12.75" x14ac:dyDescent="0.35">
      <c r="A172" s="41" t="s">
        <v>743</v>
      </c>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c r="AA172" s="95"/>
      <c r="AB172" s="95"/>
      <c r="AC172" s="95"/>
      <c r="AD172" s="95"/>
      <c r="AE172" s="95"/>
      <c r="AF172" s="95"/>
      <c r="AG172" s="95"/>
      <c r="AH172" s="95"/>
      <c r="AI172" s="95"/>
      <c r="AJ172" s="95"/>
      <c r="AK172" s="95"/>
      <c r="AL172" s="95"/>
      <c r="AM172" s="95"/>
      <c r="AN172" s="95"/>
      <c r="AO172" s="95"/>
      <c r="AP172" s="95"/>
      <c r="AQ172" s="95"/>
    </row>
    <row r="173" spans="1:43" ht="12.75" x14ac:dyDescent="0.35">
      <c r="A173" s="41" t="s">
        <v>746</v>
      </c>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c r="AA173" s="95"/>
      <c r="AB173" s="95"/>
      <c r="AC173" s="95"/>
      <c r="AD173" s="95"/>
      <c r="AE173" s="95"/>
      <c r="AF173" s="95"/>
      <c r="AG173" s="95"/>
      <c r="AH173" s="95"/>
      <c r="AI173" s="95"/>
      <c r="AJ173" s="95"/>
      <c r="AK173" s="95"/>
      <c r="AL173" s="95"/>
      <c r="AM173" s="95"/>
      <c r="AN173" s="95"/>
      <c r="AO173" s="95"/>
      <c r="AP173" s="95"/>
      <c r="AQ173" s="95"/>
    </row>
    <row r="174" spans="1:43" ht="12.75" x14ac:dyDescent="0.35">
      <c r="A174" s="41" t="s">
        <v>748</v>
      </c>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c r="AA174" s="95"/>
      <c r="AB174" s="95"/>
      <c r="AC174" s="95"/>
      <c r="AD174" s="95"/>
      <c r="AE174" s="95"/>
      <c r="AF174" s="95"/>
      <c r="AG174" s="95"/>
      <c r="AH174" s="95"/>
      <c r="AI174" s="95"/>
      <c r="AJ174" s="95"/>
      <c r="AK174" s="95"/>
      <c r="AL174" s="95"/>
      <c r="AM174" s="95"/>
      <c r="AN174" s="95"/>
      <c r="AO174" s="95"/>
      <c r="AP174" s="95"/>
      <c r="AQ174" s="95"/>
    </row>
    <row r="175" spans="1:43" ht="12.75" x14ac:dyDescent="0.35">
      <c r="A175" s="41" t="s">
        <v>751</v>
      </c>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c r="AA175" s="95"/>
      <c r="AB175" s="95"/>
      <c r="AC175" s="95"/>
      <c r="AD175" s="95"/>
      <c r="AE175" s="95"/>
      <c r="AF175" s="95"/>
      <c r="AG175" s="95"/>
      <c r="AH175" s="95"/>
      <c r="AI175" s="95"/>
      <c r="AJ175" s="95"/>
      <c r="AK175" s="95"/>
      <c r="AL175" s="95"/>
      <c r="AM175" s="95"/>
      <c r="AN175" s="95"/>
      <c r="AO175" s="95"/>
      <c r="AP175" s="95"/>
      <c r="AQ175" s="95"/>
    </row>
    <row r="176" spans="1:43" ht="12.75" x14ac:dyDescent="0.35">
      <c r="A176" s="41" t="s">
        <v>754</v>
      </c>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c r="AA176" s="95"/>
      <c r="AB176" s="95"/>
      <c r="AC176" s="95"/>
      <c r="AD176" s="95"/>
      <c r="AE176" s="95"/>
      <c r="AF176" s="95"/>
      <c r="AG176" s="95"/>
      <c r="AH176" s="95"/>
      <c r="AI176" s="95"/>
      <c r="AJ176" s="95"/>
      <c r="AK176" s="95"/>
      <c r="AL176" s="95"/>
      <c r="AM176" s="95"/>
      <c r="AN176" s="95"/>
      <c r="AO176" s="95"/>
      <c r="AP176" s="95"/>
      <c r="AQ176" s="95"/>
    </row>
    <row r="177" spans="1:43" ht="12.75" x14ac:dyDescent="0.35">
      <c r="A177" s="41" t="s">
        <v>757</v>
      </c>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c r="AA177" s="95"/>
      <c r="AB177" s="95"/>
      <c r="AC177" s="95"/>
      <c r="AD177" s="95"/>
      <c r="AE177" s="95"/>
      <c r="AF177" s="95"/>
      <c r="AG177" s="95"/>
      <c r="AH177" s="95"/>
      <c r="AI177" s="95"/>
      <c r="AJ177" s="95"/>
      <c r="AK177" s="95"/>
      <c r="AL177" s="95"/>
      <c r="AM177" s="95"/>
      <c r="AN177" s="95"/>
      <c r="AO177" s="95"/>
      <c r="AP177" s="95"/>
      <c r="AQ177" s="95"/>
    </row>
    <row r="178" spans="1:43" ht="12.75" x14ac:dyDescent="0.35">
      <c r="A178" s="41" t="s">
        <v>760</v>
      </c>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c r="AA178" s="95"/>
      <c r="AB178" s="95"/>
      <c r="AC178" s="95"/>
      <c r="AD178" s="95"/>
      <c r="AE178" s="95"/>
      <c r="AF178" s="95"/>
      <c r="AG178" s="95"/>
      <c r="AH178" s="95"/>
      <c r="AI178" s="95"/>
      <c r="AJ178" s="95"/>
      <c r="AK178" s="95"/>
      <c r="AL178" s="95"/>
      <c r="AM178" s="95"/>
      <c r="AN178" s="95"/>
      <c r="AO178" s="95"/>
      <c r="AP178" s="95"/>
      <c r="AQ178" s="95"/>
    </row>
    <row r="179" spans="1:43" ht="12.75" x14ac:dyDescent="0.35">
      <c r="A179" s="41" t="s">
        <v>763</v>
      </c>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c r="AA179" s="95"/>
      <c r="AB179" s="95"/>
      <c r="AC179" s="95"/>
      <c r="AD179" s="95"/>
      <c r="AE179" s="95"/>
      <c r="AF179" s="95"/>
      <c r="AG179" s="95"/>
      <c r="AH179" s="95"/>
      <c r="AI179" s="95"/>
      <c r="AJ179" s="95"/>
      <c r="AK179" s="95"/>
      <c r="AL179" s="95"/>
      <c r="AM179" s="95"/>
      <c r="AN179" s="95"/>
      <c r="AO179" s="95"/>
      <c r="AP179" s="95"/>
      <c r="AQ179" s="95"/>
    </row>
    <row r="180" spans="1:43" ht="12.75" x14ac:dyDescent="0.35">
      <c r="A180" s="41" t="s">
        <v>766</v>
      </c>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c r="AA180" s="95"/>
      <c r="AB180" s="95"/>
      <c r="AC180" s="95"/>
      <c r="AD180" s="95"/>
      <c r="AE180" s="95"/>
      <c r="AF180" s="95"/>
      <c r="AG180" s="95"/>
      <c r="AH180" s="95"/>
      <c r="AI180" s="95"/>
      <c r="AJ180" s="95"/>
      <c r="AK180" s="95"/>
      <c r="AL180" s="95"/>
      <c r="AM180" s="95"/>
      <c r="AN180" s="95"/>
      <c r="AO180" s="95"/>
      <c r="AP180" s="95"/>
      <c r="AQ180" s="95"/>
    </row>
    <row r="181" spans="1:43" ht="12.75" x14ac:dyDescent="0.35">
      <c r="A181" s="41" t="s">
        <v>769</v>
      </c>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c r="AA181" s="95"/>
      <c r="AB181" s="95"/>
      <c r="AC181" s="95"/>
      <c r="AD181" s="95"/>
      <c r="AE181" s="95"/>
      <c r="AF181" s="95"/>
      <c r="AG181" s="95"/>
      <c r="AH181" s="95"/>
      <c r="AI181" s="95"/>
      <c r="AJ181" s="95"/>
      <c r="AK181" s="95"/>
      <c r="AL181" s="95"/>
      <c r="AM181" s="95"/>
      <c r="AN181" s="95"/>
      <c r="AO181" s="95"/>
      <c r="AP181" s="95"/>
      <c r="AQ181" s="95"/>
    </row>
    <row r="182" spans="1:43" ht="12.75" x14ac:dyDescent="0.35">
      <c r="A182" s="41" t="s">
        <v>772</v>
      </c>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c r="AA182" s="95"/>
      <c r="AB182" s="95"/>
      <c r="AC182" s="95"/>
      <c r="AD182" s="95"/>
      <c r="AE182" s="95"/>
      <c r="AF182" s="95"/>
      <c r="AG182" s="95"/>
      <c r="AH182" s="95"/>
      <c r="AI182" s="95"/>
      <c r="AJ182" s="95"/>
      <c r="AK182" s="95"/>
      <c r="AL182" s="95"/>
      <c r="AM182" s="95"/>
      <c r="AN182" s="95"/>
      <c r="AO182" s="95"/>
      <c r="AP182" s="95"/>
      <c r="AQ182" s="95"/>
    </row>
    <row r="183" spans="1:43" ht="12.75" x14ac:dyDescent="0.35">
      <c r="A183" s="41" t="s">
        <v>775</v>
      </c>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c r="AA183" s="95"/>
      <c r="AB183" s="95"/>
      <c r="AC183" s="95"/>
      <c r="AD183" s="95"/>
      <c r="AE183" s="95"/>
      <c r="AF183" s="95"/>
      <c r="AG183" s="95"/>
      <c r="AH183" s="95"/>
      <c r="AI183" s="95"/>
      <c r="AJ183" s="95"/>
      <c r="AK183" s="95"/>
      <c r="AL183" s="95"/>
      <c r="AM183" s="95"/>
      <c r="AN183" s="95"/>
      <c r="AO183" s="95"/>
      <c r="AP183" s="95"/>
      <c r="AQ183" s="95"/>
    </row>
    <row r="184" spans="1:43" ht="12.75" x14ac:dyDescent="0.35">
      <c r="A184" s="41" t="s">
        <v>778</v>
      </c>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c r="AA184" s="95"/>
      <c r="AB184" s="95"/>
      <c r="AC184" s="95"/>
      <c r="AD184" s="95"/>
      <c r="AE184" s="95"/>
      <c r="AF184" s="95"/>
      <c r="AG184" s="95"/>
      <c r="AH184" s="95"/>
      <c r="AI184" s="95"/>
      <c r="AJ184" s="95"/>
      <c r="AK184" s="95"/>
      <c r="AL184" s="95"/>
      <c r="AM184" s="95"/>
      <c r="AN184" s="95"/>
      <c r="AO184" s="95"/>
      <c r="AP184" s="95"/>
      <c r="AQ184" s="95"/>
    </row>
    <row r="185" spans="1:43" ht="12.75" x14ac:dyDescent="0.35">
      <c r="A185" s="41" t="s">
        <v>781</v>
      </c>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c r="AA185" s="95"/>
      <c r="AB185" s="95"/>
      <c r="AC185" s="95"/>
      <c r="AD185" s="95"/>
      <c r="AE185" s="95"/>
      <c r="AF185" s="95"/>
      <c r="AG185" s="95"/>
      <c r="AH185" s="95"/>
      <c r="AI185" s="95"/>
      <c r="AJ185" s="95"/>
      <c r="AK185" s="95"/>
      <c r="AL185" s="95"/>
      <c r="AM185" s="95"/>
      <c r="AN185" s="95"/>
      <c r="AO185" s="95"/>
      <c r="AP185" s="95"/>
      <c r="AQ185" s="95"/>
    </row>
    <row r="186" spans="1:43" ht="12.75" x14ac:dyDescent="0.35">
      <c r="A186" s="41" t="s">
        <v>784</v>
      </c>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c r="AA186" s="95"/>
      <c r="AB186" s="95"/>
      <c r="AC186" s="95"/>
      <c r="AD186" s="95"/>
      <c r="AE186" s="95"/>
      <c r="AF186" s="95"/>
      <c r="AG186" s="95"/>
      <c r="AH186" s="95"/>
      <c r="AI186" s="95"/>
      <c r="AJ186" s="95"/>
      <c r="AK186" s="95"/>
      <c r="AL186" s="95"/>
      <c r="AM186" s="95"/>
      <c r="AN186" s="95"/>
      <c r="AO186" s="95"/>
      <c r="AP186" s="95"/>
      <c r="AQ186" s="95"/>
    </row>
    <row r="187" spans="1:43" ht="12.75" x14ac:dyDescent="0.35">
      <c r="A187" s="41" t="s">
        <v>787</v>
      </c>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c r="AA187" s="95"/>
      <c r="AB187" s="95"/>
      <c r="AC187" s="95"/>
      <c r="AD187" s="95"/>
      <c r="AE187" s="95"/>
      <c r="AF187" s="95"/>
      <c r="AG187" s="95"/>
      <c r="AH187" s="95"/>
      <c r="AI187" s="95"/>
      <c r="AJ187" s="95"/>
      <c r="AK187" s="95"/>
      <c r="AL187" s="95"/>
      <c r="AM187" s="95"/>
      <c r="AN187" s="95"/>
      <c r="AO187" s="95"/>
      <c r="AP187" s="95"/>
      <c r="AQ187" s="95"/>
    </row>
    <row r="188" spans="1:43" ht="12.75" x14ac:dyDescent="0.35">
      <c r="A188" s="41" t="s">
        <v>789</v>
      </c>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c r="AA188" s="95"/>
      <c r="AB188" s="95"/>
      <c r="AC188" s="95"/>
      <c r="AD188" s="95"/>
      <c r="AE188" s="95"/>
      <c r="AF188" s="95"/>
      <c r="AG188" s="95"/>
      <c r="AH188" s="95"/>
      <c r="AI188" s="95"/>
      <c r="AJ188" s="95"/>
      <c r="AK188" s="95"/>
      <c r="AL188" s="95"/>
      <c r="AM188" s="95"/>
      <c r="AN188" s="95"/>
      <c r="AO188" s="95"/>
      <c r="AP188" s="95"/>
      <c r="AQ188" s="95"/>
    </row>
    <row r="189" spans="1:43" ht="12.75" x14ac:dyDescent="0.35">
      <c r="A189" s="41" t="s">
        <v>792</v>
      </c>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c r="AA189" s="95"/>
      <c r="AB189" s="95"/>
      <c r="AC189" s="95"/>
      <c r="AD189" s="95"/>
      <c r="AE189" s="95"/>
      <c r="AF189" s="95"/>
      <c r="AG189" s="95"/>
      <c r="AH189" s="95"/>
      <c r="AI189" s="95"/>
      <c r="AJ189" s="95"/>
      <c r="AK189" s="95"/>
      <c r="AL189" s="95"/>
      <c r="AM189" s="95"/>
      <c r="AN189" s="95"/>
      <c r="AO189" s="95"/>
      <c r="AP189" s="95"/>
      <c r="AQ189" s="95"/>
    </row>
    <row r="190" spans="1:43" ht="12.75" x14ac:dyDescent="0.35">
      <c r="A190" s="41" t="s">
        <v>795</v>
      </c>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c r="AA190" s="95"/>
      <c r="AB190" s="95"/>
      <c r="AC190" s="95"/>
      <c r="AD190" s="95"/>
      <c r="AE190" s="95"/>
      <c r="AF190" s="95"/>
      <c r="AG190" s="95"/>
      <c r="AH190" s="95"/>
      <c r="AI190" s="95"/>
      <c r="AJ190" s="95"/>
      <c r="AK190" s="95"/>
      <c r="AL190" s="95"/>
      <c r="AM190" s="95"/>
      <c r="AN190" s="95"/>
      <c r="AO190" s="95"/>
      <c r="AP190" s="95"/>
      <c r="AQ190" s="95"/>
    </row>
    <row r="191" spans="1:43" ht="12.75" x14ac:dyDescent="0.35">
      <c r="A191" s="41" t="s">
        <v>798</v>
      </c>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c r="AA191" s="95"/>
      <c r="AB191" s="95"/>
      <c r="AC191" s="95"/>
      <c r="AD191" s="95"/>
      <c r="AE191" s="95"/>
      <c r="AF191" s="95"/>
      <c r="AG191" s="95"/>
      <c r="AH191" s="95"/>
      <c r="AI191" s="95"/>
      <c r="AJ191" s="95"/>
      <c r="AK191" s="95"/>
      <c r="AL191" s="95"/>
      <c r="AM191" s="95"/>
      <c r="AN191" s="95"/>
      <c r="AO191" s="95"/>
      <c r="AP191" s="95"/>
      <c r="AQ191" s="95"/>
    </row>
    <row r="192" spans="1:43" ht="12.75" x14ac:dyDescent="0.35">
      <c r="A192" s="41" t="s">
        <v>800</v>
      </c>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c r="AA192" s="95"/>
      <c r="AB192" s="95"/>
      <c r="AC192" s="95"/>
      <c r="AD192" s="95"/>
      <c r="AE192" s="95"/>
      <c r="AF192" s="95"/>
      <c r="AG192" s="95"/>
      <c r="AH192" s="95"/>
      <c r="AI192" s="95"/>
      <c r="AJ192" s="95"/>
      <c r="AK192" s="95"/>
      <c r="AL192" s="95"/>
      <c r="AM192" s="95"/>
      <c r="AN192" s="95"/>
      <c r="AO192" s="95"/>
      <c r="AP192" s="95"/>
      <c r="AQ192" s="95"/>
    </row>
    <row r="193" spans="1:43" ht="12.75" x14ac:dyDescent="0.35">
      <c r="A193" s="41" t="s">
        <v>803</v>
      </c>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c r="AA193" s="95"/>
      <c r="AB193" s="95"/>
      <c r="AC193" s="95"/>
      <c r="AD193" s="95"/>
      <c r="AE193" s="95"/>
      <c r="AF193" s="95"/>
      <c r="AG193" s="95"/>
      <c r="AH193" s="95"/>
      <c r="AI193" s="95"/>
      <c r="AJ193" s="95"/>
      <c r="AK193" s="95"/>
      <c r="AL193" s="95"/>
      <c r="AM193" s="95"/>
      <c r="AN193" s="95"/>
      <c r="AO193" s="95"/>
      <c r="AP193" s="95"/>
      <c r="AQ193" s="95"/>
    </row>
    <row r="194" spans="1:43" ht="12.75" x14ac:dyDescent="0.35">
      <c r="A194" s="41" t="s">
        <v>806</v>
      </c>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c r="AA194" s="95"/>
      <c r="AB194" s="95"/>
      <c r="AC194" s="95"/>
      <c r="AD194" s="95"/>
      <c r="AE194" s="95"/>
      <c r="AF194" s="95"/>
      <c r="AG194" s="95"/>
      <c r="AH194" s="95"/>
      <c r="AI194" s="95"/>
      <c r="AJ194" s="95"/>
      <c r="AK194" s="95"/>
      <c r="AL194" s="95"/>
      <c r="AM194" s="95"/>
      <c r="AN194" s="95"/>
      <c r="AO194" s="95"/>
      <c r="AP194" s="95"/>
      <c r="AQ194" s="95"/>
    </row>
    <row r="195" spans="1:43" ht="12.75" x14ac:dyDescent="0.35">
      <c r="A195" s="41" t="s">
        <v>809</v>
      </c>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c r="AA195" s="95"/>
      <c r="AB195" s="95"/>
      <c r="AC195" s="95"/>
      <c r="AD195" s="95"/>
      <c r="AE195" s="95"/>
      <c r="AF195" s="95"/>
      <c r="AG195" s="95"/>
      <c r="AH195" s="95"/>
      <c r="AI195" s="95"/>
      <c r="AJ195" s="95"/>
      <c r="AK195" s="95"/>
      <c r="AL195" s="95"/>
      <c r="AM195" s="95"/>
      <c r="AN195" s="95"/>
      <c r="AO195" s="95"/>
      <c r="AP195" s="95"/>
      <c r="AQ195" s="95"/>
    </row>
    <row r="196" spans="1:43" ht="12.75" x14ac:dyDescent="0.35">
      <c r="A196" s="41" t="s">
        <v>812</v>
      </c>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c r="AA196" s="95"/>
      <c r="AB196" s="95"/>
      <c r="AC196" s="95"/>
      <c r="AD196" s="95"/>
      <c r="AE196" s="95"/>
      <c r="AF196" s="95"/>
      <c r="AG196" s="95"/>
      <c r="AH196" s="95"/>
      <c r="AI196" s="95"/>
      <c r="AJ196" s="95"/>
      <c r="AK196" s="95"/>
      <c r="AL196" s="95"/>
      <c r="AM196" s="95"/>
      <c r="AN196" s="95"/>
      <c r="AO196" s="95"/>
      <c r="AP196" s="95"/>
      <c r="AQ196" s="95"/>
    </row>
    <row r="197" spans="1:43" ht="12.75" x14ac:dyDescent="0.35">
      <c r="A197" s="41" t="s">
        <v>815</v>
      </c>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c r="AA197" s="95"/>
      <c r="AB197" s="95"/>
      <c r="AC197" s="95"/>
      <c r="AD197" s="95"/>
      <c r="AE197" s="95"/>
      <c r="AF197" s="95"/>
      <c r="AG197" s="95"/>
      <c r="AH197" s="95"/>
      <c r="AI197" s="95"/>
      <c r="AJ197" s="95"/>
      <c r="AK197" s="95"/>
      <c r="AL197" s="95"/>
      <c r="AM197" s="95"/>
      <c r="AN197" s="95"/>
      <c r="AO197" s="95"/>
      <c r="AP197" s="95"/>
      <c r="AQ197" s="95"/>
    </row>
    <row r="198" spans="1:43" ht="12.75" x14ac:dyDescent="0.35">
      <c r="A198" s="41" t="s">
        <v>817</v>
      </c>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c r="AA198" s="95"/>
      <c r="AB198" s="95"/>
      <c r="AC198" s="95"/>
      <c r="AD198" s="95"/>
      <c r="AE198" s="95"/>
      <c r="AF198" s="95"/>
      <c r="AG198" s="95"/>
      <c r="AH198" s="95"/>
      <c r="AI198" s="95"/>
      <c r="AJ198" s="95"/>
      <c r="AK198" s="95"/>
      <c r="AL198" s="95"/>
      <c r="AM198" s="95"/>
      <c r="AN198" s="95"/>
      <c r="AO198" s="95"/>
      <c r="AP198" s="95"/>
      <c r="AQ198" s="95"/>
    </row>
    <row r="199" spans="1:43" ht="12.75" x14ac:dyDescent="0.35">
      <c r="A199" s="41" t="s">
        <v>819</v>
      </c>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c r="AA199" s="95"/>
      <c r="AB199" s="95"/>
      <c r="AC199" s="95"/>
      <c r="AD199" s="95"/>
      <c r="AE199" s="95"/>
      <c r="AF199" s="95"/>
      <c r="AG199" s="95"/>
      <c r="AH199" s="95"/>
      <c r="AI199" s="95"/>
      <c r="AJ199" s="95"/>
      <c r="AK199" s="95"/>
      <c r="AL199" s="95"/>
      <c r="AM199" s="95"/>
      <c r="AN199" s="95"/>
      <c r="AO199" s="95"/>
      <c r="AP199" s="95"/>
      <c r="AQ199" s="95"/>
    </row>
    <row r="200" spans="1:43" ht="12.75" x14ac:dyDescent="0.35">
      <c r="A200" s="41" t="s">
        <v>822</v>
      </c>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c r="AA200" s="95"/>
      <c r="AB200" s="95"/>
      <c r="AC200" s="95"/>
      <c r="AD200" s="95"/>
      <c r="AE200" s="95"/>
      <c r="AF200" s="95"/>
      <c r="AG200" s="95"/>
      <c r="AH200" s="95"/>
      <c r="AI200" s="95"/>
      <c r="AJ200" s="95"/>
      <c r="AK200" s="95"/>
      <c r="AL200" s="95"/>
      <c r="AM200" s="95"/>
      <c r="AN200" s="95"/>
      <c r="AO200" s="95"/>
      <c r="AP200" s="95"/>
      <c r="AQ200" s="95"/>
    </row>
    <row r="201" spans="1:43" ht="12.75" x14ac:dyDescent="0.35">
      <c r="A201" s="41" t="s">
        <v>825</v>
      </c>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c r="AA201" s="95"/>
      <c r="AB201" s="95"/>
      <c r="AC201" s="95"/>
      <c r="AD201" s="95"/>
      <c r="AE201" s="95"/>
      <c r="AF201" s="95"/>
      <c r="AG201" s="95"/>
      <c r="AH201" s="95"/>
      <c r="AI201" s="95"/>
      <c r="AJ201" s="95"/>
      <c r="AK201" s="95"/>
      <c r="AL201" s="95"/>
      <c r="AM201" s="95"/>
      <c r="AN201" s="95"/>
      <c r="AO201" s="95"/>
      <c r="AP201" s="95"/>
      <c r="AQ201" s="95"/>
    </row>
    <row r="202" spans="1:43" ht="12.75" x14ac:dyDescent="0.35">
      <c r="A202" s="41" t="s">
        <v>828</v>
      </c>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c r="AA202" s="95"/>
      <c r="AB202" s="95"/>
      <c r="AC202" s="95"/>
      <c r="AD202" s="95"/>
      <c r="AE202" s="95"/>
      <c r="AF202" s="95"/>
      <c r="AG202" s="95"/>
      <c r="AH202" s="95"/>
      <c r="AI202" s="95"/>
      <c r="AJ202" s="95"/>
      <c r="AK202" s="95"/>
      <c r="AL202" s="95"/>
      <c r="AM202" s="95"/>
      <c r="AN202" s="95"/>
      <c r="AO202" s="95"/>
      <c r="AP202" s="95"/>
      <c r="AQ202" s="95"/>
    </row>
    <row r="203" spans="1:43" ht="12.75" x14ac:dyDescent="0.35">
      <c r="A203" s="41" t="s">
        <v>831</v>
      </c>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c r="AA203" s="95"/>
      <c r="AB203" s="95"/>
      <c r="AC203" s="95"/>
      <c r="AD203" s="95"/>
      <c r="AE203" s="95"/>
      <c r="AF203" s="95"/>
      <c r="AG203" s="95"/>
      <c r="AH203" s="95"/>
      <c r="AI203" s="95"/>
      <c r="AJ203" s="95"/>
      <c r="AK203" s="95"/>
      <c r="AL203" s="95"/>
      <c r="AM203" s="95"/>
      <c r="AN203" s="95"/>
      <c r="AO203" s="95"/>
      <c r="AP203" s="95"/>
      <c r="AQ203" s="95"/>
    </row>
    <row r="204" spans="1:43" ht="12.75" x14ac:dyDescent="0.35">
      <c r="A204" s="41" t="s">
        <v>833</v>
      </c>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c r="AA204" s="95"/>
      <c r="AB204" s="95"/>
      <c r="AC204" s="95"/>
      <c r="AD204" s="95"/>
      <c r="AE204" s="95"/>
      <c r="AF204" s="95"/>
      <c r="AG204" s="95"/>
      <c r="AH204" s="95"/>
      <c r="AI204" s="95"/>
      <c r="AJ204" s="95"/>
      <c r="AK204" s="95"/>
      <c r="AL204" s="95"/>
      <c r="AM204" s="95"/>
      <c r="AN204" s="95"/>
      <c r="AO204" s="95"/>
      <c r="AP204" s="95"/>
      <c r="AQ204" s="95"/>
    </row>
    <row r="205" spans="1:43" ht="12.75" x14ac:dyDescent="0.35">
      <c r="A205" s="41" t="s">
        <v>836</v>
      </c>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c r="AA205" s="95"/>
      <c r="AB205" s="95"/>
      <c r="AC205" s="95"/>
      <c r="AD205" s="95"/>
      <c r="AE205" s="95"/>
      <c r="AF205" s="95"/>
      <c r="AG205" s="95"/>
      <c r="AH205" s="95"/>
      <c r="AI205" s="95"/>
      <c r="AJ205" s="95"/>
      <c r="AK205" s="95"/>
      <c r="AL205" s="95"/>
      <c r="AM205" s="95"/>
      <c r="AN205" s="95"/>
      <c r="AO205" s="95"/>
      <c r="AP205" s="95"/>
      <c r="AQ205" s="95"/>
    </row>
    <row r="206" spans="1:43" ht="12.75" x14ac:dyDescent="0.35">
      <c r="A206" s="41" t="s">
        <v>839</v>
      </c>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c r="AA206" s="95"/>
      <c r="AB206" s="95"/>
      <c r="AC206" s="95"/>
      <c r="AD206" s="95"/>
      <c r="AE206" s="95"/>
      <c r="AF206" s="95"/>
      <c r="AG206" s="95"/>
      <c r="AH206" s="95"/>
      <c r="AI206" s="95"/>
      <c r="AJ206" s="95"/>
      <c r="AK206" s="95"/>
      <c r="AL206" s="95"/>
      <c r="AM206" s="95"/>
      <c r="AN206" s="95"/>
      <c r="AO206" s="95"/>
      <c r="AP206" s="95"/>
      <c r="AQ206" s="95"/>
    </row>
    <row r="207" spans="1:43" ht="12.75" x14ac:dyDescent="0.35">
      <c r="A207" s="41" t="s">
        <v>842</v>
      </c>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c r="AA207" s="95"/>
      <c r="AB207" s="95"/>
      <c r="AC207" s="95"/>
      <c r="AD207" s="95"/>
      <c r="AE207" s="95"/>
      <c r="AF207" s="95"/>
      <c r="AG207" s="95"/>
      <c r="AH207" s="95"/>
      <c r="AI207" s="95"/>
      <c r="AJ207" s="95"/>
      <c r="AK207" s="95"/>
      <c r="AL207" s="95"/>
      <c r="AM207" s="95"/>
      <c r="AN207" s="95"/>
      <c r="AO207" s="95"/>
      <c r="AP207" s="95"/>
      <c r="AQ207" s="95"/>
    </row>
    <row r="208" spans="1:43" ht="12.75" x14ac:dyDescent="0.35">
      <c r="A208" s="41" t="s">
        <v>845</v>
      </c>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c r="AA208" s="95"/>
      <c r="AB208" s="95"/>
      <c r="AC208" s="95"/>
      <c r="AD208" s="95"/>
      <c r="AE208" s="95"/>
      <c r="AF208" s="95"/>
      <c r="AG208" s="95"/>
      <c r="AH208" s="95"/>
      <c r="AI208" s="95"/>
      <c r="AJ208" s="95"/>
      <c r="AK208" s="95"/>
      <c r="AL208" s="95"/>
      <c r="AM208" s="95"/>
      <c r="AN208" s="95"/>
      <c r="AO208" s="95"/>
      <c r="AP208" s="95"/>
      <c r="AQ208" s="95"/>
    </row>
    <row r="209" spans="1:43" ht="12.75" x14ac:dyDescent="0.35">
      <c r="A209" s="41" t="s">
        <v>848</v>
      </c>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c r="AA209" s="95"/>
      <c r="AB209" s="95"/>
      <c r="AC209" s="95"/>
      <c r="AD209" s="95"/>
      <c r="AE209" s="95"/>
      <c r="AF209" s="95"/>
      <c r="AG209" s="95"/>
      <c r="AH209" s="95"/>
      <c r="AI209" s="95"/>
      <c r="AJ209" s="95"/>
      <c r="AK209" s="95"/>
      <c r="AL209" s="95"/>
      <c r="AM209" s="95"/>
      <c r="AN209" s="95"/>
      <c r="AO209" s="95"/>
      <c r="AP209" s="95"/>
      <c r="AQ209" s="95"/>
    </row>
    <row r="210" spans="1:43" ht="12.75" x14ac:dyDescent="0.35">
      <c r="A210" s="41" t="s">
        <v>851</v>
      </c>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c r="AA210" s="95"/>
      <c r="AB210" s="95"/>
      <c r="AC210" s="95"/>
      <c r="AD210" s="95"/>
      <c r="AE210" s="95"/>
      <c r="AF210" s="95"/>
      <c r="AG210" s="95"/>
      <c r="AH210" s="95"/>
      <c r="AI210" s="95"/>
      <c r="AJ210" s="95"/>
      <c r="AK210" s="95"/>
      <c r="AL210" s="95"/>
      <c r="AM210" s="95"/>
      <c r="AN210" s="95"/>
      <c r="AO210" s="95"/>
      <c r="AP210" s="95"/>
      <c r="AQ210" s="95"/>
    </row>
    <row r="211" spans="1:43" ht="12.75" x14ac:dyDescent="0.35">
      <c r="A211" s="41" t="s">
        <v>854</v>
      </c>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c r="AA211" s="95"/>
      <c r="AB211" s="95"/>
      <c r="AC211" s="95"/>
      <c r="AD211" s="95"/>
      <c r="AE211" s="95"/>
      <c r="AF211" s="95"/>
      <c r="AG211" s="95"/>
      <c r="AH211" s="95"/>
      <c r="AI211" s="95"/>
      <c r="AJ211" s="95"/>
      <c r="AK211" s="95"/>
      <c r="AL211" s="95"/>
      <c r="AM211" s="95"/>
      <c r="AN211" s="95"/>
      <c r="AO211" s="95"/>
      <c r="AP211" s="95"/>
      <c r="AQ211" s="95"/>
    </row>
    <row r="212" spans="1:43" ht="12.75" x14ac:dyDescent="0.35">
      <c r="A212" s="41" t="s">
        <v>857</v>
      </c>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c r="AA212" s="95"/>
      <c r="AB212" s="95"/>
      <c r="AC212" s="95"/>
      <c r="AD212" s="95"/>
      <c r="AE212" s="95"/>
      <c r="AF212" s="95"/>
      <c r="AG212" s="95"/>
      <c r="AH212" s="95"/>
      <c r="AI212" s="95"/>
      <c r="AJ212" s="95"/>
      <c r="AK212" s="95"/>
      <c r="AL212" s="95"/>
      <c r="AM212" s="95"/>
      <c r="AN212" s="95"/>
      <c r="AO212" s="95"/>
      <c r="AP212" s="95"/>
      <c r="AQ212" s="95"/>
    </row>
    <row r="213" spans="1:43" ht="12.75" x14ac:dyDescent="0.35">
      <c r="A213" s="41" t="s">
        <v>860</v>
      </c>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c r="AA213" s="95"/>
      <c r="AB213" s="95"/>
      <c r="AC213" s="95"/>
      <c r="AD213" s="95"/>
      <c r="AE213" s="95"/>
      <c r="AF213" s="95"/>
      <c r="AG213" s="95"/>
      <c r="AH213" s="95"/>
      <c r="AI213" s="95"/>
      <c r="AJ213" s="95"/>
      <c r="AK213" s="95"/>
      <c r="AL213" s="95"/>
      <c r="AM213" s="95"/>
      <c r="AN213" s="95"/>
      <c r="AO213" s="95"/>
      <c r="AP213" s="95"/>
      <c r="AQ213" s="95"/>
    </row>
    <row r="214" spans="1:43" ht="12.75" x14ac:dyDescent="0.35">
      <c r="A214" s="41" t="s">
        <v>863</v>
      </c>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c r="AA214" s="95"/>
      <c r="AB214" s="95"/>
      <c r="AC214" s="95"/>
      <c r="AD214" s="95"/>
      <c r="AE214" s="95"/>
      <c r="AF214" s="95"/>
      <c r="AG214" s="95"/>
      <c r="AH214" s="95"/>
      <c r="AI214" s="95"/>
      <c r="AJ214" s="95"/>
      <c r="AK214" s="95"/>
      <c r="AL214" s="95"/>
      <c r="AM214" s="95"/>
      <c r="AN214" s="95"/>
      <c r="AO214" s="95"/>
      <c r="AP214" s="95"/>
      <c r="AQ214" s="95"/>
    </row>
    <row r="215" spans="1:43" ht="12.75" x14ac:dyDescent="0.35">
      <c r="A215" s="41" t="s">
        <v>866</v>
      </c>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c r="AA215" s="95"/>
      <c r="AB215" s="95"/>
      <c r="AC215" s="95"/>
      <c r="AD215" s="95"/>
      <c r="AE215" s="95"/>
      <c r="AF215" s="95"/>
      <c r="AG215" s="95"/>
      <c r="AH215" s="95"/>
      <c r="AI215" s="95"/>
      <c r="AJ215" s="95"/>
      <c r="AK215" s="95"/>
      <c r="AL215" s="95"/>
      <c r="AM215" s="95"/>
      <c r="AN215" s="95"/>
      <c r="AO215" s="95"/>
      <c r="AP215" s="95"/>
      <c r="AQ215" s="95"/>
    </row>
    <row r="216" spans="1:43" ht="12.75" x14ac:dyDescent="0.35">
      <c r="A216" s="41" t="s">
        <v>869</v>
      </c>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c r="AA216" s="95"/>
      <c r="AB216" s="95"/>
      <c r="AC216" s="95"/>
      <c r="AD216" s="95"/>
      <c r="AE216" s="95"/>
      <c r="AF216" s="95"/>
      <c r="AG216" s="95"/>
      <c r="AH216" s="95"/>
      <c r="AI216" s="95"/>
      <c r="AJ216" s="95"/>
      <c r="AK216" s="95"/>
      <c r="AL216" s="95"/>
      <c r="AM216" s="95"/>
      <c r="AN216" s="95"/>
      <c r="AO216" s="95"/>
      <c r="AP216" s="95"/>
      <c r="AQ216" s="95"/>
    </row>
    <row r="217" spans="1:43" ht="12.75" x14ac:dyDescent="0.35">
      <c r="A217" s="41" t="s">
        <v>872</v>
      </c>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c r="AA217" s="95"/>
      <c r="AB217" s="95"/>
      <c r="AC217" s="95"/>
      <c r="AD217" s="95"/>
      <c r="AE217" s="95"/>
      <c r="AF217" s="95"/>
      <c r="AG217" s="95"/>
      <c r="AH217" s="95"/>
      <c r="AI217" s="95"/>
      <c r="AJ217" s="95"/>
      <c r="AK217" s="95"/>
      <c r="AL217" s="95"/>
      <c r="AM217" s="95"/>
      <c r="AN217" s="95"/>
      <c r="AO217" s="95"/>
      <c r="AP217" s="95"/>
      <c r="AQ217" s="95"/>
    </row>
    <row r="218" spans="1:43" ht="12.75" x14ac:dyDescent="0.35">
      <c r="A218" s="41" t="s">
        <v>875</v>
      </c>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c r="AA218" s="95"/>
      <c r="AB218" s="95"/>
      <c r="AC218" s="95"/>
      <c r="AD218" s="95"/>
      <c r="AE218" s="95"/>
      <c r="AF218" s="95"/>
      <c r="AG218" s="95"/>
      <c r="AH218" s="95"/>
      <c r="AI218" s="95"/>
      <c r="AJ218" s="95"/>
      <c r="AK218" s="95"/>
      <c r="AL218" s="95"/>
      <c r="AM218" s="95"/>
      <c r="AN218" s="95"/>
      <c r="AO218" s="95"/>
      <c r="AP218" s="95"/>
      <c r="AQ218" s="95"/>
    </row>
    <row r="219" spans="1:43" ht="12.75" x14ac:dyDescent="0.35">
      <c r="A219" s="41" t="s">
        <v>878</v>
      </c>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c r="AA219" s="95"/>
      <c r="AB219" s="95"/>
      <c r="AC219" s="95"/>
      <c r="AD219" s="95"/>
      <c r="AE219" s="95"/>
      <c r="AF219" s="95"/>
      <c r="AG219" s="95"/>
      <c r="AH219" s="95"/>
      <c r="AI219" s="95"/>
      <c r="AJ219" s="95"/>
      <c r="AK219" s="95"/>
      <c r="AL219" s="95"/>
      <c r="AM219" s="95"/>
      <c r="AN219" s="95"/>
      <c r="AO219" s="95"/>
      <c r="AP219" s="95"/>
      <c r="AQ219" s="95"/>
    </row>
    <row r="220" spans="1:43" ht="12.75" x14ac:dyDescent="0.35">
      <c r="A220" s="41" t="s">
        <v>881</v>
      </c>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c r="AA220" s="95"/>
      <c r="AB220" s="95"/>
      <c r="AC220" s="95"/>
      <c r="AD220" s="95"/>
      <c r="AE220" s="95"/>
      <c r="AF220" s="95"/>
      <c r="AG220" s="95"/>
      <c r="AH220" s="95"/>
      <c r="AI220" s="95"/>
      <c r="AJ220" s="95"/>
      <c r="AK220" s="95"/>
      <c r="AL220" s="95"/>
      <c r="AM220" s="95"/>
      <c r="AN220" s="95"/>
      <c r="AO220" s="95"/>
      <c r="AP220" s="95"/>
      <c r="AQ220" s="95"/>
    </row>
    <row r="221" spans="1:43" ht="12.75" x14ac:dyDescent="0.35">
      <c r="A221" s="41" t="s">
        <v>884</v>
      </c>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c r="AA221" s="95"/>
      <c r="AB221" s="95"/>
      <c r="AC221" s="95"/>
      <c r="AD221" s="95"/>
      <c r="AE221" s="95"/>
      <c r="AF221" s="95"/>
      <c r="AG221" s="95"/>
      <c r="AH221" s="95"/>
      <c r="AI221" s="95"/>
      <c r="AJ221" s="95"/>
      <c r="AK221" s="95"/>
      <c r="AL221" s="95"/>
      <c r="AM221" s="95"/>
      <c r="AN221" s="95"/>
      <c r="AO221" s="95"/>
      <c r="AP221" s="95"/>
      <c r="AQ221" s="95"/>
    </row>
    <row r="222" spans="1:43" ht="12.75" x14ac:dyDescent="0.35">
      <c r="A222" s="41" t="s">
        <v>887</v>
      </c>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c r="AA222" s="95"/>
      <c r="AB222" s="95"/>
      <c r="AC222" s="95"/>
      <c r="AD222" s="95"/>
      <c r="AE222" s="95"/>
      <c r="AF222" s="95"/>
      <c r="AG222" s="95"/>
      <c r="AH222" s="95"/>
      <c r="AI222" s="95"/>
      <c r="AJ222" s="95"/>
      <c r="AK222" s="95"/>
      <c r="AL222" s="95"/>
      <c r="AM222" s="95"/>
      <c r="AN222" s="95"/>
      <c r="AO222" s="95"/>
      <c r="AP222" s="95"/>
      <c r="AQ222" s="95"/>
    </row>
    <row r="223" spans="1:43" ht="12.75" x14ac:dyDescent="0.35">
      <c r="A223" s="41" t="s">
        <v>890</v>
      </c>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c r="AA223" s="95"/>
      <c r="AB223" s="95"/>
      <c r="AC223" s="95"/>
      <c r="AD223" s="95"/>
      <c r="AE223" s="95"/>
      <c r="AF223" s="95"/>
      <c r="AG223" s="95"/>
      <c r="AH223" s="95"/>
      <c r="AI223" s="95"/>
      <c r="AJ223" s="95"/>
      <c r="AK223" s="95"/>
      <c r="AL223" s="95"/>
      <c r="AM223" s="95"/>
      <c r="AN223" s="95"/>
      <c r="AO223" s="95"/>
      <c r="AP223" s="95"/>
      <c r="AQ223" s="95"/>
    </row>
    <row r="224" spans="1:43" ht="12.75" x14ac:dyDescent="0.35">
      <c r="A224" s="41" t="s">
        <v>893</v>
      </c>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c r="AA224" s="95"/>
      <c r="AB224" s="95"/>
      <c r="AC224" s="95"/>
      <c r="AD224" s="95"/>
      <c r="AE224" s="95"/>
      <c r="AF224" s="95"/>
      <c r="AG224" s="95"/>
      <c r="AH224" s="95"/>
      <c r="AI224" s="95"/>
      <c r="AJ224" s="95"/>
      <c r="AK224" s="95"/>
      <c r="AL224" s="95"/>
      <c r="AM224" s="95"/>
      <c r="AN224" s="95"/>
      <c r="AO224" s="95"/>
      <c r="AP224" s="95"/>
      <c r="AQ224" s="95"/>
    </row>
    <row r="225" spans="1:43" ht="12.75" x14ac:dyDescent="0.35">
      <c r="A225" s="41" t="s">
        <v>896</v>
      </c>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c r="AA225" s="95"/>
      <c r="AB225" s="95"/>
      <c r="AC225" s="95"/>
      <c r="AD225" s="95"/>
      <c r="AE225" s="95"/>
      <c r="AF225" s="95"/>
      <c r="AG225" s="95"/>
      <c r="AH225" s="95"/>
      <c r="AI225" s="95"/>
      <c r="AJ225" s="95"/>
      <c r="AK225" s="95"/>
      <c r="AL225" s="95"/>
      <c r="AM225" s="95"/>
      <c r="AN225" s="95"/>
      <c r="AO225" s="95"/>
      <c r="AP225" s="95"/>
      <c r="AQ225" s="95"/>
    </row>
    <row r="226" spans="1:43" ht="12.75" x14ac:dyDescent="0.35">
      <c r="A226" s="41" t="s">
        <v>899</v>
      </c>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c r="AA226" s="95"/>
      <c r="AB226" s="95"/>
      <c r="AC226" s="95"/>
      <c r="AD226" s="95"/>
      <c r="AE226" s="95"/>
      <c r="AF226" s="95"/>
      <c r="AG226" s="95"/>
      <c r="AH226" s="95"/>
      <c r="AI226" s="95"/>
      <c r="AJ226" s="95"/>
      <c r="AK226" s="95"/>
      <c r="AL226" s="95"/>
      <c r="AM226" s="95"/>
      <c r="AN226" s="95"/>
      <c r="AO226" s="95"/>
      <c r="AP226" s="95"/>
      <c r="AQ226" s="95"/>
    </row>
    <row r="227" spans="1:43" ht="12.75" x14ac:dyDescent="0.35">
      <c r="A227" s="41" t="s">
        <v>902</v>
      </c>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c r="AA227" s="95"/>
      <c r="AB227" s="95"/>
      <c r="AC227" s="95"/>
      <c r="AD227" s="95"/>
      <c r="AE227" s="95"/>
      <c r="AF227" s="95"/>
      <c r="AG227" s="95"/>
      <c r="AH227" s="95"/>
      <c r="AI227" s="95"/>
      <c r="AJ227" s="95"/>
      <c r="AK227" s="95"/>
      <c r="AL227" s="95"/>
      <c r="AM227" s="95"/>
      <c r="AN227" s="95"/>
      <c r="AO227" s="95"/>
      <c r="AP227" s="95"/>
      <c r="AQ227" s="95"/>
    </row>
    <row r="228" spans="1:43" ht="12.75" x14ac:dyDescent="0.35">
      <c r="A228" s="41" t="s">
        <v>905</v>
      </c>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c r="AA228" s="95"/>
      <c r="AB228" s="95"/>
      <c r="AC228" s="95"/>
      <c r="AD228" s="95"/>
      <c r="AE228" s="95"/>
      <c r="AF228" s="95"/>
      <c r="AG228" s="95"/>
      <c r="AH228" s="95"/>
      <c r="AI228" s="95"/>
      <c r="AJ228" s="95"/>
      <c r="AK228" s="95"/>
      <c r="AL228" s="95"/>
      <c r="AM228" s="95"/>
      <c r="AN228" s="95"/>
      <c r="AO228" s="95"/>
      <c r="AP228" s="95"/>
      <c r="AQ228" s="95"/>
    </row>
    <row r="229" spans="1:43" ht="12.75" x14ac:dyDescent="0.35">
      <c r="A229" s="41" t="s">
        <v>907</v>
      </c>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c r="AA229" s="95"/>
      <c r="AB229" s="95"/>
      <c r="AC229" s="95"/>
      <c r="AD229" s="95"/>
      <c r="AE229" s="95"/>
      <c r="AF229" s="95"/>
      <c r="AG229" s="95"/>
      <c r="AH229" s="95"/>
      <c r="AI229" s="95"/>
      <c r="AJ229" s="95"/>
      <c r="AK229" s="95"/>
      <c r="AL229" s="95"/>
      <c r="AM229" s="95"/>
      <c r="AN229" s="95"/>
      <c r="AO229" s="95"/>
      <c r="AP229" s="95"/>
      <c r="AQ229" s="95"/>
    </row>
    <row r="230" spans="1:43" ht="12.75" x14ac:dyDescent="0.35">
      <c r="A230" s="41" t="s">
        <v>910</v>
      </c>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c r="AA230" s="95"/>
      <c r="AB230" s="95"/>
      <c r="AC230" s="95"/>
      <c r="AD230" s="95"/>
      <c r="AE230" s="95"/>
      <c r="AF230" s="95"/>
      <c r="AG230" s="95"/>
      <c r="AH230" s="95"/>
      <c r="AI230" s="95"/>
      <c r="AJ230" s="95"/>
      <c r="AK230" s="95"/>
      <c r="AL230" s="95"/>
      <c r="AM230" s="95"/>
      <c r="AN230" s="95"/>
      <c r="AO230" s="95"/>
      <c r="AP230" s="95"/>
      <c r="AQ230" s="95"/>
    </row>
    <row r="231" spans="1:43" ht="12.75" x14ac:dyDescent="0.35">
      <c r="A231" s="41" t="s">
        <v>913</v>
      </c>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c r="AA231" s="95"/>
      <c r="AB231" s="95"/>
      <c r="AC231" s="95"/>
      <c r="AD231" s="95"/>
      <c r="AE231" s="95"/>
      <c r="AF231" s="95"/>
      <c r="AG231" s="95"/>
      <c r="AH231" s="95"/>
      <c r="AI231" s="95"/>
      <c r="AJ231" s="95"/>
      <c r="AK231" s="95"/>
      <c r="AL231" s="95"/>
      <c r="AM231" s="95"/>
      <c r="AN231" s="95"/>
      <c r="AO231" s="95"/>
      <c r="AP231" s="95"/>
      <c r="AQ231" s="95"/>
    </row>
    <row r="232" spans="1:43" ht="12.75" x14ac:dyDescent="0.35">
      <c r="A232" s="41" t="s">
        <v>916</v>
      </c>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c r="AA232" s="95"/>
      <c r="AB232" s="95"/>
      <c r="AC232" s="95"/>
      <c r="AD232" s="95"/>
      <c r="AE232" s="95"/>
      <c r="AF232" s="95"/>
      <c r="AG232" s="95"/>
      <c r="AH232" s="95"/>
      <c r="AI232" s="95"/>
      <c r="AJ232" s="95"/>
      <c r="AK232" s="95"/>
      <c r="AL232" s="95"/>
      <c r="AM232" s="95"/>
      <c r="AN232" s="95"/>
      <c r="AO232" s="95"/>
      <c r="AP232" s="95"/>
      <c r="AQ232" s="95"/>
    </row>
    <row r="233" spans="1:43" ht="12.75" x14ac:dyDescent="0.35">
      <c r="A233" s="41" t="s">
        <v>919</v>
      </c>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c r="AA233" s="95"/>
      <c r="AB233" s="95"/>
      <c r="AC233" s="95"/>
      <c r="AD233" s="95"/>
      <c r="AE233" s="95"/>
      <c r="AF233" s="95"/>
      <c r="AG233" s="95"/>
      <c r="AH233" s="95"/>
      <c r="AI233" s="95"/>
      <c r="AJ233" s="95"/>
      <c r="AK233" s="95"/>
      <c r="AL233" s="95"/>
      <c r="AM233" s="95"/>
      <c r="AN233" s="95"/>
      <c r="AO233" s="95"/>
      <c r="AP233" s="95"/>
      <c r="AQ233" s="95"/>
    </row>
    <row r="234" spans="1:43" ht="12.75" x14ac:dyDescent="0.35">
      <c r="A234" s="41" t="s">
        <v>922</v>
      </c>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c r="AA234" s="95"/>
      <c r="AB234" s="95"/>
      <c r="AC234" s="95"/>
      <c r="AD234" s="95"/>
      <c r="AE234" s="95"/>
      <c r="AF234" s="95"/>
      <c r="AG234" s="95"/>
      <c r="AH234" s="95"/>
      <c r="AI234" s="95"/>
      <c r="AJ234" s="95"/>
      <c r="AK234" s="95"/>
      <c r="AL234" s="95"/>
      <c r="AM234" s="95"/>
      <c r="AN234" s="95"/>
      <c r="AO234" s="95"/>
      <c r="AP234" s="95"/>
      <c r="AQ234" s="95"/>
    </row>
    <row r="235" spans="1:43" ht="12.75" x14ac:dyDescent="0.35">
      <c r="A235" s="41" t="s">
        <v>925</v>
      </c>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c r="AA235" s="95"/>
      <c r="AB235" s="95"/>
      <c r="AC235" s="95"/>
      <c r="AD235" s="95"/>
      <c r="AE235" s="95"/>
      <c r="AF235" s="95"/>
      <c r="AG235" s="95"/>
      <c r="AH235" s="95"/>
      <c r="AI235" s="95"/>
      <c r="AJ235" s="95"/>
      <c r="AK235" s="95"/>
      <c r="AL235" s="95"/>
      <c r="AM235" s="95"/>
      <c r="AN235" s="95"/>
      <c r="AO235" s="95"/>
      <c r="AP235" s="95"/>
      <c r="AQ235" s="95"/>
    </row>
    <row r="236" spans="1:43" ht="12.75" x14ac:dyDescent="0.35">
      <c r="A236" s="41" t="s">
        <v>928</v>
      </c>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c r="AA236" s="95"/>
      <c r="AB236" s="95"/>
      <c r="AC236" s="95"/>
      <c r="AD236" s="95"/>
      <c r="AE236" s="95"/>
      <c r="AF236" s="95"/>
      <c r="AG236" s="95"/>
      <c r="AH236" s="95"/>
      <c r="AI236" s="95"/>
      <c r="AJ236" s="95"/>
      <c r="AK236" s="95"/>
      <c r="AL236" s="95"/>
      <c r="AM236" s="95"/>
      <c r="AN236" s="95"/>
      <c r="AO236" s="95"/>
      <c r="AP236" s="95"/>
      <c r="AQ236" s="95"/>
    </row>
    <row r="237" spans="1:43" ht="12.75" x14ac:dyDescent="0.35">
      <c r="A237" s="41" t="s">
        <v>931</v>
      </c>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c r="AA237" s="95"/>
      <c r="AB237" s="95"/>
      <c r="AC237" s="95"/>
      <c r="AD237" s="95"/>
      <c r="AE237" s="95"/>
      <c r="AF237" s="95"/>
      <c r="AG237" s="95"/>
      <c r="AH237" s="95"/>
      <c r="AI237" s="95"/>
      <c r="AJ237" s="95"/>
      <c r="AK237" s="95"/>
      <c r="AL237" s="95"/>
      <c r="AM237" s="95"/>
      <c r="AN237" s="95"/>
      <c r="AO237" s="95"/>
      <c r="AP237" s="95"/>
      <c r="AQ237" s="95"/>
    </row>
    <row r="238" spans="1:43" ht="12.75" x14ac:dyDescent="0.35">
      <c r="A238" s="41" t="s">
        <v>934</v>
      </c>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c r="AA238" s="95"/>
      <c r="AB238" s="95"/>
      <c r="AC238" s="95"/>
      <c r="AD238" s="95"/>
      <c r="AE238" s="95"/>
      <c r="AF238" s="95"/>
      <c r="AG238" s="95"/>
      <c r="AH238" s="95"/>
      <c r="AI238" s="95"/>
      <c r="AJ238" s="95"/>
      <c r="AK238" s="95"/>
      <c r="AL238" s="95"/>
      <c r="AM238" s="95"/>
      <c r="AN238" s="95"/>
      <c r="AO238" s="95"/>
      <c r="AP238" s="95"/>
      <c r="AQ238" s="95"/>
    </row>
    <row r="239" spans="1:43" ht="12.75" x14ac:dyDescent="0.35">
      <c r="A239" s="41" t="s">
        <v>937</v>
      </c>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c r="AA239" s="95"/>
      <c r="AB239" s="95"/>
      <c r="AC239" s="95"/>
      <c r="AD239" s="95"/>
      <c r="AE239" s="95"/>
      <c r="AF239" s="95"/>
      <c r="AG239" s="95"/>
      <c r="AH239" s="95"/>
      <c r="AI239" s="95"/>
      <c r="AJ239" s="95"/>
      <c r="AK239" s="95"/>
      <c r="AL239" s="95"/>
      <c r="AM239" s="95"/>
      <c r="AN239" s="95"/>
      <c r="AO239" s="95"/>
      <c r="AP239" s="95"/>
      <c r="AQ239" s="95"/>
    </row>
    <row r="240" spans="1:43" ht="12.75" x14ac:dyDescent="0.35">
      <c r="A240" s="41" t="s">
        <v>943</v>
      </c>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c r="AA240" s="95"/>
      <c r="AB240" s="95"/>
      <c r="AC240" s="95"/>
      <c r="AD240" s="95"/>
      <c r="AE240" s="95"/>
      <c r="AF240" s="95"/>
      <c r="AG240" s="95"/>
      <c r="AH240" s="95"/>
      <c r="AI240" s="95"/>
      <c r="AJ240" s="95"/>
      <c r="AK240" s="95"/>
      <c r="AL240" s="95"/>
      <c r="AM240" s="95"/>
      <c r="AN240" s="95"/>
      <c r="AO240" s="95"/>
      <c r="AP240" s="95"/>
      <c r="AQ240" s="95"/>
    </row>
    <row r="241" spans="1:43" ht="12.75" x14ac:dyDescent="0.35">
      <c r="A241" s="41" t="s">
        <v>940</v>
      </c>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c r="AA241" s="95"/>
      <c r="AB241" s="95"/>
      <c r="AC241" s="95"/>
      <c r="AD241" s="95"/>
      <c r="AE241" s="95"/>
      <c r="AF241" s="95"/>
      <c r="AG241" s="95"/>
      <c r="AH241" s="95"/>
      <c r="AI241" s="95"/>
      <c r="AJ241" s="95"/>
      <c r="AK241" s="95"/>
      <c r="AL241" s="95"/>
      <c r="AM241" s="95"/>
      <c r="AN241" s="95"/>
      <c r="AO241" s="95"/>
      <c r="AP241" s="95"/>
      <c r="AQ241" s="95"/>
    </row>
    <row r="242" spans="1:43" ht="12.75" x14ac:dyDescent="0.35">
      <c r="A242" s="41" t="s">
        <v>946</v>
      </c>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c r="AA242" s="95"/>
      <c r="AB242" s="95"/>
      <c r="AC242" s="95"/>
      <c r="AD242" s="95"/>
      <c r="AE242" s="95"/>
      <c r="AF242" s="95"/>
      <c r="AG242" s="95"/>
      <c r="AH242" s="95"/>
      <c r="AI242" s="95"/>
      <c r="AJ242" s="95"/>
      <c r="AK242" s="95"/>
      <c r="AL242" s="95"/>
      <c r="AM242" s="95"/>
      <c r="AN242" s="95"/>
      <c r="AO242" s="95"/>
      <c r="AP242" s="95"/>
      <c r="AQ242" s="95"/>
    </row>
    <row r="243" spans="1:43" ht="12.75" x14ac:dyDescent="0.35">
      <c r="A243" s="41" t="s">
        <v>949</v>
      </c>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c r="AA243" s="95"/>
      <c r="AB243" s="95"/>
      <c r="AC243" s="95"/>
      <c r="AD243" s="95"/>
      <c r="AE243" s="95"/>
      <c r="AF243" s="95"/>
      <c r="AG243" s="95"/>
      <c r="AH243" s="95"/>
      <c r="AI243" s="95"/>
      <c r="AJ243" s="95"/>
      <c r="AK243" s="95"/>
      <c r="AL243" s="95"/>
      <c r="AM243" s="95"/>
      <c r="AN243" s="95"/>
      <c r="AO243" s="95"/>
      <c r="AP243" s="95"/>
      <c r="AQ243" s="95"/>
    </row>
    <row r="244" spans="1:43" ht="12.75" x14ac:dyDescent="0.35">
      <c r="A244" s="41" t="s">
        <v>951</v>
      </c>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c r="AA244" s="95"/>
      <c r="AB244" s="95"/>
      <c r="AC244" s="95"/>
      <c r="AD244" s="95"/>
      <c r="AE244" s="95"/>
      <c r="AF244" s="95"/>
      <c r="AG244" s="95"/>
      <c r="AH244" s="95"/>
      <c r="AI244" s="95"/>
      <c r="AJ244" s="95"/>
      <c r="AK244" s="95"/>
      <c r="AL244" s="95"/>
      <c r="AM244" s="95"/>
      <c r="AN244" s="95"/>
      <c r="AO244" s="95"/>
      <c r="AP244" s="95"/>
      <c r="AQ244" s="95"/>
    </row>
    <row r="245" spans="1:43" ht="12.75" x14ac:dyDescent="0.35">
      <c r="A245" s="41" t="s">
        <v>954</v>
      </c>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c r="AA245" s="95"/>
      <c r="AB245" s="95"/>
      <c r="AC245" s="95"/>
      <c r="AD245" s="95"/>
      <c r="AE245" s="95"/>
      <c r="AF245" s="95"/>
      <c r="AG245" s="95"/>
      <c r="AH245" s="95"/>
      <c r="AI245" s="95"/>
      <c r="AJ245" s="95"/>
      <c r="AK245" s="95"/>
      <c r="AL245" s="95"/>
      <c r="AM245" s="95"/>
      <c r="AN245" s="95"/>
      <c r="AO245" s="95"/>
      <c r="AP245" s="95"/>
      <c r="AQ245" s="95"/>
    </row>
    <row r="246" spans="1:43" ht="12.75" x14ac:dyDescent="0.35">
      <c r="A246" s="41" t="s">
        <v>957</v>
      </c>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c r="AA246" s="95"/>
      <c r="AB246" s="95"/>
      <c r="AC246" s="95"/>
      <c r="AD246" s="95"/>
      <c r="AE246" s="95"/>
      <c r="AF246" s="95"/>
      <c r="AG246" s="95"/>
      <c r="AH246" s="95"/>
      <c r="AI246" s="95"/>
      <c r="AJ246" s="95"/>
      <c r="AK246" s="95"/>
      <c r="AL246" s="95"/>
      <c r="AM246" s="95"/>
      <c r="AN246" s="95"/>
      <c r="AO246" s="95"/>
      <c r="AP246" s="95"/>
      <c r="AQ246" s="95"/>
    </row>
    <row r="247" spans="1:43" ht="12.75" x14ac:dyDescent="0.35">
      <c r="A247" s="41" t="s">
        <v>960</v>
      </c>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c r="AA247" s="95"/>
      <c r="AB247" s="95"/>
      <c r="AC247" s="95"/>
      <c r="AD247" s="95"/>
      <c r="AE247" s="95"/>
      <c r="AF247" s="95"/>
      <c r="AG247" s="95"/>
      <c r="AH247" s="95"/>
      <c r="AI247" s="95"/>
      <c r="AJ247" s="95"/>
      <c r="AK247" s="95"/>
      <c r="AL247" s="95"/>
      <c r="AM247" s="95"/>
      <c r="AN247" s="95"/>
      <c r="AO247" s="95"/>
      <c r="AP247" s="95"/>
      <c r="AQ247" s="95"/>
    </row>
    <row r="248" spans="1:43" ht="12.75" x14ac:dyDescent="0.35">
      <c r="A248" s="41" t="s">
        <v>963</v>
      </c>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c r="AA248" s="95"/>
      <c r="AB248" s="95"/>
      <c r="AC248" s="95"/>
      <c r="AD248" s="95"/>
      <c r="AE248" s="95"/>
      <c r="AF248" s="95"/>
      <c r="AG248" s="95"/>
      <c r="AH248" s="95"/>
      <c r="AI248" s="95"/>
      <c r="AJ248" s="95"/>
      <c r="AK248" s="95"/>
      <c r="AL248" s="95"/>
      <c r="AM248" s="95"/>
      <c r="AN248" s="95"/>
      <c r="AO248" s="95"/>
      <c r="AP248" s="95"/>
      <c r="AQ248" s="95"/>
    </row>
    <row r="249" spans="1:43" ht="12.75" x14ac:dyDescent="0.35">
      <c r="A249" s="41" t="s">
        <v>966</v>
      </c>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c r="AA249" s="95"/>
      <c r="AB249" s="95"/>
      <c r="AC249" s="95"/>
      <c r="AD249" s="95"/>
      <c r="AE249" s="95"/>
      <c r="AF249" s="95"/>
      <c r="AG249" s="95"/>
      <c r="AH249" s="95"/>
      <c r="AI249" s="95"/>
      <c r="AJ249" s="95"/>
      <c r="AK249" s="95"/>
      <c r="AL249" s="95"/>
      <c r="AM249" s="95"/>
      <c r="AN249" s="95"/>
      <c r="AO249" s="95"/>
      <c r="AP249" s="95"/>
      <c r="AQ249" s="95"/>
    </row>
    <row r="250" spans="1:43" ht="12.75" x14ac:dyDescent="0.35">
      <c r="A250" s="41" t="s">
        <v>969</v>
      </c>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c r="AA250" s="95"/>
      <c r="AB250" s="95"/>
      <c r="AC250" s="95"/>
      <c r="AD250" s="95"/>
      <c r="AE250" s="95"/>
      <c r="AF250" s="95"/>
      <c r="AG250" s="95"/>
      <c r="AH250" s="95"/>
      <c r="AI250" s="95"/>
      <c r="AJ250" s="95"/>
      <c r="AK250" s="95"/>
      <c r="AL250" s="95"/>
      <c r="AM250" s="95"/>
      <c r="AN250" s="95"/>
      <c r="AO250" s="95"/>
      <c r="AP250" s="95"/>
      <c r="AQ250" s="95"/>
    </row>
    <row r="251" spans="1:43" ht="12.75" x14ac:dyDescent="0.35">
      <c r="A251" s="41" t="s">
        <v>972</v>
      </c>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c r="AA251" s="95"/>
      <c r="AB251" s="95"/>
      <c r="AC251" s="95"/>
      <c r="AD251" s="95"/>
      <c r="AE251" s="95"/>
      <c r="AF251" s="95"/>
      <c r="AG251" s="95"/>
      <c r="AH251" s="95"/>
      <c r="AI251" s="95"/>
      <c r="AJ251" s="95"/>
      <c r="AK251" s="95"/>
      <c r="AL251" s="95"/>
      <c r="AM251" s="95"/>
      <c r="AN251" s="95"/>
      <c r="AO251" s="95"/>
      <c r="AP251" s="95"/>
      <c r="AQ251" s="95"/>
    </row>
    <row r="252" spans="1:43" ht="12.75" x14ac:dyDescent="0.35">
      <c r="A252" s="41" t="s">
        <v>975</v>
      </c>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c r="AA252" s="95"/>
      <c r="AB252" s="95"/>
      <c r="AC252" s="95"/>
      <c r="AD252" s="95"/>
      <c r="AE252" s="95"/>
      <c r="AF252" s="95"/>
      <c r="AG252" s="95"/>
      <c r="AH252" s="95"/>
      <c r="AI252" s="95"/>
      <c r="AJ252" s="95"/>
      <c r="AK252" s="95"/>
      <c r="AL252" s="95"/>
      <c r="AM252" s="95"/>
      <c r="AN252" s="95"/>
      <c r="AO252" s="95"/>
      <c r="AP252" s="95"/>
      <c r="AQ252" s="95"/>
    </row>
    <row r="253" spans="1:43" ht="12.75" x14ac:dyDescent="0.35">
      <c r="A253" s="41" t="s">
        <v>978</v>
      </c>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c r="AA253" s="95"/>
      <c r="AB253" s="95"/>
      <c r="AC253" s="95"/>
      <c r="AD253" s="95"/>
      <c r="AE253" s="95"/>
      <c r="AF253" s="95"/>
      <c r="AG253" s="95"/>
      <c r="AH253" s="95"/>
      <c r="AI253" s="95"/>
      <c r="AJ253" s="95"/>
      <c r="AK253" s="95"/>
      <c r="AL253" s="95"/>
      <c r="AM253" s="95"/>
      <c r="AN253" s="95"/>
      <c r="AO253" s="95"/>
      <c r="AP253" s="95"/>
      <c r="AQ253" s="95"/>
    </row>
    <row r="254" spans="1:43" ht="12.75" x14ac:dyDescent="0.35">
      <c r="A254" s="41" t="s">
        <v>981</v>
      </c>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c r="AA254" s="95"/>
      <c r="AB254" s="95"/>
      <c r="AC254" s="95"/>
      <c r="AD254" s="95"/>
      <c r="AE254" s="95"/>
      <c r="AF254" s="95"/>
      <c r="AG254" s="95"/>
      <c r="AH254" s="95"/>
      <c r="AI254" s="95"/>
      <c r="AJ254" s="95"/>
      <c r="AK254" s="95"/>
      <c r="AL254" s="95"/>
      <c r="AM254" s="95"/>
      <c r="AN254" s="95"/>
      <c r="AO254" s="95"/>
      <c r="AP254" s="95"/>
      <c r="AQ254" s="95"/>
    </row>
    <row r="255" spans="1:43" ht="12.75" x14ac:dyDescent="0.35">
      <c r="A255" s="41" t="s">
        <v>984</v>
      </c>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c r="AA255" s="95"/>
      <c r="AB255" s="95"/>
      <c r="AC255" s="95"/>
      <c r="AD255" s="95"/>
      <c r="AE255" s="95"/>
      <c r="AF255" s="95"/>
      <c r="AG255" s="95"/>
      <c r="AH255" s="95"/>
      <c r="AI255" s="95"/>
      <c r="AJ255" s="95"/>
      <c r="AK255" s="95"/>
      <c r="AL255" s="95"/>
      <c r="AM255" s="95"/>
      <c r="AN255" s="95"/>
      <c r="AO255" s="95"/>
      <c r="AP255" s="95"/>
      <c r="AQ255" s="95"/>
    </row>
    <row r="256" spans="1:43" ht="12.75" x14ac:dyDescent="0.35">
      <c r="A256" s="41" t="s">
        <v>987</v>
      </c>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c r="AA256" s="95"/>
      <c r="AB256" s="95"/>
      <c r="AC256" s="95"/>
      <c r="AD256" s="95"/>
      <c r="AE256" s="95"/>
      <c r="AF256" s="95"/>
      <c r="AG256" s="95"/>
      <c r="AH256" s="95"/>
      <c r="AI256" s="95"/>
      <c r="AJ256" s="95"/>
      <c r="AK256" s="95"/>
      <c r="AL256" s="95"/>
      <c r="AM256" s="95"/>
      <c r="AN256" s="95"/>
      <c r="AO256" s="95"/>
      <c r="AP256" s="95"/>
      <c r="AQ256" s="95"/>
    </row>
    <row r="257" spans="1:43" ht="12.75" x14ac:dyDescent="0.35">
      <c r="A257" s="41" t="s">
        <v>990</v>
      </c>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c r="AA257" s="95"/>
      <c r="AB257" s="95"/>
      <c r="AC257" s="95"/>
      <c r="AD257" s="95"/>
      <c r="AE257" s="95"/>
      <c r="AF257" s="95"/>
      <c r="AG257" s="95"/>
      <c r="AH257" s="95"/>
      <c r="AI257" s="95"/>
      <c r="AJ257" s="95"/>
      <c r="AK257" s="95"/>
      <c r="AL257" s="95"/>
      <c r="AM257" s="95"/>
      <c r="AN257" s="95"/>
      <c r="AO257" s="95"/>
      <c r="AP257" s="95"/>
      <c r="AQ257" s="95"/>
    </row>
    <row r="258" spans="1:43" ht="12.75" x14ac:dyDescent="0.35">
      <c r="A258" s="41" t="s">
        <v>993</v>
      </c>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c r="AA258" s="95"/>
      <c r="AB258" s="95"/>
      <c r="AC258" s="95"/>
      <c r="AD258" s="95"/>
      <c r="AE258" s="95"/>
      <c r="AF258" s="95"/>
      <c r="AG258" s="95"/>
      <c r="AH258" s="95"/>
      <c r="AI258" s="95"/>
      <c r="AJ258" s="95"/>
      <c r="AK258" s="95"/>
      <c r="AL258" s="95"/>
      <c r="AM258" s="95"/>
      <c r="AN258" s="95"/>
      <c r="AO258" s="95"/>
      <c r="AP258" s="95"/>
      <c r="AQ258" s="95"/>
    </row>
    <row r="259" spans="1:43" ht="12.75" x14ac:dyDescent="0.35">
      <c r="A259" s="41" t="s">
        <v>996</v>
      </c>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c r="AA259" s="95"/>
      <c r="AB259" s="95"/>
      <c r="AC259" s="95"/>
      <c r="AD259" s="95"/>
      <c r="AE259" s="95"/>
      <c r="AF259" s="95"/>
      <c r="AG259" s="95"/>
      <c r="AH259" s="95"/>
      <c r="AI259" s="95"/>
      <c r="AJ259" s="95"/>
      <c r="AK259" s="95"/>
      <c r="AL259" s="95"/>
      <c r="AM259" s="95"/>
      <c r="AN259" s="95"/>
      <c r="AO259" s="95"/>
      <c r="AP259" s="95"/>
      <c r="AQ259" s="95"/>
    </row>
    <row r="260" spans="1:43" ht="12.75" x14ac:dyDescent="0.35">
      <c r="A260" s="41" t="s">
        <v>999</v>
      </c>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c r="AA260" s="95"/>
      <c r="AB260" s="95"/>
      <c r="AC260" s="95"/>
      <c r="AD260" s="95"/>
      <c r="AE260" s="95"/>
      <c r="AF260" s="95"/>
      <c r="AG260" s="95"/>
      <c r="AH260" s="95"/>
      <c r="AI260" s="95"/>
      <c r="AJ260" s="95"/>
      <c r="AK260" s="95"/>
      <c r="AL260" s="95"/>
      <c r="AM260" s="95"/>
      <c r="AN260" s="95"/>
      <c r="AO260" s="95"/>
      <c r="AP260" s="95"/>
      <c r="AQ260" s="95"/>
    </row>
    <row r="261" spans="1:43" ht="12.75" x14ac:dyDescent="0.35">
      <c r="A261" s="41" t="s">
        <v>1002</v>
      </c>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c r="AA261" s="95"/>
      <c r="AB261" s="95"/>
      <c r="AC261" s="95"/>
      <c r="AD261" s="95"/>
      <c r="AE261" s="95"/>
      <c r="AF261" s="95"/>
      <c r="AG261" s="95"/>
      <c r="AH261" s="95"/>
      <c r="AI261" s="95"/>
      <c r="AJ261" s="95"/>
      <c r="AK261" s="95"/>
      <c r="AL261" s="95"/>
      <c r="AM261" s="95"/>
      <c r="AN261" s="95"/>
      <c r="AO261" s="95"/>
      <c r="AP261" s="95"/>
      <c r="AQ261" s="95"/>
    </row>
    <row r="262" spans="1:43" ht="12.75" x14ac:dyDescent="0.35">
      <c r="A262" s="41" t="s">
        <v>1005</v>
      </c>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c r="AA262" s="95"/>
      <c r="AB262" s="95"/>
      <c r="AC262" s="95"/>
      <c r="AD262" s="95"/>
      <c r="AE262" s="95"/>
      <c r="AF262" s="95"/>
      <c r="AG262" s="95"/>
      <c r="AH262" s="95"/>
      <c r="AI262" s="95"/>
      <c r="AJ262" s="95"/>
      <c r="AK262" s="95"/>
      <c r="AL262" s="95"/>
      <c r="AM262" s="95"/>
      <c r="AN262" s="95"/>
      <c r="AO262" s="95"/>
      <c r="AP262" s="95"/>
      <c r="AQ262" s="95"/>
    </row>
    <row r="263" spans="1:43" ht="12.75" x14ac:dyDescent="0.35">
      <c r="A263" s="41" t="s">
        <v>1008</v>
      </c>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c r="AA263" s="95"/>
      <c r="AB263" s="95"/>
      <c r="AC263" s="95"/>
      <c r="AD263" s="95"/>
      <c r="AE263" s="95"/>
      <c r="AF263" s="95"/>
      <c r="AG263" s="95"/>
      <c r="AH263" s="95"/>
      <c r="AI263" s="95"/>
      <c r="AJ263" s="95"/>
      <c r="AK263" s="95"/>
      <c r="AL263" s="95"/>
      <c r="AM263" s="95"/>
      <c r="AN263" s="95"/>
      <c r="AO263" s="95"/>
      <c r="AP263" s="95"/>
      <c r="AQ263" s="95"/>
    </row>
    <row r="264" spans="1:43" ht="12.75" x14ac:dyDescent="0.35">
      <c r="A264" s="41" t="s">
        <v>1011</v>
      </c>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c r="AA264" s="95"/>
      <c r="AB264" s="95"/>
      <c r="AC264" s="95"/>
      <c r="AD264" s="95"/>
      <c r="AE264" s="95"/>
      <c r="AF264" s="95"/>
      <c r="AG264" s="95"/>
      <c r="AH264" s="95"/>
      <c r="AI264" s="95"/>
      <c r="AJ264" s="95"/>
      <c r="AK264" s="95"/>
      <c r="AL264" s="95"/>
      <c r="AM264" s="95"/>
      <c r="AN264" s="95"/>
      <c r="AO264" s="95"/>
      <c r="AP264" s="95"/>
      <c r="AQ264" s="95"/>
    </row>
    <row r="265" spans="1:43" ht="12.75" x14ac:dyDescent="0.35">
      <c r="A265" s="41" t="s">
        <v>1013</v>
      </c>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c r="AA265" s="95"/>
      <c r="AB265" s="95"/>
      <c r="AC265" s="95"/>
      <c r="AD265" s="95"/>
      <c r="AE265" s="95"/>
      <c r="AF265" s="95"/>
      <c r="AG265" s="95"/>
      <c r="AH265" s="95"/>
      <c r="AI265" s="95"/>
      <c r="AJ265" s="95"/>
      <c r="AK265" s="95"/>
      <c r="AL265" s="95"/>
      <c r="AM265" s="95"/>
      <c r="AN265" s="95"/>
      <c r="AO265" s="95"/>
      <c r="AP265" s="95"/>
      <c r="AQ265" s="95"/>
    </row>
    <row r="266" spans="1:43" ht="12.75" x14ac:dyDescent="0.35">
      <c r="A266" s="41" t="s">
        <v>1016</v>
      </c>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c r="AA266" s="95"/>
      <c r="AB266" s="95"/>
      <c r="AC266" s="95"/>
      <c r="AD266" s="95"/>
      <c r="AE266" s="95"/>
      <c r="AF266" s="95"/>
      <c r="AG266" s="95"/>
      <c r="AH266" s="95"/>
      <c r="AI266" s="95"/>
      <c r="AJ266" s="95"/>
      <c r="AK266" s="95"/>
      <c r="AL266" s="95"/>
      <c r="AM266" s="95"/>
      <c r="AN266" s="95"/>
      <c r="AO266" s="95"/>
      <c r="AP266" s="95"/>
      <c r="AQ266" s="95"/>
    </row>
    <row r="267" spans="1:43" ht="12.75" x14ac:dyDescent="0.35">
      <c r="A267" s="41" t="s">
        <v>1019</v>
      </c>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c r="AA267" s="95"/>
      <c r="AB267" s="95"/>
      <c r="AC267" s="95"/>
      <c r="AD267" s="95"/>
      <c r="AE267" s="95"/>
      <c r="AF267" s="95"/>
      <c r="AG267" s="95"/>
      <c r="AH267" s="95"/>
      <c r="AI267" s="95"/>
      <c r="AJ267" s="95"/>
      <c r="AK267" s="95"/>
      <c r="AL267" s="95"/>
      <c r="AM267" s="95"/>
      <c r="AN267" s="95"/>
      <c r="AO267" s="95"/>
      <c r="AP267" s="95"/>
      <c r="AQ267" s="95"/>
    </row>
    <row r="268" spans="1:43" ht="12.75" x14ac:dyDescent="0.35">
      <c r="A268" s="41" t="s">
        <v>1022</v>
      </c>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c r="AA268" s="95"/>
      <c r="AB268" s="95"/>
      <c r="AC268" s="95"/>
      <c r="AD268" s="95"/>
      <c r="AE268" s="95"/>
      <c r="AF268" s="95"/>
      <c r="AG268" s="95"/>
      <c r="AH268" s="95"/>
      <c r="AI268" s="95"/>
      <c r="AJ268" s="95"/>
      <c r="AK268" s="95"/>
      <c r="AL268" s="95"/>
      <c r="AM268" s="95"/>
      <c r="AN268" s="95"/>
      <c r="AO268" s="95"/>
      <c r="AP268" s="95"/>
      <c r="AQ268" s="95"/>
    </row>
    <row r="269" spans="1:43" ht="12.75" x14ac:dyDescent="0.35">
      <c r="A269" s="41" t="s">
        <v>1024</v>
      </c>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c r="AA269" s="95"/>
      <c r="AB269" s="95"/>
      <c r="AC269" s="95"/>
      <c r="AD269" s="95"/>
      <c r="AE269" s="95"/>
      <c r="AF269" s="95"/>
      <c r="AG269" s="95"/>
      <c r="AH269" s="95"/>
      <c r="AI269" s="95"/>
      <c r="AJ269" s="95"/>
      <c r="AK269" s="95"/>
      <c r="AL269" s="95"/>
      <c r="AM269" s="95"/>
      <c r="AN269" s="95"/>
      <c r="AO269" s="95"/>
      <c r="AP269" s="95"/>
      <c r="AQ269" s="95"/>
    </row>
    <row r="270" spans="1:43" ht="12.75" x14ac:dyDescent="0.35">
      <c r="A270" s="41" t="s">
        <v>1027</v>
      </c>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c r="AA270" s="95"/>
      <c r="AB270" s="95"/>
      <c r="AC270" s="95"/>
      <c r="AD270" s="95"/>
      <c r="AE270" s="95"/>
      <c r="AF270" s="95"/>
      <c r="AG270" s="95"/>
      <c r="AH270" s="95"/>
      <c r="AI270" s="95"/>
      <c r="AJ270" s="95"/>
      <c r="AK270" s="95"/>
      <c r="AL270" s="95"/>
      <c r="AM270" s="95"/>
      <c r="AN270" s="95"/>
      <c r="AO270" s="95"/>
      <c r="AP270" s="95"/>
      <c r="AQ270" s="95"/>
    </row>
    <row r="271" spans="1:43" ht="12.75" x14ac:dyDescent="0.35">
      <c r="A271" s="41" t="s">
        <v>1030</v>
      </c>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c r="AA271" s="95"/>
      <c r="AB271" s="95"/>
      <c r="AC271" s="95"/>
      <c r="AD271" s="95"/>
      <c r="AE271" s="95"/>
      <c r="AF271" s="95"/>
      <c r="AG271" s="95"/>
      <c r="AH271" s="95"/>
      <c r="AI271" s="95"/>
      <c r="AJ271" s="95"/>
      <c r="AK271" s="95"/>
      <c r="AL271" s="95"/>
      <c r="AM271" s="95"/>
      <c r="AN271" s="95"/>
      <c r="AO271" s="95"/>
      <c r="AP271" s="95"/>
      <c r="AQ271" s="95"/>
    </row>
    <row r="272" spans="1:43" ht="12.75" x14ac:dyDescent="0.35">
      <c r="A272" s="41" t="s">
        <v>1033</v>
      </c>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c r="AA272" s="95"/>
      <c r="AB272" s="95"/>
      <c r="AC272" s="95"/>
      <c r="AD272" s="95"/>
      <c r="AE272" s="95"/>
      <c r="AF272" s="95"/>
      <c r="AG272" s="95"/>
      <c r="AH272" s="95"/>
      <c r="AI272" s="95"/>
      <c r="AJ272" s="95"/>
      <c r="AK272" s="95"/>
      <c r="AL272" s="95"/>
      <c r="AM272" s="95"/>
      <c r="AN272" s="95"/>
      <c r="AO272" s="95"/>
      <c r="AP272" s="95"/>
      <c r="AQ272" s="95"/>
    </row>
    <row r="273" spans="1:43" ht="12.75" x14ac:dyDescent="0.35">
      <c r="A273" s="41" t="s">
        <v>1036</v>
      </c>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c r="AA273" s="95"/>
      <c r="AB273" s="95"/>
      <c r="AC273" s="95"/>
      <c r="AD273" s="95"/>
      <c r="AE273" s="95"/>
      <c r="AF273" s="95"/>
      <c r="AG273" s="95"/>
      <c r="AH273" s="95"/>
      <c r="AI273" s="95"/>
      <c r="AJ273" s="95"/>
      <c r="AK273" s="95"/>
      <c r="AL273" s="95"/>
      <c r="AM273" s="95"/>
      <c r="AN273" s="95"/>
      <c r="AO273" s="95"/>
      <c r="AP273" s="95"/>
      <c r="AQ273" s="95"/>
    </row>
    <row r="274" spans="1:43" ht="12.75" x14ac:dyDescent="0.35">
      <c r="A274" s="41" t="s">
        <v>1039</v>
      </c>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c r="AA274" s="95"/>
      <c r="AB274" s="95"/>
      <c r="AC274" s="95"/>
      <c r="AD274" s="95"/>
      <c r="AE274" s="95"/>
      <c r="AF274" s="95"/>
      <c r="AG274" s="95"/>
      <c r="AH274" s="95"/>
      <c r="AI274" s="95"/>
      <c r="AJ274" s="95"/>
      <c r="AK274" s="95"/>
      <c r="AL274" s="95"/>
      <c r="AM274" s="95"/>
      <c r="AN274" s="95"/>
      <c r="AO274" s="95"/>
      <c r="AP274" s="95"/>
      <c r="AQ274" s="95"/>
    </row>
    <row r="275" spans="1:43" ht="12.75" x14ac:dyDescent="0.35">
      <c r="A275" s="41" t="s">
        <v>1041</v>
      </c>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c r="AA275" s="95"/>
      <c r="AB275" s="95"/>
      <c r="AC275" s="95"/>
      <c r="AD275" s="95"/>
      <c r="AE275" s="95"/>
      <c r="AF275" s="95"/>
      <c r="AG275" s="95"/>
      <c r="AH275" s="95"/>
      <c r="AI275" s="95"/>
      <c r="AJ275" s="95"/>
      <c r="AK275" s="95"/>
      <c r="AL275" s="95"/>
      <c r="AM275" s="95"/>
      <c r="AN275" s="95"/>
      <c r="AO275" s="95"/>
      <c r="AP275" s="95"/>
      <c r="AQ275" s="95"/>
    </row>
    <row r="276" spans="1:43" ht="12.75" x14ac:dyDescent="0.35">
      <c r="A276" s="41" t="s">
        <v>1044</v>
      </c>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c r="AA276" s="95"/>
      <c r="AB276" s="95"/>
      <c r="AC276" s="95"/>
      <c r="AD276" s="95"/>
      <c r="AE276" s="95"/>
      <c r="AF276" s="95"/>
      <c r="AG276" s="95"/>
      <c r="AH276" s="95"/>
      <c r="AI276" s="95"/>
      <c r="AJ276" s="95"/>
      <c r="AK276" s="95"/>
      <c r="AL276" s="95"/>
      <c r="AM276" s="95"/>
      <c r="AN276" s="95"/>
      <c r="AO276" s="95"/>
      <c r="AP276" s="95"/>
      <c r="AQ276" s="95"/>
    </row>
    <row r="277" spans="1:43" ht="12.75" x14ac:dyDescent="0.35">
      <c r="A277" s="41" t="s">
        <v>1047</v>
      </c>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c r="AA277" s="95"/>
      <c r="AB277" s="95"/>
      <c r="AC277" s="95"/>
      <c r="AD277" s="95"/>
      <c r="AE277" s="95"/>
      <c r="AF277" s="95"/>
      <c r="AG277" s="95"/>
      <c r="AH277" s="95"/>
      <c r="AI277" s="95"/>
      <c r="AJ277" s="95"/>
      <c r="AK277" s="95"/>
      <c r="AL277" s="95"/>
      <c r="AM277" s="95"/>
      <c r="AN277" s="95"/>
      <c r="AO277" s="95"/>
      <c r="AP277" s="95"/>
      <c r="AQ277" s="95"/>
    </row>
    <row r="278" spans="1:43" ht="12.75" x14ac:dyDescent="0.35">
      <c r="A278" s="41" t="s">
        <v>1050</v>
      </c>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c r="AA278" s="95"/>
      <c r="AB278" s="95"/>
      <c r="AC278" s="95"/>
      <c r="AD278" s="95"/>
      <c r="AE278" s="95"/>
      <c r="AF278" s="95"/>
      <c r="AG278" s="95"/>
      <c r="AH278" s="95"/>
      <c r="AI278" s="95"/>
      <c r="AJ278" s="95"/>
      <c r="AK278" s="95"/>
      <c r="AL278" s="95"/>
      <c r="AM278" s="95"/>
      <c r="AN278" s="95"/>
      <c r="AO278" s="95"/>
      <c r="AP278" s="95"/>
      <c r="AQ278" s="95"/>
    </row>
    <row r="279" spans="1:43" ht="12.75" x14ac:dyDescent="0.35">
      <c r="A279" s="41" t="s">
        <v>1052</v>
      </c>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c r="AA279" s="95"/>
      <c r="AB279" s="95"/>
      <c r="AC279" s="95"/>
      <c r="AD279" s="95"/>
      <c r="AE279" s="95"/>
      <c r="AF279" s="95"/>
      <c r="AG279" s="95"/>
      <c r="AH279" s="95"/>
      <c r="AI279" s="95"/>
      <c r="AJ279" s="95"/>
      <c r="AK279" s="95"/>
      <c r="AL279" s="95"/>
      <c r="AM279" s="95"/>
      <c r="AN279" s="95"/>
      <c r="AO279" s="95"/>
      <c r="AP279" s="95"/>
      <c r="AQ279" s="95"/>
    </row>
    <row r="280" spans="1:43" ht="12.75" x14ac:dyDescent="0.35">
      <c r="A280" s="41" t="s">
        <v>1054</v>
      </c>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c r="AA280" s="95"/>
      <c r="AB280" s="95"/>
      <c r="AC280" s="95"/>
      <c r="AD280" s="95"/>
      <c r="AE280" s="95"/>
      <c r="AF280" s="95"/>
      <c r="AG280" s="95"/>
      <c r="AH280" s="95"/>
      <c r="AI280" s="95"/>
      <c r="AJ280" s="95"/>
      <c r="AK280" s="95"/>
      <c r="AL280" s="95"/>
      <c r="AM280" s="95"/>
      <c r="AN280" s="95"/>
      <c r="AO280" s="95"/>
      <c r="AP280" s="95"/>
      <c r="AQ280" s="95"/>
    </row>
    <row r="281" spans="1:43" ht="12.75" x14ac:dyDescent="0.35">
      <c r="A281" s="41" t="s">
        <v>1056</v>
      </c>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c r="AA281" s="95"/>
      <c r="AB281" s="95"/>
      <c r="AC281" s="95"/>
      <c r="AD281" s="95"/>
      <c r="AE281" s="95"/>
      <c r="AF281" s="95"/>
      <c r="AG281" s="95"/>
      <c r="AH281" s="95"/>
      <c r="AI281" s="95"/>
      <c r="AJ281" s="95"/>
      <c r="AK281" s="95"/>
      <c r="AL281" s="95"/>
      <c r="AM281" s="95"/>
      <c r="AN281" s="95"/>
      <c r="AO281" s="95"/>
      <c r="AP281" s="95"/>
      <c r="AQ281" s="95"/>
    </row>
    <row r="282" spans="1:43" ht="12.75" x14ac:dyDescent="0.35">
      <c r="A282" s="41" t="s">
        <v>1058</v>
      </c>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c r="AA282" s="95"/>
      <c r="AB282" s="95"/>
      <c r="AC282" s="95"/>
      <c r="AD282" s="95"/>
      <c r="AE282" s="95"/>
      <c r="AF282" s="95"/>
      <c r="AG282" s="95"/>
      <c r="AH282" s="95"/>
      <c r="AI282" s="95"/>
      <c r="AJ282" s="95"/>
      <c r="AK282" s="95"/>
      <c r="AL282" s="95"/>
      <c r="AM282" s="95"/>
      <c r="AN282" s="95"/>
      <c r="AO282" s="95"/>
      <c r="AP282" s="95"/>
      <c r="AQ282" s="95"/>
    </row>
    <row r="283" spans="1:43" ht="12.75" x14ac:dyDescent="0.35">
      <c r="A283" s="41" t="s">
        <v>1061</v>
      </c>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c r="AA283" s="95"/>
      <c r="AB283" s="95"/>
      <c r="AC283" s="95"/>
      <c r="AD283" s="95"/>
      <c r="AE283" s="95"/>
      <c r="AF283" s="95"/>
      <c r="AG283" s="95"/>
      <c r="AH283" s="95"/>
      <c r="AI283" s="95"/>
      <c r="AJ283" s="95"/>
      <c r="AK283" s="95"/>
      <c r="AL283" s="95"/>
      <c r="AM283" s="95"/>
      <c r="AN283" s="95"/>
      <c r="AO283" s="95"/>
      <c r="AP283" s="95"/>
      <c r="AQ283" s="95"/>
    </row>
    <row r="284" spans="1:43" ht="12.75" x14ac:dyDescent="0.35">
      <c r="A284" s="41" t="s">
        <v>1063</v>
      </c>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c r="AA284" s="95"/>
      <c r="AB284" s="95"/>
      <c r="AC284" s="95"/>
      <c r="AD284" s="95"/>
      <c r="AE284" s="95"/>
      <c r="AF284" s="95"/>
      <c r="AG284" s="95"/>
      <c r="AH284" s="95"/>
      <c r="AI284" s="95"/>
      <c r="AJ284" s="95"/>
      <c r="AK284" s="95"/>
      <c r="AL284" s="95"/>
      <c r="AM284" s="95"/>
      <c r="AN284" s="95"/>
      <c r="AO284" s="95"/>
      <c r="AP284" s="95"/>
      <c r="AQ284" s="95"/>
    </row>
    <row r="285" spans="1:43" ht="12.75" x14ac:dyDescent="0.35">
      <c r="A285" s="41" t="s">
        <v>1066</v>
      </c>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c r="AA285" s="95"/>
      <c r="AB285" s="95"/>
      <c r="AC285" s="95"/>
      <c r="AD285" s="95"/>
      <c r="AE285" s="95"/>
      <c r="AF285" s="95"/>
      <c r="AG285" s="95"/>
      <c r="AH285" s="95"/>
      <c r="AI285" s="95"/>
      <c r="AJ285" s="95"/>
      <c r="AK285" s="95"/>
      <c r="AL285" s="95"/>
      <c r="AM285" s="95"/>
      <c r="AN285" s="95"/>
      <c r="AO285" s="95"/>
      <c r="AP285" s="95"/>
      <c r="AQ285" s="95"/>
    </row>
    <row r="286" spans="1:43" ht="12.75" x14ac:dyDescent="0.35">
      <c r="A286" s="41" t="s">
        <v>1069</v>
      </c>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c r="AA286" s="95"/>
      <c r="AB286" s="95"/>
      <c r="AC286" s="95"/>
      <c r="AD286" s="95"/>
      <c r="AE286" s="95"/>
      <c r="AF286" s="95"/>
      <c r="AG286" s="95"/>
      <c r="AH286" s="95"/>
      <c r="AI286" s="95"/>
      <c r="AJ286" s="95"/>
      <c r="AK286" s="95"/>
      <c r="AL286" s="95"/>
      <c r="AM286" s="95"/>
      <c r="AN286" s="95"/>
      <c r="AO286" s="95"/>
      <c r="AP286" s="95"/>
      <c r="AQ286" s="95"/>
    </row>
    <row r="287" spans="1:43" ht="12.75" x14ac:dyDescent="0.35">
      <c r="A287" s="41" t="s">
        <v>1072</v>
      </c>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c r="AA287" s="95"/>
      <c r="AB287" s="95"/>
      <c r="AC287" s="95"/>
      <c r="AD287" s="95"/>
      <c r="AE287" s="95"/>
      <c r="AF287" s="95"/>
      <c r="AG287" s="95"/>
      <c r="AH287" s="95"/>
      <c r="AI287" s="95"/>
      <c r="AJ287" s="95"/>
      <c r="AK287" s="95"/>
      <c r="AL287" s="95"/>
      <c r="AM287" s="95"/>
      <c r="AN287" s="95"/>
      <c r="AO287" s="95"/>
      <c r="AP287" s="95"/>
      <c r="AQ287" s="95"/>
    </row>
    <row r="288" spans="1:43" ht="12.75" x14ac:dyDescent="0.35">
      <c r="A288" s="41" t="s">
        <v>1075</v>
      </c>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c r="AA288" s="95"/>
      <c r="AB288" s="95"/>
      <c r="AC288" s="95"/>
      <c r="AD288" s="95"/>
      <c r="AE288" s="95"/>
      <c r="AF288" s="95"/>
      <c r="AG288" s="95"/>
      <c r="AH288" s="95"/>
      <c r="AI288" s="95"/>
      <c r="AJ288" s="95"/>
      <c r="AK288" s="95"/>
      <c r="AL288" s="95"/>
      <c r="AM288" s="95"/>
      <c r="AN288" s="95"/>
      <c r="AO288" s="95"/>
      <c r="AP288" s="95"/>
      <c r="AQ288" s="95"/>
    </row>
    <row r="289" spans="1:43" ht="12.75" x14ac:dyDescent="0.35">
      <c r="A289" s="41" t="s">
        <v>1078</v>
      </c>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c r="AA289" s="95"/>
      <c r="AB289" s="95"/>
      <c r="AC289" s="95"/>
      <c r="AD289" s="95"/>
      <c r="AE289" s="95"/>
      <c r="AF289" s="95"/>
      <c r="AG289" s="95"/>
      <c r="AH289" s="95"/>
      <c r="AI289" s="95"/>
      <c r="AJ289" s="95"/>
      <c r="AK289" s="95"/>
      <c r="AL289" s="95"/>
      <c r="AM289" s="95"/>
      <c r="AN289" s="95"/>
      <c r="AO289" s="95"/>
      <c r="AP289" s="95"/>
      <c r="AQ289" s="95"/>
    </row>
    <row r="290" spans="1:43" ht="12.75" x14ac:dyDescent="0.35">
      <c r="A290" s="41" t="s">
        <v>1081</v>
      </c>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c r="AA290" s="95"/>
      <c r="AB290" s="95"/>
      <c r="AC290" s="95"/>
      <c r="AD290" s="95"/>
      <c r="AE290" s="95"/>
      <c r="AF290" s="95"/>
      <c r="AG290" s="95"/>
      <c r="AH290" s="95"/>
      <c r="AI290" s="95"/>
      <c r="AJ290" s="95"/>
      <c r="AK290" s="95"/>
      <c r="AL290" s="95"/>
      <c r="AM290" s="95"/>
      <c r="AN290" s="95"/>
      <c r="AO290" s="95"/>
      <c r="AP290" s="95"/>
      <c r="AQ290" s="95"/>
    </row>
    <row r="291" spans="1:43" ht="12.75" x14ac:dyDescent="0.35">
      <c r="A291" s="41" t="s">
        <v>1083</v>
      </c>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c r="AA291" s="95"/>
      <c r="AB291" s="95"/>
      <c r="AC291" s="95"/>
      <c r="AD291" s="95"/>
      <c r="AE291" s="95"/>
      <c r="AF291" s="95"/>
      <c r="AG291" s="95"/>
      <c r="AH291" s="95"/>
      <c r="AI291" s="95"/>
      <c r="AJ291" s="95"/>
      <c r="AK291" s="95"/>
      <c r="AL291" s="95"/>
      <c r="AM291" s="95"/>
      <c r="AN291" s="95"/>
      <c r="AO291" s="95"/>
      <c r="AP291" s="95"/>
      <c r="AQ291" s="95"/>
    </row>
    <row r="292" spans="1:43" ht="12.75" x14ac:dyDescent="0.35">
      <c r="A292" s="41" t="s">
        <v>1086</v>
      </c>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c r="AA292" s="95"/>
      <c r="AB292" s="95"/>
      <c r="AC292" s="95"/>
      <c r="AD292" s="95"/>
      <c r="AE292" s="95"/>
      <c r="AF292" s="95"/>
      <c r="AG292" s="95"/>
      <c r="AH292" s="95"/>
      <c r="AI292" s="95"/>
      <c r="AJ292" s="95"/>
      <c r="AK292" s="95"/>
      <c r="AL292" s="95"/>
      <c r="AM292" s="95"/>
      <c r="AN292" s="95"/>
      <c r="AO292" s="95"/>
      <c r="AP292" s="95"/>
      <c r="AQ292" s="95"/>
    </row>
    <row r="293" spans="1:43" ht="12.75" x14ac:dyDescent="0.35">
      <c r="A293" s="41" t="s">
        <v>1089</v>
      </c>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c r="AA293" s="95"/>
      <c r="AB293" s="95"/>
      <c r="AC293" s="95"/>
      <c r="AD293" s="95"/>
      <c r="AE293" s="95"/>
      <c r="AF293" s="95"/>
      <c r="AG293" s="95"/>
      <c r="AH293" s="95"/>
      <c r="AI293" s="95"/>
      <c r="AJ293" s="95"/>
      <c r="AK293" s="95"/>
      <c r="AL293" s="95"/>
      <c r="AM293" s="95"/>
      <c r="AN293" s="95"/>
      <c r="AO293" s="95"/>
      <c r="AP293" s="95"/>
      <c r="AQ293" s="95"/>
    </row>
    <row r="294" spans="1:43" ht="12.75" x14ac:dyDescent="0.35">
      <c r="A294" s="41" t="s">
        <v>1092</v>
      </c>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c r="AA294" s="95"/>
      <c r="AB294" s="95"/>
      <c r="AC294" s="95"/>
      <c r="AD294" s="95"/>
      <c r="AE294" s="95"/>
      <c r="AF294" s="95"/>
      <c r="AG294" s="95"/>
      <c r="AH294" s="95"/>
      <c r="AI294" s="95"/>
      <c r="AJ294" s="95"/>
      <c r="AK294" s="95"/>
      <c r="AL294" s="95"/>
      <c r="AM294" s="95"/>
      <c r="AN294" s="95"/>
      <c r="AO294" s="95"/>
      <c r="AP294" s="95"/>
      <c r="AQ294" s="95"/>
    </row>
    <row r="295" spans="1:43" ht="12.75" x14ac:dyDescent="0.35">
      <c r="A295" s="41" t="s">
        <v>1095</v>
      </c>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c r="AA295" s="95"/>
      <c r="AB295" s="95"/>
      <c r="AC295" s="95"/>
      <c r="AD295" s="95"/>
      <c r="AE295" s="95"/>
      <c r="AF295" s="95"/>
      <c r="AG295" s="95"/>
      <c r="AH295" s="95"/>
      <c r="AI295" s="95"/>
      <c r="AJ295" s="95"/>
      <c r="AK295" s="95"/>
      <c r="AL295" s="95"/>
      <c r="AM295" s="95"/>
      <c r="AN295" s="95"/>
      <c r="AO295" s="95"/>
      <c r="AP295" s="95"/>
      <c r="AQ295" s="95"/>
    </row>
    <row r="296" spans="1:43" ht="12.75" x14ac:dyDescent="0.35">
      <c r="A296" s="41" t="s">
        <v>1097</v>
      </c>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c r="AA296" s="95"/>
      <c r="AB296" s="95"/>
      <c r="AC296" s="95"/>
      <c r="AD296" s="95"/>
      <c r="AE296" s="95"/>
      <c r="AF296" s="95"/>
      <c r="AG296" s="95"/>
      <c r="AH296" s="95"/>
      <c r="AI296" s="95"/>
      <c r="AJ296" s="95"/>
      <c r="AK296" s="95"/>
      <c r="AL296" s="95"/>
      <c r="AM296" s="95"/>
      <c r="AN296" s="95"/>
      <c r="AO296" s="95"/>
      <c r="AP296" s="95"/>
      <c r="AQ296" s="95"/>
    </row>
    <row r="297" spans="1:43" ht="12.75" x14ac:dyDescent="0.35">
      <c r="A297" s="41" t="s">
        <v>1100</v>
      </c>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c r="AA297" s="95"/>
      <c r="AB297" s="95"/>
      <c r="AC297" s="95"/>
      <c r="AD297" s="95"/>
      <c r="AE297" s="95"/>
      <c r="AF297" s="95"/>
      <c r="AG297" s="95"/>
      <c r="AH297" s="95"/>
      <c r="AI297" s="95"/>
      <c r="AJ297" s="95"/>
      <c r="AK297" s="95"/>
      <c r="AL297" s="95"/>
      <c r="AM297" s="95"/>
      <c r="AN297" s="95"/>
      <c r="AO297" s="95"/>
      <c r="AP297" s="95"/>
      <c r="AQ297" s="95"/>
    </row>
    <row r="298" spans="1:43" ht="12.75" x14ac:dyDescent="0.35">
      <c r="A298" s="41" t="s">
        <v>1103</v>
      </c>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c r="AA298" s="95"/>
      <c r="AB298" s="95"/>
      <c r="AC298" s="95"/>
      <c r="AD298" s="95"/>
      <c r="AE298" s="95"/>
      <c r="AF298" s="95"/>
      <c r="AG298" s="95"/>
      <c r="AH298" s="95"/>
      <c r="AI298" s="95"/>
      <c r="AJ298" s="95"/>
      <c r="AK298" s="95"/>
      <c r="AL298" s="95"/>
      <c r="AM298" s="95"/>
      <c r="AN298" s="95"/>
      <c r="AO298" s="95"/>
      <c r="AP298" s="95"/>
      <c r="AQ298" s="95"/>
    </row>
    <row r="299" spans="1:43" ht="12.75" x14ac:dyDescent="0.35">
      <c r="A299" s="41" t="s">
        <v>1105</v>
      </c>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c r="AA299" s="95"/>
      <c r="AB299" s="95"/>
      <c r="AC299" s="95"/>
      <c r="AD299" s="95"/>
      <c r="AE299" s="95"/>
      <c r="AF299" s="95"/>
      <c r="AG299" s="95"/>
      <c r="AH299" s="95"/>
      <c r="AI299" s="95"/>
      <c r="AJ299" s="95"/>
      <c r="AK299" s="95"/>
      <c r="AL299" s="95"/>
      <c r="AM299" s="95"/>
      <c r="AN299" s="95"/>
      <c r="AO299" s="95"/>
      <c r="AP299" s="95"/>
      <c r="AQ299" s="95"/>
    </row>
    <row r="300" spans="1:43" ht="12.75" x14ac:dyDescent="0.35">
      <c r="A300" s="41" t="s">
        <v>1108</v>
      </c>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c r="AA300" s="95"/>
      <c r="AB300" s="95"/>
      <c r="AC300" s="95"/>
      <c r="AD300" s="95"/>
      <c r="AE300" s="95"/>
      <c r="AF300" s="95"/>
      <c r="AG300" s="95"/>
      <c r="AH300" s="95"/>
      <c r="AI300" s="95"/>
      <c r="AJ300" s="95"/>
      <c r="AK300" s="95"/>
      <c r="AL300" s="95"/>
      <c r="AM300" s="95"/>
      <c r="AN300" s="95"/>
      <c r="AO300" s="95"/>
      <c r="AP300" s="95"/>
      <c r="AQ300" s="95"/>
    </row>
    <row r="301" spans="1:43" ht="12.75" x14ac:dyDescent="0.35">
      <c r="A301" s="41" t="s">
        <v>1111</v>
      </c>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c r="AA301" s="95"/>
      <c r="AB301" s="95"/>
      <c r="AC301" s="95"/>
      <c r="AD301" s="95"/>
      <c r="AE301" s="95"/>
      <c r="AF301" s="95"/>
      <c r="AG301" s="95"/>
      <c r="AH301" s="95"/>
      <c r="AI301" s="95"/>
      <c r="AJ301" s="95"/>
      <c r="AK301" s="95"/>
      <c r="AL301" s="95"/>
      <c r="AM301" s="95"/>
      <c r="AN301" s="95"/>
      <c r="AO301" s="95"/>
      <c r="AP301" s="95"/>
      <c r="AQ301" s="95"/>
    </row>
    <row r="302" spans="1:43" ht="12.75" x14ac:dyDescent="0.35">
      <c r="A302" s="41" t="s">
        <v>1114</v>
      </c>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c r="AA302" s="95"/>
      <c r="AB302" s="95"/>
      <c r="AC302" s="95"/>
      <c r="AD302" s="95"/>
      <c r="AE302" s="95"/>
      <c r="AF302" s="95"/>
      <c r="AG302" s="95"/>
      <c r="AH302" s="95"/>
      <c r="AI302" s="95"/>
      <c r="AJ302" s="95"/>
      <c r="AK302" s="95"/>
      <c r="AL302" s="95"/>
      <c r="AM302" s="95"/>
      <c r="AN302" s="95"/>
      <c r="AO302" s="95"/>
      <c r="AP302" s="95"/>
      <c r="AQ302" s="95"/>
    </row>
    <row r="303" spans="1:43" ht="12.75" x14ac:dyDescent="0.35">
      <c r="A303" s="41" t="s">
        <v>1117</v>
      </c>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c r="AA303" s="95"/>
      <c r="AB303" s="95"/>
      <c r="AC303" s="95"/>
      <c r="AD303" s="95"/>
      <c r="AE303" s="95"/>
      <c r="AF303" s="95"/>
      <c r="AG303" s="95"/>
      <c r="AH303" s="95"/>
      <c r="AI303" s="95"/>
      <c r="AJ303" s="95"/>
      <c r="AK303" s="95"/>
      <c r="AL303" s="95"/>
      <c r="AM303" s="95"/>
      <c r="AN303" s="95"/>
      <c r="AO303" s="95"/>
      <c r="AP303" s="95"/>
      <c r="AQ303" s="95"/>
    </row>
    <row r="304" spans="1:43" ht="12.75" x14ac:dyDescent="0.35">
      <c r="A304" s="41" t="s">
        <v>1120</v>
      </c>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c r="AA304" s="95"/>
      <c r="AB304" s="95"/>
      <c r="AC304" s="95"/>
      <c r="AD304" s="95"/>
      <c r="AE304" s="95"/>
      <c r="AF304" s="95"/>
      <c r="AG304" s="95"/>
      <c r="AH304" s="95"/>
      <c r="AI304" s="95"/>
      <c r="AJ304" s="95"/>
      <c r="AK304" s="95"/>
      <c r="AL304" s="95"/>
      <c r="AM304" s="95"/>
      <c r="AN304" s="95"/>
      <c r="AO304" s="95"/>
      <c r="AP304" s="95"/>
      <c r="AQ304" s="95"/>
    </row>
    <row r="305" spans="1:43" ht="12.75" x14ac:dyDescent="0.35">
      <c r="A305" s="41" t="s">
        <v>1122</v>
      </c>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c r="AA305" s="95"/>
      <c r="AB305" s="95"/>
      <c r="AC305" s="95"/>
      <c r="AD305" s="95"/>
      <c r="AE305" s="95"/>
      <c r="AF305" s="95"/>
      <c r="AG305" s="95"/>
      <c r="AH305" s="95"/>
      <c r="AI305" s="95"/>
      <c r="AJ305" s="95"/>
      <c r="AK305" s="95"/>
      <c r="AL305" s="95"/>
      <c r="AM305" s="95"/>
      <c r="AN305" s="95"/>
      <c r="AO305" s="95"/>
      <c r="AP305" s="95"/>
      <c r="AQ305" s="95"/>
    </row>
    <row r="306" spans="1:43" ht="12.75" x14ac:dyDescent="0.35">
      <c r="A306" s="41" t="s">
        <v>1125</v>
      </c>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c r="AA306" s="95"/>
      <c r="AB306" s="95"/>
      <c r="AC306" s="95"/>
      <c r="AD306" s="95"/>
      <c r="AE306" s="95"/>
      <c r="AF306" s="95"/>
      <c r="AG306" s="95"/>
      <c r="AH306" s="95"/>
      <c r="AI306" s="95"/>
      <c r="AJ306" s="95"/>
      <c r="AK306" s="95"/>
      <c r="AL306" s="95"/>
      <c r="AM306" s="95"/>
      <c r="AN306" s="95"/>
      <c r="AO306" s="95"/>
      <c r="AP306" s="95"/>
      <c r="AQ306" s="95"/>
    </row>
    <row r="307" spans="1:43" ht="12.75" x14ac:dyDescent="0.35">
      <c r="A307" s="41" t="s">
        <v>1128</v>
      </c>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c r="AA307" s="95"/>
      <c r="AB307" s="95"/>
      <c r="AC307" s="95"/>
      <c r="AD307" s="95"/>
      <c r="AE307" s="95"/>
      <c r="AF307" s="95"/>
      <c r="AG307" s="95"/>
      <c r="AH307" s="95"/>
      <c r="AI307" s="95"/>
      <c r="AJ307" s="95"/>
      <c r="AK307" s="95"/>
      <c r="AL307" s="95"/>
      <c r="AM307" s="95"/>
      <c r="AN307" s="95"/>
      <c r="AO307" s="95"/>
      <c r="AP307" s="95"/>
      <c r="AQ307" s="95"/>
    </row>
    <row r="308" spans="1:43" ht="12.75" x14ac:dyDescent="0.35">
      <c r="A308" s="41" t="s">
        <v>1130</v>
      </c>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c r="AA308" s="95"/>
      <c r="AB308" s="95"/>
      <c r="AC308" s="95"/>
      <c r="AD308" s="95"/>
      <c r="AE308" s="95"/>
      <c r="AF308" s="95"/>
      <c r="AG308" s="95"/>
      <c r="AH308" s="95"/>
      <c r="AI308" s="95"/>
      <c r="AJ308" s="95"/>
      <c r="AK308" s="95"/>
      <c r="AL308" s="95"/>
      <c r="AM308" s="95"/>
      <c r="AN308" s="95"/>
      <c r="AO308" s="95"/>
      <c r="AP308" s="95"/>
      <c r="AQ308" s="95"/>
    </row>
    <row r="309" spans="1:43" ht="12.75" x14ac:dyDescent="0.35">
      <c r="A309" s="41" t="s">
        <v>1133</v>
      </c>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c r="AA309" s="95"/>
      <c r="AB309" s="95"/>
      <c r="AC309" s="95"/>
      <c r="AD309" s="95"/>
      <c r="AE309" s="95"/>
      <c r="AF309" s="95"/>
      <c r="AG309" s="95"/>
      <c r="AH309" s="95"/>
      <c r="AI309" s="95"/>
      <c r="AJ309" s="95"/>
      <c r="AK309" s="95"/>
      <c r="AL309" s="95"/>
      <c r="AM309" s="95"/>
      <c r="AN309" s="95"/>
      <c r="AO309" s="95"/>
      <c r="AP309" s="95"/>
      <c r="AQ309" s="95"/>
    </row>
    <row r="310" spans="1:43" ht="12.75" x14ac:dyDescent="0.35">
      <c r="A310" s="41" t="s">
        <v>1136</v>
      </c>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c r="AA310" s="95"/>
      <c r="AB310" s="95"/>
      <c r="AC310" s="95"/>
      <c r="AD310" s="95"/>
      <c r="AE310" s="95"/>
      <c r="AF310" s="95"/>
      <c r="AG310" s="95"/>
      <c r="AH310" s="95"/>
      <c r="AI310" s="95"/>
      <c r="AJ310" s="95"/>
      <c r="AK310" s="95"/>
      <c r="AL310" s="95"/>
      <c r="AM310" s="95"/>
      <c r="AN310" s="95"/>
      <c r="AO310" s="95"/>
      <c r="AP310" s="95"/>
      <c r="AQ310" s="95"/>
    </row>
    <row r="311" spans="1:43" ht="12.75" x14ac:dyDescent="0.35">
      <c r="A311" s="41" t="s">
        <v>1139</v>
      </c>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c r="AA311" s="95"/>
      <c r="AB311" s="95"/>
      <c r="AC311" s="95"/>
      <c r="AD311" s="95"/>
      <c r="AE311" s="95"/>
      <c r="AF311" s="95"/>
      <c r="AG311" s="95"/>
      <c r="AH311" s="95"/>
      <c r="AI311" s="95"/>
      <c r="AJ311" s="95"/>
      <c r="AK311" s="95"/>
      <c r="AL311" s="95"/>
      <c r="AM311" s="95"/>
      <c r="AN311" s="95"/>
      <c r="AO311" s="95"/>
      <c r="AP311" s="95"/>
      <c r="AQ311" s="95"/>
    </row>
    <row r="312" spans="1:43" ht="12.75" x14ac:dyDescent="0.35">
      <c r="A312" s="41" t="s">
        <v>1142</v>
      </c>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c r="AA312" s="95"/>
      <c r="AB312" s="95"/>
      <c r="AC312" s="95"/>
      <c r="AD312" s="95"/>
      <c r="AE312" s="95"/>
      <c r="AF312" s="95"/>
      <c r="AG312" s="95"/>
      <c r="AH312" s="95"/>
      <c r="AI312" s="95"/>
      <c r="AJ312" s="95"/>
      <c r="AK312" s="95"/>
      <c r="AL312" s="95"/>
      <c r="AM312" s="95"/>
      <c r="AN312" s="95"/>
      <c r="AO312" s="95"/>
      <c r="AP312" s="95"/>
      <c r="AQ312" s="95"/>
    </row>
    <row r="313" spans="1:43" ht="12.75" x14ac:dyDescent="0.35">
      <c r="A313" s="41" t="s">
        <v>1145</v>
      </c>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c r="AA313" s="95"/>
      <c r="AB313" s="95"/>
      <c r="AC313" s="95"/>
      <c r="AD313" s="95"/>
      <c r="AE313" s="95"/>
      <c r="AF313" s="95"/>
      <c r="AG313" s="95"/>
      <c r="AH313" s="95"/>
      <c r="AI313" s="95"/>
      <c r="AJ313" s="95"/>
      <c r="AK313" s="95"/>
      <c r="AL313" s="95"/>
      <c r="AM313" s="95"/>
      <c r="AN313" s="95"/>
      <c r="AO313" s="95"/>
      <c r="AP313" s="95"/>
      <c r="AQ313" s="95"/>
    </row>
    <row r="314" spans="1:43" ht="12.75" x14ac:dyDescent="0.35">
      <c r="A314" s="41" t="s">
        <v>1148</v>
      </c>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c r="AA314" s="95"/>
      <c r="AB314" s="95"/>
      <c r="AC314" s="95"/>
      <c r="AD314" s="95"/>
      <c r="AE314" s="95"/>
      <c r="AF314" s="95"/>
      <c r="AG314" s="95"/>
      <c r="AH314" s="95"/>
      <c r="AI314" s="95"/>
      <c r="AJ314" s="95"/>
      <c r="AK314" s="95"/>
      <c r="AL314" s="95"/>
      <c r="AM314" s="95"/>
      <c r="AN314" s="95"/>
      <c r="AO314" s="95"/>
      <c r="AP314" s="95"/>
      <c r="AQ314" s="95"/>
    </row>
    <row r="315" spans="1:43" ht="12.75" x14ac:dyDescent="0.35">
      <c r="A315" s="41" t="s">
        <v>1151</v>
      </c>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c r="AA315" s="95"/>
      <c r="AB315" s="95"/>
      <c r="AC315" s="95"/>
      <c r="AD315" s="95"/>
      <c r="AE315" s="95"/>
      <c r="AF315" s="95"/>
      <c r="AG315" s="95"/>
      <c r="AH315" s="95"/>
      <c r="AI315" s="95"/>
      <c r="AJ315" s="95"/>
      <c r="AK315" s="95"/>
      <c r="AL315" s="95"/>
      <c r="AM315" s="95"/>
      <c r="AN315" s="95"/>
      <c r="AO315" s="95"/>
      <c r="AP315" s="95"/>
      <c r="AQ315" s="95"/>
    </row>
    <row r="316" spans="1:43" ht="12.75" x14ac:dyDescent="0.35">
      <c r="A316" s="41" t="s">
        <v>1154</v>
      </c>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c r="AA316" s="95"/>
      <c r="AB316" s="95"/>
      <c r="AC316" s="95"/>
      <c r="AD316" s="95"/>
      <c r="AE316" s="95"/>
      <c r="AF316" s="95"/>
      <c r="AG316" s="95"/>
      <c r="AH316" s="95"/>
      <c r="AI316" s="95"/>
      <c r="AJ316" s="95"/>
      <c r="AK316" s="95"/>
      <c r="AL316" s="95"/>
      <c r="AM316" s="95"/>
      <c r="AN316" s="95"/>
      <c r="AO316" s="95"/>
      <c r="AP316" s="95"/>
      <c r="AQ316" s="95"/>
    </row>
    <row r="317" spans="1:43" ht="12.75" x14ac:dyDescent="0.35">
      <c r="A317" s="41" t="s">
        <v>1157</v>
      </c>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c r="AA317" s="95"/>
      <c r="AB317" s="95"/>
      <c r="AC317" s="95"/>
      <c r="AD317" s="95"/>
      <c r="AE317" s="95"/>
      <c r="AF317" s="95"/>
      <c r="AG317" s="95"/>
      <c r="AH317" s="95"/>
      <c r="AI317" s="95"/>
      <c r="AJ317" s="95"/>
      <c r="AK317" s="95"/>
      <c r="AL317" s="95"/>
      <c r="AM317" s="95"/>
      <c r="AN317" s="95"/>
      <c r="AO317" s="95"/>
      <c r="AP317" s="95"/>
      <c r="AQ317" s="95"/>
    </row>
    <row r="318" spans="1:43" ht="12.75" x14ac:dyDescent="0.35">
      <c r="A318" s="41" t="s">
        <v>1160</v>
      </c>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c r="AA318" s="95"/>
      <c r="AB318" s="95"/>
      <c r="AC318" s="95"/>
      <c r="AD318" s="95"/>
      <c r="AE318" s="95"/>
      <c r="AF318" s="95"/>
      <c r="AG318" s="95"/>
      <c r="AH318" s="95"/>
      <c r="AI318" s="95"/>
      <c r="AJ318" s="95"/>
      <c r="AK318" s="95"/>
      <c r="AL318" s="95"/>
      <c r="AM318" s="95"/>
      <c r="AN318" s="95"/>
      <c r="AO318" s="95"/>
      <c r="AP318" s="95"/>
      <c r="AQ318" s="95"/>
    </row>
    <row r="319" spans="1:43" ht="12.75" x14ac:dyDescent="0.35">
      <c r="A319" s="41" t="s">
        <v>1163</v>
      </c>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c r="AA319" s="95"/>
      <c r="AB319" s="95"/>
      <c r="AC319" s="95"/>
      <c r="AD319" s="95"/>
      <c r="AE319" s="95"/>
      <c r="AF319" s="95"/>
      <c r="AG319" s="95"/>
      <c r="AH319" s="95"/>
      <c r="AI319" s="95"/>
      <c r="AJ319" s="95"/>
      <c r="AK319" s="95"/>
      <c r="AL319" s="95"/>
      <c r="AM319" s="95"/>
      <c r="AN319" s="95"/>
      <c r="AO319" s="95"/>
      <c r="AP319" s="95"/>
      <c r="AQ319" s="95"/>
    </row>
    <row r="320" spans="1:43" ht="12.75" x14ac:dyDescent="0.35">
      <c r="A320" s="41" t="s">
        <v>1165</v>
      </c>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c r="AA320" s="95"/>
      <c r="AB320" s="95"/>
      <c r="AC320" s="95"/>
      <c r="AD320" s="95"/>
      <c r="AE320" s="95"/>
      <c r="AF320" s="95"/>
      <c r="AG320" s="95"/>
      <c r="AH320" s="95"/>
      <c r="AI320" s="95"/>
      <c r="AJ320" s="95"/>
      <c r="AK320" s="95"/>
      <c r="AL320" s="95"/>
      <c r="AM320" s="95"/>
      <c r="AN320" s="95"/>
      <c r="AO320" s="95"/>
      <c r="AP320" s="95"/>
      <c r="AQ320" s="95"/>
    </row>
    <row r="321" spans="1:43" ht="12.75" x14ac:dyDescent="0.35">
      <c r="A321" s="41" t="s">
        <v>1168</v>
      </c>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c r="AA321" s="95"/>
      <c r="AB321" s="95"/>
      <c r="AC321" s="95"/>
      <c r="AD321" s="95"/>
      <c r="AE321" s="95"/>
      <c r="AF321" s="95"/>
      <c r="AG321" s="95"/>
      <c r="AH321" s="95"/>
      <c r="AI321" s="95"/>
      <c r="AJ321" s="95"/>
      <c r="AK321" s="95"/>
      <c r="AL321" s="95"/>
      <c r="AM321" s="95"/>
      <c r="AN321" s="95"/>
      <c r="AO321" s="95"/>
      <c r="AP321" s="95"/>
      <c r="AQ321" s="95"/>
    </row>
    <row r="322" spans="1:43" ht="12.75" x14ac:dyDescent="0.35">
      <c r="A322" s="41" t="s">
        <v>1171</v>
      </c>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c r="AA322" s="95"/>
      <c r="AB322" s="95"/>
      <c r="AC322" s="95"/>
      <c r="AD322" s="95"/>
      <c r="AE322" s="95"/>
      <c r="AF322" s="95"/>
      <c r="AG322" s="95"/>
      <c r="AH322" s="95"/>
      <c r="AI322" s="95"/>
      <c r="AJ322" s="95"/>
      <c r="AK322" s="95"/>
      <c r="AL322" s="95"/>
      <c r="AM322" s="95"/>
      <c r="AN322" s="95"/>
      <c r="AO322" s="95"/>
      <c r="AP322" s="95"/>
      <c r="AQ322" s="95"/>
    </row>
    <row r="323" spans="1:43" ht="12.75" x14ac:dyDescent="0.35">
      <c r="A323" s="41" t="s">
        <v>1174</v>
      </c>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c r="AA323" s="95"/>
      <c r="AB323" s="95"/>
      <c r="AC323" s="95"/>
      <c r="AD323" s="95"/>
      <c r="AE323" s="95"/>
      <c r="AF323" s="95"/>
      <c r="AG323" s="95"/>
      <c r="AH323" s="95"/>
      <c r="AI323" s="95"/>
      <c r="AJ323" s="95"/>
      <c r="AK323" s="95"/>
      <c r="AL323" s="95"/>
      <c r="AM323" s="95"/>
      <c r="AN323" s="95"/>
      <c r="AO323" s="95"/>
      <c r="AP323" s="95"/>
      <c r="AQ323" s="95"/>
    </row>
    <row r="324" spans="1:43" ht="12.75" x14ac:dyDescent="0.35">
      <c r="A324" s="41" t="s">
        <v>1177</v>
      </c>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c r="AA324" s="95"/>
      <c r="AB324" s="95"/>
      <c r="AC324" s="95"/>
      <c r="AD324" s="95"/>
      <c r="AE324" s="95"/>
      <c r="AF324" s="95"/>
      <c r="AG324" s="95"/>
      <c r="AH324" s="95"/>
      <c r="AI324" s="95"/>
      <c r="AJ324" s="95"/>
      <c r="AK324" s="95"/>
      <c r="AL324" s="95"/>
      <c r="AM324" s="95"/>
      <c r="AN324" s="95"/>
      <c r="AO324" s="95"/>
      <c r="AP324" s="95"/>
      <c r="AQ324" s="95"/>
    </row>
    <row r="325" spans="1:43" ht="12.75" x14ac:dyDescent="0.35">
      <c r="A325" s="41" t="s">
        <v>1180</v>
      </c>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c r="AA325" s="95"/>
      <c r="AB325" s="95"/>
      <c r="AC325" s="95"/>
      <c r="AD325" s="95"/>
      <c r="AE325" s="95"/>
      <c r="AF325" s="95"/>
      <c r="AG325" s="95"/>
      <c r="AH325" s="95"/>
      <c r="AI325" s="95"/>
      <c r="AJ325" s="95"/>
      <c r="AK325" s="95"/>
      <c r="AL325" s="95"/>
      <c r="AM325" s="95"/>
      <c r="AN325" s="95"/>
      <c r="AO325" s="95"/>
      <c r="AP325" s="95"/>
      <c r="AQ325" s="95"/>
    </row>
    <row r="326" spans="1:43" ht="12.75" x14ac:dyDescent="0.35">
      <c r="A326" s="41" t="s">
        <v>1183</v>
      </c>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c r="AA326" s="95"/>
      <c r="AB326" s="95"/>
      <c r="AC326" s="95"/>
      <c r="AD326" s="95"/>
      <c r="AE326" s="95"/>
      <c r="AF326" s="95"/>
      <c r="AG326" s="95"/>
      <c r="AH326" s="95"/>
      <c r="AI326" s="95"/>
      <c r="AJ326" s="95"/>
      <c r="AK326" s="95"/>
      <c r="AL326" s="95"/>
      <c r="AM326" s="95"/>
      <c r="AN326" s="95"/>
      <c r="AO326" s="95"/>
      <c r="AP326" s="95"/>
      <c r="AQ326" s="95"/>
    </row>
    <row r="327" spans="1:43" ht="12.75" x14ac:dyDescent="0.35">
      <c r="A327" s="41" t="s">
        <v>1186</v>
      </c>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c r="AA327" s="95"/>
      <c r="AB327" s="95"/>
      <c r="AC327" s="95"/>
      <c r="AD327" s="95"/>
      <c r="AE327" s="95"/>
      <c r="AF327" s="95"/>
      <c r="AG327" s="95"/>
      <c r="AH327" s="95"/>
      <c r="AI327" s="95"/>
      <c r="AJ327" s="95"/>
      <c r="AK327" s="95"/>
      <c r="AL327" s="95"/>
      <c r="AM327" s="95"/>
      <c r="AN327" s="95"/>
      <c r="AO327" s="95"/>
      <c r="AP327" s="95"/>
      <c r="AQ327" s="95"/>
    </row>
    <row r="328" spans="1:43" ht="12.75" x14ac:dyDescent="0.35">
      <c r="A328" s="41" t="s">
        <v>1189</v>
      </c>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c r="AA328" s="95"/>
      <c r="AB328" s="95"/>
      <c r="AC328" s="95"/>
      <c r="AD328" s="95"/>
      <c r="AE328" s="95"/>
      <c r="AF328" s="95"/>
      <c r="AG328" s="95"/>
      <c r="AH328" s="95"/>
      <c r="AI328" s="95"/>
      <c r="AJ328" s="95"/>
      <c r="AK328" s="95"/>
      <c r="AL328" s="95"/>
      <c r="AM328" s="95"/>
      <c r="AN328" s="95"/>
      <c r="AO328" s="95"/>
      <c r="AP328" s="95"/>
      <c r="AQ328" s="95"/>
    </row>
    <row r="329" spans="1:43" ht="12.75" x14ac:dyDescent="0.35">
      <c r="A329" s="41" t="s">
        <v>1192</v>
      </c>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c r="AA329" s="95"/>
      <c r="AB329" s="95"/>
      <c r="AC329" s="95"/>
      <c r="AD329" s="95"/>
      <c r="AE329" s="95"/>
      <c r="AF329" s="95"/>
      <c r="AG329" s="95"/>
      <c r="AH329" s="95"/>
      <c r="AI329" s="95"/>
      <c r="AJ329" s="95"/>
      <c r="AK329" s="95"/>
      <c r="AL329" s="95"/>
      <c r="AM329" s="95"/>
      <c r="AN329" s="95"/>
      <c r="AO329" s="95"/>
      <c r="AP329" s="95"/>
      <c r="AQ329" s="95"/>
    </row>
    <row r="330" spans="1:43" ht="12.75" x14ac:dyDescent="0.35">
      <c r="A330" s="41" t="s">
        <v>1194</v>
      </c>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c r="AA330" s="95"/>
      <c r="AB330" s="95"/>
      <c r="AC330" s="95"/>
      <c r="AD330" s="95"/>
      <c r="AE330" s="95"/>
      <c r="AF330" s="95"/>
      <c r="AG330" s="95"/>
      <c r="AH330" s="95"/>
      <c r="AI330" s="95"/>
      <c r="AJ330" s="95"/>
      <c r="AK330" s="95"/>
      <c r="AL330" s="95"/>
      <c r="AM330" s="95"/>
      <c r="AN330" s="95"/>
      <c r="AO330" s="95"/>
      <c r="AP330" s="95"/>
      <c r="AQ330" s="95"/>
    </row>
    <row r="331" spans="1:43" ht="12.75" x14ac:dyDescent="0.35">
      <c r="A331" s="41" t="s">
        <v>1197</v>
      </c>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c r="AA331" s="95"/>
      <c r="AB331" s="95"/>
      <c r="AC331" s="95"/>
      <c r="AD331" s="95"/>
      <c r="AE331" s="95"/>
      <c r="AF331" s="95"/>
      <c r="AG331" s="95"/>
      <c r="AH331" s="95"/>
      <c r="AI331" s="95"/>
      <c r="AJ331" s="95"/>
      <c r="AK331" s="95"/>
      <c r="AL331" s="95"/>
      <c r="AM331" s="95"/>
      <c r="AN331" s="95"/>
      <c r="AO331" s="95"/>
      <c r="AP331" s="95"/>
      <c r="AQ331" s="95"/>
    </row>
    <row r="332" spans="1:43" ht="12.75" x14ac:dyDescent="0.35">
      <c r="A332" s="41" t="s">
        <v>1200</v>
      </c>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c r="AA332" s="95"/>
      <c r="AB332" s="95"/>
      <c r="AC332" s="95"/>
      <c r="AD332" s="95"/>
      <c r="AE332" s="95"/>
      <c r="AF332" s="95"/>
      <c r="AG332" s="95"/>
      <c r="AH332" s="95"/>
      <c r="AI332" s="95"/>
      <c r="AJ332" s="95"/>
      <c r="AK332" s="95"/>
      <c r="AL332" s="95"/>
      <c r="AM332" s="95"/>
      <c r="AN332" s="95"/>
      <c r="AO332" s="95"/>
      <c r="AP332" s="95"/>
      <c r="AQ332" s="95"/>
    </row>
    <row r="333" spans="1:43" ht="12.75" x14ac:dyDescent="0.35">
      <c r="A333" s="41" t="s">
        <v>1202</v>
      </c>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c r="AA333" s="95"/>
      <c r="AB333" s="95"/>
      <c r="AC333" s="95"/>
      <c r="AD333" s="95"/>
      <c r="AE333" s="95"/>
      <c r="AF333" s="95"/>
      <c r="AG333" s="95"/>
      <c r="AH333" s="95"/>
      <c r="AI333" s="95"/>
      <c r="AJ333" s="95"/>
      <c r="AK333" s="95"/>
      <c r="AL333" s="95"/>
      <c r="AM333" s="95"/>
      <c r="AN333" s="95"/>
      <c r="AO333" s="95"/>
      <c r="AP333" s="95"/>
      <c r="AQ333" s="95"/>
    </row>
    <row r="334" spans="1:43" ht="12.75" x14ac:dyDescent="0.35">
      <c r="A334" s="41" t="s">
        <v>1205</v>
      </c>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c r="AA334" s="95"/>
      <c r="AB334" s="95"/>
      <c r="AC334" s="95"/>
      <c r="AD334" s="95"/>
      <c r="AE334" s="95"/>
      <c r="AF334" s="95"/>
      <c r="AG334" s="95"/>
      <c r="AH334" s="95"/>
      <c r="AI334" s="95"/>
      <c r="AJ334" s="95"/>
      <c r="AK334" s="95"/>
      <c r="AL334" s="95"/>
      <c r="AM334" s="95"/>
      <c r="AN334" s="95"/>
      <c r="AO334" s="95"/>
      <c r="AP334" s="95"/>
      <c r="AQ334" s="95"/>
    </row>
    <row r="335" spans="1:43" ht="12.75" x14ac:dyDescent="0.35">
      <c r="A335" s="41" t="s">
        <v>1208</v>
      </c>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c r="AA335" s="95"/>
      <c r="AB335" s="95"/>
      <c r="AC335" s="95"/>
      <c r="AD335" s="95"/>
      <c r="AE335" s="95"/>
      <c r="AF335" s="95"/>
      <c r="AG335" s="95"/>
      <c r="AH335" s="95"/>
      <c r="AI335" s="95"/>
      <c r="AJ335" s="95"/>
      <c r="AK335" s="95"/>
      <c r="AL335" s="95"/>
      <c r="AM335" s="95"/>
      <c r="AN335" s="95"/>
      <c r="AO335" s="95"/>
      <c r="AP335" s="95"/>
      <c r="AQ335" s="95"/>
    </row>
    <row r="336" spans="1:43" ht="12.75" x14ac:dyDescent="0.35">
      <c r="A336" s="41" t="s">
        <v>1211</v>
      </c>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c r="AA336" s="95"/>
      <c r="AB336" s="95"/>
      <c r="AC336" s="95"/>
      <c r="AD336" s="95"/>
      <c r="AE336" s="95"/>
      <c r="AF336" s="95"/>
      <c r="AG336" s="95"/>
      <c r="AH336" s="95"/>
      <c r="AI336" s="95"/>
      <c r="AJ336" s="95"/>
      <c r="AK336" s="95"/>
      <c r="AL336" s="95"/>
      <c r="AM336" s="95"/>
      <c r="AN336" s="95"/>
      <c r="AO336" s="95"/>
      <c r="AP336" s="95"/>
      <c r="AQ336" s="95"/>
    </row>
    <row r="337" spans="1:43" ht="12.75" x14ac:dyDescent="0.35">
      <c r="A337" s="41" t="s">
        <v>1214</v>
      </c>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c r="AA337" s="95"/>
      <c r="AB337" s="95"/>
      <c r="AC337" s="95"/>
      <c r="AD337" s="95"/>
      <c r="AE337" s="95"/>
      <c r="AF337" s="95"/>
      <c r="AG337" s="95"/>
      <c r="AH337" s="95"/>
      <c r="AI337" s="95"/>
      <c r="AJ337" s="95"/>
      <c r="AK337" s="95"/>
      <c r="AL337" s="95"/>
      <c r="AM337" s="95"/>
      <c r="AN337" s="95"/>
      <c r="AO337" s="95"/>
      <c r="AP337" s="95"/>
      <c r="AQ337" s="95"/>
    </row>
    <row r="338" spans="1:43" ht="12.75" x14ac:dyDescent="0.35">
      <c r="A338" s="41" t="s">
        <v>1217</v>
      </c>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c r="AA338" s="95"/>
      <c r="AB338" s="95"/>
      <c r="AC338" s="95"/>
      <c r="AD338" s="95"/>
      <c r="AE338" s="95"/>
      <c r="AF338" s="95"/>
      <c r="AG338" s="95"/>
      <c r="AH338" s="95"/>
      <c r="AI338" s="95"/>
      <c r="AJ338" s="95"/>
      <c r="AK338" s="95"/>
      <c r="AL338" s="95"/>
      <c r="AM338" s="95"/>
      <c r="AN338" s="95"/>
      <c r="AO338" s="95"/>
      <c r="AP338" s="95"/>
      <c r="AQ338" s="95"/>
    </row>
    <row r="339" spans="1:43" ht="12.75" x14ac:dyDescent="0.35">
      <c r="A339" s="41" t="s">
        <v>1220</v>
      </c>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c r="AA339" s="95"/>
      <c r="AB339" s="95"/>
      <c r="AC339" s="95"/>
      <c r="AD339" s="95"/>
      <c r="AE339" s="95"/>
      <c r="AF339" s="95"/>
      <c r="AG339" s="95"/>
      <c r="AH339" s="95"/>
      <c r="AI339" s="95"/>
      <c r="AJ339" s="95"/>
      <c r="AK339" s="95"/>
      <c r="AL339" s="95"/>
      <c r="AM339" s="95"/>
      <c r="AN339" s="95"/>
      <c r="AO339" s="95"/>
      <c r="AP339" s="95"/>
      <c r="AQ339" s="95"/>
    </row>
    <row r="340" spans="1:43" ht="12.75" x14ac:dyDescent="0.35">
      <c r="A340" s="41" t="s">
        <v>1223</v>
      </c>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c r="AA340" s="95"/>
      <c r="AB340" s="95"/>
      <c r="AC340" s="95"/>
      <c r="AD340" s="95"/>
      <c r="AE340" s="95"/>
      <c r="AF340" s="95"/>
      <c r="AG340" s="95"/>
      <c r="AH340" s="95"/>
      <c r="AI340" s="95"/>
      <c r="AJ340" s="95"/>
      <c r="AK340" s="95"/>
      <c r="AL340" s="95"/>
      <c r="AM340" s="95"/>
      <c r="AN340" s="95"/>
      <c r="AO340" s="95"/>
      <c r="AP340" s="95"/>
      <c r="AQ340" s="95"/>
    </row>
    <row r="341" spans="1:43" ht="12.75" x14ac:dyDescent="0.35">
      <c r="A341" s="41" t="s">
        <v>1226</v>
      </c>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c r="AA341" s="95"/>
      <c r="AB341" s="95"/>
      <c r="AC341" s="95"/>
      <c r="AD341" s="95"/>
      <c r="AE341" s="95"/>
      <c r="AF341" s="95"/>
      <c r="AG341" s="95"/>
      <c r="AH341" s="95"/>
      <c r="AI341" s="95"/>
      <c r="AJ341" s="95"/>
      <c r="AK341" s="95"/>
      <c r="AL341" s="95"/>
      <c r="AM341" s="95"/>
      <c r="AN341" s="95"/>
      <c r="AO341" s="95"/>
      <c r="AP341" s="95"/>
      <c r="AQ341" s="95"/>
    </row>
    <row r="342" spans="1:43" ht="12.75" x14ac:dyDescent="0.35">
      <c r="A342" s="41" t="s">
        <v>1229</v>
      </c>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c r="AA342" s="95"/>
      <c r="AB342" s="95"/>
      <c r="AC342" s="95"/>
      <c r="AD342" s="95"/>
      <c r="AE342" s="95"/>
      <c r="AF342" s="95"/>
      <c r="AG342" s="95"/>
      <c r="AH342" s="95"/>
      <c r="AI342" s="95"/>
      <c r="AJ342" s="95"/>
      <c r="AK342" s="95"/>
      <c r="AL342" s="95"/>
      <c r="AM342" s="95"/>
      <c r="AN342" s="95"/>
      <c r="AO342" s="95"/>
      <c r="AP342" s="95"/>
      <c r="AQ342" s="95"/>
    </row>
    <row r="343" spans="1:43" ht="12.75" x14ac:dyDescent="0.35">
      <c r="A343" s="41" t="s">
        <v>1232</v>
      </c>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c r="AA343" s="95"/>
      <c r="AB343" s="95"/>
      <c r="AC343" s="95"/>
      <c r="AD343" s="95"/>
      <c r="AE343" s="95"/>
      <c r="AF343" s="95"/>
      <c r="AG343" s="95"/>
      <c r="AH343" s="95"/>
      <c r="AI343" s="95"/>
      <c r="AJ343" s="95"/>
      <c r="AK343" s="95"/>
      <c r="AL343" s="95"/>
      <c r="AM343" s="95"/>
      <c r="AN343" s="95"/>
      <c r="AO343" s="95"/>
      <c r="AP343" s="95"/>
      <c r="AQ343" s="95"/>
    </row>
    <row r="344" spans="1:43" ht="12.75" x14ac:dyDescent="0.35">
      <c r="A344" s="41" t="s">
        <v>1235</v>
      </c>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c r="AA344" s="95"/>
      <c r="AB344" s="95"/>
      <c r="AC344" s="95"/>
      <c r="AD344" s="95"/>
      <c r="AE344" s="95"/>
      <c r="AF344" s="95"/>
      <c r="AG344" s="95"/>
      <c r="AH344" s="95"/>
      <c r="AI344" s="95"/>
      <c r="AJ344" s="95"/>
      <c r="AK344" s="95"/>
      <c r="AL344" s="95"/>
      <c r="AM344" s="95"/>
      <c r="AN344" s="95"/>
      <c r="AO344" s="95"/>
      <c r="AP344" s="95"/>
      <c r="AQ344" s="95"/>
    </row>
    <row r="345" spans="1:43" ht="12.75" x14ac:dyDescent="0.35">
      <c r="A345" s="41" t="s">
        <v>1238</v>
      </c>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c r="AA345" s="95"/>
      <c r="AB345" s="95"/>
      <c r="AC345" s="95"/>
      <c r="AD345" s="95"/>
      <c r="AE345" s="95"/>
      <c r="AF345" s="95"/>
      <c r="AG345" s="95"/>
      <c r="AH345" s="95"/>
      <c r="AI345" s="95"/>
      <c r="AJ345" s="95"/>
      <c r="AK345" s="95"/>
      <c r="AL345" s="95"/>
      <c r="AM345" s="95"/>
      <c r="AN345" s="95"/>
      <c r="AO345" s="95"/>
      <c r="AP345" s="95"/>
      <c r="AQ345" s="95"/>
    </row>
    <row r="346" spans="1:43" ht="12.75" x14ac:dyDescent="0.35">
      <c r="A346" s="41" t="s">
        <v>1241</v>
      </c>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c r="AA346" s="95"/>
      <c r="AB346" s="95"/>
      <c r="AC346" s="95"/>
      <c r="AD346" s="95"/>
      <c r="AE346" s="95"/>
      <c r="AF346" s="95"/>
      <c r="AG346" s="95"/>
      <c r="AH346" s="95"/>
      <c r="AI346" s="95"/>
      <c r="AJ346" s="95"/>
      <c r="AK346" s="95"/>
      <c r="AL346" s="95"/>
      <c r="AM346" s="95"/>
      <c r="AN346" s="95"/>
      <c r="AO346" s="95"/>
      <c r="AP346" s="95"/>
      <c r="AQ346" s="95"/>
    </row>
    <row r="347" spans="1:43" ht="12.75" x14ac:dyDescent="0.35">
      <c r="A347" s="41" t="s">
        <v>1244</v>
      </c>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c r="AA347" s="95"/>
      <c r="AB347" s="95"/>
      <c r="AC347" s="95"/>
      <c r="AD347" s="95"/>
      <c r="AE347" s="95"/>
      <c r="AF347" s="95"/>
      <c r="AG347" s="95"/>
      <c r="AH347" s="95"/>
      <c r="AI347" s="95"/>
      <c r="AJ347" s="95"/>
      <c r="AK347" s="95"/>
      <c r="AL347" s="95"/>
      <c r="AM347" s="95"/>
      <c r="AN347" s="95"/>
      <c r="AO347" s="95"/>
      <c r="AP347" s="95"/>
      <c r="AQ347" s="95"/>
    </row>
    <row r="348" spans="1:43" ht="12.75" x14ac:dyDescent="0.35">
      <c r="A348" s="41" t="s">
        <v>1247</v>
      </c>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c r="AA348" s="95"/>
      <c r="AB348" s="95"/>
      <c r="AC348" s="95"/>
      <c r="AD348" s="95"/>
      <c r="AE348" s="95"/>
      <c r="AF348" s="95"/>
      <c r="AG348" s="95"/>
      <c r="AH348" s="95"/>
      <c r="AI348" s="95"/>
      <c r="AJ348" s="95"/>
      <c r="AK348" s="95"/>
      <c r="AL348" s="95"/>
      <c r="AM348" s="95"/>
      <c r="AN348" s="95"/>
      <c r="AO348" s="95"/>
      <c r="AP348" s="95"/>
      <c r="AQ348" s="95"/>
    </row>
    <row r="349" spans="1:43" ht="12.75" x14ac:dyDescent="0.35">
      <c r="A349" s="41" t="s">
        <v>1250</v>
      </c>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c r="AA349" s="95"/>
      <c r="AB349" s="95"/>
      <c r="AC349" s="95"/>
      <c r="AD349" s="95"/>
      <c r="AE349" s="95"/>
      <c r="AF349" s="95"/>
      <c r="AG349" s="95"/>
      <c r="AH349" s="95"/>
      <c r="AI349" s="95"/>
      <c r="AJ349" s="95"/>
      <c r="AK349" s="95"/>
      <c r="AL349" s="95"/>
      <c r="AM349" s="95"/>
      <c r="AN349" s="95"/>
      <c r="AO349" s="95"/>
      <c r="AP349" s="95"/>
      <c r="AQ349" s="95"/>
    </row>
    <row r="350" spans="1:43" ht="12.75" x14ac:dyDescent="0.35">
      <c r="A350" s="41" t="s">
        <v>1253</v>
      </c>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c r="AA350" s="95"/>
      <c r="AB350" s="95"/>
      <c r="AC350" s="95"/>
      <c r="AD350" s="95"/>
      <c r="AE350" s="95"/>
      <c r="AF350" s="95"/>
      <c r="AG350" s="95"/>
      <c r="AH350" s="95"/>
      <c r="AI350" s="95"/>
      <c r="AJ350" s="95"/>
      <c r="AK350" s="95"/>
      <c r="AL350" s="95"/>
      <c r="AM350" s="95"/>
      <c r="AN350" s="95"/>
      <c r="AO350" s="95"/>
      <c r="AP350" s="95"/>
      <c r="AQ350" s="95"/>
    </row>
    <row r="351" spans="1:43" ht="12.75" x14ac:dyDescent="0.35">
      <c r="A351" s="41" t="s">
        <v>1256</v>
      </c>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c r="AA351" s="95"/>
      <c r="AB351" s="95"/>
      <c r="AC351" s="95"/>
      <c r="AD351" s="95"/>
      <c r="AE351" s="95"/>
      <c r="AF351" s="95"/>
      <c r="AG351" s="95"/>
      <c r="AH351" s="95"/>
      <c r="AI351" s="95"/>
      <c r="AJ351" s="95"/>
      <c r="AK351" s="95"/>
      <c r="AL351" s="95"/>
      <c r="AM351" s="95"/>
      <c r="AN351" s="95"/>
      <c r="AO351" s="95"/>
      <c r="AP351" s="95"/>
      <c r="AQ351" s="95"/>
    </row>
    <row r="352" spans="1:43" ht="12.75" x14ac:dyDescent="0.35">
      <c r="A352" s="41" t="s">
        <v>1258</v>
      </c>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c r="AA352" s="95"/>
      <c r="AB352" s="95"/>
      <c r="AC352" s="95"/>
      <c r="AD352" s="95"/>
      <c r="AE352" s="95"/>
      <c r="AF352" s="95"/>
      <c r="AG352" s="95"/>
      <c r="AH352" s="95"/>
      <c r="AI352" s="95"/>
      <c r="AJ352" s="95"/>
      <c r="AK352" s="95"/>
      <c r="AL352" s="95"/>
      <c r="AM352" s="95"/>
      <c r="AN352" s="95"/>
      <c r="AO352" s="95"/>
      <c r="AP352" s="95"/>
      <c r="AQ352" s="95"/>
    </row>
    <row r="353" spans="1:43" ht="12.75" x14ac:dyDescent="0.35">
      <c r="A353" s="41" t="s">
        <v>1261</v>
      </c>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c r="AA353" s="95"/>
      <c r="AB353" s="95"/>
      <c r="AC353" s="95"/>
      <c r="AD353" s="95"/>
      <c r="AE353" s="95"/>
      <c r="AF353" s="95"/>
      <c r="AG353" s="95"/>
      <c r="AH353" s="95"/>
      <c r="AI353" s="95"/>
      <c r="AJ353" s="95"/>
      <c r="AK353" s="95"/>
      <c r="AL353" s="95"/>
      <c r="AM353" s="95"/>
      <c r="AN353" s="95"/>
      <c r="AO353" s="95"/>
      <c r="AP353" s="95"/>
      <c r="AQ353" s="95"/>
    </row>
    <row r="354" spans="1:43" ht="12.75" x14ac:dyDescent="0.35">
      <c r="A354" s="41" t="s">
        <v>1264</v>
      </c>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c r="AA354" s="95"/>
      <c r="AB354" s="95"/>
      <c r="AC354" s="95"/>
      <c r="AD354" s="95"/>
      <c r="AE354" s="95"/>
      <c r="AF354" s="95"/>
      <c r="AG354" s="95"/>
      <c r="AH354" s="95"/>
      <c r="AI354" s="95"/>
      <c r="AJ354" s="95"/>
      <c r="AK354" s="95"/>
      <c r="AL354" s="95"/>
      <c r="AM354" s="95"/>
      <c r="AN354" s="95"/>
      <c r="AO354" s="95"/>
      <c r="AP354" s="95"/>
      <c r="AQ354" s="95"/>
    </row>
    <row r="355" spans="1:43" ht="12.75" x14ac:dyDescent="0.35">
      <c r="A355" s="41" t="s">
        <v>1267</v>
      </c>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c r="AA355" s="95"/>
      <c r="AB355" s="95"/>
      <c r="AC355" s="95"/>
      <c r="AD355" s="95"/>
      <c r="AE355" s="95"/>
      <c r="AF355" s="95"/>
      <c r="AG355" s="95"/>
      <c r="AH355" s="95"/>
      <c r="AI355" s="95"/>
      <c r="AJ355" s="95"/>
      <c r="AK355" s="95"/>
      <c r="AL355" s="95"/>
      <c r="AM355" s="95"/>
      <c r="AN355" s="95"/>
      <c r="AO355" s="95"/>
      <c r="AP355" s="95"/>
      <c r="AQ355" s="95"/>
    </row>
    <row r="356" spans="1:43" ht="12.75" x14ac:dyDescent="0.35">
      <c r="A356" s="41" t="s">
        <v>1270</v>
      </c>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c r="AA356" s="95"/>
      <c r="AB356" s="95"/>
      <c r="AC356" s="95"/>
      <c r="AD356" s="95"/>
      <c r="AE356" s="95"/>
      <c r="AF356" s="95"/>
      <c r="AG356" s="95"/>
      <c r="AH356" s="95"/>
      <c r="AI356" s="95"/>
      <c r="AJ356" s="95"/>
      <c r="AK356" s="95"/>
      <c r="AL356" s="95"/>
      <c r="AM356" s="95"/>
      <c r="AN356" s="95"/>
      <c r="AO356" s="95"/>
      <c r="AP356" s="95"/>
      <c r="AQ356" s="95"/>
    </row>
    <row r="357" spans="1:43" ht="12.75" x14ac:dyDescent="0.35">
      <c r="A357" s="41" t="s">
        <v>1273</v>
      </c>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c r="AA357" s="95"/>
      <c r="AB357" s="95"/>
      <c r="AC357" s="95"/>
      <c r="AD357" s="95"/>
      <c r="AE357" s="95"/>
      <c r="AF357" s="95"/>
      <c r="AG357" s="95"/>
      <c r="AH357" s="95"/>
      <c r="AI357" s="95"/>
      <c r="AJ357" s="95"/>
      <c r="AK357" s="95"/>
      <c r="AL357" s="95"/>
      <c r="AM357" s="95"/>
      <c r="AN357" s="95"/>
      <c r="AO357" s="95"/>
      <c r="AP357" s="95"/>
      <c r="AQ357" s="95"/>
    </row>
    <row r="358" spans="1:43" ht="12.75" x14ac:dyDescent="0.35">
      <c r="A358" s="41" t="s">
        <v>1276</v>
      </c>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c r="AA358" s="95"/>
      <c r="AB358" s="95"/>
      <c r="AC358" s="95"/>
      <c r="AD358" s="95"/>
      <c r="AE358" s="95"/>
      <c r="AF358" s="95"/>
      <c r="AG358" s="95"/>
      <c r="AH358" s="95"/>
      <c r="AI358" s="95"/>
      <c r="AJ358" s="95"/>
      <c r="AK358" s="95"/>
      <c r="AL358" s="95"/>
      <c r="AM358" s="95"/>
      <c r="AN358" s="95"/>
      <c r="AO358" s="95"/>
      <c r="AP358" s="95"/>
      <c r="AQ358" s="95"/>
    </row>
    <row r="359" spans="1:43" ht="12.75" x14ac:dyDescent="0.35">
      <c r="A359" s="41" t="s">
        <v>1279</v>
      </c>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c r="AA359" s="95"/>
      <c r="AB359" s="95"/>
      <c r="AC359" s="95"/>
      <c r="AD359" s="95"/>
      <c r="AE359" s="95"/>
      <c r="AF359" s="95"/>
      <c r="AG359" s="95"/>
      <c r="AH359" s="95"/>
      <c r="AI359" s="95"/>
      <c r="AJ359" s="95"/>
      <c r="AK359" s="95"/>
      <c r="AL359" s="95"/>
      <c r="AM359" s="95"/>
      <c r="AN359" s="95"/>
      <c r="AO359" s="95"/>
      <c r="AP359" s="95"/>
      <c r="AQ359" s="95"/>
    </row>
    <row r="360" spans="1:43" ht="12.75" x14ac:dyDescent="0.35">
      <c r="A360" s="41" t="s">
        <v>1281</v>
      </c>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c r="AA360" s="95"/>
      <c r="AB360" s="95"/>
      <c r="AC360" s="95"/>
      <c r="AD360" s="95"/>
      <c r="AE360" s="95"/>
      <c r="AF360" s="95"/>
      <c r="AG360" s="95"/>
      <c r="AH360" s="95"/>
      <c r="AI360" s="95"/>
      <c r="AJ360" s="95"/>
      <c r="AK360" s="95"/>
      <c r="AL360" s="95"/>
      <c r="AM360" s="95"/>
      <c r="AN360" s="95"/>
      <c r="AO360" s="95"/>
      <c r="AP360" s="95"/>
      <c r="AQ360" s="95"/>
    </row>
    <row r="361" spans="1:43" ht="12.75" x14ac:dyDescent="0.35">
      <c r="A361" s="41" t="s">
        <v>1284</v>
      </c>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c r="AA361" s="95"/>
      <c r="AB361" s="95"/>
      <c r="AC361" s="95"/>
      <c r="AD361" s="95"/>
      <c r="AE361" s="95"/>
      <c r="AF361" s="95"/>
      <c r="AG361" s="95"/>
      <c r="AH361" s="95"/>
      <c r="AI361" s="95"/>
      <c r="AJ361" s="95"/>
      <c r="AK361" s="95"/>
      <c r="AL361" s="95"/>
      <c r="AM361" s="95"/>
      <c r="AN361" s="95"/>
      <c r="AO361" s="95"/>
      <c r="AP361" s="95"/>
      <c r="AQ361" s="95"/>
    </row>
    <row r="362" spans="1:43" ht="12.75" x14ac:dyDescent="0.35">
      <c r="A362" s="41" t="s">
        <v>1287</v>
      </c>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c r="AA362" s="95"/>
      <c r="AB362" s="95"/>
      <c r="AC362" s="95"/>
      <c r="AD362" s="95"/>
      <c r="AE362" s="95"/>
      <c r="AF362" s="95"/>
      <c r="AG362" s="95"/>
      <c r="AH362" s="95"/>
      <c r="AI362" s="95"/>
      <c r="AJ362" s="95"/>
      <c r="AK362" s="95"/>
      <c r="AL362" s="95"/>
      <c r="AM362" s="95"/>
      <c r="AN362" s="95"/>
      <c r="AO362" s="95"/>
      <c r="AP362" s="95"/>
      <c r="AQ362" s="95"/>
    </row>
    <row r="363" spans="1:43" ht="12.75" x14ac:dyDescent="0.35">
      <c r="A363" s="41" t="s">
        <v>1289</v>
      </c>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c r="AA363" s="95"/>
      <c r="AB363" s="95"/>
      <c r="AC363" s="95"/>
      <c r="AD363" s="95"/>
      <c r="AE363" s="95"/>
      <c r="AF363" s="95"/>
      <c r="AG363" s="95"/>
      <c r="AH363" s="95"/>
      <c r="AI363" s="95"/>
      <c r="AJ363" s="95"/>
      <c r="AK363" s="95"/>
      <c r="AL363" s="95"/>
      <c r="AM363" s="95"/>
      <c r="AN363" s="95"/>
      <c r="AO363" s="95"/>
      <c r="AP363" s="95"/>
      <c r="AQ363" s="95"/>
    </row>
    <row r="364" spans="1:43" ht="12.75" x14ac:dyDescent="0.35">
      <c r="A364" s="41" t="s">
        <v>1292</v>
      </c>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c r="AA364" s="95"/>
      <c r="AB364" s="95"/>
      <c r="AC364" s="95"/>
      <c r="AD364" s="95"/>
      <c r="AE364" s="95"/>
      <c r="AF364" s="95"/>
      <c r="AG364" s="95"/>
      <c r="AH364" s="95"/>
      <c r="AI364" s="95"/>
      <c r="AJ364" s="95"/>
      <c r="AK364" s="95"/>
      <c r="AL364" s="95"/>
      <c r="AM364" s="95"/>
      <c r="AN364" s="95"/>
      <c r="AO364" s="95"/>
      <c r="AP364" s="95"/>
      <c r="AQ364" s="95"/>
    </row>
    <row r="365" spans="1:43" ht="12.75" x14ac:dyDescent="0.35">
      <c r="A365" s="41" t="s">
        <v>1295</v>
      </c>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c r="AA365" s="95"/>
      <c r="AB365" s="95"/>
      <c r="AC365" s="95"/>
      <c r="AD365" s="95"/>
      <c r="AE365" s="95"/>
      <c r="AF365" s="95"/>
      <c r="AG365" s="95"/>
      <c r="AH365" s="95"/>
      <c r="AI365" s="95"/>
      <c r="AJ365" s="95"/>
      <c r="AK365" s="95"/>
      <c r="AL365" s="95"/>
      <c r="AM365" s="95"/>
      <c r="AN365" s="95"/>
      <c r="AO365" s="95"/>
      <c r="AP365" s="95"/>
      <c r="AQ365" s="95"/>
    </row>
    <row r="366" spans="1:43" ht="12.75" x14ac:dyDescent="0.35">
      <c r="A366" s="41" t="s">
        <v>1298</v>
      </c>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c r="AA366" s="95"/>
      <c r="AB366" s="95"/>
      <c r="AC366" s="95"/>
      <c r="AD366" s="95"/>
      <c r="AE366" s="95"/>
      <c r="AF366" s="95"/>
      <c r="AG366" s="95"/>
      <c r="AH366" s="95"/>
      <c r="AI366" s="95"/>
      <c r="AJ366" s="95"/>
      <c r="AK366" s="95"/>
      <c r="AL366" s="95"/>
      <c r="AM366" s="95"/>
      <c r="AN366" s="95"/>
      <c r="AO366" s="95"/>
      <c r="AP366" s="95"/>
      <c r="AQ366" s="95"/>
    </row>
    <row r="367" spans="1:43" ht="12.75" x14ac:dyDescent="0.35">
      <c r="A367" s="41" t="s">
        <v>1301</v>
      </c>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c r="AA367" s="95"/>
      <c r="AB367" s="95"/>
      <c r="AC367" s="95"/>
      <c r="AD367" s="95"/>
      <c r="AE367" s="95"/>
      <c r="AF367" s="95"/>
      <c r="AG367" s="95"/>
      <c r="AH367" s="95"/>
      <c r="AI367" s="95"/>
      <c r="AJ367" s="95"/>
      <c r="AK367" s="95"/>
      <c r="AL367" s="95"/>
      <c r="AM367" s="95"/>
      <c r="AN367" s="95"/>
      <c r="AO367" s="95"/>
      <c r="AP367" s="95"/>
      <c r="AQ367" s="95"/>
    </row>
    <row r="368" spans="1:43" ht="12.75" x14ac:dyDescent="0.35">
      <c r="A368" s="41" t="s">
        <v>1304</v>
      </c>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c r="AA368" s="95"/>
      <c r="AB368" s="95"/>
      <c r="AC368" s="95"/>
      <c r="AD368" s="95"/>
      <c r="AE368" s="95"/>
      <c r="AF368" s="95"/>
      <c r="AG368" s="95"/>
      <c r="AH368" s="95"/>
      <c r="AI368" s="95"/>
      <c r="AJ368" s="95"/>
      <c r="AK368" s="95"/>
      <c r="AL368" s="95"/>
      <c r="AM368" s="95"/>
      <c r="AN368" s="95"/>
      <c r="AO368" s="95"/>
      <c r="AP368" s="95"/>
      <c r="AQ368" s="95"/>
    </row>
    <row r="369" spans="1:43" ht="12.75" x14ac:dyDescent="0.35">
      <c r="A369" s="41" t="s">
        <v>1307</v>
      </c>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c r="AA369" s="95"/>
      <c r="AB369" s="95"/>
      <c r="AC369" s="95"/>
      <c r="AD369" s="95"/>
      <c r="AE369" s="95"/>
      <c r="AF369" s="95"/>
      <c r="AG369" s="95"/>
      <c r="AH369" s="95"/>
      <c r="AI369" s="95"/>
      <c r="AJ369" s="95"/>
      <c r="AK369" s="95"/>
      <c r="AL369" s="95"/>
      <c r="AM369" s="95"/>
      <c r="AN369" s="95"/>
      <c r="AO369" s="95"/>
      <c r="AP369" s="95"/>
      <c r="AQ369" s="95"/>
    </row>
    <row r="370" spans="1:43" ht="12.75" x14ac:dyDescent="0.35">
      <c r="A370" s="41" t="s">
        <v>1310</v>
      </c>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c r="AA370" s="95"/>
      <c r="AB370" s="95"/>
      <c r="AC370" s="95"/>
      <c r="AD370" s="95"/>
      <c r="AE370" s="95"/>
      <c r="AF370" s="95"/>
      <c r="AG370" s="95"/>
      <c r="AH370" s="95"/>
      <c r="AI370" s="95"/>
      <c r="AJ370" s="95"/>
      <c r="AK370" s="95"/>
      <c r="AL370" s="95"/>
      <c r="AM370" s="95"/>
      <c r="AN370" s="95"/>
      <c r="AO370" s="95"/>
      <c r="AP370" s="95"/>
      <c r="AQ370" s="95"/>
    </row>
    <row r="371" spans="1:43" ht="12.75" x14ac:dyDescent="0.35">
      <c r="A371" s="41" t="s">
        <v>1313</v>
      </c>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c r="AA371" s="95"/>
      <c r="AB371" s="95"/>
      <c r="AC371" s="95"/>
      <c r="AD371" s="95"/>
      <c r="AE371" s="95"/>
      <c r="AF371" s="95"/>
      <c r="AG371" s="95"/>
      <c r="AH371" s="95"/>
      <c r="AI371" s="95"/>
      <c r="AJ371" s="95"/>
      <c r="AK371" s="95"/>
      <c r="AL371" s="95"/>
      <c r="AM371" s="95"/>
      <c r="AN371" s="95"/>
      <c r="AO371" s="95"/>
      <c r="AP371" s="95"/>
      <c r="AQ371" s="95"/>
    </row>
    <row r="372" spans="1:43" ht="12.75" x14ac:dyDescent="0.35">
      <c r="A372" s="41" t="s">
        <v>1316</v>
      </c>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c r="AA372" s="95"/>
      <c r="AB372" s="95"/>
      <c r="AC372" s="95"/>
      <c r="AD372" s="95"/>
      <c r="AE372" s="95"/>
      <c r="AF372" s="95"/>
      <c r="AG372" s="95"/>
      <c r="AH372" s="95"/>
      <c r="AI372" s="95"/>
      <c r="AJ372" s="95"/>
      <c r="AK372" s="95"/>
      <c r="AL372" s="95"/>
      <c r="AM372" s="95"/>
      <c r="AN372" s="95"/>
      <c r="AO372" s="95"/>
      <c r="AP372" s="95"/>
      <c r="AQ372" s="95"/>
    </row>
    <row r="373" spans="1:43" ht="12.75" x14ac:dyDescent="0.35">
      <c r="A373" s="41" t="s">
        <v>1319</v>
      </c>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c r="AA373" s="95"/>
      <c r="AB373" s="95"/>
      <c r="AC373" s="95"/>
      <c r="AD373" s="95"/>
      <c r="AE373" s="95"/>
      <c r="AF373" s="95"/>
      <c r="AG373" s="95"/>
      <c r="AH373" s="95"/>
      <c r="AI373" s="95"/>
      <c r="AJ373" s="95"/>
      <c r="AK373" s="95"/>
      <c r="AL373" s="95"/>
      <c r="AM373" s="95"/>
      <c r="AN373" s="95"/>
      <c r="AO373" s="95"/>
      <c r="AP373" s="95"/>
      <c r="AQ373" s="95"/>
    </row>
    <row r="374" spans="1:43" ht="12.75" x14ac:dyDescent="0.35">
      <c r="A374" s="41" t="s">
        <v>1322</v>
      </c>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c r="AA374" s="95"/>
      <c r="AB374" s="95"/>
      <c r="AC374" s="95"/>
      <c r="AD374" s="95"/>
      <c r="AE374" s="95"/>
      <c r="AF374" s="95"/>
      <c r="AG374" s="95"/>
      <c r="AH374" s="95"/>
      <c r="AI374" s="95"/>
      <c r="AJ374" s="95"/>
      <c r="AK374" s="95"/>
      <c r="AL374" s="95"/>
      <c r="AM374" s="95"/>
      <c r="AN374" s="95"/>
      <c r="AO374" s="95"/>
      <c r="AP374" s="95"/>
      <c r="AQ374" s="95"/>
    </row>
    <row r="375" spans="1:43" ht="12.75" x14ac:dyDescent="0.35">
      <c r="A375" s="41" t="s">
        <v>1325</v>
      </c>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c r="AA375" s="95"/>
      <c r="AB375" s="95"/>
      <c r="AC375" s="95"/>
      <c r="AD375" s="95"/>
      <c r="AE375" s="95"/>
      <c r="AF375" s="95"/>
      <c r="AG375" s="95"/>
      <c r="AH375" s="95"/>
      <c r="AI375" s="95"/>
      <c r="AJ375" s="95"/>
      <c r="AK375" s="95"/>
      <c r="AL375" s="95"/>
      <c r="AM375" s="95"/>
      <c r="AN375" s="95"/>
      <c r="AO375" s="95"/>
      <c r="AP375" s="95"/>
      <c r="AQ375" s="95"/>
    </row>
    <row r="376" spans="1:43" ht="12.75" x14ac:dyDescent="0.35">
      <c r="A376" s="41" t="s">
        <v>1328</v>
      </c>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c r="AA376" s="95"/>
      <c r="AB376" s="95"/>
      <c r="AC376" s="95"/>
      <c r="AD376" s="95"/>
      <c r="AE376" s="95"/>
      <c r="AF376" s="95"/>
      <c r="AG376" s="95"/>
      <c r="AH376" s="95"/>
      <c r="AI376" s="95"/>
      <c r="AJ376" s="95"/>
      <c r="AK376" s="95"/>
      <c r="AL376" s="95"/>
      <c r="AM376" s="95"/>
      <c r="AN376" s="95"/>
      <c r="AO376" s="95"/>
      <c r="AP376" s="95"/>
      <c r="AQ376" s="95"/>
    </row>
    <row r="377" spans="1:43" ht="12.75" x14ac:dyDescent="0.35">
      <c r="A377" s="41" t="s">
        <v>1331</v>
      </c>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c r="AA377" s="95"/>
      <c r="AB377" s="95"/>
      <c r="AC377" s="95"/>
      <c r="AD377" s="95"/>
      <c r="AE377" s="95"/>
      <c r="AF377" s="95"/>
      <c r="AG377" s="95"/>
      <c r="AH377" s="95"/>
      <c r="AI377" s="95"/>
      <c r="AJ377" s="95"/>
      <c r="AK377" s="95"/>
      <c r="AL377" s="95"/>
      <c r="AM377" s="95"/>
      <c r="AN377" s="95"/>
      <c r="AO377" s="95"/>
      <c r="AP377" s="95"/>
      <c r="AQ377" s="95"/>
    </row>
    <row r="378" spans="1:43" ht="12.75" x14ac:dyDescent="0.35">
      <c r="A378" s="41" t="s">
        <v>1334</v>
      </c>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c r="AA378" s="95"/>
      <c r="AB378" s="95"/>
      <c r="AC378" s="95"/>
      <c r="AD378" s="95"/>
      <c r="AE378" s="95"/>
      <c r="AF378" s="95"/>
      <c r="AG378" s="95"/>
      <c r="AH378" s="95"/>
      <c r="AI378" s="95"/>
      <c r="AJ378" s="95"/>
      <c r="AK378" s="95"/>
      <c r="AL378" s="95"/>
      <c r="AM378" s="95"/>
      <c r="AN378" s="95"/>
      <c r="AO378" s="95"/>
      <c r="AP378" s="95"/>
      <c r="AQ378" s="95"/>
    </row>
    <row r="379" spans="1:43" ht="12.75" x14ac:dyDescent="0.35">
      <c r="A379" s="41" t="s">
        <v>1337</v>
      </c>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c r="AA379" s="95"/>
      <c r="AB379" s="95"/>
      <c r="AC379" s="95"/>
      <c r="AD379" s="95"/>
      <c r="AE379" s="95"/>
      <c r="AF379" s="95"/>
      <c r="AG379" s="95"/>
      <c r="AH379" s="95"/>
      <c r="AI379" s="95"/>
      <c r="AJ379" s="95"/>
      <c r="AK379" s="95"/>
      <c r="AL379" s="95"/>
      <c r="AM379" s="95"/>
      <c r="AN379" s="95"/>
      <c r="AO379" s="95"/>
      <c r="AP379" s="95"/>
      <c r="AQ379" s="95"/>
    </row>
    <row r="380" spans="1:43" ht="12.75" x14ac:dyDescent="0.35">
      <c r="A380" s="41" t="s">
        <v>1340</v>
      </c>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c r="AA380" s="95"/>
      <c r="AB380" s="95"/>
      <c r="AC380" s="95"/>
      <c r="AD380" s="95"/>
      <c r="AE380" s="95"/>
      <c r="AF380" s="95"/>
      <c r="AG380" s="95"/>
      <c r="AH380" s="95"/>
      <c r="AI380" s="95"/>
      <c r="AJ380" s="95"/>
      <c r="AK380" s="95"/>
      <c r="AL380" s="95"/>
      <c r="AM380" s="95"/>
      <c r="AN380" s="95"/>
      <c r="AO380" s="95"/>
      <c r="AP380" s="95"/>
      <c r="AQ380" s="95"/>
    </row>
    <row r="381" spans="1:43" ht="12.75" x14ac:dyDescent="0.35">
      <c r="A381" s="41" t="s">
        <v>1342</v>
      </c>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c r="AA381" s="95"/>
      <c r="AB381" s="95"/>
      <c r="AC381" s="95"/>
      <c r="AD381" s="95"/>
      <c r="AE381" s="95"/>
      <c r="AF381" s="95"/>
      <c r="AG381" s="95"/>
      <c r="AH381" s="95"/>
      <c r="AI381" s="95"/>
      <c r="AJ381" s="95"/>
      <c r="AK381" s="95"/>
      <c r="AL381" s="95"/>
      <c r="AM381" s="95"/>
      <c r="AN381" s="95"/>
      <c r="AO381" s="95"/>
      <c r="AP381" s="95"/>
      <c r="AQ381" s="95"/>
    </row>
    <row r="382" spans="1:43" ht="12.75" x14ac:dyDescent="0.35">
      <c r="A382" s="41" t="s">
        <v>1345</v>
      </c>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c r="AA382" s="95"/>
      <c r="AB382" s="95"/>
      <c r="AC382" s="95"/>
      <c r="AD382" s="95"/>
      <c r="AE382" s="95"/>
      <c r="AF382" s="95"/>
      <c r="AG382" s="95"/>
      <c r="AH382" s="95"/>
      <c r="AI382" s="95"/>
      <c r="AJ382" s="95"/>
      <c r="AK382" s="95"/>
      <c r="AL382" s="95"/>
      <c r="AM382" s="95"/>
      <c r="AN382" s="95"/>
      <c r="AO382" s="95"/>
      <c r="AP382" s="95"/>
      <c r="AQ382" s="95"/>
    </row>
    <row r="383" spans="1:43" ht="12.75" x14ac:dyDescent="0.35">
      <c r="A383" s="41" t="s">
        <v>1348</v>
      </c>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c r="AA383" s="95"/>
      <c r="AB383" s="95"/>
      <c r="AC383" s="95"/>
      <c r="AD383" s="95"/>
      <c r="AE383" s="95"/>
      <c r="AF383" s="95"/>
      <c r="AG383" s="95"/>
      <c r="AH383" s="95"/>
      <c r="AI383" s="95"/>
      <c r="AJ383" s="95"/>
      <c r="AK383" s="95"/>
      <c r="AL383" s="95"/>
      <c r="AM383" s="95"/>
      <c r="AN383" s="95"/>
      <c r="AO383" s="95"/>
      <c r="AP383" s="95"/>
      <c r="AQ383" s="95"/>
    </row>
    <row r="384" spans="1:43" ht="12.75" x14ac:dyDescent="0.35">
      <c r="A384" s="41" t="s">
        <v>1351</v>
      </c>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c r="AA384" s="95"/>
      <c r="AB384" s="95"/>
      <c r="AC384" s="95"/>
      <c r="AD384" s="95"/>
      <c r="AE384" s="95"/>
      <c r="AF384" s="95"/>
      <c r="AG384" s="95"/>
      <c r="AH384" s="95"/>
      <c r="AI384" s="95"/>
      <c r="AJ384" s="95"/>
      <c r="AK384" s="95"/>
      <c r="AL384" s="95"/>
      <c r="AM384" s="95"/>
      <c r="AN384" s="95"/>
      <c r="AO384" s="95"/>
      <c r="AP384" s="95"/>
      <c r="AQ384" s="95"/>
    </row>
    <row r="385" spans="1:43" ht="12.75" x14ac:dyDescent="0.35">
      <c r="A385" s="41" t="s">
        <v>1354</v>
      </c>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c r="AA385" s="95"/>
      <c r="AB385" s="95"/>
      <c r="AC385" s="95"/>
      <c r="AD385" s="95"/>
      <c r="AE385" s="95"/>
      <c r="AF385" s="95"/>
      <c r="AG385" s="95"/>
      <c r="AH385" s="95"/>
      <c r="AI385" s="95"/>
      <c r="AJ385" s="95"/>
      <c r="AK385" s="95"/>
      <c r="AL385" s="95"/>
      <c r="AM385" s="95"/>
      <c r="AN385" s="95"/>
      <c r="AO385" s="95"/>
      <c r="AP385" s="95"/>
      <c r="AQ385" s="95"/>
    </row>
    <row r="386" spans="1:43" ht="12.75" x14ac:dyDescent="0.35">
      <c r="A386" s="41" t="s">
        <v>1357</v>
      </c>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c r="AA386" s="95"/>
      <c r="AB386" s="95"/>
      <c r="AC386" s="95"/>
      <c r="AD386" s="95"/>
      <c r="AE386" s="95"/>
      <c r="AF386" s="95"/>
      <c r="AG386" s="95"/>
      <c r="AH386" s="95"/>
      <c r="AI386" s="95"/>
      <c r="AJ386" s="95"/>
      <c r="AK386" s="95"/>
      <c r="AL386" s="95"/>
      <c r="AM386" s="95"/>
      <c r="AN386" s="95"/>
      <c r="AO386" s="95"/>
      <c r="AP386" s="95"/>
      <c r="AQ386" s="95"/>
    </row>
    <row r="387" spans="1:43" ht="12.75" x14ac:dyDescent="0.35">
      <c r="A387" s="41" t="s">
        <v>1359</v>
      </c>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c r="AA387" s="95"/>
      <c r="AB387" s="95"/>
      <c r="AC387" s="95"/>
      <c r="AD387" s="95"/>
      <c r="AE387" s="95"/>
      <c r="AF387" s="95"/>
      <c r="AG387" s="95"/>
      <c r="AH387" s="95"/>
      <c r="AI387" s="95"/>
      <c r="AJ387" s="95"/>
      <c r="AK387" s="95"/>
      <c r="AL387" s="95"/>
      <c r="AM387" s="95"/>
      <c r="AN387" s="95"/>
      <c r="AO387" s="95"/>
      <c r="AP387" s="95"/>
      <c r="AQ387" s="95"/>
    </row>
    <row r="388" spans="1:43" ht="12.75" x14ac:dyDescent="0.35">
      <c r="A388" s="41" t="s">
        <v>1362</v>
      </c>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c r="AA388" s="95"/>
      <c r="AB388" s="95"/>
      <c r="AC388" s="95"/>
      <c r="AD388" s="95"/>
      <c r="AE388" s="95"/>
      <c r="AF388" s="95"/>
      <c r="AG388" s="95"/>
      <c r="AH388" s="95"/>
      <c r="AI388" s="95"/>
      <c r="AJ388" s="95"/>
      <c r="AK388" s="95"/>
      <c r="AL388" s="95"/>
      <c r="AM388" s="95"/>
      <c r="AN388" s="95"/>
      <c r="AO388" s="95"/>
      <c r="AP388" s="95"/>
      <c r="AQ388" s="95"/>
    </row>
    <row r="389" spans="1:43" ht="12.75" x14ac:dyDescent="0.35">
      <c r="A389" s="41" t="s">
        <v>1365</v>
      </c>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c r="AA389" s="95"/>
      <c r="AB389" s="95"/>
      <c r="AC389" s="95"/>
      <c r="AD389" s="95"/>
      <c r="AE389" s="95"/>
      <c r="AF389" s="95"/>
      <c r="AG389" s="95"/>
      <c r="AH389" s="95"/>
      <c r="AI389" s="95"/>
      <c r="AJ389" s="95"/>
      <c r="AK389" s="95"/>
      <c r="AL389" s="95"/>
      <c r="AM389" s="95"/>
      <c r="AN389" s="95"/>
      <c r="AO389" s="95"/>
      <c r="AP389" s="95"/>
      <c r="AQ389" s="95"/>
    </row>
    <row r="390" spans="1:43" ht="12.75" x14ac:dyDescent="0.35">
      <c r="A390" s="41" t="s">
        <v>1368</v>
      </c>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c r="AA390" s="95"/>
      <c r="AB390" s="95"/>
      <c r="AC390" s="95"/>
      <c r="AD390" s="95"/>
      <c r="AE390" s="95"/>
      <c r="AF390" s="95"/>
      <c r="AG390" s="95"/>
      <c r="AH390" s="95"/>
      <c r="AI390" s="95"/>
      <c r="AJ390" s="95"/>
      <c r="AK390" s="95"/>
      <c r="AL390" s="95"/>
      <c r="AM390" s="95"/>
      <c r="AN390" s="95"/>
      <c r="AO390" s="95"/>
      <c r="AP390" s="95"/>
      <c r="AQ390" s="95"/>
    </row>
    <row r="391" spans="1:43" ht="12.75" x14ac:dyDescent="0.35">
      <c r="A391" s="41" t="s">
        <v>1371</v>
      </c>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c r="AA391" s="95"/>
      <c r="AB391" s="95"/>
      <c r="AC391" s="95"/>
      <c r="AD391" s="95"/>
      <c r="AE391" s="95"/>
      <c r="AF391" s="95"/>
      <c r="AG391" s="95"/>
      <c r="AH391" s="95"/>
      <c r="AI391" s="95"/>
      <c r="AJ391" s="95"/>
      <c r="AK391" s="95"/>
      <c r="AL391" s="95"/>
      <c r="AM391" s="95"/>
      <c r="AN391" s="95"/>
      <c r="AO391" s="95"/>
      <c r="AP391" s="95"/>
      <c r="AQ391" s="95"/>
    </row>
    <row r="392" spans="1:43" ht="12.75" x14ac:dyDescent="0.35">
      <c r="A392" s="41" t="s">
        <v>1374</v>
      </c>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c r="AA392" s="95"/>
      <c r="AB392" s="95"/>
      <c r="AC392" s="95"/>
      <c r="AD392" s="95"/>
      <c r="AE392" s="95"/>
      <c r="AF392" s="95"/>
      <c r="AG392" s="95"/>
      <c r="AH392" s="95"/>
      <c r="AI392" s="95"/>
      <c r="AJ392" s="95"/>
      <c r="AK392" s="95"/>
      <c r="AL392" s="95"/>
      <c r="AM392" s="95"/>
      <c r="AN392" s="95"/>
      <c r="AO392" s="95"/>
      <c r="AP392" s="95"/>
      <c r="AQ392" s="95"/>
    </row>
    <row r="393" spans="1:43" ht="12.75" x14ac:dyDescent="0.35">
      <c r="A393" s="41" t="s">
        <v>1377</v>
      </c>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c r="AA393" s="95"/>
      <c r="AB393" s="95"/>
      <c r="AC393" s="95"/>
      <c r="AD393" s="95"/>
      <c r="AE393" s="95"/>
      <c r="AF393" s="95"/>
      <c r="AG393" s="95"/>
      <c r="AH393" s="95"/>
      <c r="AI393" s="95"/>
      <c r="AJ393" s="95"/>
      <c r="AK393" s="95"/>
      <c r="AL393" s="95"/>
      <c r="AM393" s="95"/>
      <c r="AN393" s="95"/>
      <c r="AO393" s="95"/>
      <c r="AP393" s="95"/>
      <c r="AQ393" s="95"/>
    </row>
    <row r="394" spans="1:43" ht="12.75" x14ac:dyDescent="0.35">
      <c r="A394" s="41" t="s">
        <v>1380</v>
      </c>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c r="AA394" s="95"/>
      <c r="AB394" s="95"/>
      <c r="AC394" s="95"/>
      <c r="AD394" s="95"/>
      <c r="AE394" s="95"/>
      <c r="AF394" s="95"/>
      <c r="AG394" s="95"/>
      <c r="AH394" s="95"/>
      <c r="AI394" s="95"/>
      <c r="AJ394" s="95"/>
      <c r="AK394" s="95"/>
      <c r="AL394" s="95"/>
      <c r="AM394" s="95"/>
      <c r="AN394" s="95"/>
      <c r="AO394" s="95"/>
      <c r="AP394" s="95"/>
      <c r="AQ394" s="95"/>
    </row>
    <row r="395" spans="1:43" ht="12.75" x14ac:dyDescent="0.35">
      <c r="A395" s="41" t="s">
        <v>1383</v>
      </c>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c r="AA395" s="95"/>
      <c r="AB395" s="95"/>
      <c r="AC395" s="95"/>
      <c r="AD395" s="95"/>
      <c r="AE395" s="95"/>
      <c r="AF395" s="95"/>
      <c r="AG395" s="95"/>
      <c r="AH395" s="95"/>
      <c r="AI395" s="95"/>
      <c r="AJ395" s="95"/>
      <c r="AK395" s="95"/>
      <c r="AL395" s="95"/>
      <c r="AM395" s="95"/>
      <c r="AN395" s="95"/>
      <c r="AO395" s="95"/>
      <c r="AP395" s="95"/>
      <c r="AQ395" s="95"/>
    </row>
    <row r="396" spans="1:43" ht="12.75" x14ac:dyDescent="0.35">
      <c r="A396" s="41" t="s">
        <v>1386</v>
      </c>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c r="AA396" s="95"/>
      <c r="AB396" s="95"/>
      <c r="AC396" s="95"/>
      <c r="AD396" s="95"/>
      <c r="AE396" s="95"/>
      <c r="AF396" s="95"/>
      <c r="AG396" s="95"/>
      <c r="AH396" s="95"/>
      <c r="AI396" s="95"/>
      <c r="AJ396" s="95"/>
      <c r="AK396" s="95"/>
      <c r="AL396" s="95"/>
      <c r="AM396" s="95"/>
      <c r="AN396" s="95"/>
      <c r="AO396" s="95"/>
      <c r="AP396" s="95"/>
      <c r="AQ396" s="95"/>
    </row>
    <row r="397" spans="1:43" ht="12.75" x14ac:dyDescent="0.35">
      <c r="A397" s="41" t="s">
        <v>1389</v>
      </c>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c r="AA397" s="95"/>
      <c r="AB397" s="95"/>
      <c r="AC397" s="95"/>
      <c r="AD397" s="95"/>
      <c r="AE397" s="95"/>
      <c r="AF397" s="95"/>
      <c r="AG397" s="95"/>
      <c r="AH397" s="95"/>
      <c r="AI397" s="95"/>
      <c r="AJ397" s="95"/>
      <c r="AK397" s="95"/>
      <c r="AL397" s="95"/>
      <c r="AM397" s="95"/>
      <c r="AN397" s="95"/>
      <c r="AO397" s="95"/>
      <c r="AP397" s="95"/>
      <c r="AQ397" s="95"/>
    </row>
    <row r="398" spans="1:43" ht="12.75" x14ac:dyDescent="0.35">
      <c r="A398" s="41" t="s">
        <v>1392</v>
      </c>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c r="AA398" s="95"/>
      <c r="AB398" s="95"/>
      <c r="AC398" s="95"/>
      <c r="AD398" s="95"/>
      <c r="AE398" s="95"/>
      <c r="AF398" s="95"/>
      <c r="AG398" s="95"/>
      <c r="AH398" s="95"/>
      <c r="AI398" s="95"/>
      <c r="AJ398" s="95"/>
      <c r="AK398" s="95"/>
      <c r="AL398" s="95"/>
      <c r="AM398" s="95"/>
      <c r="AN398" s="95"/>
      <c r="AO398" s="95"/>
      <c r="AP398" s="95"/>
      <c r="AQ398" s="95"/>
    </row>
    <row r="399" spans="1:43" ht="12.75" x14ac:dyDescent="0.35">
      <c r="A399" s="41" t="s">
        <v>1395</v>
      </c>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c r="AA399" s="95"/>
      <c r="AB399" s="95"/>
      <c r="AC399" s="95"/>
      <c r="AD399" s="95"/>
      <c r="AE399" s="95"/>
      <c r="AF399" s="95"/>
      <c r="AG399" s="95"/>
      <c r="AH399" s="95"/>
      <c r="AI399" s="95"/>
      <c r="AJ399" s="95"/>
      <c r="AK399" s="95"/>
      <c r="AL399" s="95"/>
      <c r="AM399" s="95"/>
      <c r="AN399" s="95"/>
      <c r="AO399" s="95"/>
      <c r="AP399" s="95"/>
      <c r="AQ399" s="95"/>
    </row>
    <row r="400" spans="1:43" ht="12.75" x14ac:dyDescent="0.35">
      <c r="A400" s="41" t="s">
        <v>1398</v>
      </c>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c r="AA400" s="95"/>
      <c r="AB400" s="95"/>
      <c r="AC400" s="95"/>
      <c r="AD400" s="95"/>
      <c r="AE400" s="95"/>
      <c r="AF400" s="95"/>
      <c r="AG400" s="95"/>
      <c r="AH400" s="95"/>
      <c r="AI400" s="95"/>
      <c r="AJ400" s="95"/>
      <c r="AK400" s="95"/>
      <c r="AL400" s="95"/>
      <c r="AM400" s="95"/>
      <c r="AN400" s="95"/>
      <c r="AO400" s="95"/>
      <c r="AP400" s="95"/>
      <c r="AQ400" s="95"/>
    </row>
    <row r="401" spans="1:43" ht="12.75" x14ac:dyDescent="0.35">
      <c r="A401" s="41" t="s">
        <v>1400</v>
      </c>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c r="AA401" s="95"/>
      <c r="AB401" s="95"/>
      <c r="AC401" s="95"/>
      <c r="AD401" s="95"/>
      <c r="AE401" s="95"/>
      <c r="AF401" s="95"/>
      <c r="AG401" s="95"/>
      <c r="AH401" s="95"/>
      <c r="AI401" s="95"/>
      <c r="AJ401" s="95"/>
      <c r="AK401" s="95"/>
      <c r="AL401" s="95"/>
      <c r="AM401" s="95"/>
      <c r="AN401" s="95"/>
      <c r="AO401" s="95"/>
      <c r="AP401" s="95"/>
      <c r="AQ401" s="95"/>
    </row>
    <row r="402" spans="1:43" ht="12.75" x14ac:dyDescent="0.35">
      <c r="A402" s="41" t="s">
        <v>1403</v>
      </c>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c r="AA402" s="95"/>
      <c r="AB402" s="95"/>
      <c r="AC402" s="95"/>
      <c r="AD402" s="95"/>
      <c r="AE402" s="95"/>
      <c r="AF402" s="95"/>
      <c r="AG402" s="95"/>
      <c r="AH402" s="95"/>
      <c r="AI402" s="95"/>
      <c r="AJ402" s="95"/>
      <c r="AK402" s="95"/>
      <c r="AL402" s="95"/>
      <c r="AM402" s="95"/>
      <c r="AN402" s="95"/>
      <c r="AO402" s="95"/>
      <c r="AP402" s="95"/>
      <c r="AQ402" s="95"/>
    </row>
    <row r="403" spans="1:43" ht="12.75" x14ac:dyDescent="0.35">
      <c r="A403" s="41" t="s">
        <v>1406</v>
      </c>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c r="AA403" s="95"/>
      <c r="AB403" s="95"/>
      <c r="AC403" s="95"/>
      <c r="AD403" s="95"/>
      <c r="AE403" s="95"/>
      <c r="AF403" s="95"/>
      <c r="AG403" s="95"/>
      <c r="AH403" s="95"/>
      <c r="AI403" s="95"/>
      <c r="AJ403" s="95"/>
      <c r="AK403" s="95"/>
      <c r="AL403" s="95"/>
      <c r="AM403" s="95"/>
      <c r="AN403" s="95"/>
      <c r="AO403" s="95"/>
      <c r="AP403" s="95"/>
      <c r="AQ403" s="95"/>
    </row>
    <row r="404" spans="1:43" ht="12.75" x14ac:dyDescent="0.35">
      <c r="A404" s="41" t="s">
        <v>1409</v>
      </c>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c r="AA404" s="95"/>
      <c r="AB404" s="95"/>
      <c r="AC404" s="95"/>
      <c r="AD404" s="95"/>
      <c r="AE404" s="95"/>
      <c r="AF404" s="95"/>
      <c r="AG404" s="95"/>
      <c r="AH404" s="95"/>
      <c r="AI404" s="95"/>
      <c r="AJ404" s="95"/>
      <c r="AK404" s="95"/>
      <c r="AL404" s="95"/>
      <c r="AM404" s="95"/>
      <c r="AN404" s="95"/>
      <c r="AO404" s="95"/>
      <c r="AP404" s="95"/>
      <c r="AQ404" s="95"/>
    </row>
    <row r="405" spans="1:43" ht="12.75" x14ac:dyDescent="0.35">
      <c r="A405" s="41" t="s">
        <v>1412</v>
      </c>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c r="AA405" s="95"/>
      <c r="AB405" s="95"/>
      <c r="AC405" s="95"/>
      <c r="AD405" s="95"/>
      <c r="AE405" s="95"/>
      <c r="AF405" s="95"/>
      <c r="AG405" s="95"/>
      <c r="AH405" s="95"/>
      <c r="AI405" s="95"/>
      <c r="AJ405" s="95"/>
      <c r="AK405" s="95"/>
      <c r="AL405" s="95"/>
      <c r="AM405" s="95"/>
      <c r="AN405" s="95"/>
      <c r="AO405" s="95"/>
      <c r="AP405" s="95"/>
      <c r="AQ405" s="95"/>
    </row>
    <row r="406" spans="1:43" ht="12.75" x14ac:dyDescent="0.35">
      <c r="A406" s="41" t="s">
        <v>1415</v>
      </c>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c r="AA406" s="95"/>
      <c r="AB406" s="95"/>
      <c r="AC406" s="95"/>
      <c r="AD406" s="95"/>
      <c r="AE406" s="95"/>
      <c r="AF406" s="95"/>
      <c r="AG406" s="95"/>
      <c r="AH406" s="95"/>
      <c r="AI406" s="95"/>
      <c r="AJ406" s="95"/>
      <c r="AK406" s="95"/>
      <c r="AL406" s="95"/>
      <c r="AM406" s="95"/>
      <c r="AN406" s="95"/>
      <c r="AO406" s="95"/>
      <c r="AP406" s="95"/>
      <c r="AQ406" s="95"/>
    </row>
    <row r="407" spans="1:43" ht="12.75" x14ac:dyDescent="0.35">
      <c r="A407" s="41" t="s">
        <v>1418</v>
      </c>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c r="AA407" s="95"/>
      <c r="AB407" s="95"/>
      <c r="AC407" s="95"/>
      <c r="AD407" s="95"/>
      <c r="AE407" s="95"/>
      <c r="AF407" s="95"/>
      <c r="AG407" s="95"/>
      <c r="AH407" s="95"/>
      <c r="AI407" s="95"/>
      <c r="AJ407" s="95"/>
      <c r="AK407" s="95"/>
      <c r="AL407" s="95"/>
      <c r="AM407" s="95"/>
      <c r="AN407" s="95"/>
      <c r="AO407" s="95"/>
      <c r="AP407" s="95"/>
      <c r="AQ407" s="95"/>
    </row>
    <row r="408" spans="1:43" ht="12.75" x14ac:dyDescent="0.35">
      <c r="A408" s="41" t="s">
        <v>1421</v>
      </c>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c r="AA408" s="95"/>
      <c r="AB408" s="95"/>
      <c r="AC408" s="95"/>
      <c r="AD408" s="95"/>
      <c r="AE408" s="95"/>
      <c r="AF408" s="95"/>
      <c r="AG408" s="95"/>
      <c r="AH408" s="95"/>
      <c r="AI408" s="95"/>
      <c r="AJ408" s="95"/>
      <c r="AK408" s="95"/>
      <c r="AL408" s="95"/>
      <c r="AM408" s="95"/>
      <c r="AN408" s="95"/>
      <c r="AO408" s="95"/>
      <c r="AP408" s="95"/>
      <c r="AQ408" s="95"/>
    </row>
    <row r="409" spans="1:43" ht="12.75" x14ac:dyDescent="0.35">
      <c r="A409" s="41" t="s">
        <v>1424</v>
      </c>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c r="AA409" s="95"/>
      <c r="AB409" s="95"/>
      <c r="AC409" s="95"/>
      <c r="AD409" s="95"/>
      <c r="AE409" s="95"/>
      <c r="AF409" s="95"/>
      <c r="AG409" s="95"/>
      <c r="AH409" s="95"/>
      <c r="AI409" s="95"/>
      <c r="AJ409" s="95"/>
      <c r="AK409" s="95"/>
      <c r="AL409" s="95"/>
      <c r="AM409" s="95"/>
      <c r="AN409" s="95"/>
      <c r="AO409" s="95"/>
      <c r="AP409" s="95"/>
      <c r="AQ409" s="95"/>
    </row>
    <row r="410" spans="1:43" ht="12.75" x14ac:dyDescent="0.35">
      <c r="A410" s="41" t="s">
        <v>1427</v>
      </c>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c r="AA410" s="95"/>
      <c r="AB410" s="95"/>
      <c r="AC410" s="95"/>
      <c r="AD410" s="95"/>
      <c r="AE410" s="95"/>
      <c r="AF410" s="95"/>
      <c r="AG410" s="95"/>
      <c r="AH410" s="95"/>
      <c r="AI410" s="95"/>
      <c r="AJ410" s="95"/>
      <c r="AK410" s="95"/>
      <c r="AL410" s="95"/>
      <c r="AM410" s="95"/>
      <c r="AN410" s="95"/>
      <c r="AO410" s="95"/>
      <c r="AP410" s="95"/>
      <c r="AQ410" s="95"/>
    </row>
    <row r="411" spans="1:43" ht="12.75" x14ac:dyDescent="0.35">
      <c r="A411" s="41" t="s">
        <v>1430</v>
      </c>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c r="AA411" s="95"/>
      <c r="AB411" s="95"/>
      <c r="AC411" s="95"/>
      <c r="AD411" s="95"/>
      <c r="AE411" s="95"/>
      <c r="AF411" s="95"/>
      <c r="AG411" s="95"/>
      <c r="AH411" s="95"/>
      <c r="AI411" s="95"/>
      <c r="AJ411" s="95"/>
      <c r="AK411" s="95"/>
      <c r="AL411" s="95"/>
      <c r="AM411" s="95"/>
      <c r="AN411" s="95"/>
      <c r="AO411" s="95"/>
      <c r="AP411" s="95"/>
      <c r="AQ411" s="95"/>
    </row>
    <row r="412" spans="1:43" ht="12.75" x14ac:dyDescent="0.35">
      <c r="A412" s="41" t="s">
        <v>1433</v>
      </c>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c r="AA412" s="95"/>
      <c r="AB412" s="95"/>
      <c r="AC412" s="95"/>
      <c r="AD412" s="95"/>
      <c r="AE412" s="95"/>
      <c r="AF412" s="95"/>
      <c r="AG412" s="95"/>
      <c r="AH412" s="95"/>
      <c r="AI412" s="95"/>
      <c r="AJ412" s="95"/>
      <c r="AK412" s="95"/>
      <c r="AL412" s="95"/>
      <c r="AM412" s="95"/>
      <c r="AN412" s="95"/>
      <c r="AO412" s="95"/>
      <c r="AP412" s="95"/>
      <c r="AQ412" s="95"/>
    </row>
    <row r="413" spans="1:43" ht="12.75" x14ac:dyDescent="0.35">
      <c r="A413" s="41" t="s">
        <v>1436</v>
      </c>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c r="AA413" s="95"/>
      <c r="AB413" s="95"/>
      <c r="AC413" s="95"/>
      <c r="AD413" s="95"/>
      <c r="AE413" s="95"/>
      <c r="AF413" s="95"/>
      <c r="AG413" s="95"/>
      <c r="AH413" s="95"/>
      <c r="AI413" s="95"/>
      <c r="AJ413" s="95"/>
      <c r="AK413" s="95"/>
      <c r="AL413" s="95"/>
      <c r="AM413" s="95"/>
      <c r="AN413" s="95"/>
      <c r="AO413" s="95"/>
      <c r="AP413" s="95"/>
      <c r="AQ413" s="95"/>
    </row>
    <row r="414" spans="1:43" ht="12.75" x14ac:dyDescent="0.35">
      <c r="A414" s="41" t="s">
        <v>1439</v>
      </c>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c r="AA414" s="95"/>
      <c r="AB414" s="95"/>
      <c r="AC414" s="95"/>
      <c r="AD414" s="95"/>
      <c r="AE414" s="95"/>
      <c r="AF414" s="95"/>
      <c r="AG414" s="95"/>
      <c r="AH414" s="95"/>
      <c r="AI414" s="95"/>
      <c r="AJ414" s="95"/>
      <c r="AK414" s="95"/>
      <c r="AL414" s="95"/>
      <c r="AM414" s="95"/>
      <c r="AN414" s="95"/>
      <c r="AO414" s="95"/>
      <c r="AP414" s="95"/>
      <c r="AQ414" s="95"/>
    </row>
    <row r="415" spans="1:43" ht="12.75" x14ac:dyDescent="0.35">
      <c r="A415" s="41" t="s">
        <v>1442</v>
      </c>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c r="AA415" s="95"/>
      <c r="AB415" s="95"/>
      <c r="AC415" s="95"/>
      <c r="AD415" s="95"/>
      <c r="AE415" s="95"/>
      <c r="AF415" s="95"/>
      <c r="AG415" s="95"/>
      <c r="AH415" s="95"/>
      <c r="AI415" s="95"/>
      <c r="AJ415" s="95"/>
      <c r="AK415" s="95"/>
      <c r="AL415" s="95"/>
      <c r="AM415" s="95"/>
      <c r="AN415" s="95"/>
      <c r="AO415" s="95"/>
      <c r="AP415" s="95"/>
      <c r="AQ415" s="95"/>
    </row>
    <row r="416" spans="1:43" ht="12.75" x14ac:dyDescent="0.35">
      <c r="A416" s="41" t="s">
        <v>1445</v>
      </c>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c r="AA416" s="95"/>
      <c r="AB416" s="95"/>
      <c r="AC416" s="95"/>
      <c r="AD416" s="95"/>
      <c r="AE416" s="95"/>
      <c r="AF416" s="95"/>
      <c r="AG416" s="95"/>
      <c r="AH416" s="95"/>
      <c r="AI416" s="95"/>
      <c r="AJ416" s="95"/>
      <c r="AK416" s="95"/>
      <c r="AL416" s="95"/>
      <c r="AM416" s="95"/>
      <c r="AN416" s="95"/>
      <c r="AO416" s="95"/>
      <c r="AP416" s="95"/>
      <c r="AQ416" s="95"/>
    </row>
    <row r="417" spans="1:43" ht="12.75" x14ac:dyDescent="0.35">
      <c r="A417" s="41" t="s">
        <v>1448</v>
      </c>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c r="AA417" s="95"/>
      <c r="AB417" s="95"/>
      <c r="AC417" s="95"/>
      <c r="AD417" s="95"/>
      <c r="AE417" s="95"/>
      <c r="AF417" s="95"/>
      <c r="AG417" s="95"/>
      <c r="AH417" s="95"/>
      <c r="AI417" s="95"/>
      <c r="AJ417" s="95"/>
      <c r="AK417" s="95"/>
      <c r="AL417" s="95"/>
      <c r="AM417" s="95"/>
      <c r="AN417" s="95"/>
      <c r="AO417" s="95"/>
      <c r="AP417" s="95"/>
      <c r="AQ417" s="95"/>
    </row>
    <row r="418" spans="1:43" ht="12.75" x14ac:dyDescent="0.35">
      <c r="A418" s="41" t="s">
        <v>1450</v>
      </c>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c r="AA418" s="95"/>
      <c r="AB418" s="95"/>
      <c r="AC418" s="95"/>
      <c r="AD418" s="95"/>
      <c r="AE418" s="95"/>
      <c r="AF418" s="95"/>
      <c r="AG418" s="95"/>
      <c r="AH418" s="95"/>
      <c r="AI418" s="95"/>
      <c r="AJ418" s="95"/>
      <c r="AK418" s="95"/>
      <c r="AL418" s="95"/>
      <c r="AM418" s="95"/>
      <c r="AN418" s="95"/>
      <c r="AO418" s="95"/>
      <c r="AP418" s="95"/>
      <c r="AQ418" s="95"/>
    </row>
    <row r="419" spans="1:43" ht="12.75" x14ac:dyDescent="0.35">
      <c r="A419" s="41" t="s">
        <v>1453</v>
      </c>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c r="AA419" s="95"/>
      <c r="AB419" s="95"/>
      <c r="AC419" s="95"/>
      <c r="AD419" s="95"/>
      <c r="AE419" s="95"/>
      <c r="AF419" s="95"/>
      <c r="AG419" s="95"/>
      <c r="AH419" s="95"/>
      <c r="AI419" s="95"/>
      <c r="AJ419" s="95"/>
      <c r="AK419" s="95"/>
      <c r="AL419" s="95"/>
      <c r="AM419" s="95"/>
      <c r="AN419" s="95"/>
      <c r="AO419" s="95"/>
      <c r="AP419" s="95"/>
      <c r="AQ419" s="95"/>
    </row>
    <row r="420" spans="1:43" ht="12.75" x14ac:dyDescent="0.35">
      <c r="A420" s="41" t="s">
        <v>1456</v>
      </c>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c r="AA420" s="95"/>
      <c r="AB420" s="95"/>
      <c r="AC420" s="95"/>
      <c r="AD420" s="95"/>
      <c r="AE420" s="95"/>
      <c r="AF420" s="95"/>
      <c r="AG420" s="95"/>
      <c r="AH420" s="95"/>
      <c r="AI420" s="95"/>
      <c r="AJ420" s="95"/>
      <c r="AK420" s="95"/>
      <c r="AL420" s="95"/>
      <c r="AM420" s="95"/>
      <c r="AN420" s="95"/>
      <c r="AO420" s="95"/>
      <c r="AP420" s="95"/>
      <c r="AQ420" s="95"/>
    </row>
    <row r="421" spans="1:43" ht="12.75" x14ac:dyDescent="0.35">
      <c r="A421" s="41" t="s">
        <v>1459</v>
      </c>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c r="AA421" s="95"/>
      <c r="AB421" s="95"/>
      <c r="AC421" s="95"/>
      <c r="AD421" s="95"/>
      <c r="AE421" s="95"/>
      <c r="AF421" s="95"/>
      <c r="AG421" s="95"/>
      <c r="AH421" s="95"/>
      <c r="AI421" s="95"/>
      <c r="AJ421" s="95"/>
      <c r="AK421" s="95"/>
      <c r="AL421" s="95"/>
      <c r="AM421" s="95"/>
      <c r="AN421" s="95"/>
      <c r="AO421" s="95"/>
      <c r="AP421" s="95"/>
      <c r="AQ421" s="95"/>
    </row>
    <row r="422" spans="1:43" ht="12.75" x14ac:dyDescent="0.35">
      <c r="A422" s="41" t="s">
        <v>1462</v>
      </c>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c r="AA422" s="95"/>
      <c r="AB422" s="95"/>
      <c r="AC422" s="95"/>
      <c r="AD422" s="95"/>
      <c r="AE422" s="95"/>
      <c r="AF422" s="95"/>
      <c r="AG422" s="95"/>
      <c r="AH422" s="95"/>
      <c r="AI422" s="95"/>
      <c r="AJ422" s="95"/>
      <c r="AK422" s="95"/>
      <c r="AL422" s="95"/>
      <c r="AM422" s="95"/>
      <c r="AN422" s="95"/>
      <c r="AO422" s="95"/>
      <c r="AP422" s="95"/>
      <c r="AQ422" s="95"/>
    </row>
    <row r="423" spans="1:43" ht="12.75" x14ac:dyDescent="0.35">
      <c r="A423" s="41" t="s">
        <v>1465</v>
      </c>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c r="AA423" s="95"/>
      <c r="AB423" s="95"/>
      <c r="AC423" s="95"/>
      <c r="AD423" s="95"/>
      <c r="AE423" s="95"/>
      <c r="AF423" s="95"/>
      <c r="AG423" s="95"/>
      <c r="AH423" s="95"/>
      <c r="AI423" s="95"/>
      <c r="AJ423" s="95"/>
      <c r="AK423" s="95"/>
      <c r="AL423" s="95"/>
      <c r="AM423" s="95"/>
      <c r="AN423" s="95"/>
      <c r="AO423" s="95"/>
      <c r="AP423" s="95"/>
      <c r="AQ423" s="95"/>
    </row>
    <row r="424" spans="1:43" ht="12.75" x14ac:dyDescent="0.35">
      <c r="A424" s="41" t="s">
        <v>1468</v>
      </c>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c r="AA424" s="95"/>
      <c r="AB424" s="95"/>
      <c r="AC424" s="95"/>
      <c r="AD424" s="95"/>
      <c r="AE424" s="95"/>
      <c r="AF424" s="95"/>
      <c r="AG424" s="95"/>
      <c r="AH424" s="95"/>
      <c r="AI424" s="95"/>
      <c r="AJ424" s="95"/>
      <c r="AK424" s="95"/>
      <c r="AL424" s="95"/>
      <c r="AM424" s="95"/>
      <c r="AN424" s="95"/>
      <c r="AO424" s="95"/>
      <c r="AP424" s="95"/>
      <c r="AQ424" s="95"/>
    </row>
    <row r="425" spans="1:43" ht="12.75" x14ac:dyDescent="0.35">
      <c r="A425" s="41" t="s">
        <v>1471</v>
      </c>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c r="AA425" s="95"/>
      <c r="AB425" s="95"/>
      <c r="AC425" s="95"/>
      <c r="AD425" s="95"/>
      <c r="AE425" s="95"/>
      <c r="AF425" s="95"/>
      <c r="AG425" s="95"/>
      <c r="AH425" s="95"/>
      <c r="AI425" s="95"/>
      <c r="AJ425" s="95"/>
      <c r="AK425" s="95"/>
      <c r="AL425" s="95"/>
      <c r="AM425" s="95"/>
      <c r="AN425" s="95"/>
      <c r="AO425" s="95"/>
      <c r="AP425" s="95"/>
      <c r="AQ425" s="95"/>
    </row>
    <row r="426" spans="1:43" ht="12.75" x14ac:dyDescent="0.35">
      <c r="A426" s="41" t="s">
        <v>1474</v>
      </c>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c r="AA426" s="95"/>
      <c r="AB426" s="95"/>
      <c r="AC426" s="95"/>
      <c r="AD426" s="95"/>
      <c r="AE426" s="95"/>
      <c r="AF426" s="95"/>
      <c r="AG426" s="95"/>
      <c r="AH426" s="95"/>
      <c r="AI426" s="95"/>
      <c r="AJ426" s="95"/>
      <c r="AK426" s="95"/>
      <c r="AL426" s="95"/>
      <c r="AM426" s="95"/>
      <c r="AN426" s="95"/>
      <c r="AO426" s="95"/>
      <c r="AP426" s="95"/>
      <c r="AQ426" s="95"/>
    </row>
    <row r="427" spans="1:43" ht="12.75" x14ac:dyDescent="0.35">
      <c r="A427" s="41" t="s">
        <v>1477</v>
      </c>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c r="AA427" s="95"/>
      <c r="AB427" s="95"/>
      <c r="AC427" s="95"/>
      <c r="AD427" s="95"/>
      <c r="AE427" s="95"/>
      <c r="AF427" s="95"/>
      <c r="AG427" s="95"/>
      <c r="AH427" s="95"/>
      <c r="AI427" s="95"/>
      <c r="AJ427" s="95"/>
      <c r="AK427" s="95"/>
      <c r="AL427" s="95"/>
      <c r="AM427" s="95"/>
      <c r="AN427" s="95"/>
      <c r="AO427" s="95"/>
      <c r="AP427" s="95"/>
      <c r="AQ427" s="95"/>
    </row>
    <row r="428" spans="1:43" ht="12.75" x14ac:dyDescent="0.35">
      <c r="A428" s="41" t="s">
        <v>1480</v>
      </c>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c r="AA428" s="95"/>
      <c r="AB428" s="95"/>
      <c r="AC428" s="95"/>
      <c r="AD428" s="95"/>
      <c r="AE428" s="95"/>
      <c r="AF428" s="95"/>
      <c r="AG428" s="95"/>
      <c r="AH428" s="95"/>
      <c r="AI428" s="95"/>
      <c r="AJ428" s="95"/>
      <c r="AK428" s="95"/>
      <c r="AL428" s="95"/>
      <c r="AM428" s="95"/>
      <c r="AN428" s="95"/>
      <c r="AO428" s="95"/>
      <c r="AP428" s="95"/>
      <c r="AQ428" s="95"/>
    </row>
    <row r="429" spans="1:43" ht="12.75" x14ac:dyDescent="0.35">
      <c r="A429" s="41" t="s">
        <v>1483</v>
      </c>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c r="AA429" s="95"/>
      <c r="AB429" s="95"/>
      <c r="AC429" s="95"/>
      <c r="AD429" s="95"/>
      <c r="AE429" s="95"/>
      <c r="AF429" s="95"/>
      <c r="AG429" s="95"/>
      <c r="AH429" s="95"/>
      <c r="AI429" s="95"/>
      <c r="AJ429" s="95"/>
      <c r="AK429" s="95"/>
      <c r="AL429" s="95"/>
      <c r="AM429" s="95"/>
      <c r="AN429" s="95"/>
      <c r="AO429" s="95"/>
      <c r="AP429" s="95"/>
      <c r="AQ429" s="95"/>
    </row>
    <row r="430" spans="1:43" ht="12.75" x14ac:dyDescent="0.35">
      <c r="A430" s="41" t="s">
        <v>1486</v>
      </c>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c r="AA430" s="95"/>
      <c r="AB430" s="95"/>
      <c r="AC430" s="95"/>
      <c r="AD430" s="95"/>
      <c r="AE430" s="95"/>
      <c r="AF430" s="95"/>
      <c r="AG430" s="95"/>
      <c r="AH430" s="95"/>
      <c r="AI430" s="95"/>
      <c r="AJ430" s="95"/>
      <c r="AK430" s="95"/>
      <c r="AL430" s="95"/>
      <c r="AM430" s="95"/>
      <c r="AN430" s="95"/>
      <c r="AO430" s="95"/>
      <c r="AP430" s="95"/>
      <c r="AQ430" s="95"/>
    </row>
    <row r="431" spans="1:43" ht="12.75" x14ac:dyDescent="0.35">
      <c r="A431" s="41" t="s">
        <v>1489</v>
      </c>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c r="AA431" s="95"/>
      <c r="AB431" s="95"/>
      <c r="AC431" s="95"/>
      <c r="AD431" s="95"/>
      <c r="AE431" s="95"/>
      <c r="AF431" s="95"/>
      <c r="AG431" s="95"/>
      <c r="AH431" s="95"/>
      <c r="AI431" s="95"/>
      <c r="AJ431" s="95"/>
      <c r="AK431" s="95"/>
      <c r="AL431" s="95"/>
      <c r="AM431" s="95"/>
      <c r="AN431" s="95"/>
      <c r="AO431" s="95"/>
      <c r="AP431" s="95"/>
      <c r="AQ431" s="95"/>
    </row>
    <row r="432" spans="1:43" ht="12.75" x14ac:dyDescent="0.35">
      <c r="A432" s="41" t="s">
        <v>1492</v>
      </c>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c r="AA432" s="95"/>
      <c r="AB432" s="95"/>
      <c r="AC432" s="95"/>
      <c r="AD432" s="95"/>
      <c r="AE432" s="95"/>
      <c r="AF432" s="95"/>
      <c r="AG432" s="95"/>
      <c r="AH432" s="95"/>
      <c r="AI432" s="95"/>
      <c r="AJ432" s="95"/>
      <c r="AK432" s="95"/>
      <c r="AL432" s="95"/>
      <c r="AM432" s="95"/>
      <c r="AN432" s="95"/>
      <c r="AO432" s="95"/>
      <c r="AP432" s="95"/>
      <c r="AQ432" s="95"/>
    </row>
    <row r="433" spans="1:43" ht="12.75" x14ac:dyDescent="0.35">
      <c r="A433" s="41" t="s">
        <v>1495</v>
      </c>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c r="AA433" s="95"/>
      <c r="AB433" s="95"/>
      <c r="AC433" s="95"/>
      <c r="AD433" s="95"/>
      <c r="AE433" s="95"/>
      <c r="AF433" s="95"/>
      <c r="AG433" s="95"/>
      <c r="AH433" s="95"/>
      <c r="AI433" s="95"/>
      <c r="AJ433" s="95"/>
      <c r="AK433" s="95"/>
      <c r="AL433" s="95"/>
      <c r="AM433" s="95"/>
      <c r="AN433" s="95"/>
      <c r="AO433" s="95"/>
      <c r="AP433" s="95"/>
      <c r="AQ433" s="95"/>
    </row>
    <row r="434" spans="1:43" ht="12.75" x14ac:dyDescent="0.35">
      <c r="A434" s="41" t="s">
        <v>1498</v>
      </c>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c r="AA434" s="95"/>
      <c r="AB434" s="95"/>
      <c r="AC434" s="95"/>
      <c r="AD434" s="95"/>
      <c r="AE434" s="95"/>
      <c r="AF434" s="95"/>
      <c r="AG434" s="95"/>
      <c r="AH434" s="95"/>
      <c r="AI434" s="95"/>
      <c r="AJ434" s="95"/>
      <c r="AK434" s="95"/>
      <c r="AL434" s="95"/>
      <c r="AM434" s="95"/>
      <c r="AN434" s="95"/>
      <c r="AO434" s="95"/>
      <c r="AP434" s="95"/>
      <c r="AQ434" s="95"/>
    </row>
    <row r="435" spans="1:43" ht="12.75" x14ac:dyDescent="0.35">
      <c r="A435" s="41" t="s">
        <v>1501</v>
      </c>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c r="AA435" s="95"/>
      <c r="AB435" s="95"/>
      <c r="AC435" s="95"/>
      <c r="AD435" s="95"/>
      <c r="AE435" s="95"/>
      <c r="AF435" s="95"/>
      <c r="AG435" s="95"/>
      <c r="AH435" s="95"/>
      <c r="AI435" s="95"/>
      <c r="AJ435" s="95"/>
      <c r="AK435" s="95"/>
      <c r="AL435" s="95"/>
      <c r="AM435" s="95"/>
      <c r="AN435" s="95"/>
      <c r="AO435" s="95"/>
      <c r="AP435" s="95"/>
      <c r="AQ435" s="95"/>
    </row>
    <row r="436" spans="1:43" ht="12.75" x14ac:dyDescent="0.35">
      <c r="A436" s="41" t="s">
        <v>1504</v>
      </c>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c r="AA436" s="95"/>
      <c r="AB436" s="95"/>
      <c r="AC436" s="95"/>
      <c r="AD436" s="95"/>
      <c r="AE436" s="95"/>
      <c r="AF436" s="95"/>
      <c r="AG436" s="95"/>
      <c r="AH436" s="95"/>
      <c r="AI436" s="95"/>
      <c r="AJ436" s="95"/>
      <c r="AK436" s="95"/>
      <c r="AL436" s="95"/>
      <c r="AM436" s="95"/>
      <c r="AN436" s="95"/>
      <c r="AO436" s="95"/>
      <c r="AP436" s="95"/>
      <c r="AQ436" s="95"/>
    </row>
    <row r="437" spans="1:43" ht="12.75" x14ac:dyDescent="0.35">
      <c r="A437" s="41" t="s">
        <v>1507</v>
      </c>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c r="AA437" s="95"/>
      <c r="AB437" s="95"/>
      <c r="AC437" s="95"/>
      <c r="AD437" s="95"/>
      <c r="AE437" s="95"/>
      <c r="AF437" s="95"/>
      <c r="AG437" s="95"/>
      <c r="AH437" s="95"/>
      <c r="AI437" s="95"/>
      <c r="AJ437" s="95"/>
      <c r="AK437" s="95"/>
      <c r="AL437" s="95"/>
      <c r="AM437" s="95"/>
      <c r="AN437" s="95"/>
      <c r="AO437" s="95"/>
      <c r="AP437" s="95"/>
      <c r="AQ437" s="95"/>
    </row>
    <row r="438" spans="1:43" ht="12.75" x14ac:dyDescent="0.35">
      <c r="A438" s="41" t="s">
        <v>1510</v>
      </c>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c r="AA438" s="95"/>
      <c r="AB438" s="95"/>
      <c r="AC438" s="95"/>
      <c r="AD438" s="95"/>
      <c r="AE438" s="95"/>
      <c r="AF438" s="95"/>
      <c r="AG438" s="95"/>
      <c r="AH438" s="95"/>
      <c r="AI438" s="95"/>
      <c r="AJ438" s="95"/>
      <c r="AK438" s="95"/>
      <c r="AL438" s="95"/>
      <c r="AM438" s="95"/>
      <c r="AN438" s="95"/>
      <c r="AO438" s="95"/>
      <c r="AP438" s="95"/>
      <c r="AQ438" s="95"/>
    </row>
    <row r="439" spans="1:43" ht="12.75" x14ac:dyDescent="0.35">
      <c r="A439" s="41" t="s">
        <v>1513</v>
      </c>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c r="AA439" s="95"/>
      <c r="AB439" s="95"/>
      <c r="AC439" s="95"/>
      <c r="AD439" s="95"/>
      <c r="AE439" s="95"/>
      <c r="AF439" s="95"/>
      <c r="AG439" s="95"/>
      <c r="AH439" s="95"/>
      <c r="AI439" s="95"/>
      <c r="AJ439" s="95"/>
      <c r="AK439" s="95"/>
      <c r="AL439" s="95"/>
      <c r="AM439" s="95"/>
      <c r="AN439" s="95"/>
      <c r="AO439" s="95"/>
      <c r="AP439" s="95"/>
      <c r="AQ439" s="95"/>
    </row>
    <row r="440" spans="1:43" ht="12.75" x14ac:dyDescent="0.35">
      <c r="A440" s="41" t="s">
        <v>1516</v>
      </c>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c r="AA440" s="95"/>
      <c r="AB440" s="95"/>
      <c r="AC440" s="95"/>
      <c r="AD440" s="95"/>
      <c r="AE440" s="95"/>
      <c r="AF440" s="95"/>
      <c r="AG440" s="95"/>
      <c r="AH440" s="95"/>
      <c r="AI440" s="95"/>
      <c r="AJ440" s="95"/>
      <c r="AK440" s="95"/>
      <c r="AL440" s="95"/>
      <c r="AM440" s="95"/>
      <c r="AN440" s="95"/>
      <c r="AO440" s="95"/>
      <c r="AP440" s="95"/>
      <c r="AQ440" s="95"/>
    </row>
    <row r="441" spans="1:43" ht="12.75" x14ac:dyDescent="0.35">
      <c r="A441" s="41" t="s">
        <v>1519</v>
      </c>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c r="AA441" s="95"/>
      <c r="AB441" s="95"/>
      <c r="AC441" s="95"/>
      <c r="AD441" s="95"/>
      <c r="AE441" s="95"/>
      <c r="AF441" s="95"/>
      <c r="AG441" s="95"/>
      <c r="AH441" s="95"/>
      <c r="AI441" s="95"/>
      <c r="AJ441" s="95"/>
      <c r="AK441" s="95"/>
      <c r="AL441" s="95"/>
      <c r="AM441" s="95"/>
      <c r="AN441" s="95"/>
      <c r="AO441" s="95"/>
      <c r="AP441" s="95"/>
      <c r="AQ441" s="95"/>
    </row>
    <row r="442" spans="1:43" ht="12.75" x14ac:dyDescent="0.35">
      <c r="A442" s="41" t="s">
        <v>1522</v>
      </c>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c r="AA442" s="95"/>
      <c r="AB442" s="95"/>
      <c r="AC442" s="95"/>
      <c r="AD442" s="95"/>
      <c r="AE442" s="95"/>
      <c r="AF442" s="95"/>
      <c r="AG442" s="95"/>
      <c r="AH442" s="95"/>
      <c r="AI442" s="95"/>
      <c r="AJ442" s="95"/>
      <c r="AK442" s="95"/>
      <c r="AL442" s="95"/>
      <c r="AM442" s="95"/>
      <c r="AN442" s="95"/>
      <c r="AO442" s="95"/>
      <c r="AP442" s="95"/>
      <c r="AQ442" s="95"/>
    </row>
    <row r="443" spans="1:43" ht="12.75" x14ac:dyDescent="0.35">
      <c r="A443" s="41" t="s">
        <v>1525</v>
      </c>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c r="AA443" s="95"/>
      <c r="AB443" s="95"/>
      <c r="AC443" s="95"/>
      <c r="AD443" s="95"/>
      <c r="AE443" s="95"/>
      <c r="AF443" s="95"/>
      <c r="AG443" s="95"/>
      <c r="AH443" s="95"/>
      <c r="AI443" s="95"/>
      <c r="AJ443" s="95"/>
      <c r="AK443" s="95"/>
      <c r="AL443" s="95"/>
      <c r="AM443" s="95"/>
      <c r="AN443" s="95"/>
      <c r="AO443" s="95"/>
      <c r="AP443" s="95"/>
      <c r="AQ443" s="95"/>
    </row>
    <row r="444" spans="1:43" ht="12.75" x14ac:dyDescent="0.35">
      <c r="A444" s="41" t="s">
        <v>1528</v>
      </c>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c r="AA444" s="95"/>
      <c r="AB444" s="95"/>
      <c r="AC444" s="95"/>
      <c r="AD444" s="95"/>
      <c r="AE444" s="95"/>
      <c r="AF444" s="95"/>
      <c r="AG444" s="95"/>
      <c r="AH444" s="95"/>
      <c r="AI444" s="95"/>
      <c r="AJ444" s="95"/>
      <c r="AK444" s="95"/>
      <c r="AL444" s="95"/>
      <c r="AM444" s="95"/>
      <c r="AN444" s="95"/>
      <c r="AO444" s="95"/>
      <c r="AP444" s="95"/>
      <c r="AQ444" s="95"/>
    </row>
    <row r="445" spans="1:43" ht="12.75" x14ac:dyDescent="0.35">
      <c r="A445" s="41" t="s">
        <v>1531</v>
      </c>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c r="AA445" s="95"/>
      <c r="AB445" s="95"/>
      <c r="AC445" s="95"/>
      <c r="AD445" s="95"/>
      <c r="AE445" s="95"/>
      <c r="AF445" s="95"/>
      <c r="AG445" s="95"/>
      <c r="AH445" s="95"/>
      <c r="AI445" s="95"/>
      <c r="AJ445" s="95"/>
      <c r="AK445" s="95"/>
      <c r="AL445" s="95"/>
      <c r="AM445" s="95"/>
      <c r="AN445" s="95"/>
      <c r="AO445" s="95"/>
      <c r="AP445" s="95"/>
      <c r="AQ445" s="95"/>
    </row>
    <row r="446" spans="1:43" ht="12.75" x14ac:dyDescent="0.35">
      <c r="A446" s="41" t="s">
        <v>1534</v>
      </c>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c r="AA446" s="95"/>
      <c r="AB446" s="95"/>
      <c r="AC446" s="95"/>
      <c r="AD446" s="95"/>
      <c r="AE446" s="95"/>
      <c r="AF446" s="95"/>
      <c r="AG446" s="95"/>
      <c r="AH446" s="95"/>
      <c r="AI446" s="95"/>
      <c r="AJ446" s="95"/>
      <c r="AK446" s="95"/>
      <c r="AL446" s="95"/>
      <c r="AM446" s="95"/>
      <c r="AN446" s="95"/>
      <c r="AO446" s="95"/>
      <c r="AP446" s="95"/>
      <c r="AQ446" s="95"/>
    </row>
    <row r="447" spans="1:43" ht="12.75" x14ac:dyDescent="0.35">
      <c r="A447" s="41" t="s">
        <v>1536</v>
      </c>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c r="AA447" s="95"/>
      <c r="AB447" s="95"/>
      <c r="AC447" s="95"/>
      <c r="AD447" s="95"/>
      <c r="AE447" s="95"/>
      <c r="AF447" s="95"/>
      <c r="AG447" s="95"/>
      <c r="AH447" s="95"/>
      <c r="AI447" s="95"/>
      <c r="AJ447" s="95"/>
      <c r="AK447" s="95"/>
      <c r="AL447" s="95"/>
      <c r="AM447" s="95"/>
      <c r="AN447" s="95"/>
      <c r="AO447" s="95"/>
      <c r="AP447" s="95"/>
      <c r="AQ447" s="95"/>
    </row>
    <row r="448" spans="1:43" ht="12.75" x14ac:dyDescent="0.35">
      <c r="A448" s="41" t="s">
        <v>1539</v>
      </c>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c r="AA448" s="95"/>
      <c r="AB448" s="95"/>
      <c r="AC448" s="95"/>
      <c r="AD448" s="95"/>
      <c r="AE448" s="95"/>
      <c r="AF448" s="95"/>
      <c r="AG448" s="95"/>
      <c r="AH448" s="95"/>
      <c r="AI448" s="95"/>
      <c r="AJ448" s="95"/>
      <c r="AK448" s="95"/>
      <c r="AL448" s="95"/>
      <c r="AM448" s="95"/>
      <c r="AN448" s="95"/>
      <c r="AO448" s="95"/>
      <c r="AP448" s="95"/>
      <c r="AQ448" s="95"/>
    </row>
    <row r="449" spans="1:43" ht="12.75" x14ac:dyDescent="0.35">
      <c r="A449" s="41" t="s">
        <v>1542</v>
      </c>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c r="AA449" s="95"/>
      <c r="AB449" s="95"/>
      <c r="AC449" s="95"/>
      <c r="AD449" s="95"/>
      <c r="AE449" s="95"/>
      <c r="AF449" s="95"/>
      <c r="AG449" s="95"/>
      <c r="AH449" s="95"/>
      <c r="AI449" s="95"/>
      <c r="AJ449" s="95"/>
      <c r="AK449" s="95"/>
      <c r="AL449" s="95"/>
      <c r="AM449" s="95"/>
      <c r="AN449" s="95"/>
      <c r="AO449" s="95"/>
      <c r="AP449" s="95"/>
      <c r="AQ449" s="95"/>
    </row>
    <row r="450" spans="1:43" ht="12.75" x14ac:dyDescent="0.35">
      <c r="A450" s="41" t="s">
        <v>1545</v>
      </c>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c r="AA450" s="95"/>
      <c r="AB450" s="95"/>
      <c r="AC450" s="95"/>
      <c r="AD450" s="95"/>
      <c r="AE450" s="95"/>
      <c r="AF450" s="95"/>
      <c r="AG450" s="95"/>
      <c r="AH450" s="95"/>
      <c r="AI450" s="95"/>
      <c r="AJ450" s="95"/>
      <c r="AK450" s="95"/>
      <c r="AL450" s="95"/>
      <c r="AM450" s="95"/>
      <c r="AN450" s="95"/>
      <c r="AO450" s="95"/>
      <c r="AP450" s="95"/>
      <c r="AQ450" s="95"/>
    </row>
    <row r="451" spans="1:43" ht="12.75" x14ac:dyDescent="0.35">
      <c r="A451" s="41" t="s">
        <v>1548</v>
      </c>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c r="AA451" s="95"/>
      <c r="AB451" s="95"/>
      <c r="AC451" s="95"/>
      <c r="AD451" s="95"/>
      <c r="AE451" s="95"/>
      <c r="AF451" s="95"/>
      <c r="AG451" s="95"/>
      <c r="AH451" s="95"/>
      <c r="AI451" s="95"/>
      <c r="AJ451" s="95"/>
      <c r="AK451" s="95"/>
      <c r="AL451" s="95"/>
      <c r="AM451" s="95"/>
      <c r="AN451" s="95"/>
      <c r="AO451" s="95"/>
      <c r="AP451" s="95"/>
      <c r="AQ451" s="95"/>
    </row>
    <row r="452" spans="1:43" ht="12.75" x14ac:dyDescent="0.35">
      <c r="A452" s="41" t="s">
        <v>1551</v>
      </c>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c r="AA452" s="95"/>
      <c r="AB452" s="95"/>
      <c r="AC452" s="95"/>
      <c r="AD452" s="95"/>
      <c r="AE452" s="95"/>
      <c r="AF452" s="95"/>
      <c r="AG452" s="95"/>
      <c r="AH452" s="95"/>
      <c r="AI452" s="95"/>
      <c r="AJ452" s="95"/>
      <c r="AK452" s="95"/>
      <c r="AL452" s="95"/>
      <c r="AM452" s="95"/>
      <c r="AN452" s="95"/>
      <c r="AO452" s="95"/>
      <c r="AP452" s="95"/>
      <c r="AQ452" s="95"/>
    </row>
    <row r="453" spans="1:43" ht="12.75" x14ac:dyDescent="0.35">
      <c r="A453" s="41" t="s">
        <v>1554</v>
      </c>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c r="AA453" s="95"/>
      <c r="AB453" s="95"/>
      <c r="AC453" s="95"/>
      <c r="AD453" s="95"/>
      <c r="AE453" s="95"/>
      <c r="AF453" s="95"/>
      <c r="AG453" s="95"/>
      <c r="AH453" s="95"/>
      <c r="AI453" s="95"/>
      <c r="AJ453" s="95"/>
      <c r="AK453" s="95"/>
      <c r="AL453" s="95"/>
      <c r="AM453" s="95"/>
      <c r="AN453" s="95"/>
      <c r="AO453" s="95"/>
      <c r="AP453" s="95"/>
      <c r="AQ453" s="95"/>
    </row>
    <row r="454" spans="1:43" ht="12.75" x14ac:dyDescent="0.35">
      <c r="A454" s="41" t="s">
        <v>1557</v>
      </c>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c r="AA454" s="95"/>
      <c r="AB454" s="95"/>
      <c r="AC454" s="95"/>
      <c r="AD454" s="95"/>
      <c r="AE454" s="95"/>
      <c r="AF454" s="95"/>
      <c r="AG454" s="95"/>
      <c r="AH454" s="95"/>
      <c r="AI454" s="95"/>
      <c r="AJ454" s="95"/>
      <c r="AK454" s="95"/>
      <c r="AL454" s="95"/>
      <c r="AM454" s="95"/>
      <c r="AN454" s="95"/>
      <c r="AO454" s="95"/>
      <c r="AP454" s="95"/>
      <c r="AQ454" s="95"/>
    </row>
    <row r="455" spans="1:43" ht="12.75" x14ac:dyDescent="0.35">
      <c r="A455" s="41" t="s">
        <v>1560</v>
      </c>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c r="AA455" s="95"/>
      <c r="AB455" s="95"/>
      <c r="AC455" s="95"/>
      <c r="AD455" s="95"/>
      <c r="AE455" s="95"/>
      <c r="AF455" s="95"/>
      <c r="AG455" s="95"/>
      <c r="AH455" s="95"/>
      <c r="AI455" s="95"/>
      <c r="AJ455" s="95"/>
      <c r="AK455" s="95"/>
      <c r="AL455" s="95"/>
      <c r="AM455" s="95"/>
      <c r="AN455" s="95"/>
      <c r="AO455" s="95"/>
      <c r="AP455" s="95"/>
      <c r="AQ455" s="95"/>
    </row>
    <row r="456" spans="1:43" ht="12.75" x14ac:dyDescent="0.35">
      <c r="A456" s="41" t="s">
        <v>1563</v>
      </c>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c r="AA456" s="95"/>
      <c r="AB456" s="95"/>
      <c r="AC456" s="95"/>
      <c r="AD456" s="95"/>
      <c r="AE456" s="95"/>
      <c r="AF456" s="95"/>
      <c r="AG456" s="95"/>
      <c r="AH456" s="95"/>
      <c r="AI456" s="95"/>
      <c r="AJ456" s="95"/>
      <c r="AK456" s="95"/>
      <c r="AL456" s="95"/>
      <c r="AM456" s="95"/>
      <c r="AN456" s="95"/>
      <c r="AO456" s="95"/>
      <c r="AP456" s="95"/>
      <c r="AQ456" s="95"/>
    </row>
    <row r="457" spans="1:43" ht="12.75" x14ac:dyDescent="0.35">
      <c r="A457" s="41" t="s">
        <v>1566</v>
      </c>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c r="AA457" s="95"/>
      <c r="AB457" s="95"/>
      <c r="AC457" s="95"/>
      <c r="AD457" s="95"/>
      <c r="AE457" s="95"/>
      <c r="AF457" s="95"/>
      <c r="AG457" s="95"/>
      <c r="AH457" s="95"/>
      <c r="AI457" s="95"/>
      <c r="AJ457" s="95"/>
      <c r="AK457" s="95"/>
      <c r="AL457" s="95"/>
      <c r="AM457" s="95"/>
      <c r="AN457" s="95"/>
      <c r="AO457" s="95"/>
      <c r="AP457" s="95"/>
      <c r="AQ457" s="95"/>
    </row>
    <row r="458" spans="1:43" ht="12.75" x14ac:dyDescent="0.35">
      <c r="A458" s="41" t="s">
        <v>1569</v>
      </c>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c r="AA458" s="95"/>
      <c r="AB458" s="95"/>
      <c r="AC458" s="95"/>
      <c r="AD458" s="95"/>
      <c r="AE458" s="95"/>
      <c r="AF458" s="95"/>
      <c r="AG458" s="95"/>
      <c r="AH458" s="95"/>
      <c r="AI458" s="95"/>
      <c r="AJ458" s="95"/>
      <c r="AK458" s="95"/>
      <c r="AL458" s="95"/>
      <c r="AM458" s="95"/>
      <c r="AN458" s="95"/>
      <c r="AO458" s="95"/>
      <c r="AP458" s="95"/>
      <c r="AQ458" s="95"/>
    </row>
    <row r="459" spans="1:43" ht="12.75" x14ac:dyDescent="0.35">
      <c r="A459" s="41" t="s">
        <v>1572</v>
      </c>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c r="AA459" s="95"/>
      <c r="AB459" s="95"/>
      <c r="AC459" s="95"/>
      <c r="AD459" s="95"/>
      <c r="AE459" s="95"/>
      <c r="AF459" s="95"/>
      <c r="AG459" s="95"/>
      <c r="AH459" s="95"/>
      <c r="AI459" s="95"/>
      <c r="AJ459" s="95"/>
      <c r="AK459" s="95"/>
      <c r="AL459" s="95"/>
      <c r="AM459" s="95"/>
      <c r="AN459" s="95"/>
      <c r="AO459" s="95"/>
      <c r="AP459" s="95"/>
      <c r="AQ459" s="95"/>
    </row>
    <row r="460" spans="1:43" ht="12.75" x14ac:dyDescent="0.35">
      <c r="A460" s="41" t="s">
        <v>1575</v>
      </c>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c r="AA460" s="95"/>
      <c r="AB460" s="95"/>
      <c r="AC460" s="95"/>
      <c r="AD460" s="95"/>
      <c r="AE460" s="95"/>
      <c r="AF460" s="95"/>
      <c r="AG460" s="95"/>
      <c r="AH460" s="95"/>
      <c r="AI460" s="95"/>
      <c r="AJ460" s="95"/>
      <c r="AK460" s="95"/>
      <c r="AL460" s="95"/>
      <c r="AM460" s="95"/>
      <c r="AN460" s="95"/>
      <c r="AO460" s="95"/>
      <c r="AP460" s="95"/>
      <c r="AQ460" s="95"/>
    </row>
    <row r="461" spans="1:43" ht="12.75" x14ac:dyDescent="0.35">
      <c r="A461" s="41" t="s">
        <v>1578</v>
      </c>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c r="AA461" s="95"/>
      <c r="AB461" s="95"/>
      <c r="AC461" s="95"/>
      <c r="AD461" s="95"/>
      <c r="AE461" s="95"/>
      <c r="AF461" s="95"/>
      <c r="AG461" s="95"/>
      <c r="AH461" s="95"/>
      <c r="AI461" s="95"/>
      <c r="AJ461" s="95"/>
      <c r="AK461" s="95"/>
      <c r="AL461" s="95"/>
      <c r="AM461" s="95"/>
      <c r="AN461" s="95"/>
      <c r="AO461" s="95"/>
      <c r="AP461" s="95"/>
      <c r="AQ461" s="95"/>
    </row>
    <row r="462" spans="1:43" ht="12.75" x14ac:dyDescent="0.35">
      <c r="A462" s="41" t="s">
        <v>1580</v>
      </c>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c r="AA462" s="95"/>
      <c r="AB462" s="95"/>
      <c r="AC462" s="95"/>
      <c r="AD462" s="95"/>
      <c r="AE462" s="95"/>
      <c r="AF462" s="95"/>
      <c r="AG462" s="95"/>
      <c r="AH462" s="95"/>
      <c r="AI462" s="95"/>
      <c r="AJ462" s="95"/>
      <c r="AK462" s="95"/>
      <c r="AL462" s="95"/>
      <c r="AM462" s="95"/>
      <c r="AN462" s="95"/>
      <c r="AO462" s="95"/>
      <c r="AP462" s="95"/>
      <c r="AQ462" s="95"/>
    </row>
    <row r="463" spans="1:43" ht="12.75" x14ac:dyDescent="0.35">
      <c r="A463" s="41" t="s">
        <v>1583</v>
      </c>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c r="AA463" s="95"/>
      <c r="AB463" s="95"/>
      <c r="AC463" s="95"/>
      <c r="AD463" s="95"/>
      <c r="AE463" s="95"/>
      <c r="AF463" s="95"/>
      <c r="AG463" s="95"/>
      <c r="AH463" s="95"/>
      <c r="AI463" s="95"/>
      <c r="AJ463" s="95"/>
      <c r="AK463" s="95"/>
      <c r="AL463" s="95"/>
      <c r="AM463" s="95"/>
      <c r="AN463" s="95"/>
      <c r="AO463" s="95"/>
      <c r="AP463" s="95"/>
      <c r="AQ463" s="95"/>
    </row>
    <row r="464" spans="1:43" ht="12.75" x14ac:dyDescent="0.35">
      <c r="A464" s="41" t="s">
        <v>1585</v>
      </c>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c r="AA464" s="95"/>
      <c r="AB464" s="95"/>
      <c r="AC464" s="95"/>
      <c r="AD464" s="95"/>
      <c r="AE464" s="95"/>
      <c r="AF464" s="95"/>
      <c r="AG464" s="95"/>
      <c r="AH464" s="95"/>
      <c r="AI464" s="95"/>
      <c r="AJ464" s="95"/>
      <c r="AK464" s="95"/>
      <c r="AL464" s="95"/>
      <c r="AM464" s="95"/>
      <c r="AN464" s="95"/>
      <c r="AO464" s="95"/>
      <c r="AP464" s="95"/>
      <c r="AQ464" s="95"/>
    </row>
    <row r="465" spans="1:43" ht="12.75" x14ac:dyDescent="0.35">
      <c r="A465" s="41" t="s">
        <v>1588</v>
      </c>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c r="AA465" s="95"/>
      <c r="AB465" s="95"/>
      <c r="AC465" s="95"/>
      <c r="AD465" s="95"/>
      <c r="AE465" s="95"/>
      <c r="AF465" s="95"/>
      <c r="AG465" s="95"/>
      <c r="AH465" s="95"/>
      <c r="AI465" s="95"/>
      <c r="AJ465" s="95"/>
      <c r="AK465" s="95"/>
      <c r="AL465" s="95"/>
      <c r="AM465" s="95"/>
      <c r="AN465" s="95"/>
      <c r="AO465" s="95"/>
      <c r="AP465" s="95"/>
      <c r="AQ465" s="95"/>
    </row>
    <row r="466" spans="1:43" ht="12.75" x14ac:dyDescent="0.35">
      <c r="A466" s="41" t="s">
        <v>1591</v>
      </c>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c r="AA466" s="95"/>
      <c r="AB466" s="95"/>
      <c r="AC466" s="95"/>
      <c r="AD466" s="95"/>
      <c r="AE466" s="95"/>
      <c r="AF466" s="95"/>
      <c r="AG466" s="95"/>
      <c r="AH466" s="95"/>
      <c r="AI466" s="95"/>
      <c r="AJ466" s="95"/>
      <c r="AK466" s="95"/>
      <c r="AL466" s="95"/>
      <c r="AM466" s="95"/>
      <c r="AN466" s="95"/>
      <c r="AO466" s="95"/>
      <c r="AP466" s="95"/>
      <c r="AQ466" s="95"/>
    </row>
    <row r="467" spans="1:43" ht="12.75" x14ac:dyDescent="0.35">
      <c r="A467" s="41" t="s">
        <v>1594</v>
      </c>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c r="AA467" s="95"/>
      <c r="AB467" s="95"/>
      <c r="AC467" s="95"/>
      <c r="AD467" s="95"/>
      <c r="AE467" s="95"/>
      <c r="AF467" s="95"/>
      <c r="AG467" s="95"/>
      <c r="AH467" s="95"/>
      <c r="AI467" s="95"/>
      <c r="AJ467" s="95"/>
      <c r="AK467" s="95"/>
      <c r="AL467" s="95"/>
      <c r="AM467" s="95"/>
      <c r="AN467" s="95"/>
      <c r="AO467" s="95"/>
      <c r="AP467" s="95"/>
      <c r="AQ467" s="95"/>
    </row>
    <row r="468" spans="1:43" ht="12.75" x14ac:dyDescent="0.35">
      <c r="A468" s="41" t="s">
        <v>1597</v>
      </c>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c r="AA468" s="95"/>
      <c r="AB468" s="95"/>
      <c r="AC468" s="95"/>
      <c r="AD468" s="95"/>
      <c r="AE468" s="95"/>
      <c r="AF468" s="95"/>
      <c r="AG468" s="95"/>
      <c r="AH468" s="95"/>
      <c r="AI468" s="95"/>
      <c r="AJ468" s="95"/>
      <c r="AK468" s="95"/>
      <c r="AL468" s="95"/>
      <c r="AM468" s="95"/>
      <c r="AN468" s="95"/>
      <c r="AO468" s="95"/>
      <c r="AP468" s="95"/>
      <c r="AQ468" s="95"/>
    </row>
    <row r="469" spans="1:43" ht="12.75" x14ac:dyDescent="0.35">
      <c r="A469" s="41" t="s">
        <v>1600</v>
      </c>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c r="AA469" s="95"/>
      <c r="AB469" s="95"/>
      <c r="AC469" s="95"/>
      <c r="AD469" s="95"/>
      <c r="AE469" s="95"/>
      <c r="AF469" s="95"/>
      <c r="AG469" s="95"/>
      <c r="AH469" s="95"/>
      <c r="AI469" s="95"/>
      <c r="AJ469" s="95"/>
      <c r="AK469" s="95"/>
      <c r="AL469" s="95"/>
      <c r="AM469" s="95"/>
      <c r="AN469" s="95"/>
      <c r="AO469" s="95"/>
      <c r="AP469" s="95"/>
      <c r="AQ469" s="95"/>
    </row>
    <row r="470" spans="1:43" ht="12.75" x14ac:dyDescent="0.35">
      <c r="A470" s="41" t="s">
        <v>1603</v>
      </c>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c r="AA470" s="95"/>
      <c r="AB470" s="95"/>
      <c r="AC470" s="95"/>
      <c r="AD470" s="95"/>
      <c r="AE470" s="95"/>
      <c r="AF470" s="95"/>
      <c r="AG470" s="95"/>
      <c r="AH470" s="95"/>
      <c r="AI470" s="95"/>
      <c r="AJ470" s="95"/>
      <c r="AK470" s="95"/>
      <c r="AL470" s="95"/>
      <c r="AM470" s="95"/>
      <c r="AN470" s="95"/>
      <c r="AO470" s="95"/>
      <c r="AP470" s="95"/>
      <c r="AQ470" s="95"/>
    </row>
    <row r="471" spans="1:43" ht="12.75" x14ac:dyDescent="0.35">
      <c r="A471" s="41" t="s">
        <v>1606</v>
      </c>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c r="AA471" s="95"/>
      <c r="AB471" s="95"/>
      <c r="AC471" s="95"/>
      <c r="AD471" s="95"/>
      <c r="AE471" s="95"/>
      <c r="AF471" s="95"/>
      <c r="AG471" s="95"/>
      <c r="AH471" s="95"/>
      <c r="AI471" s="95"/>
      <c r="AJ471" s="95"/>
      <c r="AK471" s="95"/>
      <c r="AL471" s="95"/>
      <c r="AM471" s="95"/>
      <c r="AN471" s="95"/>
      <c r="AO471" s="95"/>
      <c r="AP471" s="95"/>
      <c r="AQ471" s="95"/>
    </row>
    <row r="472" spans="1:43" ht="12.75" x14ac:dyDescent="0.35">
      <c r="A472" s="41" t="s">
        <v>1609</v>
      </c>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c r="AA472" s="95"/>
      <c r="AB472" s="95"/>
      <c r="AC472" s="95"/>
      <c r="AD472" s="95"/>
      <c r="AE472" s="95"/>
      <c r="AF472" s="95"/>
      <c r="AG472" s="95"/>
      <c r="AH472" s="95"/>
      <c r="AI472" s="95"/>
      <c r="AJ472" s="95"/>
      <c r="AK472" s="95"/>
      <c r="AL472" s="95"/>
      <c r="AM472" s="95"/>
      <c r="AN472" s="95"/>
      <c r="AO472" s="95"/>
      <c r="AP472" s="95"/>
      <c r="AQ472" s="95"/>
    </row>
    <row r="473" spans="1:43" ht="12.75" x14ac:dyDescent="0.35">
      <c r="A473" s="41" t="s">
        <v>1612</v>
      </c>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c r="AA473" s="95"/>
      <c r="AB473" s="95"/>
      <c r="AC473" s="95"/>
      <c r="AD473" s="95"/>
      <c r="AE473" s="95"/>
      <c r="AF473" s="95"/>
      <c r="AG473" s="95"/>
      <c r="AH473" s="95"/>
      <c r="AI473" s="95"/>
      <c r="AJ473" s="95"/>
      <c r="AK473" s="95"/>
      <c r="AL473" s="95"/>
      <c r="AM473" s="95"/>
      <c r="AN473" s="95"/>
      <c r="AO473" s="95"/>
      <c r="AP473" s="95"/>
      <c r="AQ473" s="95"/>
    </row>
    <row r="474" spans="1:43" ht="12.75" x14ac:dyDescent="0.35">
      <c r="A474" s="41" t="s">
        <v>1615</v>
      </c>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c r="AA474" s="95"/>
      <c r="AB474" s="95"/>
      <c r="AC474" s="95"/>
      <c r="AD474" s="95"/>
      <c r="AE474" s="95"/>
      <c r="AF474" s="95"/>
      <c r="AG474" s="95"/>
      <c r="AH474" s="95"/>
      <c r="AI474" s="95"/>
      <c r="AJ474" s="95"/>
      <c r="AK474" s="95"/>
      <c r="AL474" s="95"/>
      <c r="AM474" s="95"/>
      <c r="AN474" s="95"/>
      <c r="AO474" s="95"/>
      <c r="AP474" s="95"/>
      <c r="AQ474" s="95"/>
    </row>
    <row r="475" spans="1:43" ht="12.75" x14ac:dyDescent="0.35">
      <c r="A475" s="41" t="s">
        <v>1617</v>
      </c>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c r="AA475" s="95"/>
      <c r="AB475" s="95"/>
      <c r="AC475" s="95"/>
      <c r="AD475" s="95"/>
      <c r="AE475" s="95"/>
      <c r="AF475" s="95"/>
      <c r="AG475" s="95"/>
      <c r="AH475" s="95"/>
      <c r="AI475" s="95"/>
      <c r="AJ475" s="95"/>
      <c r="AK475" s="95"/>
      <c r="AL475" s="95"/>
      <c r="AM475" s="95"/>
      <c r="AN475" s="95"/>
      <c r="AO475" s="95"/>
      <c r="AP475" s="95"/>
      <c r="AQ475" s="95"/>
    </row>
    <row r="476" spans="1:43" ht="12.75" x14ac:dyDescent="0.35">
      <c r="A476" s="41" t="s">
        <v>1620</v>
      </c>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c r="AA476" s="95"/>
      <c r="AB476" s="95"/>
      <c r="AC476" s="95"/>
      <c r="AD476" s="95"/>
      <c r="AE476" s="95"/>
      <c r="AF476" s="95"/>
      <c r="AG476" s="95"/>
      <c r="AH476" s="95"/>
      <c r="AI476" s="95"/>
      <c r="AJ476" s="95"/>
      <c r="AK476" s="95"/>
      <c r="AL476" s="95"/>
      <c r="AM476" s="95"/>
      <c r="AN476" s="95"/>
      <c r="AO476" s="95"/>
      <c r="AP476" s="95"/>
      <c r="AQ476" s="95"/>
    </row>
    <row r="477" spans="1:43" ht="12.75" x14ac:dyDescent="0.35">
      <c r="A477" s="41" t="s">
        <v>1623</v>
      </c>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c r="AA477" s="95"/>
      <c r="AB477" s="95"/>
      <c r="AC477" s="95"/>
      <c r="AD477" s="95"/>
      <c r="AE477" s="95"/>
      <c r="AF477" s="95"/>
      <c r="AG477" s="95"/>
      <c r="AH477" s="95"/>
      <c r="AI477" s="95"/>
      <c r="AJ477" s="95"/>
      <c r="AK477" s="95"/>
      <c r="AL477" s="95"/>
      <c r="AM477" s="95"/>
      <c r="AN477" s="95"/>
      <c r="AO477" s="95"/>
      <c r="AP477" s="95"/>
      <c r="AQ477" s="95"/>
    </row>
    <row r="478" spans="1:43" ht="12.75" x14ac:dyDescent="0.35">
      <c r="A478" s="41" t="s">
        <v>1626</v>
      </c>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c r="AA478" s="95"/>
      <c r="AB478" s="95"/>
      <c r="AC478" s="95"/>
      <c r="AD478" s="95"/>
      <c r="AE478" s="95"/>
      <c r="AF478" s="95"/>
      <c r="AG478" s="95"/>
      <c r="AH478" s="95"/>
      <c r="AI478" s="95"/>
      <c r="AJ478" s="95"/>
      <c r="AK478" s="95"/>
      <c r="AL478" s="95"/>
      <c r="AM478" s="95"/>
      <c r="AN478" s="95"/>
      <c r="AO478" s="95"/>
      <c r="AP478" s="95"/>
      <c r="AQ478" s="95"/>
    </row>
    <row r="479" spans="1:43" ht="12.75" x14ac:dyDescent="0.35">
      <c r="A479" s="41" t="s">
        <v>1628</v>
      </c>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c r="AA479" s="95"/>
      <c r="AB479" s="95"/>
      <c r="AC479" s="95"/>
      <c r="AD479" s="95"/>
      <c r="AE479" s="95"/>
      <c r="AF479" s="95"/>
      <c r="AG479" s="95"/>
      <c r="AH479" s="95"/>
      <c r="AI479" s="95"/>
      <c r="AJ479" s="95"/>
      <c r="AK479" s="95"/>
      <c r="AL479" s="95"/>
      <c r="AM479" s="95"/>
      <c r="AN479" s="95"/>
      <c r="AO479" s="95"/>
      <c r="AP479" s="95"/>
      <c r="AQ479" s="95"/>
    </row>
    <row r="480" spans="1:43" ht="12.75" x14ac:dyDescent="0.35">
      <c r="A480" s="41" t="s">
        <v>1631</v>
      </c>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c r="AA480" s="95"/>
      <c r="AB480" s="95"/>
      <c r="AC480" s="95"/>
      <c r="AD480" s="95"/>
      <c r="AE480" s="95"/>
      <c r="AF480" s="95"/>
      <c r="AG480" s="95"/>
      <c r="AH480" s="95"/>
      <c r="AI480" s="95"/>
      <c r="AJ480" s="95"/>
      <c r="AK480" s="95"/>
      <c r="AL480" s="95"/>
      <c r="AM480" s="95"/>
      <c r="AN480" s="95"/>
      <c r="AO480" s="95"/>
      <c r="AP480" s="95"/>
      <c r="AQ480" s="95"/>
    </row>
    <row r="481" spans="1:43" ht="12.75" x14ac:dyDescent="0.35">
      <c r="A481" s="41" t="s">
        <v>1634</v>
      </c>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c r="AA481" s="95"/>
      <c r="AB481" s="95"/>
      <c r="AC481" s="95"/>
      <c r="AD481" s="95"/>
      <c r="AE481" s="95"/>
      <c r="AF481" s="95"/>
      <c r="AG481" s="95"/>
      <c r="AH481" s="95"/>
      <c r="AI481" s="95"/>
      <c r="AJ481" s="95"/>
      <c r="AK481" s="95"/>
      <c r="AL481" s="95"/>
      <c r="AM481" s="95"/>
      <c r="AN481" s="95"/>
      <c r="AO481" s="95"/>
      <c r="AP481" s="95"/>
      <c r="AQ481" s="95"/>
    </row>
    <row r="482" spans="1:43" ht="12.75" x14ac:dyDescent="0.35">
      <c r="A482" s="41" t="s">
        <v>1637</v>
      </c>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c r="AA482" s="95"/>
      <c r="AB482" s="95"/>
      <c r="AC482" s="95"/>
      <c r="AD482" s="95"/>
      <c r="AE482" s="95"/>
      <c r="AF482" s="95"/>
      <c r="AG482" s="95"/>
      <c r="AH482" s="95"/>
      <c r="AI482" s="95"/>
      <c r="AJ482" s="95"/>
      <c r="AK482" s="95"/>
      <c r="AL482" s="95"/>
      <c r="AM482" s="95"/>
      <c r="AN482" s="95"/>
      <c r="AO482" s="95"/>
      <c r="AP482" s="95"/>
      <c r="AQ482" s="95"/>
    </row>
    <row r="483" spans="1:43" ht="12.75" x14ac:dyDescent="0.35">
      <c r="A483" s="41" t="s">
        <v>1640</v>
      </c>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c r="AA483" s="95"/>
      <c r="AB483" s="95"/>
      <c r="AC483" s="95"/>
      <c r="AD483" s="95"/>
      <c r="AE483" s="95"/>
      <c r="AF483" s="95"/>
      <c r="AG483" s="95"/>
      <c r="AH483" s="95"/>
      <c r="AI483" s="95"/>
      <c r="AJ483" s="95"/>
      <c r="AK483" s="95"/>
      <c r="AL483" s="95"/>
      <c r="AM483" s="95"/>
      <c r="AN483" s="95"/>
      <c r="AO483" s="95"/>
      <c r="AP483" s="95"/>
      <c r="AQ483" s="95"/>
    </row>
    <row r="484" spans="1:43" ht="12.75" x14ac:dyDescent="0.35">
      <c r="A484" s="41" t="s">
        <v>1643</v>
      </c>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c r="AA484" s="95"/>
      <c r="AB484" s="95"/>
      <c r="AC484" s="95"/>
      <c r="AD484" s="95"/>
      <c r="AE484" s="95"/>
      <c r="AF484" s="95"/>
      <c r="AG484" s="95"/>
      <c r="AH484" s="95"/>
      <c r="AI484" s="95"/>
      <c r="AJ484" s="95"/>
      <c r="AK484" s="95"/>
      <c r="AL484" s="95"/>
      <c r="AM484" s="95"/>
      <c r="AN484" s="95"/>
      <c r="AO484" s="95"/>
      <c r="AP484" s="95"/>
      <c r="AQ484" s="95"/>
    </row>
    <row r="485" spans="1:43" ht="12.75" x14ac:dyDescent="0.35">
      <c r="A485" s="41" t="s">
        <v>1646</v>
      </c>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c r="AA485" s="95"/>
      <c r="AB485" s="95"/>
      <c r="AC485" s="95"/>
      <c r="AD485" s="95"/>
      <c r="AE485" s="95"/>
      <c r="AF485" s="95"/>
      <c r="AG485" s="95"/>
      <c r="AH485" s="95"/>
      <c r="AI485" s="95"/>
      <c r="AJ485" s="95"/>
      <c r="AK485" s="95"/>
      <c r="AL485" s="95"/>
      <c r="AM485" s="95"/>
      <c r="AN485" s="95"/>
      <c r="AO485" s="95"/>
      <c r="AP485" s="95"/>
      <c r="AQ485" s="95"/>
    </row>
    <row r="486" spans="1:43" ht="12.75" x14ac:dyDescent="0.35">
      <c r="A486" s="41" t="s">
        <v>1649</v>
      </c>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c r="AA486" s="95"/>
      <c r="AB486" s="95"/>
      <c r="AC486" s="95"/>
      <c r="AD486" s="95"/>
      <c r="AE486" s="95"/>
      <c r="AF486" s="95"/>
      <c r="AG486" s="95"/>
      <c r="AH486" s="95"/>
      <c r="AI486" s="95"/>
      <c r="AJ486" s="95"/>
      <c r="AK486" s="95"/>
      <c r="AL486" s="95"/>
      <c r="AM486" s="95"/>
      <c r="AN486" s="95"/>
      <c r="AO486" s="95"/>
      <c r="AP486" s="95"/>
      <c r="AQ486" s="95"/>
    </row>
    <row r="487" spans="1:43" ht="12.75" x14ac:dyDescent="0.35">
      <c r="A487" s="41" t="s">
        <v>1652</v>
      </c>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c r="AA487" s="95"/>
      <c r="AB487" s="95"/>
      <c r="AC487" s="95"/>
      <c r="AD487" s="95"/>
      <c r="AE487" s="95"/>
      <c r="AF487" s="95"/>
      <c r="AG487" s="95"/>
      <c r="AH487" s="95"/>
      <c r="AI487" s="95"/>
      <c r="AJ487" s="95"/>
      <c r="AK487" s="95"/>
      <c r="AL487" s="95"/>
      <c r="AM487" s="95"/>
      <c r="AN487" s="95"/>
      <c r="AO487" s="95"/>
      <c r="AP487" s="95"/>
      <c r="AQ487" s="95"/>
    </row>
    <row r="488" spans="1:43" ht="12.75" x14ac:dyDescent="0.35">
      <c r="A488" s="41" t="s">
        <v>1654</v>
      </c>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c r="AA488" s="95"/>
      <c r="AB488" s="95"/>
      <c r="AC488" s="95"/>
      <c r="AD488" s="95"/>
      <c r="AE488" s="95"/>
      <c r="AF488" s="95"/>
      <c r="AG488" s="95"/>
      <c r="AH488" s="95"/>
      <c r="AI488" s="95"/>
      <c r="AJ488" s="95"/>
      <c r="AK488" s="95"/>
      <c r="AL488" s="95"/>
      <c r="AM488" s="95"/>
      <c r="AN488" s="95"/>
      <c r="AO488" s="95"/>
      <c r="AP488" s="95"/>
      <c r="AQ488" s="95"/>
    </row>
    <row r="489" spans="1:43" ht="12.75" x14ac:dyDescent="0.35">
      <c r="A489" s="41" t="s">
        <v>1656</v>
      </c>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c r="AA489" s="95"/>
      <c r="AB489" s="95"/>
      <c r="AC489" s="95"/>
      <c r="AD489" s="95"/>
      <c r="AE489" s="95"/>
      <c r="AF489" s="95"/>
      <c r="AG489" s="95"/>
      <c r="AH489" s="95"/>
      <c r="AI489" s="95"/>
      <c r="AJ489" s="95"/>
      <c r="AK489" s="95"/>
      <c r="AL489" s="95"/>
      <c r="AM489" s="95"/>
      <c r="AN489" s="95"/>
      <c r="AO489" s="95"/>
      <c r="AP489" s="95"/>
      <c r="AQ489" s="95"/>
    </row>
    <row r="490" spans="1:43" ht="12.75" x14ac:dyDescent="0.35">
      <c r="A490" s="41" t="s">
        <v>1659</v>
      </c>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c r="AA490" s="95"/>
      <c r="AB490" s="95"/>
      <c r="AC490" s="95"/>
      <c r="AD490" s="95"/>
      <c r="AE490" s="95"/>
      <c r="AF490" s="95"/>
      <c r="AG490" s="95"/>
      <c r="AH490" s="95"/>
      <c r="AI490" s="95"/>
      <c r="AJ490" s="95"/>
      <c r="AK490" s="95"/>
      <c r="AL490" s="95"/>
      <c r="AM490" s="95"/>
      <c r="AN490" s="95"/>
      <c r="AO490" s="95"/>
      <c r="AP490" s="95"/>
      <c r="AQ490" s="95"/>
    </row>
    <row r="491" spans="1:43" ht="12.75" x14ac:dyDescent="0.35">
      <c r="A491" s="41" t="s">
        <v>1661</v>
      </c>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c r="AA491" s="95"/>
      <c r="AB491" s="95"/>
      <c r="AC491" s="95"/>
      <c r="AD491" s="95"/>
      <c r="AE491" s="95"/>
      <c r="AF491" s="95"/>
      <c r="AG491" s="95"/>
      <c r="AH491" s="95"/>
      <c r="AI491" s="95"/>
      <c r="AJ491" s="95"/>
      <c r="AK491" s="95"/>
      <c r="AL491" s="95"/>
      <c r="AM491" s="95"/>
      <c r="AN491" s="95"/>
      <c r="AO491" s="95"/>
      <c r="AP491" s="95"/>
      <c r="AQ491" s="95"/>
    </row>
    <row r="492" spans="1:43" ht="12.75" x14ac:dyDescent="0.35">
      <c r="A492" s="41" t="s">
        <v>1664</v>
      </c>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c r="AA492" s="95"/>
      <c r="AB492" s="95"/>
      <c r="AC492" s="95"/>
      <c r="AD492" s="95"/>
      <c r="AE492" s="95"/>
      <c r="AF492" s="95"/>
      <c r="AG492" s="95"/>
      <c r="AH492" s="95"/>
      <c r="AI492" s="95"/>
      <c r="AJ492" s="95"/>
      <c r="AK492" s="95"/>
      <c r="AL492" s="95"/>
      <c r="AM492" s="95"/>
      <c r="AN492" s="95"/>
      <c r="AO492" s="95"/>
      <c r="AP492" s="95"/>
      <c r="AQ492" s="95"/>
    </row>
    <row r="493" spans="1:43" ht="12.75" x14ac:dyDescent="0.35">
      <c r="A493" s="41" t="s">
        <v>1667</v>
      </c>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c r="AA493" s="95"/>
      <c r="AB493" s="95"/>
      <c r="AC493" s="95"/>
      <c r="AD493" s="95"/>
      <c r="AE493" s="95"/>
      <c r="AF493" s="95"/>
      <c r="AG493" s="95"/>
      <c r="AH493" s="95"/>
      <c r="AI493" s="95"/>
      <c r="AJ493" s="95"/>
      <c r="AK493" s="95"/>
      <c r="AL493" s="95"/>
      <c r="AM493" s="95"/>
      <c r="AN493" s="95"/>
      <c r="AO493" s="95"/>
      <c r="AP493" s="95"/>
      <c r="AQ493" s="95"/>
    </row>
    <row r="494" spans="1:43" ht="12.75" x14ac:dyDescent="0.35">
      <c r="A494" s="41" t="s">
        <v>1670</v>
      </c>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c r="AA494" s="95"/>
      <c r="AB494" s="95"/>
      <c r="AC494" s="95"/>
      <c r="AD494" s="95"/>
      <c r="AE494" s="95"/>
      <c r="AF494" s="95"/>
      <c r="AG494" s="95"/>
      <c r="AH494" s="95"/>
      <c r="AI494" s="95"/>
      <c r="AJ494" s="95"/>
      <c r="AK494" s="95"/>
      <c r="AL494" s="95"/>
      <c r="AM494" s="95"/>
      <c r="AN494" s="95"/>
      <c r="AO494" s="95"/>
      <c r="AP494" s="95"/>
      <c r="AQ494" s="95"/>
    </row>
    <row r="495" spans="1:43" ht="12.75" x14ac:dyDescent="0.35">
      <c r="A495" s="41" t="s">
        <v>1673</v>
      </c>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c r="AA495" s="95"/>
      <c r="AB495" s="95"/>
      <c r="AC495" s="95"/>
      <c r="AD495" s="95"/>
      <c r="AE495" s="95"/>
      <c r="AF495" s="95"/>
      <c r="AG495" s="95"/>
      <c r="AH495" s="95"/>
      <c r="AI495" s="95"/>
      <c r="AJ495" s="95"/>
      <c r="AK495" s="95"/>
      <c r="AL495" s="95"/>
      <c r="AM495" s="95"/>
      <c r="AN495" s="95"/>
      <c r="AO495" s="95"/>
      <c r="AP495" s="95"/>
      <c r="AQ495" s="95"/>
    </row>
    <row r="496" spans="1:43" ht="12.75" x14ac:dyDescent="0.35">
      <c r="A496" s="41" t="s">
        <v>1676</v>
      </c>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c r="AA496" s="95"/>
      <c r="AB496" s="95"/>
      <c r="AC496" s="95"/>
      <c r="AD496" s="95"/>
      <c r="AE496" s="95"/>
      <c r="AF496" s="95"/>
      <c r="AG496" s="95"/>
      <c r="AH496" s="95"/>
      <c r="AI496" s="95"/>
      <c r="AJ496" s="95"/>
      <c r="AK496" s="95"/>
      <c r="AL496" s="95"/>
      <c r="AM496" s="95"/>
      <c r="AN496" s="95"/>
      <c r="AO496" s="95"/>
      <c r="AP496" s="95"/>
      <c r="AQ496" s="95"/>
    </row>
    <row r="497" spans="1:43" ht="12.75" x14ac:dyDescent="0.35">
      <c r="A497" s="41" t="s">
        <v>1679</v>
      </c>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c r="AA497" s="95"/>
      <c r="AB497" s="95"/>
      <c r="AC497" s="95"/>
      <c r="AD497" s="95"/>
      <c r="AE497" s="95"/>
      <c r="AF497" s="95"/>
      <c r="AG497" s="95"/>
      <c r="AH497" s="95"/>
      <c r="AI497" s="95"/>
      <c r="AJ497" s="95"/>
      <c r="AK497" s="95"/>
      <c r="AL497" s="95"/>
      <c r="AM497" s="95"/>
      <c r="AN497" s="95"/>
      <c r="AO497" s="95"/>
      <c r="AP497" s="95"/>
      <c r="AQ497" s="95"/>
    </row>
    <row r="498" spans="1:43" ht="12.75" x14ac:dyDescent="0.35">
      <c r="A498" s="41" t="s">
        <v>1682</v>
      </c>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c r="AA498" s="95"/>
      <c r="AB498" s="95"/>
      <c r="AC498" s="95"/>
      <c r="AD498" s="95"/>
      <c r="AE498" s="95"/>
      <c r="AF498" s="95"/>
      <c r="AG498" s="95"/>
      <c r="AH498" s="95"/>
      <c r="AI498" s="95"/>
      <c r="AJ498" s="95"/>
      <c r="AK498" s="95"/>
      <c r="AL498" s="95"/>
      <c r="AM498" s="95"/>
      <c r="AN498" s="95"/>
      <c r="AO498" s="95"/>
      <c r="AP498" s="95"/>
      <c r="AQ498" s="95"/>
    </row>
    <row r="499" spans="1:43" ht="12.75" x14ac:dyDescent="0.35">
      <c r="A499" s="41" t="s">
        <v>1685</v>
      </c>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c r="AA499" s="95"/>
      <c r="AB499" s="95"/>
      <c r="AC499" s="95"/>
      <c r="AD499" s="95"/>
      <c r="AE499" s="95"/>
      <c r="AF499" s="95"/>
      <c r="AG499" s="95"/>
      <c r="AH499" s="95"/>
      <c r="AI499" s="95"/>
      <c r="AJ499" s="95"/>
      <c r="AK499" s="95"/>
      <c r="AL499" s="95"/>
      <c r="AM499" s="95"/>
      <c r="AN499" s="95"/>
      <c r="AO499" s="95"/>
      <c r="AP499" s="95"/>
      <c r="AQ499" s="95"/>
    </row>
    <row r="500" spans="1:43" ht="12.75" x14ac:dyDescent="0.35">
      <c r="A500" s="41" t="s">
        <v>1687</v>
      </c>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c r="AA500" s="95"/>
      <c r="AB500" s="95"/>
      <c r="AC500" s="95"/>
      <c r="AD500" s="95"/>
      <c r="AE500" s="95"/>
      <c r="AF500" s="95"/>
      <c r="AG500" s="95"/>
      <c r="AH500" s="95"/>
      <c r="AI500" s="95"/>
      <c r="AJ500" s="95"/>
      <c r="AK500" s="95"/>
      <c r="AL500" s="95"/>
      <c r="AM500" s="95"/>
      <c r="AN500" s="95"/>
      <c r="AO500" s="95"/>
      <c r="AP500" s="95"/>
      <c r="AQ500" s="95"/>
    </row>
    <row r="501" spans="1:43" ht="12.75" x14ac:dyDescent="0.35">
      <c r="A501" s="41" t="s">
        <v>1690</v>
      </c>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c r="AA501" s="95"/>
      <c r="AB501" s="95"/>
      <c r="AC501" s="95"/>
      <c r="AD501" s="95"/>
      <c r="AE501" s="95"/>
      <c r="AF501" s="95"/>
      <c r="AG501" s="95"/>
      <c r="AH501" s="95"/>
      <c r="AI501" s="95"/>
      <c r="AJ501" s="95"/>
      <c r="AK501" s="95"/>
      <c r="AL501" s="95"/>
      <c r="AM501" s="95"/>
      <c r="AN501" s="95"/>
      <c r="AO501" s="95"/>
      <c r="AP501" s="95"/>
      <c r="AQ501" s="95"/>
    </row>
    <row r="502" spans="1:43" ht="12.75" x14ac:dyDescent="0.35">
      <c r="A502" s="41" t="s">
        <v>1693</v>
      </c>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c r="AA502" s="95"/>
      <c r="AB502" s="95"/>
      <c r="AC502" s="95"/>
      <c r="AD502" s="95"/>
      <c r="AE502" s="95"/>
      <c r="AF502" s="95"/>
      <c r="AG502" s="95"/>
      <c r="AH502" s="95"/>
      <c r="AI502" s="95"/>
      <c r="AJ502" s="95"/>
      <c r="AK502" s="95"/>
      <c r="AL502" s="95"/>
      <c r="AM502" s="95"/>
      <c r="AN502" s="95"/>
      <c r="AO502" s="95"/>
      <c r="AP502" s="95"/>
      <c r="AQ502" s="95"/>
    </row>
    <row r="503" spans="1:43" ht="12.75" x14ac:dyDescent="0.35">
      <c r="A503" s="41" t="s">
        <v>1696</v>
      </c>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c r="AA503" s="95"/>
      <c r="AB503" s="95"/>
      <c r="AC503" s="95"/>
      <c r="AD503" s="95"/>
      <c r="AE503" s="95"/>
      <c r="AF503" s="95"/>
      <c r="AG503" s="95"/>
      <c r="AH503" s="95"/>
      <c r="AI503" s="95"/>
      <c r="AJ503" s="95"/>
      <c r="AK503" s="95"/>
      <c r="AL503" s="95"/>
      <c r="AM503" s="95"/>
      <c r="AN503" s="95"/>
      <c r="AO503" s="95"/>
      <c r="AP503" s="95"/>
      <c r="AQ503" s="95"/>
    </row>
    <row r="504" spans="1:43" ht="12.75" x14ac:dyDescent="0.35">
      <c r="A504" s="41" t="s">
        <v>1699</v>
      </c>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c r="AA504" s="95"/>
      <c r="AB504" s="95"/>
      <c r="AC504" s="95"/>
      <c r="AD504" s="95"/>
      <c r="AE504" s="95"/>
      <c r="AF504" s="95"/>
      <c r="AG504" s="95"/>
      <c r="AH504" s="95"/>
      <c r="AI504" s="95"/>
      <c r="AJ504" s="95"/>
      <c r="AK504" s="95"/>
      <c r="AL504" s="95"/>
      <c r="AM504" s="95"/>
      <c r="AN504" s="95"/>
      <c r="AO504" s="95"/>
      <c r="AP504" s="95"/>
      <c r="AQ504" s="95"/>
    </row>
    <row r="505" spans="1:43" ht="12.75" x14ac:dyDescent="0.35">
      <c r="A505" s="41" t="s">
        <v>1702</v>
      </c>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c r="AA505" s="95"/>
      <c r="AB505" s="95"/>
      <c r="AC505" s="95"/>
      <c r="AD505" s="95"/>
      <c r="AE505" s="95"/>
      <c r="AF505" s="95"/>
      <c r="AG505" s="95"/>
      <c r="AH505" s="95"/>
      <c r="AI505" s="95"/>
      <c r="AJ505" s="95"/>
      <c r="AK505" s="95"/>
      <c r="AL505" s="95"/>
      <c r="AM505" s="95"/>
      <c r="AN505" s="95"/>
      <c r="AO505" s="95"/>
      <c r="AP505" s="95"/>
      <c r="AQ505" s="95"/>
    </row>
    <row r="506" spans="1:43" ht="12.75" x14ac:dyDescent="0.35">
      <c r="A506" s="41" t="s">
        <v>1705</v>
      </c>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c r="AA506" s="95"/>
      <c r="AB506" s="95"/>
      <c r="AC506" s="95"/>
      <c r="AD506" s="95"/>
      <c r="AE506" s="95"/>
      <c r="AF506" s="95"/>
      <c r="AG506" s="95"/>
      <c r="AH506" s="95"/>
      <c r="AI506" s="95"/>
      <c r="AJ506" s="95"/>
      <c r="AK506" s="95"/>
      <c r="AL506" s="95"/>
      <c r="AM506" s="95"/>
      <c r="AN506" s="95"/>
      <c r="AO506" s="95"/>
      <c r="AP506" s="95"/>
      <c r="AQ506" s="95"/>
    </row>
    <row r="507" spans="1:43" ht="12.75" x14ac:dyDescent="0.35">
      <c r="A507" s="41" t="s">
        <v>1708</v>
      </c>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c r="AA507" s="95"/>
      <c r="AB507" s="95"/>
      <c r="AC507" s="95"/>
      <c r="AD507" s="95"/>
      <c r="AE507" s="95"/>
      <c r="AF507" s="95"/>
      <c r="AG507" s="95"/>
      <c r="AH507" s="95"/>
      <c r="AI507" s="95"/>
      <c r="AJ507" s="95"/>
      <c r="AK507" s="95"/>
      <c r="AL507" s="95"/>
      <c r="AM507" s="95"/>
      <c r="AN507" s="95"/>
      <c r="AO507" s="95"/>
      <c r="AP507" s="95"/>
      <c r="AQ507" s="95"/>
    </row>
    <row r="508" spans="1:43" ht="12.75" x14ac:dyDescent="0.35">
      <c r="A508" s="41" t="s">
        <v>1711</v>
      </c>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c r="AA508" s="95"/>
      <c r="AB508" s="95"/>
      <c r="AC508" s="95"/>
      <c r="AD508" s="95"/>
      <c r="AE508" s="95"/>
      <c r="AF508" s="95"/>
      <c r="AG508" s="95"/>
      <c r="AH508" s="95"/>
      <c r="AI508" s="95"/>
      <c r="AJ508" s="95"/>
      <c r="AK508" s="95"/>
      <c r="AL508" s="95"/>
      <c r="AM508" s="95"/>
      <c r="AN508" s="95"/>
      <c r="AO508" s="95"/>
      <c r="AP508" s="95"/>
      <c r="AQ508" s="95"/>
    </row>
    <row r="509" spans="1:43" ht="12.75" x14ac:dyDescent="0.35">
      <c r="A509" s="41" t="s">
        <v>1714</v>
      </c>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c r="AA509" s="95"/>
      <c r="AB509" s="95"/>
      <c r="AC509" s="95"/>
      <c r="AD509" s="95"/>
      <c r="AE509" s="95"/>
      <c r="AF509" s="95"/>
      <c r="AG509" s="95"/>
      <c r="AH509" s="95"/>
      <c r="AI509" s="95"/>
      <c r="AJ509" s="95"/>
      <c r="AK509" s="95"/>
      <c r="AL509" s="95"/>
      <c r="AM509" s="95"/>
      <c r="AN509" s="95"/>
      <c r="AO509" s="95"/>
      <c r="AP509" s="95"/>
      <c r="AQ509" s="95"/>
    </row>
    <row r="510" spans="1:43" ht="12.75" x14ac:dyDescent="0.35">
      <c r="A510" s="41" t="s">
        <v>1717</v>
      </c>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c r="AA510" s="95"/>
      <c r="AB510" s="95"/>
      <c r="AC510" s="95"/>
      <c r="AD510" s="95"/>
      <c r="AE510" s="95"/>
      <c r="AF510" s="95"/>
      <c r="AG510" s="95"/>
      <c r="AH510" s="95"/>
      <c r="AI510" s="95"/>
      <c r="AJ510" s="95"/>
      <c r="AK510" s="95"/>
      <c r="AL510" s="95"/>
      <c r="AM510" s="95"/>
      <c r="AN510" s="95"/>
      <c r="AO510" s="95"/>
      <c r="AP510" s="95"/>
      <c r="AQ510" s="95"/>
    </row>
    <row r="511" spans="1:43" ht="12.75" x14ac:dyDescent="0.35">
      <c r="A511" s="41" t="s">
        <v>1720</v>
      </c>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c r="AA511" s="95"/>
      <c r="AB511" s="95"/>
      <c r="AC511" s="95"/>
      <c r="AD511" s="95"/>
      <c r="AE511" s="95"/>
      <c r="AF511" s="95"/>
      <c r="AG511" s="95"/>
      <c r="AH511" s="95"/>
      <c r="AI511" s="95"/>
      <c r="AJ511" s="95"/>
      <c r="AK511" s="95"/>
      <c r="AL511" s="95"/>
      <c r="AM511" s="95"/>
      <c r="AN511" s="95"/>
      <c r="AO511" s="95"/>
      <c r="AP511" s="95"/>
      <c r="AQ511" s="95"/>
    </row>
    <row r="512" spans="1:43" ht="12.75" x14ac:dyDescent="0.35">
      <c r="A512" s="41" t="s">
        <v>1723</v>
      </c>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c r="AA512" s="95"/>
      <c r="AB512" s="95"/>
      <c r="AC512" s="95"/>
      <c r="AD512" s="95"/>
      <c r="AE512" s="95"/>
      <c r="AF512" s="95"/>
      <c r="AG512" s="95"/>
      <c r="AH512" s="95"/>
      <c r="AI512" s="95"/>
      <c r="AJ512" s="95"/>
      <c r="AK512" s="95"/>
      <c r="AL512" s="95"/>
      <c r="AM512" s="95"/>
      <c r="AN512" s="95"/>
      <c r="AO512" s="95"/>
      <c r="AP512" s="95"/>
      <c r="AQ512" s="95"/>
    </row>
    <row r="513" spans="1:43" ht="12.75" x14ac:dyDescent="0.35">
      <c r="A513" s="41" t="s">
        <v>1725</v>
      </c>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c r="AA513" s="95"/>
      <c r="AB513" s="95"/>
      <c r="AC513" s="95"/>
      <c r="AD513" s="95"/>
      <c r="AE513" s="95"/>
      <c r="AF513" s="95"/>
      <c r="AG513" s="95"/>
      <c r="AH513" s="95"/>
      <c r="AI513" s="95"/>
      <c r="AJ513" s="95"/>
      <c r="AK513" s="95"/>
      <c r="AL513" s="95"/>
      <c r="AM513" s="95"/>
      <c r="AN513" s="95"/>
      <c r="AO513" s="95"/>
      <c r="AP513" s="95"/>
      <c r="AQ513" s="95"/>
    </row>
    <row r="514" spans="1:43" ht="12.75" x14ac:dyDescent="0.35">
      <c r="A514" s="41" t="s">
        <v>1727</v>
      </c>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c r="AA514" s="95"/>
      <c r="AB514" s="95"/>
      <c r="AC514" s="95"/>
      <c r="AD514" s="95"/>
      <c r="AE514" s="95"/>
      <c r="AF514" s="95"/>
      <c r="AG514" s="95"/>
      <c r="AH514" s="95"/>
      <c r="AI514" s="95"/>
      <c r="AJ514" s="95"/>
      <c r="AK514" s="95"/>
      <c r="AL514" s="95"/>
      <c r="AM514" s="95"/>
      <c r="AN514" s="95"/>
      <c r="AO514" s="95"/>
      <c r="AP514" s="95"/>
      <c r="AQ514" s="95"/>
    </row>
    <row r="515" spans="1:43" ht="12.75" x14ac:dyDescent="0.35">
      <c r="A515" s="41" t="s">
        <v>1730</v>
      </c>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c r="AA515" s="95"/>
      <c r="AB515" s="95"/>
      <c r="AC515" s="95"/>
      <c r="AD515" s="95"/>
      <c r="AE515" s="95"/>
      <c r="AF515" s="95"/>
      <c r="AG515" s="95"/>
      <c r="AH515" s="95"/>
      <c r="AI515" s="95"/>
      <c r="AJ515" s="95"/>
      <c r="AK515" s="95"/>
      <c r="AL515" s="95"/>
      <c r="AM515" s="95"/>
      <c r="AN515" s="95"/>
      <c r="AO515" s="95"/>
      <c r="AP515" s="95"/>
      <c r="AQ515" s="95"/>
    </row>
    <row r="516" spans="1:43" ht="12.75" x14ac:dyDescent="0.35">
      <c r="A516" s="41" t="s">
        <v>1733</v>
      </c>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c r="AA516" s="95"/>
      <c r="AB516" s="95"/>
      <c r="AC516" s="95"/>
      <c r="AD516" s="95"/>
      <c r="AE516" s="95"/>
      <c r="AF516" s="95"/>
      <c r="AG516" s="95"/>
      <c r="AH516" s="95"/>
      <c r="AI516" s="95"/>
      <c r="AJ516" s="95"/>
      <c r="AK516" s="95"/>
      <c r="AL516" s="95"/>
      <c r="AM516" s="95"/>
      <c r="AN516" s="95"/>
      <c r="AO516" s="95"/>
      <c r="AP516" s="95"/>
      <c r="AQ516" s="95"/>
    </row>
    <row r="517" spans="1:43" ht="12.75" x14ac:dyDescent="0.35">
      <c r="A517" s="41" t="s">
        <v>1734</v>
      </c>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c r="AA517" s="95"/>
      <c r="AB517" s="95"/>
      <c r="AC517" s="95"/>
      <c r="AD517" s="95"/>
      <c r="AE517" s="95"/>
      <c r="AF517" s="95"/>
      <c r="AG517" s="95"/>
      <c r="AH517" s="95"/>
      <c r="AI517" s="95"/>
      <c r="AJ517" s="95"/>
      <c r="AK517" s="95"/>
      <c r="AL517" s="95"/>
      <c r="AM517" s="95"/>
      <c r="AN517" s="95"/>
      <c r="AO517" s="95"/>
      <c r="AP517" s="95"/>
      <c r="AQ517" s="95"/>
    </row>
    <row r="518" spans="1:43" ht="12.75" x14ac:dyDescent="0.35">
      <c r="A518" s="41" t="s">
        <v>1737</v>
      </c>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c r="AA518" s="95"/>
      <c r="AB518" s="95"/>
      <c r="AC518" s="95"/>
      <c r="AD518" s="95"/>
      <c r="AE518" s="95"/>
      <c r="AF518" s="95"/>
      <c r="AG518" s="95"/>
      <c r="AH518" s="95"/>
      <c r="AI518" s="95"/>
      <c r="AJ518" s="95"/>
      <c r="AK518" s="95"/>
      <c r="AL518" s="95"/>
      <c r="AM518" s="95"/>
      <c r="AN518" s="95"/>
      <c r="AO518" s="95"/>
      <c r="AP518" s="95"/>
      <c r="AQ518" s="95"/>
    </row>
    <row r="519" spans="1:43" ht="12.75" x14ac:dyDescent="0.35">
      <c r="A519" s="41" t="s">
        <v>1740</v>
      </c>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c r="AA519" s="95"/>
      <c r="AB519" s="95"/>
      <c r="AC519" s="95"/>
      <c r="AD519" s="95"/>
      <c r="AE519" s="95"/>
      <c r="AF519" s="95"/>
      <c r="AG519" s="95"/>
      <c r="AH519" s="95"/>
      <c r="AI519" s="95"/>
      <c r="AJ519" s="95"/>
      <c r="AK519" s="95"/>
      <c r="AL519" s="95"/>
      <c r="AM519" s="95"/>
      <c r="AN519" s="95"/>
      <c r="AO519" s="95"/>
      <c r="AP519" s="95"/>
      <c r="AQ519" s="95"/>
    </row>
    <row r="520" spans="1:43" ht="12.75" x14ac:dyDescent="0.35">
      <c r="A520" s="41" t="s">
        <v>1743</v>
      </c>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c r="AA520" s="95"/>
      <c r="AB520" s="95"/>
      <c r="AC520" s="95"/>
      <c r="AD520" s="95"/>
      <c r="AE520" s="95"/>
      <c r="AF520" s="95"/>
      <c r="AG520" s="95"/>
      <c r="AH520" s="95"/>
      <c r="AI520" s="95"/>
      <c r="AJ520" s="95"/>
      <c r="AK520" s="95"/>
      <c r="AL520" s="95"/>
      <c r="AM520" s="95"/>
      <c r="AN520" s="95"/>
      <c r="AO520" s="95"/>
      <c r="AP520" s="95"/>
      <c r="AQ520" s="95"/>
    </row>
    <row r="521" spans="1:43" ht="12.75" x14ac:dyDescent="0.35">
      <c r="A521" s="41" t="s">
        <v>1746</v>
      </c>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c r="AA521" s="95"/>
      <c r="AB521" s="95"/>
      <c r="AC521" s="95"/>
      <c r="AD521" s="95"/>
      <c r="AE521" s="95"/>
      <c r="AF521" s="95"/>
      <c r="AG521" s="95"/>
      <c r="AH521" s="95"/>
      <c r="AI521" s="95"/>
      <c r="AJ521" s="95"/>
      <c r="AK521" s="95"/>
      <c r="AL521" s="95"/>
      <c r="AM521" s="95"/>
      <c r="AN521" s="95"/>
      <c r="AO521" s="95"/>
      <c r="AP521" s="95"/>
      <c r="AQ521" s="95"/>
    </row>
    <row r="522" spans="1:43" ht="12.75" x14ac:dyDescent="0.35">
      <c r="A522" s="41" t="s">
        <v>1749</v>
      </c>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c r="AA522" s="95"/>
      <c r="AB522" s="95"/>
      <c r="AC522" s="95"/>
      <c r="AD522" s="95"/>
      <c r="AE522" s="95"/>
      <c r="AF522" s="95"/>
      <c r="AG522" s="95"/>
      <c r="AH522" s="95"/>
      <c r="AI522" s="95"/>
      <c r="AJ522" s="95"/>
      <c r="AK522" s="95"/>
      <c r="AL522" s="95"/>
      <c r="AM522" s="95"/>
      <c r="AN522" s="95"/>
      <c r="AO522" s="95"/>
      <c r="AP522" s="95"/>
      <c r="AQ522" s="95"/>
    </row>
    <row r="523" spans="1:43" ht="12.75" x14ac:dyDescent="0.35">
      <c r="A523" s="41" t="s">
        <v>1752</v>
      </c>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c r="AA523" s="95"/>
      <c r="AB523" s="95"/>
      <c r="AC523" s="95"/>
      <c r="AD523" s="95"/>
      <c r="AE523" s="95"/>
      <c r="AF523" s="95"/>
      <c r="AG523" s="95"/>
      <c r="AH523" s="95"/>
      <c r="AI523" s="95"/>
      <c r="AJ523" s="95"/>
      <c r="AK523" s="95"/>
      <c r="AL523" s="95"/>
      <c r="AM523" s="95"/>
      <c r="AN523" s="95"/>
      <c r="AO523" s="95"/>
      <c r="AP523" s="95"/>
      <c r="AQ523" s="95"/>
    </row>
    <row r="524" spans="1:43" ht="12.75" x14ac:dyDescent="0.35">
      <c r="A524" s="41" t="s">
        <v>1755</v>
      </c>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c r="AA524" s="95"/>
      <c r="AB524" s="95"/>
      <c r="AC524" s="95"/>
      <c r="AD524" s="95"/>
      <c r="AE524" s="95"/>
      <c r="AF524" s="95"/>
      <c r="AG524" s="95"/>
      <c r="AH524" s="95"/>
      <c r="AI524" s="95"/>
      <c r="AJ524" s="95"/>
      <c r="AK524" s="95"/>
      <c r="AL524" s="95"/>
      <c r="AM524" s="95"/>
      <c r="AN524" s="95"/>
      <c r="AO524" s="95"/>
      <c r="AP524" s="95"/>
      <c r="AQ524" s="95"/>
    </row>
    <row r="525" spans="1:43" ht="12.75" x14ac:dyDescent="0.35">
      <c r="A525" s="41" t="s">
        <v>1757</v>
      </c>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c r="AA525" s="95"/>
      <c r="AB525" s="95"/>
      <c r="AC525" s="95"/>
      <c r="AD525" s="95"/>
      <c r="AE525" s="95"/>
      <c r="AF525" s="95"/>
      <c r="AG525" s="95"/>
      <c r="AH525" s="95"/>
      <c r="AI525" s="95"/>
      <c r="AJ525" s="95"/>
      <c r="AK525" s="95"/>
      <c r="AL525" s="95"/>
      <c r="AM525" s="95"/>
      <c r="AN525" s="95"/>
      <c r="AO525" s="95"/>
      <c r="AP525" s="95"/>
      <c r="AQ525" s="95"/>
    </row>
    <row r="526" spans="1:43" ht="12.75" x14ac:dyDescent="0.35">
      <c r="A526" s="41" t="s">
        <v>1759</v>
      </c>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c r="AA526" s="95"/>
      <c r="AB526" s="95"/>
      <c r="AC526" s="95"/>
      <c r="AD526" s="95"/>
      <c r="AE526" s="95"/>
      <c r="AF526" s="95"/>
      <c r="AG526" s="95"/>
      <c r="AH526" s="95"/>
      <c r="AI526" s="95"/>
      <c r="AJ526" s="95"/>
      <c r="AK526" s="95"/>
      <c r="AL526" s="95"/>
      <c r="AM526" s="95"/>
      <c r="AN526" s="95"/>
      <c r="AO526" s="95"/>
      <c r="AP526" s="95"/>
      <c r="AQ526" s="95"/>
    </row>
    <row r="527" spans="1:43" ht="12.75" x14ac:dyDescent="0.35">
      <c r="A527" s="41" t="s">
        <v>1762</v>
      </c>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c r="AA527" s="95"/>
      <c r="AB527" s="95"/>
      <c r="AC527" s="95"/>
      <c r="AD527" s="95"/>
      <c r="AE527" s="95"/>
      <c r="AF527" s="95"/>
      <c r="AG527" s="95"/>
      <c r="AH527" s="95"/>
      <c r="AI527" s="95"/>
      <c r="AJ527" s="95"/>
      <c r="AK527" s="95"/>
      <c r="AL527" s="95"/>
      <c r="AM527" s="95"/>
      <c r="AN527" s="95"/>
      <c r="AO527" s="95"/>
      <c r="AP527" s="95"/>
      <c r="AQ527" s="95"/>
    </row>
    <row r="528" spans="1:43" ht="12.75" x14ac:dyDescent="0.35">
      <c r="A528" s="41" t="s">
        <v>1765</v>
      </c>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c r="AA528" s="95"/>
      <c r="AB528" s="95"/>
      <c r="AC528" s="95"/>
      <c r="AD528" s="95"/>
      <c r="AE528" s="95"/>
      <c r="AF528" s="95"/>
      <c r="AG528" s="95"/>
      <c r="AH528" s="95"/>
      <c r="AI528" s="95"/>
      <c r="AJ528" s="95"/>
      <c r="AK528" s="95"/>
      <c r="AL528" s="95"/>
      <c r="AM528" s="95"/>
      <c r="AN528" s="95"/>
      <c r="AO528" s="95"/>
      <c r="AP528" s="95"/>
      <c r="AQ528" s="95"/>
    </row>
    <row r="529" spans="1:43" ht="12.75" x14ac:dyDescent="0.35">
      <c r="A529" s="41" t="s">
        <v>1768</v>
      </c>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c r="AA529" s="95"/>
      <c r="AB529" s="95"/>
      <c r="AC529" s="95"/>
      <c r="AD529" s="95"/>
      <c r="AE529" s="95"/>
      <c r="AF529" s="95"/>
      <c r="AG529" s="95"/>
      <c r="AH529" s="95"/>
      <c r="AI529" s="95"/>
      <c r="AJ529" s="95"/>
      <c r="AK529" s="95"/>
      <c r="AL529" s="95"/>
      <c r="AM529" s="95"/>
      <c r="AN529" s="95"/>
      <c r="AO529" s="95"/>
      <c r="AP529" s="95"/>
      <c r="AQ529" s="95"/>
    </row>
    <row r="530" spans="1:43" ht="12.75" x14ac:dyDescent="0.35">
      <c r="A530" s="41" t="s">
        <v>1771</v>
      </c>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c r="AA530" s="95"/>
      <c r="AB530" s="95"/>
      <c r="AC530" s="95"/>
      <c r="AD530" s="95"/>
      <c r="AE530" s="95"/>
      <c r="AF530" s="95"/>
      <c r="AG530" s="95"/>
      <c r="AH530" s="95"/>
      <c r="AI530" s="95"/>
      <c r="AJ530" s="95"/>
      <c r="AK530" s="95"/>
      <c r="AL530" s="95"/>
      <c r="AM530" s="95"/>
      <c r="AN530" s="95"/>
      <c r="AO530" s="95"/>
      <c r="AP530" s="95"/>
      <c r="AQ530" s="95"/>
    </row>
    <row r="531" spans="1:43" ht="12.75" x14ac:dyDescent="0.35">
      <c r="A531" s="41" t="s">
        <v>1774</v>
      </c>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c r="AA531" s="95"/>
      <c r="AB531" s="95"/>
      <c r="AC531" s="95"/>
      <c r="AD531" s="95"/>
      <c r="AE531" s="95"/>
      <c r="AF531" s="95"/>
      <c r="AG531" s="95"/>
      <c r="AH531" s="95"/>
      <c r="AI531" s="95"/>
      <c r="AJ531" s="95"/>
      <c r="AK531" s="95"/>
      <c r="AL531" s="95"/>
      <c r="AM531" s="95"/>
      <c r="AN531" s="95"/>
      <c r="AO531" s="95"/>
      <c r="AP531" s="95"/>
      <c r="AQ531" s="95"/>
    </row>
    <row r="532" spans="1:43" ht="12.75" x14ac:dyDescent="0.35">
      <c r="A532" s="41" t="s">
        <v>1777</v>
      </c>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c r="AA532" s="95"/>
      <c r="AB532" s="95"/>
      <c r="AC532" s="95"/>
      <c r="AD532" s="95"/>
      <c r="AE532" s="95"/>
      <c r="AF532" s="95"/>
      <c r="AG532" s="95"/>
      <c r="AH532" s="95"/>
      <c r="AI532" s="95"/>
      <c r="AJ532" s="95"/>
      <c r="AK532" s="95"/>
      <c r="AL532" s="95"/>
      <c r="AM532" s="95"/>
      <c r="AN532" s="95"/>
      <c r="AO532" s="95"/>
      <c r="AP532" s="95"/>
      <c r="AQ532" s="95"/>
    </row>
    <row r="533" spans="1:43" ht="12.75" x14ac:dyDescent="0.35">
      <c r="A533" s="41" t="s">
        <v>1780</v>
      </c>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c r="AA533" s="95"/>
      <c r="AB533" s="95"/>
      <c r="AC533" s="95"/>
      <c r="AD533" s="95"/>
      <c r="AE533" s="95"/>
      <c r="AF533" s="95"/>
      <c r="AG533" s="95"/>
      <c r="AH533" s="95"/>
      <c r="AI533" s="95"/>
      <c r="AJ533" s="95"/>
      <c r="AK533" s="95"/>
      <c r="AL533" s="95"/>
      <c r="AM533" s="95"/>
      <c r="AN533" s="95"/>
      <c r="AO533" s="95"/>
      <c r="AP533" s="95"/>
      <c r="AQ533" s="95"/>
    </row>
    <row r="534" spans="1:43" ht="12.75" x14ac:dyDescent="0.35">
      <c r="A534" s="41" t="s">
        <v>1783</v>
      </c>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c r="AA534" s="95"/>
      <c r="AB534" s="95"/>
      <c r="AC534" s="95"/>
      <c r="AD534" s="95"/>
      <c r="AE534" s="95"/>
      <c r="AF534" s="95"/>
      <c r="AG534" s="95"/>
      <c r="AH534" s="95"/>
      <c r="AI534" s="95"/>
      <c r="AJ534" s="95"/>
      <c r="AK534" s="95"/>
      <c r="AL534" s="95"/>
      <c r="AM534" s="95"/>
      <c r="AN534" s="95"/>
      <c r="AO534" s="95"/>
      <c r="AP534" s="95"/>
      <c r="AQ534" s="95"/>
    </row>
    <row r="535" spans="1:43" ht="12.75" x14ac:dyDescent="0.35">
      <c r="A535" s="41" t="s">
        <v>1785</v>
      </c>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c r="AA535" s="95"/>
      <c r="AB535" s="95"/>
      <c r="AC535" s="95"/>
      <c r="AD535" s="95"/>
      <c r="AE535" s="95"/>
      <c r="AF535" s="95"/>
      <c r="AG535" s="95"/>
      <c r="AH535" s="95"/>
      <c r="AI535" s="95"/>
      <c r="AJ535" s="95"/>
      <c r="AK535" s="95"/>
      <c r="AL535" s="95"/>
      <c r="AM535" s="95"/>
      <c r="AN535" s="95"/>
      <c r="AO535" s="95"/>
      <c r="AP535" s="95"/>
      <c r="AQ535" s="95"/>
    </row>
    <row r="536" spans="1:43" ht="12.75" x14ac:dyDescent="0.35">
      <c r="A536" s="41" t="s">
        <v>1788</v>
      </c>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c r="AA536" s="95"/>
      <c r="AB536" s="95"/>
      <c r="AC536" s="95"/>
      <c r="AD536" s="95"/>
      <c r="AE536" s="95"/>
      <c r="AF536" s="95"/>
      <c r="AG536" s="95"/>
      <c r="AH536" s="95"/>
      <c r="AI536" s="95"/>
      <c r="AJ536" s="95"/>
      <c r="AK536" s="95"/>
      <c r="AL536" s="95"/>
      <c r="AM536" s="95"/>
      <c r="AN536" s="95"/>
      <c r="AO536" s="95"/>
      <c r="AP536" s="95"/>
      <c r="AQ536" s="95"/>
    </row>
    <row r="537" spans="1:43" ht="12.75" x14ac:dyDescent="0.35">
      <c r="A537" s="41" t="s">
        <v>1791</v>
      </c>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c r="AA537" s="95"/>
      <c r="AB537" s="95"/>
      <c r="AC537" s="95"/>
      <c r="AD537" s="95"/>
      <c r="AE537" s="95"/>
      <c r="AF537" s="95"/>
      <c r="AG537" s="95"/>
      <c r="AH537" s="95"/>
      <c r="AI537" s="95"/>
      <c r="AJ537" s="95"/>
      <c r="AK537" s="95"/>
      <c r="AL537" s="95"/>
      <c r="AM537" s="95"/>
      <c r="AN537" s="95"/>
      <c r="AO537" s="95"/>
      <c r="AP537" s="95"/>
      <c r="AQ537" s="95"/>
    </row>
    <row r="538" spans="1:43" ht="12.75" x14ac:dyDescent="0.35">
      <c r="A538" s="41" t="s">
        <v>1794</v>
      </c>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c r="AA538" s="95"/>
      <c r="AB538" s="95"/>
      <c r="AC538" s="95"/>
      <c r="AD538" s="95"/>
      <c r="AE538" s="95"/>
      <c r="AF538" s="95"/>
      <c r="AG538" s="95"/>
      <c r="AH538" s="95"/>
      <c r="AI538" s="95"/>
      <c r="AJ538" s="95"/>
      <c r="AK538" s="95"/>
      <c r="AL538" s="95"/>
      <c r="AM538" s="95"/>
      <c r="AN538" s="95"/>
      <c r="AO538" s="95"/>
      <c r="AP538" s="95"/>
      <c r="AQ538" s="95"/>
    </row>
    <row r="539" spans="1:43" ht="12.75" x14ac:dyDescent="0.35">
      <c r="A539" s="41" t="s">
        <v>1797</v>
      </c>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c r="AA539" s="95"/>
      <c r="AB539" s="95"/>
      <c r="AC539" s="95"/>
      <c r="AD539" s="95"/>
      <c r="AE539" s="95"/>
      <c r="AF539" s="95"/>
      <c r="AG539" s="95"/>
      <c r="AH539" s="95"/>
      <c r="AI539" s="95"/>
      <c r="AJ539" s="95"/>
      <c r="AK539" s="95"/>
      <c r="AL539" s="95"/>
      <c r="AM539" s="95"/>
      <c r="AN539" s="95"/>
      <c r="AO539" s="95"/>
      <c r="AP539" s="95"/>
      <c r="AQ539" s="95"/>
    </row>
    <row r="540" spans="1:43" ht="12.75" x14ac:dyDescent="0.35">
      <c r="A540" s="41" t="s">
        <v>1799</v>
      </c>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c r="AA540" s="95"/>
      <c r="AB540" s="95"/>
      <c r="AC540" s="95"/>
      <c r="AD540" s="95"/>
      <c r="AE540" s="95"/>
      <c r="AF540" s="95"/>
      <c r="AG540" s="95"/>
      <c r="AH540" s="95"/>
      <c r="AI540" s="95"/>
      <c r="AJ540" s="95"/>
      <c r="AK540" s="95"/>
      <c r="AL540" s="95"/>
      <c r="AM540" s="95"/>
      <c r="AN540" s="95"/>
      <c r="AO540" s="95"/>
      <c r="AP540" s="95"/>
      <c r="AQ540" s="95"/>
    </row>
    <row r="541" spans="1:43" ht="12.75" x14ac:dyDescent="0.35">
      <c r="A541" s="41" t="s">
        <v>1801</v>
      </c>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c r="AA541" s="95"/>
      <c r="AB541" s="95"/>
      <c r="AC541" s="95"/>
      <c r="AD541" s="95"/>
      <c r="AE541" s="95"/>
      <c r="AF541" s="95"/>
      <c r="AG541" s="95"/>
      <c r="AH541" s="95"/>
      <c r="AI541" s="95"/>
      <c r="AJ541" s="95"/>
      <c r="AK541" s="95"/>
      <c r="AL541" s="95"/>
      <c r="AM541" s="95"/>
      <c r="AN541" s="95"/>
      <c r="AO541" s="95"/>
      <c r="AP541" s="95"/>
      <c r="AQ541" s="95"/>
    </row>
    <row r="542" spans="1:43" ht="12.75" x14ac:dyDescent="0.35">
      <c r="A542" s="41" t="s">
        <v>1804</v>
      </c>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c r="AA542" s="95"/>
      <c r="AB542" s="95"/>
      <c r="AC542" s="95"/>
      <c r="AD542" s="95"/>
      <c r="AE542" s="95"/>
      <c r="AF542" s="95"/>
      <c r="AG542" s="95"/>
      <c r="AH542" s="95"/>
      <c r="AI542" s="95"/>
      <c r="AJ542" s="95"/>
      <c r="AK542" s="95"/>
      <c r="AL542" s="95"/>
      <c r="AM542" s="95"/>
      <c r="AN542" s="95"/>
      <c r="AO542" s="95"/>
      <c r="AP542" s="95"/>
      <c r="AQ542" s="95"/>
    </row>
    <row r="543" spans="1:43" ht="12.75" x14ac:dyDescent="0.35">
      <c r="A543" s="41" t="s">
        <v>1807</v>
      </c>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c r="AA543" s="95"/>
      <c r="AB543" s="95"/>
      <c r="AC543" s="95"/>
      <c r="AD543" s="95"/>
      <c r="AE543" s="95"/>
      <c r="AF543" s="95"/>
      <c r="AG543" s="95"/>
      <c r="AH543" s="95"/>
      <c r="AI543" s="95"/>
      <c r="AJ543" s="95"/>
      <c r="AK543" s="95"/>
      <c r="AL543" s="95"/>
      <c r="AM543" s="95"/>
      <c r="AN543" s="95"/>
      <c r="AO543" s="95"/>
      <c r="AP543" s="95"/>
      <c r="AQ543" s="95"/>
    </row>
    <row r="544" spans="1:43" ht="12.75" x14ac:dyDescent="0.35">
      <c r="A544" s="41" t="s">
        <v>1810</v>
      </c>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c r="AA544" s="95"/>
      <c r="AB544" s="95"/>
      <c r="AC544" s="95"/>
      <c r="AD544" s="95"/>
      <c r="AE544" s="95"/>
      <c r="AF544" s="95"/>
      <c r="AG544" s="95"/>
      <c r="AH544" s="95"/>
      <c r="AI544" s="95"/>
      <c r="AJ544" s="95"/>
      <c r="AK544" s="95"/>
      <c r="AL544" s="95"/>
      <c r="AM544" s="95"/>
      <c r="AN544" s="95"/>
      <c r="AO544" s="95"/>
      <c r="AP544" s="95"/>
      <c r="AQ544" s="95"/>
    </row>
    <row r="545" spans="1:43" ht="12.75" x14ac:dyDescent="0.35">
      <c r="A545" s="41" t="s">
        <v>1813</v>
      </c>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c r="AA545" s="95"/>
      <c r="AB545" s="95"/>
      <c r="AC545" s="95"/>
      <c r="AD545" s="95"/>
      <c r="AE545" s="95"/>
      <c r="AF545" s="95"/>
      <c r="AG545" s="95"/>
      <c r="AH545" s="95"/>
      <c r="AI545" s="95"/>
      <c r="AJ545" s="95"/>
      <c r="AK545" s="95"/>
      <c r="AL545" s="95"/>
      <c r="AM545" s="95"/>
      <c r="AN545" s="95"/>
      <c r="AO545" s="95"/>
      <c r="AP545" s="95"/>
      <c r="AQ545" s="95"/>
    </row>
    <row r="546" spans="1:43" ht="12.75" x14ac:dyDescent="0.35">
      <c r="A546" s="41" t="s">
        <v>1816</v>
      </c>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c r="AA546" s="95"/>
      <c r="AB546" s="95"/>
      <c r="AC546" s="95"/>
      <c r="AD546" s="95"/>
      <c r="AE546" s="95"/>
      <c r="AF546" s="95"/>
      <c r="AG546" s="95"/>
      <c r="AH546" s="95"/>
      <c r="AI546" s="95"/>
      <c r="AJ546" s="95"/>
      <c r="AK546" s="95"/>
      <c r="AL546" s="95"/>
      <c r="AM546" s="95"/>
      <c r="AN546" s="95"/>
      <c r="AO546" s="95"/>
      <c r="AP546" s="95"/>
      <c r="AQ546" s="95"/>
    </row>
    <row r="547" spans="1:43" ht="12.75" x14ac:dyDescent="0.35">
      <c r="A547" s="41" t="s">
        <v>1819</v>
      </c>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c r="AA547" s="95"/>
      <c r="AB547" s="95"/>
      <c r="AC547" s="95"/>
      <c r="AD547" s="95"/>
      <c r="AE547" s="95"/>
      <c r="AF547" s="95"/>
      <c r="AG547" s="95"/>
      <c r="AH547" s="95"/>
      <c r="AI547" s="95"/>
      <c r="AJ547" s="95"/>
      <c r="AK547" s="95"/>
      <c r="AL547" s="95"/>
      <c r="AM547" s="95"/>
      <c r="AN547" s="95"/>
      <c r="AO547" s="95"/>
      <c r="AP547" s="95"/>
      <c r="AQ547" s="95"/>
    </row>
    <row r="548" spans="1:43" ht="12.75" x14ac:dyDescent="0.35">
      <c r="A548" s="41" t="s">
        <v>1822</v>
      </c>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c r="AA548" s="95"/>
      <c r="AB548" s="95"/>
      <c r="AC548" s="95"/>
      <c r="AD548" s="95"/>
      <c r="AE548" s="95"/>
      <c r="AF548" s="95"/>
      <c r="AG548" s="95"/>
      <c r="AH548" s="95"/>
      <c r="AI548" s="95"/>
      <c r="AJ548" s="95"/>
      <c r="AK548" s="95"/>
      <c r="AL548" s="95"/>
      <c r="AM548" s="95"/>
      <c r="AN548" s="95"/>
      <c r="AO548" s="95"/>
      <c r="AP548" s="95"/>
      <c r="AQ548" s="95"/>
    </row>
    <row r="549" spans="1:43" ht="12.75" x14ac:dyDescent="0.35">
      <c r="A549" s="41" t="s">
        <v>1825</v>
      </c>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c r="AA549" s="95"/>
      <c r="AB549" s="95"/>
      <c r="AC549" s="95"/>
      <c r="AD549" s="95"/>
      <c r="AE549" s="95"/>
      <c r="AF549" s="95"/>
      <c r="AG549" s="95"/>
      <c r="AH549" s="95"/>
      <c r="AI549" s="95"/>
      <c r="AJ549" s="95"/>
      <c r="AK549" s="95"/>
      <c r="AL549" s="95"/>
      <c r="AM549" s="95"/>
      <c r="AN549" s="95"/>
      <c r="AO549" s="95"/>
      <c r="AP549" s="95"/>
      <c r="AQ549" s="95"/>
    </row>
    <row r="550" spans="1:43" ht="12.75" x14ac:dyDescent="0.35">
      <c r="A550" s="41" t="s">
        <v>1828</v>
      </c>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c r="AA550" s="95"/>
      <c r="AB550" s="95"/>
      <c r="AC550" s="95"/>
      <c r="AD550" s="95"/>
      <c r="AE550" s="95"/>
      <c r="AF550" s="95"/>
      <c r="AG550" s="95"/>
      <c r="AH550" s="95"/>
      <c r="AI550" s="95"/>
      <c r="AJ550" s="95"/>
      <c r="AK550" s="95"/>
      <c r="AL550" s="95"/>
      <c r="AM550" s="95"/>
      <c r="AN550" s="95"/>
      <c r="AO550" s="95"/>
      <c r="AP550" s="95"/>
      <c r="AQ550" s="95"/>
    </row>
    <row r="551" spans="1:43" ht="12.75" x14ac:dyDescent="0.35">
      <c r="A551" s="41" t="s">
        <v>1831</v>
      </c>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c r="AA551" s="95"/>
      <c r="AB551" s="95"/>
      <c r="AC551" s="95"/>
      <c r="AD551" s="95"/>
      <c r="AE551" s="95"/>
      <c r="AF551" s="95"/>
      <c r="AG551" s="95"/>
      <c r="AH551" s="95"/>
      <c r="AI551" s="95"/>
      <c r="AJ551" s="95"/>
      <c r="AK551" s="95"/>
      <c r="AL551" s="95"/>
      <c r="AM551" s="95"/>
      <c r="AN551" s="95"/>
      <c r="AO551" s="95"/>
      <c r="AP551" s="95"/>
      <c r="AQ551" s="95"/>
    </row>
    <row r="552" spans="1:43" ht="12.75" x14ac:dyDescent="0.35">
      <c r="A552" s="41" t="s">
        <v>1834</v>
      </c>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c r="AA552" s="95"/>
      <c r="AB552" s="95"/>
      <c r="AC552" s="95"/>
      <c r="AD552" s="95"/>
      <c r="AE552" s="95"/>
      <c r="AF552" s="95"/>
      <c r="AG552" s="95"/>
      <c r="AH552" s="95"/>
      <c r="AI552" s="95"/>
      <c r="AJ552" s="95"/>
      <c r="AK552" s="95"/>
      <c r="AL552" s="95"/>
      <c r="AM552" s="95"/>
      <c r="AN552" s="95"/>
      <c r="AO552" s="95"/>
      <c r="AP552" s="95"/>
      <c r="AQ552" s="95"/>
    </row>
    <row r="553" spans="1:43" ht="12.75" x14ac:dyDescent="0.35">
      <c r="A553" s="41" t="s">
        <v>1836</v>
      </c>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c r="AA553" s="95"/>
      <c r="AB553" s="95"/>
      <c r="AC553" s="95"/>
      <c r="AD553" s="95"/>
      <c r="AE553" s="95"/>
      <c r="AF553" s="95"/>
      <c r="AG553" s="95"/>
      <c r="AH553" s="95"/>
      <c r="AI553" s="95"/>
      <c r="AJ553" s="95"/>
      <c r="AK553" s="95"/>
      <c r="AL553" s="95"/>
      <c r="AM553" s="95"/>
      <c r="AN553" s="95"/>
      <c r="AO553" s="95"/>
      <c r="AP553" s="95"/>
      <c r="AQ553" s="95"/>
    </row>
    <row r="554" spans="1:43" ht="12.75" x14ac:dyDescent="0.35">
      <c r="A554" s="41" t="s">
        <v>1839</v>
      </c>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c r="AA554" s="95"/>
      <c r="AB554" s="95"/>
      <c r="AC554" s="95"/>
      <c r="AD554" s="95"/>
      <c r="AE554" s="95"/>
      <c r="AF554" s="95"/>
      <c r="AG554" s="95"/>
      <c r="AH554" s="95"/>
      <c r="AI554" s="95"/>
      <c r="AJ554" s="95"/>
      <c r="AK554" s="95"/>
      <c r="AL554" s="95"/>
      <c r="AM554" s="95"/>
      <c r="AN554" s="95"/>
      <c r="AO554" s="95"/>
      <c r="AP554" s="95"/>
      <c r="AQ554" s="95"/>
    </row>
    <row r="555" spans="1:43" ht="12.75" x14ac:dyDescent="0.35">
      <c r="A555" s="41" t="s">
        <v>1842</v>
      </c>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c r="AA555" s="95"/>
      <c r="AB555" s="95"/>
      <c r="AC555" s="95"/>
      <c r="AD555" s="95"/>
      <c r="AE555" s="95"/>
      <c r="AF555" s="95"/>
      <c r="AG555" s="95"/>
      <c r="AH555" s="95"/>
      <c r="AI555" s="95"/>
      <c r="AJ555" s="95"/>
      <c r="AK555" s="95"/>
      <c r="AL555" s="95"/>
      <c r="AM555" s="95"/>
      <c r="AN555" s="95"/>
      <c r="AO555" s="95"/>
      <c r="AP555" s="95"/>
      <c r="AQ555" s="95"/>
    </row>
    <row r="556" spans="1:43" ht="12.75" x14ac:dyDescent="0.35">
      <c r="A556" s="41" t="s">
        <v>1845</v>
      </c>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c r="AA556" s="95"/>
      <c r="AB556" s="95"/>
      <c r="AC556" s="95"/>
      <c r="AD556" s="95"/>
      <c r="AE556" s="95"/>
      <c r="AF556" s="95"/>
      <c r="AG556" s="95"/>
      <c r="AH556" s="95"/>
      <c r="AI556" s="95"/>
      <c r="AJ556" s="95"/>
      <c r="AK556" s="95"/>
      <c r="AL556" s="95"/>
      <c r="AM556" s="95"/>
      <c r="AN556" s="95"/>
      <c r="AO556" s="95"/>
      <c r="AP556" s="95"/>
      <c r="AQ556" s="95"/>
    </row>
    <row r="557" spans="1:43" ht="12.75" x14ac:dyDescent="0.35">
      <c r="A557" s="41" t="s">
        <v>1848</v>
      </c>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c r="AA557" s="95"/>
      <c r="AB557" s="95"/>
      <c r="AC557" s="95"/>
      <c r="AD557" s="95"/>
      <c r="AE557" s="95"/>
      <c r="AF557" s="95"/>
      <c r="AG557" s="95"/>
      <c r="AH557" s="95"/>
      <c r="AI557" s="95"/>
      <c r="AJ557" s="95"/>
      <c r="AK557" s="95"/>
      <c r="AL557" s="95"/>
      <c r="AM557" s="95"/>
      <c r="AN557" s="95"/>
      <c r="AO557" s="95"/>
      <c r="AP557" s="95"/>
      <c r="AQ557" s="95"/>
    </row>
    <row r="558" spans="1:43" ht="12.75" x14ac:dyDescent="0.35">
      <c r="A558" s="41" t="s">
        <v>1851</v>
      </c>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c r="AA558" s="95"/>
      <c r="AB558" s="95"/>
      <c r="AC558" s="95"/>
      <c r="AD558" s="95"/>
      <c r="AE558" s="95"/>
      <c r="AF558" s="95"/>
      <c r="AG558" s="95"/>
      <c r="AH558" s="95"/>
      <c r="AI558" s="95"/>
      <c r="AJ558" s="95"/>
      <c r="AK558" s="95"/>
      <c r="AL558" s="95"/>
      <c r="AM558" s="95"/>
      <c r="AN558" s="95"/>
      <c r="AO558" s="95"/>
      <c r="AP558" s="95"/>
      <c r="AQ558" s="95"/>
    </row>
    <row r="559" spans="1:43" ht="12.75" x14ac:dyDescent="0.35">
      <c r="A559" s="41" t="s">
        <v>1854</v>
      </c>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c r="AA559" s="95"/>
      <c r="AB559" s="95"/>
      <c r="AC559" s="95"/>
      <c r="AD559" s="95"/>
      <c r="AE559" s="95"/>
      <c r="AF559" s="95"/>
      <c r="AG559" s="95"/>
      <c r="AH559" s="95"/>
      <c r="AI559" s="95"/>
      <c r="AJ559" s="95"/>
      <c r="AK559" s="95"/>
      <c r="AL559" s="95"/>
      <c r="AM559" s="95"/>
      <c r="AN559" s="95"/>
      <c r="AO559" s="95"/>
      <c r="AP559" s="95"/>
      <c r="AQ559" s="95"/>
    </row>
    <row r="560" spans="1:43" ht="12.75" x14ac:dyDescent="0.35">
      <c r="A560" s="41" t="s">
        <v>1857</v>
      </c>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c r="AA560" s="95"/>
      <c r="AB560" s="95"/>
      <c r="AC560" s="95"/>
      <c r="AD560" s="95"/>
      <c r="AE560" s="95"/>
      <c r="AF560" s="95"/>
      <c r="AG560" s="95"/>
      <c r="AH560" s="95"/>
      <c r="AI560" s="95"/>
      <c r="AJ560" s="95"/>
      <c r="AK560" s="95"/>
      <c r="AL560" s="95"/>
      <c r="AM560" s="95"/>
      <c r="AN560" s="95"/>
      <c r="AO560" s="95"/>
      <c r="AP560" s="95"/>
      <c r="AQ560" s="95"/>
    </row>
    <row r="561" spans="1:43" ht="12.75" x14ac:dyDescent="0.35">
      <c r="A561" s="41" t="s">
        <v>1860</v>
      </c>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c r="AA561" s="95"/>
      <c r="AB561" s="95"/>
      <c r="AC561" s="95"/>
      <c r="AD561" s="95"/>
      <c r="AE561" s="95"/>
      <c r="AF561" s="95"/>
      <c r="AG561" s="95"/>
      <c r="AH561" s="95"/>
      <c r="AI561" s="95"/>
      <c r="AJ561" s="95"/>
      <c r="AK561" s="95"/>
      <c r="AL561" s="95"/>
      <c r="AM561" s="95"/>
      <c r="AN561" s="95"/>
      <c r="AO561" s="95"/>
      <c r="AP561" s="95"/>
      <c r="AQ561" s="95"/>
    </row>
    <row r="562" spans="1:43" ht="12.75" x14ac:dyDescent="0.35">
      <c r="A562" s="41" t="s">
        <v>1863</v>
      </c>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c r="AA562" s="95"/>
      <c r="AB562" s="95"/>
      <c r="AC562" s="95"/>
      <c r="AD562" s="95"/>
      <c r="AE562" s="95"/>
      <c r="AF562" s="95"/>
      <c r="AG562" s="95"/>
      <c r="AH562" s="95"/>
      <c r="AI562" s="95"/>
      <c r="AJ562" s="95"/>
      <c r="AK562" s="95"/>
      <c r="AL562" s="95"/>
      <c r="AM562" s="95"/>
      <c r="AN562" s="95"/>
      <c r="AO562" s="95"/>
      <c r="AP562" s="95"/>
      <c r="AQ562" s="95"/>
    </row>
    <row r="563" spans="1:43" ht="12.75" x14ac:dyDescent="0.35">
      <c r="A563" s="41" t="s">
        <v>1866</v>
      </c>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c r="AA563" s="95"/>
      <c r="AB563" s="95"/>
      <c r="AC563" s="95"/>
      <c r="AD563" s="95"/>
      <c r="AE563" s="95"/>
      <c r="AF563" s="95"/>
      <c r="AG563" s="95"/>
      <c r="AH563" s="95"/>
      <c r="AI563" s="95"/>
      <c r="AJ563" s="95"/>
      <c r="AK563" s="95"/>
      <c r="AL563" s="95"/>
      <c r="AM563" s="95"/>
      <c r="AN563" s="95"/>
      <c r="AO563" s="95"/>
      <c r="AP563" s="95"/>
      <c r="AQ563" s="95"/>
    </row>
    <row r="564" spans="1:43" ht="12.75" x14ac:dyDescent="0.35">
      <c r="A564" s="41" t="s">
        <v>1869</v>
      </c>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c r="AA564" s="95"/>
      <c r="AB564" s="95"/>
      <c r="AC564" s="95"/>
      <c r="AD564" s="95"/>
      <c r="AE564" s="95"/>
      <c r="AF564" s="95"/>
      <c r="AG564" s="95"/>
      <c r="AH564" s="95"/>
      <c r="AI564" s="95"/>
      <c r="AJ564" s="95"/>
      <c r="AK564" s="95"/>
      <c r="AL564" s="95"/>
      <c r="AM564" s="95"/>
      <c r="AN564" s="95"/>
      <c r="AO564" s="95"/>
      <c r="AP564" s="95"/>
      <c r="AQ564" s="95"/>
    </row>
    <row r="565" spans="1:43" ht="12.75" x14ac:dyDescent="0.35">
      <c r="A565" s="41" t="s">
        <v>1871</v>
      </c>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c r="AA565" s="95"/>
      <c r="AB565" s="95"/>
      <c r="AC565" s="95"/>
      <c r="AD565" s="95"/>
      <c r="AE565" s="95"/>
      <c r="AF565" s="95"/>
      <c r="AG565" s="95"/>
      <c r="AH565" s="95"/>
      <c r="AI565" s="95"/>
      <c r="AJ565" s="95"/>
      <c r="AK565" s="95"/>
      <c r="AL565" s="95"/>
      <c r="AM565" s="95"/>
      <c r="AN565" s="95"/>
      <c r="AO565" s="95"/>
      <c r="AP565" s="95"/>
      <c r="AQ565" s="95"/>
    </row>
    <row r="566" spans="1:43" ht="12.75" x14ac:dyDescent="0.35">
      <c r="A566" s="41" t="s">
        <v>1873</v>
      </c>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c r="AA566" s="95"/>
      <c r="AB566" s="95"/>
      <c r="AC566" s="95"/>
      <c r="AD566" s="95"/>
      <c r="AE566" s="95"/>
      <c r="AF566" s="95"/>
      <c r="AG566" s="95"/>
      <c r="AH566" s="95"/>
      <c r="AI566" s="95"/>
      <c r="AJ566" s="95"/>
      <c r="AK566" s="95"/>
      <c r="AL566" s="95"/>
      <c r="AM566" s="95"/>
      <c r="AN566" s="95"/>
      <c r="AO566" s="95"/>
      <c r="AP566" s="95"/>
      <c r="AQ566" s="95"/>
    </row>
    <row r="567" spans="1:43" ht="12.75" x14ac:dyDescent="0.35">
      <c r="A567" s="41" t="s">
        <v>1876</v>
      </c>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c r="AA567" s="95"/>
      <c r="AB567" s="95"/>
      <c r="AC567" s="95"/>
      <c r="AD567" s="95"/>
      <c r="AE567" s="95"/>
      <c r="AF567" s="95"/>
      <c r="AG567" s="95"/>
      <c r="AH567" s="95"/>
      <c r="AI567" s="95"/>
      <c r="AJ567" s="95"/>
      <c r="AK567" s="95"/>
      <c r="AL567" s="95"/>
      <c r="AM567" s="95"/>
      <c r="AN567" s="95"/>
      <c r="AO567" s="95"/>
      <c r="AP567" s="95"/>
      <c r="AQ567" s="95"/>
    </row>
    <row r="568" spans="1:43" ht="12.75" x14ac:dyDescent="0.35">
      <c r="A568" s="41" t="s">
        <v>1879</v>
      </c>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c r="AA568" s="95"/>
      <c r="AB568" s="95"/>
      <c r="AC568" s="95"/>
      <c r="AD568" s="95"/>
      <c r="AE568" s="95"/>
      <c r="AF568" s="95"/>
      <c r="AG568" s="95"/>
      <c r="AH568" s="95"/>
      <c r="AI568" s="95"/>
      <c r="AJ568" s="95"/>
      <c r="AK568" s="95"/>
      <c r="AL568" s="95"/>
      <c r="AM568" s="95"/>
      <c r="AN568" s="95"/>
      <c r="AO568" s="95"/>
      <c r="AP568" s="95"/>
      <c r="AQ568" s="95"/>
    </row>
    <row r="569" spans="1:43" ht="12.75" x14ac:dyDescent="0.35">
      <c r="A569" s="41" t="s">
        <v>1882</v>
      </c>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c r="AA569" s="95"/>
      <c r="AB569" s="95"/>
      <c r="AC569" s="95"/>
      <c r="AD569" s="95"/>
      <c r="AE569" s="95"/>
      <c r="AF569" s="95"/>
      <c r="AG569" s="95"/>
      <c r="AH569" s="95"/>
      <c r="AI569" s="95"/>
      <c r="AJ569" s="95"/>
      <c r="AK569" s="95"/>
      <c r="AL569" s="95"/>
      <c r="AM569" s="95"/>
      <c r="AN569" s="95"/>
      <c r="AO569" s="95"/>
      <c r="AP569" s="95"/>
      <c r="AQ569" s="95"/>
    </row>
    <row r="570" spans="1:43" ht="12.75" x14ac:dyDescent="0.35">
      <c r="A570" s="41" t="s">
        <v>1885</v>
      </c>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c r="AA570" s="95"/>
      <c r="AB570" s="95"/>
      <c r="AC570" s="95"/>
      <c r="AD570" s="95"/>
      <c r="AE570" s="95"/>
      <c r="AF570" s="95"/>
      <c r="AG570" s="95"/>
      <c r="AH570" s="95"/>
      <c r="AI570" s="95"/>
      <c r="AJ570" s="95"/>
      <c r="AK570" s="95"/>
      <c r="AL570" s="95"/>
      <c r="AM570" s="95"/>
      <c r="AN570" s="95"/>
      <c r="AO570" s="95"/>
      <c r="AP570" s="95"/>
      <c r="AQ570" s="95"/>
    </row>
    <row r="571" spans="1:43" ht="12.75" x14ac:dyDescent="0.35">
      <c r="A571" s="41" t="s">
        <v>1888</v>
      </c>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c r="AA571" s="95"/>
      <c r="AB571" s="95"/>
      <c r="AC571" s="95"/>
      <c r="AD571" s="95"/>
      <c r="AE571" s="95"/>
      <c r="AF571" s="95"/>
      <c r="AG571" s="95"/>
      <c r="AH571" s="95"/>
      <c r="AI571" s="95"/>
      <c r="AJ571" s="95"/>
      <c r="AK571" s="95"/>
      <c r="AL571" s="95"/>
      <c r="AM571" s="95"/>
      <c r="AN571" s="95"/>
      <c r="AO571" s="95"/>
      <c r="AP571" s="95"/>
      <c r="AQ571" s="95"/>
    </row>
    <row r="572" spans="1:43" ht="12.75" x14ac:dyDescent="0.35">
      <c r="A572" s="41" t="s">
        <v>1891</v>
      </c>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c r="AA572" s="95"/>
      <c r="AB572" s="95"/>
      <c r="AC572" s="95"/>
      <c r="AD572" s="95"/>
      <c r="AE572" s="95"/>
      <c r="AF572" s="95"/>
      <c r="AG572" s="95"/>
      <c r="AH572" s="95"/>
      <c r="AI572" s="95"/>
      <c r="AJ572" s="95"/>
      <c r="AK572" s="95"/>
      <c r="AL572" s="95"/>
      <c r="AM572" s="95"/>
      <c r="AN572" s="95"/>
      <c r="AO572" s="95"/>
      <c r="AP572" s="95"/>
      <c r="AQ572" s="95"/>
    </row>
    <row r="573" spans="1:43" ht="12.75" x14ac:dyDescent="0.35">
      <c r="A573" s="41" t="s">
        <v>1894</v>
      </c>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c r="AA573" s="95"/>
      <c r="AB573" s="95"/>
      <c r="AC573" s="95"/>
      <c r="AD573" s="95"/>
      <c r="AE573" s="95"/>
      <c r="AF573" s="95"/>
      <c r="AG573" s="95"/>
      <c r="AH573" s="95"/>
      <c r="AI573" s="95"/>
      <c r="AJ573" s="95"/>
      <c r="AK573" s="95"/>
      <c r="AL573" s="95"/>
      <c r="AM573" s="95"/>
      <c r="AN573" s="95"/>
      <c r="AO573" s="95"/>
      <c r="AP573" s="95"/>
      <c r="AQ573" s="95"/>
    </row>
    <row r="574" spans="1:43" ht="12.75" x14ac:dyDescent="0.35">
      <c r="A574" s="41" t="s">
        <v>1897</v>
      </c>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c r="AA574" s="95"/>
      <c r="AB574" s="95"/>
      <c r="AC574" s="95"/>
      <c r="AD574" s="95"/>
      <c r="AE574" s="95"/>
      <c r="AF574" s="95"/>
      <c r="AG574" s="95"/>
      <c r="AH574" s="95"/>
      <c r="AI574" s="95"/>
      <c r="AJ574" s="95"/>
      <c r="AK574" s="95"/>
      <c r="AL574" s="95"/>
      <c r="AM574" s="95"/>
      <c r="AN574" s="95"/>
      <c r="AO574" s="95"/>
      <c r="AP574" s="95"/>
      <c r="AQ574" s="95"/>
    </row>
    <row r="575" spans="1:43" ht="12.75" x14ac:dyDescent="0.35">
      <c r="A575" s="41" t="s">
        <v>1900</v>
      </c>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c r="AA575" s="95"/>
      <c r="AB575" s="95"/>
      <c r="AC575" s="95"/>
      <c r="AD575" s="95"/>
      <c r="AE575" s="95"/>
      <c r="AF575" s="95"/>
      <c r="AG575" s="95"/>
      <c r="AH575" s="95"/>
      <c r="AI575" s="95"/>
      <c r="AJ575" s="95"/>
      <c r="AK575" s="95"/>
      <c r="AL575" s="95"/>
      <c r="AM575" s="95"/>
      <c r="AN575" s="95"/>
      <c r="AO575" s="95"/>
      <c r="AP575" s="95"/>
      <c r="AQ575" s="95"/>
    </row>
    <row r="576" spans="1:43" ht="12.75" x14ac:dyDescent="0.35">
      <c r="A576" s="41" t="s">
        <v>1903</v>
      </c>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c r="AA576" s="95"/>
      <c r="AB576" s="95"/>
      <c r="AC576" s="95"/>
      <c r="AD576" s="95"/>
      <c r="AE576" s="95"/>
      <c r="AF576" s="95"/>
      <c r="AG576" s="95"/>
      <c r="AH576" s="95"/>
      <c r="AI576" s="95"/>
      <c r="AJ576" s="95"/>
      <c r="AK576" s="95"/>
      <c r="AL576" s="95"/>
      <c r="AM576" s="95"/>
      <c r="AN576" s="95"/>
      <c r="AO576" s="95"/>
      <c r="AP576" s="95"/>
      <c r="AQ576" s="95"/>
    </row>
    <row r="577" spans="1:43" ht="12.75" x14ac:dyDescent="0.35">
      <c r="A577" s="41" t="s">
        <v>1906</v>
      </c>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c r="AA577" s="95"/>
      <c r="AB577" s="95"/>
      <c r="AC577" s="95"/>
      <c r="AD577" s="95"/>
      <c r="AE577" s="95"/>
      <c r="AF577" s="95"/>
      <c r="AG577" s="95"/>
      <c r="AH577" s="95"/>
      <c r="AI577" s="95"/>
      <c r="AJ577" s="95"/>
      <c r="AK577" s="95"/>
      <c r="AL577" s="95"/>
      <c r="AM577" s="95"/>
      <c r="AN577" s="95"/>
      <c r="AO577" s="95"/>
      <c r="AP577" s="95"/>
      <c r="AQ577" s="95"/>
    </row>
    <row r="578" spans="1:43" ht="12.75" x14ac:dyDescent="0.35">
      <c r="A578" s="41" t="s">
        <v>1909</v>
      </c>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c r="AA578" s="95"/>
      <c r="AB578" s="95"/>
      <c r="AC578" s="95"/>
      <c r="AD578" s="95"/>
      <c r="AE578" s="95"/>
      <c r="AF578" s="95"/>
      <c r="AG578" s="95"/>
      <c r="AH578" s="95"/>
      <c r="AI578" s="95"/>
      <c r="AJ578" s="95"/>
      <c r="AK578" s="95"/>
      <c r="AL578" s="95"/>
      <c r="AM578" s="95"/>
      <c r="AN578" s="95"/>
      <c r="AO578" s="95"/>
      <c r="AP578" s="95"/>
      <c r="AQ578" s="95"/>
    </row>
    <row r="579" spans="1:43" ht="12.75" x14ac:dyDescent="0.35">
      <c r="A579" s="41" t="s">
        <v>1912</v>
      </c>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c r="AA579" s="95"/>
      <c r="AB579" s="95"/>
      <c r="AC579" s="95"/>
      <c r="AD579" s="95"/>
      <c r="AE579" s="95"/>
      <c r="AF579" s="95"/>
      <c r="AG579" s="95"/>
      <c r="AH579" s="95"/>
      <c r="AI579" s="95"/>
      <c r="AJ579" s="95"/>
      <c r="AK579" s="95"/>
      <c r="AL579" s="95"/>
      <c r="AM579" s="95"/>
      <c r="AN579" s="95"/>
      <c r="AO579" s="95"/>
      <c r="AP579" s="95"/>
      <c r="AQ579" s="95"/>
    </row>
    <row r="580" spans="1:43" ht="12.75" x14ac:dyDescent="0.35">
      <c r="A580" s="41" t="s">
        <v>1914</v>
      </c>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c r="AA580" s="95"/>
      <c r="AB580" s="95"/>
      <c r="AC580" s="95"/>
      <c r="AD580" s="95"/>
      <c r="AE580" s="95"/>
      <c r="AF580" s="95"/>
      <c r="AG580" s="95"/>
      <c r="AH580" s="95"/>
      <c r="AI580" s="95"/>
      <c r="AJ580" s="95"/>
      <c r="AK580" s="95"/>
      <c r="AL580" s="95"/>
      <c r="AM580" s="95"/>
      <c r="AN580" s="95"/>
      <c r="AO580" s="95"/>
      <c r="AP580" s="95"/>
      <c r="AQ580" s="95"/>
    </row>
    <row r="581" spans="1:43" ht="12.75" x14ac:dyDescent="0.35">
      <c r="A581" s="41" t="s">
        <v>1916</v>
      </c>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c r="AA581" s="95"/>
      <c r="AB581" s="95"/>
      <c r="AC581" s="95"/>
      <c r="AD581" s="95"/>
      <c r="AE581" s="95"/>
      <c r="AF581" s="95"/>
      <c r="AG581" s="95"/>
      <c r="AH581" s="95"/>
      <c r="AI581" s="95"/>
      <c r="AJ581" s="95"/>
      <c r="AK581" s="95"/>
      <c r="AL581" s="95"/>
      <c r="AM581" s="95"/>
      <c r="AN581" s="95"/>
      <c r="AO581" s="95"/>
      <c r="AP581" s="95"/>
      <c r="AQ581" s="95"/>
    </row>
    <row r="582" spans="1:43" ht="12.75" x14ac:dyDescent="0.35">
      <c r="A582" s="41" t="s">
        <v>1918</v>
      </c>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c r="AA582" s="95"/>
      <c r="AB582" s="95"/>
      <c r="AC582" s="95"/>
      <c r="AD582" s="95"/>
      <c r="AE582" s="95"/>
      <c r="AF582" s="95"/>
      <c r="AG582" s="95"/>
      <c r="AH582" s="95"/>
      <c r="AI582" s="95"/>
      <c r="AJ582" s="95"/>
      <c r="AK582" s="95"/>
      <c r="AL582" s="95"/>
      <c r="AM582" s="95"/>
      <c r="AN582" s="95"/>
      <c r="AO582" s="95"/>
      <c r="AP582" s="95"/>
      <c r="AQ582" s="95"/>
    </row>
    <row r="583" spans="1:43" ht="12.75" x14ac:dyDescent="0.35">
      <c r="A583" s="41" t="s">
        <v>1920</v>
      </c>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c r="AA583" s="95"/>
      <c r="AB583" s="95"/>
      <c r="AC583" s="95"/>
      <c r="AD583" s="95"/>
      <c r="AE583" s="95"/>
      <c r="AF583" s="95"/>
      <c r="AG583" s="95"/>
      <c r="AH583" s="95"/>
      <c r="AI583" s="95"/>
      <c r="AJ583" s="95"/>
      <c r="AK583" s="95"/>
      <c r="AL583" s="95"/>
      <c r="AM583" s="95"/>
      <c r="AN583" s="95"/>
      <c r="AO583" s="95"/>
      <c r="AP583" s="95"/>
      <c r="AQ583" s="95"/>
    </row>
    <row r="584" spans="1:43" ht="12.75" x14ac:dyDescent="0.35">
      <c r="A584" s="41" t="s">
        <v>1923</v>
      </c>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c r="AA584" s="95"/>
      <c r="AB584" s="95"/>
      <c r="AC584" s="95"/>
      <c r="AD584" s="95"/>
      <c r="AE584" s="95"/>
      <c r="AF584" s="95"/>
      <c r="AG584" s="95"/>
      <c r="AH584" s="95"/>
      <c r="AI584" s="95"/>
      <c r="AJ584" s="95"/>
      <c r="AK584" s="95"/>
      <c r="AL584" s="95"/>
      <c r="AM584" s="95"/>
      <c r="AN584" s="95"/>
      <c r="AO584" s="95"/>
      <c r="AP584" s="95"/>
      <c r="AQ584" s="95"/>
    </row>
    <row r="585" spans="1:43" ht="12.75" x14ac:dyDescent="0.35">
      <c r="A585" s="41" t="s">
        <v>1926</v>
      </c>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c r="AA585" s="95"/>
      <c r="AB585" s="95"/>
      <c r="AC585" s="95"/>
      <c r="AD585" s="95"/>
      <c r="AE585" s="95"/>
      <c r="AF585" s="95"/>
      <c r="AG585" s="95"/>
      <c r="AH585" s="95"/>
      <c r="AI585" s="95"/>
      <c r="AJ585" s="95"/>
      <c r="AK585" s="95"/>
      <c r="AL585" s="95"/>
      <c r="AM585" s="95"/>
      <c r="AN585" s="95"/>
      <c r="AO585" s="95"/>
      <c r="AP585" s="95"/>
      <c r="AQ585" s="95"/>
    </row>
    <row r="586" spans="1:43" ht="12.75" x14ac:dyDescent="0.35">
      <c r="A586" s="41" t="s">
        <v>1928</v>
      </c>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c r="AA586" s="95"/>
      <c r="AB586" s="95"/>
      <c r="AC586" s="95"/>
      <c r="AD586" s="95"/>
      <c r="AE586" s="95"/>
      <c r="AF586" s="95"/>
      <c r="AG586" s="95"/>
      <c r="AH586" s="95"/>
      <c r="AI586" s="95"/>
      <c r="AJ586" s="95"/>
      <c r="AK586" s="95"/>
      <c r="AL586" s="95"/>
      <c r="AM586" s="95"/>
      <c r="AN586" s="95"/>
      <c r="AO586" s="95"/>
      <c r="AP586" s="95"/>
      <c r="AQ586" s="95"/>
    </row>
    <row r="587" spans="1:43" ht="12.75" x14ac:dyDescent="0.35">
      <c r="A587" s="41" t="s">
        <v>1931</v>
      </c>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c r="AA587" s="95"/>
      <c r="AB587" s="95"/>
      <c r="AC587" s="95"/>
      <c r="AD587" s="95"/>
      <c r="AE587" s="95"/>
      <c r="AF587" s="95"/>
      <c r="AG587" s="95"/>
      <c r="AH587" s="95"/>
      <c r="AI587" s="95"/>
      <c r="AJ587" s="95"/>
      <c r="AK587" s="95"/>
      <c r="AL587" s="95"/>
      <c r="AM587" s="95"/>
      <c r="AN587" s="95"/>
      <c r="AO587" s="95"/>
      <c r="AP587" s="95"/>
      <c r="AQ587" s="95"/>
    </row>
    <row r="588" spans="1:43" ht="12.75" x14ac:dyDescent="0.35">
      <c r="A588" s="41" t="s">
        <v>1934</v>
      </c>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c r="AA588" s="95"/>
      <c r="AB588" s="95"/>
      <c r="AC588" s="95"/>
      <c r="AD588" s="95"/>
      <c r="AE588" s="95"/>
      <c r="AF588" s="95"/>
      <c r="AG588" s="95"/>
      <c r="AH588" s="95"/>
      <c r="AI588" s="95"/>
      <c r="AJ588" s="95"/>
      <c r="AK588" s="95"/>
      <c r="AL588" s="95"/>
      <c r="AM588" s="95"/>
      <c r="AN588" s="95"/>
      <c r="AO588" s="95"/>
      <c r="AP588" s="95"/>
      <c r="AQ588" s="95"/>
    </row>
    <row r="589" spans="1:43" ht="12.75" x14ac:dyDescent="0.35">
      <c r="A589" s="41" t="s">
        <v>1937</v>
      </c>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c r="AA589" s="95"/>
      <c r="AB589" s="95"/>
      <c r="AC589" s="95"/>
      <c r="AD589" s="95"/>
      <c r="AE589" s="95"/>
      <c r="AF589" s="95"/>
      <c r="AG589" s="95"/>
      <c r="AH589" s="95"/>
      <c r="AI589" s="95"/>
      <c r="AJ589" s="95"/>
      <c r="AK589" s="95"/>
      <c r="AL589" s="95"/>
      <c r="AM589" s="95"/>
      <c r="AN589" s="95"/>
      <c r="AO589" s="95"/>
      <c r="AP589" s="95"/>
      <c r="AQ589" s="95"/>
    </row>
    <row r="590" spans="1:43" ht="12.75" x14ac:dyDescent="0.35">
      <c r="A590" s="41" t="s">
        <v>1940</v>
      </c>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c r="AA590" s="95"/>
      <c r="AB590" s="95"/>
      <c r="AC590" s="95"/>
      <c r="AD590" s="95"/>
      <c r="AE590" s="95"/>
      <c r="AF590" s="95"/>
      <c r="AG590" s="95"/>
      <c r="AH590" s="95"/>
      <c r="AI590" s="95"/>
      <c r="AJ590" s="95"/>
      <c r="AK590" s="95"/>
      <c r="AL590" s="95"/>
      <c r="AM590" s="95"/>
      <c r="AN590" s="95"/>
      <c r="AO590" s="95"/>
      <c r="AP590" s="95"/>
      <c r="AQ590" s="95"/>
    </row>
    <row r="591" spans="1:43" ht="12.75" x14ac:dyDescent="0.35">
      <c r="A591" s="41" t="s">
        <v>1943</v>
      </c>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c r="AA591" s="95"/>
      <c r="AB591" s="95"/>
      <c r="AC591" s="95"/>
      <c r="AD591" s="95"/>
      <c r="AE591" s="95"/>
      <c r="AF591" s="95"/>
      <c r="AG591" s="95"/>
      <c r="AH591" s="95"/>
      <c r="AI591" s="95"/>
      <c r="AJ591" s="95"/>
      <c r="AK591" s="95"/>
      <c r="AL591" s="95"/>
      <c r="AM591" s="95"/>
      <c r="AN591" s="95"/>
      <c r="AO591" s="95"/>
      <c r="AP591" s="95"/>
      <c r="AQ591" s="95"/>
    </row>
    <row r="592" spans="1:43" ht="12.75" x14ac:dyDescent="0.35">
      <c r="A592" s="41" t="s">
        <v>1946</v>
      </c>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c r="AA592" s="95"/>
      <c r="AB592" s="95"/>
      <c r="AC592" s="95"/>
      <c r="AD592" s="95"/>
      <c r="AE592" s="95"/>
      <c r="AF592" s="95"/>
      <c r="AG592" s="95"/>
      <c r="AH592" s="95"/>
      <c r="AI592" s="95"/>
      <c r="AJ592" s="95"/>
      <c r="AK592" s="95"/>
      <c r="AL592" s="95"/>
      <c r="AM592" s="95"/>
      <c r="AN592" s="95"/>
      <c r="AO592" s="95"/>
      <c r="AP592" s="95"/>
      <c r="AQ592" s="95"/>
    </row>
    <row r="593" spans="1:43" ht="12.75" x14ac:dyDescent="0.35">
      <c r="A593" s="41" t="s">
        <v>1949</v>
      </c>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c r="AA593" s="95"/>
      <c r="AB593" s="95"/>
      <c r="AC593" s="95"/>
      <c r="AD593" s="95"/>
      <c r="AE593" s="95"/>
      <c r="AF593" s="95"/>
      <c r="AG593" s="95"/>
      <c r="AH593" s="95"/>
      <c r="AI593" s="95"/>
      <c r="AJ593" s="95"/>
      <c r="AK593" s="95"/>
      <c r="AL593" s="95"/>
      <c r="AM593" s="95"/>
      <c r="AN593" s="95"/>
      <c r="AO593" s="95"/>
      <c r="AP593" s="95"/>
      <c r="AQ593" s="95"/>
    </row>
    <row r="594" spans="1:43" ht="12.75" x14ac:dyDescent="0.35">
      <c r="A594" s="41" t="s">
        <v>1952</v>
      </c>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c r="AA594" s="95"/>
      <c r="AB594" s="95"/>
      <c r="AC594" s="95"/>
      <c r="AD594" s="95"/>
      <c r="AE594" s="95"/>
      <c r="AF594" s="95"/>
      <c r="AG594" s="95"/>
      <c r="AH594" s="95"/>
      <c r="AI594" s="95"/>
      <c r="AJ594" s="95"/>
      <c r="AK594" s="95"/>
      <c r="AL594" s="95"/>
      <c r="AM594" s="95"/>
      <c r="AN594" s="95"/>
      <c r="AO594" s="95"/>
      <c r="AP594" s="95"/>
      <c r="AQ594" s="95"/>
    </row>
    <row r="595" spans="1:43" ht="12.75" x14ac:dyDescent="0.35">
      <c r="A595" s="41" t="s">
        <v>1955</v>
      </c>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c r="AA595" s="95"/>
      <c r="AB595" s="95"/>
      <c r="AC595" s="95"/>
      <c r="AD595" s="95"/>
      <c r="AE595" s="95"/>
      <c r="AF595" s="95"/>
      <c r="AG595" s="95"/>
      <c r="AH595" s="95"/>
      <c r="AI595" s="95"/>
      <c r="AJ595" s="95"/>
      <c r="AK595" s="95"/>
      <c r="AL595" s="95"/>
      <c r="AM595" s="95"/>
      <c r="AN595" s="95"/>
      <c r="AO595" s="95"/>
      <c r="AP595" s="95"/>
      <c r="AQ595" s="95"/>
    </row>
    <row r="596" spans="1:43" ht="12.75" x14ac:dyDescent="0.35">
      <c r="A596" s="41" t="s">
        <v>1958</v>
      </c>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c r="AA596" s="95"/>
      <c r="AB596" s="95"/>
      <c r="AC596" s="95"/>
      <c r="AD596" s="95"/>
      <c r="AE596" s="95"/>
      <c r="AF596" s="95"/>
      <c r="AG596" s="95"/>
      <c r="AH596" s="95"/>
      <c r="AI596" s="95"/>
      <c r="AJ596" s="95"/>
      <c r="AK596" s="95"/>
      <c r="AL596" s="95"/>
      <c r="AM596" s="95"/>
      <c r="AN596" s="95"/>
      <c r="AO596" s="95"/>
      <c r="AP596" s="95"/>
      <c r="AQ596" s="95"/>
    </row>
    <row r="597" spans="1:43" ht="12.75" x14ac:dyDescent="0.35">
      <c r="A597" s="41" t="s">
        <v>1961</v>
      </c>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c r="AA597" s="95"/>
      <c r="AB597" s="95"/>
      <c r="AC597" s="95"/>
      <c r="AD597" s="95"/>
      <c r="AE597" s="95"/>
      <c r="AF597" s="95"/>
      <c r="AG597" s="95"/>
      <c r="AH597" s="95"/>
      <c r="AI597" s="95"/>
      <c r="AJ597" s="95"/>
      <c r="AK597" s="95"/>
      <c r="AL597" s="95"/>
      <c r="AM597" s="95"/>
      <c r="AN597" s="95"/>
      <c r="AO597" s="95"/>
      <c r="AP597" s="95"/>
      <c r="AQ597" s="95"/>
    </row>
    <row r="598" spans="1:43" ht="12.75" x14ac:dyDescent="0.35">
      <c r="A598" s="41" t="s">
        <v>1964</v>
      </c>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c r="AA598" s="95"/>
      <c r="AB598" s="95"/>
      <c r="AC598" s="95"/>
      <c r="AD598" s="95"/>
      <c r="AE598" s="95"/>
      <c r="AF598" s="95"/>
      <c r="AG598" s="95"/>
      <c r="AH598" s="95"/>
      <c r="AI598" s="95"/>
      <c r="AJ598" s="95"/>
      <c r="AK598" s="95"/>
      <c r="AL598" s="95"/>
      <c r="AM598" s="95"/>
      <c r="AN598" s="95"/>
      <c r="AO598" s="95"/>
      <c r="AP598" s="95"/>
      <c r="AQ598" s="95"/>
    </row>
    <row r="599" spans="1:43" ht="12.75" x14ac:dyDescent="0.35">
      <c r="A599" s="41" t="s">
        <v>1967</v>
      </c>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c r="AA599" s="95"/>
      <c r="AB599" s="95"/>
      <c r="AC599" s="95"/>
      <c r="AD599" s="95"/>
      <c r="AE599" s="95"/>
      <c r="AF599" s="95"/>
      <c r="AG599" s="95"/>
      <c r="AH599" s="95"/>
      <c r="AI599" s="95"/>
      <c r="AJ599" s="95"/>
      <c r="AK599" s="95"/>
      <c r="AL599" s="95"/>
      <c r="AM599" s="95"/>
      <c r="AN599" s="95"/>
      <c r="AO599" s="95"/>
      <c r="AP599" s="95"/>
      <c r="AQ599" s="95"/>
    </row>
    <row r="600" spans="1:43" ht="12.75" x14ac:dyDescent="0.35">
      <c r="A600" s="41" t="s">
        <v>1970</v>
      </c>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c r="AA600" s="95"/>
      <c r="AB600" s="95"/>
      <c r="AC600" s="95"/>
      <c r="AD600" s="95"/>
      <c r="AE600" s="95"/>
      <c r="AF600" s="95"/>
      <c r="AG600" s="95"/>
      <c r="AH600" s="95"/>
      <c r="AI600" s="95"/>
      <c r="AJ600" s="95"/>
      <c r="AK600" s="95"/>
      <c r="AL600" s="95"/>
      <c r="AM600" s="95"/>
      <c r="AN600" s="95"/>
      <c r="AO600" s="95"/>
      <c r="AP600" s="95"/>
      <c r="AQ600" s="95"/>
    </row>
    <row r="601" spans="1:43" ht="12.75" x14ac:dyDescent="0.35">
      <c r="A601" s="41" t="s">
        <v>1973</v>
      </c>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c r="AA601" s="95"/>
      <c r="AB601" s="95"/>
      <c r="AC601" s="95"/>
      <c r="AD601" s="95"/>
      <c r="AE601" s="95"/>
      <c r="AF601" s="95"/>
      <c r="AG601" s="95"/>
      <c r="AH601" s="95"/>
      <c r="AI601" s="95"/>
      <c r="AJ601" s="95"/>
      <c r="AK601" s="95"/>
      <c r="AL601" s="95"/>
      <c r="AM601" s="95"/>
      <c r="AN601" s="95"/>
      <c r="AO601" s="95"/>
      <c r="AP601" s="95"/>
      <c r="AQ601" s="95"/>
    </row>
    <row r="602" spans="1:43" ht="12.75" x14ac:dyDescent="0.35">
      <c r="A602" s="41" t="s">
        <v>1976</v>
      </c>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c r="AA602" s="95"/>
      <c r="AB602" s="95"/>
      <c r="AC602" s="95"/>
      <c r="AD602" s="95"/>
      <c r="AE602" s="95"/>
      <c r="AF602" s="95"/>
      <c r="AG602" s="95"/>
      <c r="AH602" s="95"/>
      <c r="AI602" s="95"/>
      <c r="AJ602" s="95"/>
      <c r="AK602" s="95"/>
      <c r="AL602" s="95"/>
      <c r="AM602" s="95"/>
      <c r="AN602" s="95"/>
      <c r="AO602" s="95"/>
      <c r="AP602" s="95"/>
      <c r="AQ602" s="95"/>
    </row>
    <row r="603" spans="1:43" ht="12.75" x14ac:dyDescent="0.35">
      <c r="A603" s="41" t="s">
        <v>1978</v>
      </c>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c r="AA603" s="95"/>
      <c r="AB603" s="95"/>
      <c r="AC603" s="95"/>
      <c r="AD603" s="95"/>
      <c r="AE603" s="95"/>
      <c r="AF603" s="95"/>
      <c r="AG603" s="95"/>
      <c r="AH603" s="95"/>
      <c r="AI603" s="95"/>
      <c r="AJ603" s="95"/>
      <c r="AK603" s="95"/>
      <c r="AL603" s="95"/>
      <c r="AM603" s="95"/>
      <c r="AN603" s="95"/>
      <c r="AO603" s="95"/>
      <c r="AP603" s="95"/>
      <c r="AQ603" s="95"/>
    </row>
    <row r="604" spans="1:43" ht="12.75" x14ac:dyDescent="0.35">
      <c r="A604" s="41" t="s">
        <v>1981</v>
      </c>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c r="AA604" s="95"/>
      <c r="AB604" s="95"/>
      <c r="AC604" s="95"/>
      <c r="AD604" s="95"/>
      <c r="AE604" s="95"/>
      <c r="AF604" s="95"/>
      <c r="AG604" s="95"/>
      <c r="AH604" s="95"/>
      <c r="AI604" s="95"/>
      <c r="AJ604" s="95"/>
      <c r="AK604" s="95"/>
      <c r="AL604" s="95"/>
      <c r="AM604" s="95"/>
      <c r="AN604" s="95"/>
      <c r="AO604" s="95"/>
      <c r="AP604" s="95"/>
      <c r="AQ604" s="95"/>
    </row>
    <row r="605" spans="1:43" ht="12.75" x14ac:dyDescent="0.35">
      <c r="A605" s="41" t="s">
        <v>1984</v>
      </c>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c r="AA605" s="95"/>
      <c r="AB605" s="95"/>
      <c r="AC605" s="95"/>
      <c r="AD605" s="95"/>
      <c r="AE605" s="95"/>
      <c r="AF605" s="95"/>
      <c r="AG605" s="95"/>
      <c r="AH605" s="95"/>
      <c r="AI605" s="95"/>
      <c r="AJ605" s="95"/>
      <c r="AK605" s="95"/>
      <c r="AL605" s="95"/>
      <c r="AM605" s="95"/>
      <c r="AN605" s="95"/>
      <c r="AO605" s="95"/>
      <c r="AP605" s="95"/>
      <c r="AQ605" s="95"/>
    </row>
    <row r="606" spans="1:43" ht="12.75" x14ac:dyDescent="0.35">
      <c r="A606" s="41" t="s">
        <v>1987</v>
      </c>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c r="AA606" s="95"/>
      <c r="AB606" s="95"/>
      <c r="AC606" s="95"/>
      <c r="AD606" s="95"/>
      <c r="AE606" s="95"/>
      <c r="AF606" s="95"/>
      <c r="AG606" s="95"/>
      <c r="AH606" s="95"/>
      <c r="AI606" s="95"/>
      <c r="AJ606" s="95"/>
      <c r="AK606" s="95"/>
      <c r="AL606" s="95"/>
      <c r="AM606" s="95"/>
      <c r="AN606" s="95"/>
      <c r="AO606" s="95"/>
      <c r="AP606" s="95"/>
      <c r="AQ606" s="95"/>
    </row>
    <row r="607" spans="1:43" ht="12.75" x14ac:dyDescent="0.35">
      <c r="A607" s="41" t="s">
        <v>1990</v>
      </c>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c r="AA607" s="95"/>
      <c r="AB607" s="95"/>
      <c r="AC607" s="95"/>
      <c r="AD607" s="95"/>
      <c r="AE607" s="95"/>
      <c r="AF607" s="95"/>
      <c r="AG607" s="95"/>
      <c r="AH607" s="95"/>
      <c r="AI607" s="95"/>
      <c r="AJ607" s="95"/>
      <c r="AK607" s="95"/>
      <c r="AL607" s="95"/>
      <c r="AM607" s="95"/>
      <c r="AN607" s="95"/>
      <c r="AO607" s="95"/>
      <c r="AP607" s="95"/>
      <c r="AQ607" s="95"/>
    </row>
    <row r="608" spans="1:43" ht="12.75" x14ac:dyDescent="0.35">
      <c r="A608" s="41" t="s">
        <v>1993</v>
      </c>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c r="AA608" s="95"/>
      <c r="AB608" s="95"/>
      <c r="AC608" s="95"/>
      <c r="AD608" s="95"/>
      <c r="AE608" s="95"/>
      <c r="AF608" s="95"/>
      <c r="AG608" s="95"/>
      <c r="AH608" s="95"/>
      <c r="AI608" s="95"/>
      <c r="AJ608" s="95"/>
      <c r="AK608" s="95"/>
      <c r="AL608" s="95"/>
      <c r="AM608" s="95"/>
      <c r="AN608" s="95"/>
      <c r="AO608" s="95"/>
      <c r="AP608" s="95"/>
      <c r="AQ608" s="95"/>
    </row>
    <row r="609" spans="1:43" ht="12.75" x14ac:dyDescent="0.35">
      <c r="A609" s="41" t="s">
        <v>1996</v>
      </c>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c r="AA609" s="95"/>
      <c r="AB609" s="95"/>
      <c r="AC609" s="95"/>
      <c r="AD609" s="95"/>
      <c r="AE609" s="95"/>
      <c r="AF609" s="95"/>
      <c r="AG609" s="95"/>
      <c r="AH609" s="95"/>
      <c r="AI609" s="95"/>
      <c r="AJ609" s="95"/>
      <c r="AK609" s="95"/>
      <c r="AL609" s="95"/>
      <c r="AM609" s="95"/>
      <c r="AN609" s="95"/>
      <c r="AO609" s="95"/>
      <c r="AP609" s="95"/>
      <c r="AQ609" s="95"/>
    </row>
    <row r="610" spans="1:43" ht="12.75" x14ac:dyDescent="0.35">
      <c r="A610" s="41" t="s">
        <v>1999</v>
      </c>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c r="AA610" s="95"/>
      <c r="AB610" s="95"/>
      <c r="AC610" s="95"/>
      <c r="AD610" s="95"/>
      <c r="AE610" s="95"/>
      <c r="AF610" s="95"/>
      <c r="AG610" s="95"/>
      <c r="AH610" s="95"/>
      <c r="AI610" s="95"/>
      <c r="AJ610" s="95"/>
      <c r="AK610" s="95"/>
      <c r="AL610" s="95"/>
      <c r="AM610" s="95"/>
      <c r="AN610" s="95"/>
      <c r="AO610" s="95"/>
      <c r="AP610" s="95"/>
      <c r="AQ610" s="95"/>
    </row>
    <row r="611" spans="1:43" ht="12.75" x14ac:dyDescent="0.35">
      <c r="A611" s="41" t="s">
        <v>2002</v>
      </c>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c r="AA611" s="95"/>
      <c r="AB611" s="95"/>
      <c r="AC611" s="95"/>
      <c r="AD611" s="95"/>
      <c r="AE611" s="95"/>
      <c r="AF611" s="95"/>
      <c r="AG611" s="95"/>
      <c r="AH611" s="95"/>
      <c r="AI611" s="95"/>
      <c r="AJ611" s="95"/>
      <c r="AK611" s="95"/>
      <c r="AL611" s="95"/>
      <c r="AM611" s="95"/>
      <c r="AN611" s="95"/>
      <c r="AO611" s="95"/>
      <c r="AP611" s="95"/>
      <c r="AQ611" s="95"/>
    </row>
    <row r="612" spans="1:43" ht="12.75" x14ac:dyDescent="0.35">
      <c r="A612" s="41" t="s">
        <v>2005</v>
      </c>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c r="AA612" s="95"/>
      <c r="AB612" s="95"/>
      <c r="AC612" s="95"/>
      <c r="AD612" s="95"/>
      <c r="AE612" s="95"/>
      <c r="AF612" s="95"/>
      <c r="AG612" s="95"/>
      <c r="AH612" s="95"/>
      <c r="AI612" s="95"/>
      <c r="AJ612" s="95"/>
      <c r="AK612" s="95"/>
      <c r="AL612" s="95"/>
      <c r="AM612" s="95"/>
      <c r="AN612" s="95"/>
      <c r="AO612" s="95"/>
      <c r="AP612" s="95"/>
      <c r="AQ612" s="95"/>
    </row>
    <row r="613" spans="1:43" ht="12.75" x14ac:dyDescent="0.35">
      <c r="A613" s="41" t="s">
        <v>2008</v>
      </c>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c r="AA613" s="95"/>
      <c r="AB613" s="95"/>
      <c r="AC613" s="95"/>
      <c r="AD613" s="95"/>
      <c r="AE613" s="95"/>
      <c r="AF613" s="95"/>
      <c r="AG613" s="95"/>
      <c r="AH613" s="95"/>
      <c r="AI613" s="95"/>
      <c r="AJ613" s="95"/>
      <c r="AK613" s="95"/>
      <c r="AL613" s="95"/>
      <c r="AM613" s="95"/>
      <c r="AN613" s="95"/>
      <c r="AO613" s="95"/>
      <c r="AP613" s="95"/>
      <c r="AQ613" s="95"/>
    </row>
    <row r="614" spans="1:43" ht="12.75" x14ac:dyDescent="0.35">
      <c r="A614" s="41" t="s">
        <v>2011</v>
      </c>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c r="AA614" s="95"/>
      <c r="AB614" s="95"/>
      <c r="AC614" s="95"/>
      <c r="AD614" s="95"/>
      <c r="AE614" s="95"/>
      <c r="AF614" s="95"/>
      <c r="AG614" s="95"/>
      <c r="AH614" s="95"/>
      <c r="AI614" s="95"/>
      <c r="AJ614" s="95"/>
      <c r="AK614" s="95"/>
      <c r="AL614" s="95"/>
      <c r="AM614" s="95"/>
      <c r="AN614" s="95"/>
      <c r="AO614" s="95"/>
      <c r="AP614" s="95"/>
      <c r="AQ614" s="95"/>
    </row>
    <row r="615" spans="1:43" ht="12.75" x14ac:dyDescent="0.35">
      <c r="A615" s="41" t="s">
        <v>2014</v>
      </c>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c r="AA615" s="95"/>
      <c r="AB615" s="95"/>
      <c r="AC615" s="95"/>
      <c r="AD615" s="95"/>
      <c r="AE615" s="95"/>
      <c r="AF615" s="95"/>
      <c r="AG615" s="95"/>
      <c r="AH615" s="95"/>
      <c r="AI615" s="95"/>
      <c r="AJ615" s="95"/>
      <c r="AK615" s="95"/>
      <c r="AL615" s="95"/>
      <c r="AM615" s="95"/>
      <c r="AN615" s="95"/>
      <c r="AO615" s="95"/>
      <c r="AP615" s="95"/>
      <c r="AQ615" s="95"/>
    </row>
    <row r="616" spans="1:43" ht="12.75" x14ac:dyDescent="0.35">
      <c r="A616" s="41" t="s">
        <v>2017</v>
      </c>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c r="AA616" s="95"/>
      <c r="AB616" s="95"/>
      <c r="AC616" s="95"/>
      <c r="AD616" s="95"/>
      <c r="AE616" s="95"/>
      <c r="AF616" s="95"/>
      <c r="AG616" s="95"/>
      <c r="AH616" s="95"/>
      <c r="AI616" s="95"/>
      <c r="AJ616" s="95"/>
      <c r="AK616" s="95"/>
      <c r="AL616" s="95"/>
      <c r="AM616" s="95"/>
      <c r="AN616" s="95"/>
      <c r="AO616" s="95"/>
      <c r="AP616" s="95"/>
      <c r="AQ616" s="95"/>
    </row>
    <row r="617" spans="1:43" ht="12.75" x14ac:dyDescent="0.35">
      <c r="A617" s="41" t="s">
        <v>2020</v>
      </c>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c r="AA617" s="95"/>
      <c r="AB617" s="95"/>
      <c r="AC617" s="95"/>
      <c r="AD617" s="95"/>
      <c r="AE617" s="95"/>
      <c r="AF617" s="95"/>
      <c r="AG617" s="95"/>
      <c r="AH617" s="95"/>
      <c r="AI617" s="95"/>
      <c r="AJ617" s="95"/>
      <c r="AK617" s="95"/>
      <c r="AL617" s="95"/>
      <c r="AM617" s="95"/>
      <c r="AN617" s="95"/>
      <c r="AO617" s="95"/>
      <c r="AP617" s="95"/>
      <c r="AQ617" s="95"/>
    </row>
    <row r="618" spans="1:43" ht="12.75" x14ac:dyDescent="0.35">
      <c r="A618" s="41" t="s">
        <v>2023</v>
      </c>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c r="AA618" s="95"/>
      <c r="AB618" s="95"/>
      <c r="AC618" s="95"/>
      <c r="AD618" s="95"/>
      <c r="AE618" s="95"/>
      <c r="AF618" s="95"/>
      <c r="AG618" s="95"/>
      <c r="AH618" s="95"/>
      <c r="AI618" s="95"/>
      <c r="AJ618" s="95"/>
      <c r="AK618" s="95"/>
      <c r="AL618" s="95"/>
      <c r="AM618" s="95"/>
      <c r="AN618" s="95"/>
      <c r="AO618" s="95"/>
      <c r="AP618" s="95"/>
      <c r="AQ618" s="95"/>
    </row>
    <row r="619" spans="1:43" ht="12.75" x14ac:dyDescent="0.35">
      <c r="A619" s="41" t="s">
        <v>2026</v>
      </c>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c r="AA619" s="95"/>
      <c r="AB619" s="95"/>
      <c r="AC619" s="95"/>
      <c r="AD619" s="95"/>
      <c r="AE619" s="95"/>
      <c r="AF619" s="95"/>
      <c r="AG619" s="95"/>
      <c r="AH619" s="95"/>
      <c r="AI619" s="95"/>
      <c r="AJ619" s="95"/>
      <c r="AK619" s="95"/>
      <c r="AL619" s="95"/>
      <c r="AM619" s="95"/>
      <c r="AN619" s="95"/>
      <c r="AO619" s="95"/>
      <c r="AP619" s="95"/>
      <c r="AQ619" s="95"/>
    </row>
    <row r="620" spans="1:43" ht="12.75" x14ac:dyDescent="0.35">
      <c r="A620" s="41" t="s">
        <v>2029</v>
      </c>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c r="AA620" s="95"/>
      <c r="AB620" s="95"/>
      <c r="AC620" s="95"/>
      <c r="AD620" s="95"/>
      <c r="AE620" s="95"/>
      <c r="AF620" s="95"/>
      <c r="AG620" s="95"/>
      <c r="AH620" s="95"/>
      <c r="AI620" s="95"/>
      <c r="AJ620" s="95"/>
      <c r="AK620" s="95"/>
      <c r="AL620" s="95"/>
      <c r="AM620" s="95"/>
      <c r="AN620" s="95"/>
      <c r="AO620" s="95"/>
      <c r="AP620" s="95"/>
      <c r="AQ620" s="95"/>
    </row>
    <row r="621" spans="1:43" ht="12.75" x14ac:dyDescent="0.35">
      <c r="A621" s="41" t="s">
        <v>2032</v>
      </c>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c r="AA621" s="95"/>
      <c r="AB621" s="95"/>
      <c r="AC621" s="95"/>
      <c r="AD621" s="95"/>
      <c r="AE621" s="95"/>
      <c r="AF621" s="95"/>
      <c r="AG621" s="95"/>
      <c r="AH621" s="95"/>
      <c r="AI621" s="95"/>
      <c r="AJ621" s="95"/>
      <c r="AK621" s="95"/>
      <c r="AL621" s="95"/>
      <c r="AM621" s="95"/>
      <c r="AN621" s="95"/>
      <c r="AO621" s="95"/>
      <c r="AP621" s="95"/>
      <c r="AQ621" s="95"/>
    </row>
    <row r="622" spans="1:43" ht="12.75" x14ac:dyDescent="0.35">
      <c r="A622" s="41" t="s">
        <v>2035</v>
      </c>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c r="AA622" s="95"/>
      <c r="AB622" s="95"/>
      <c r="AC622" s="95"/>
      <c r="AD622" s="95"/>
      <c r="AE622" s="95"/>
      <c r="AF622" s="95"/>
      <c r="AG622" s="95"/>
      <c r="AH622" s="95"/>
      <c r="AI622" s="95"/>
      <c r="AJ622" s="95"/>
      <c r="AK622" s="95"/>
      <c r="AL622" s="95"/>
      <c r="AM622" s="95"/>
      <c r="AN622" s="95"/>
      <c r="AO622" s="95"/>
      <c r="AP622" s="95"/>
      <c r="AQ622" s="95"/>
    </row>
    <row r="623" spans="1:43" ht="12.75" x14ac:dyDescent="0.35">
      <c r="A623" s="41" t="s">
        <v>2038</v>
      </c>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c r="AA623" s="95"/>
      <c r="AB623" s="95"/>
      <c r="AC623" s="95"/>
      <c r="AD623" s="95"/>
      <c r="AE623" s="95"/>
      <c r="AF623" s="95"/>
      <c r="AG623" s="95"/>
      <c r="AH623" s="95"/>
      <c r="AI623" s="95"/>
      <c r="AJ623" s="95"/>
      <c r="AK623" s="95"/>
      <c r="AL623" s="95"/>
      <c r="AM623" s="95"/>
      <c r="AN623" s="95"/>
      <c r="AO623" s="95"/>
      <c r="AP623" s="95"/>
      <c r="AQ623" s="95"/>
    </row>
    <row r="624" spans="1:43" ht="12.75" x14ac:dyDescent="0.35">
      <c r="A624" s="41" t="s">
        <v>2041</v>
      </c>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c r="AA624" s="95"/>
      <c r="AB624" s="95"/>
      <c r="AC624" s="95"/>
      <c r="AD624" s="95"/>
      <c r="AE624" s="95"/>
      <c r="AF624" s="95"/>
      <c r="AG624" s="95"/>
      <c r="AH624" s="95"/>
      <c r="AI624" s="95"/>
      <c r="AJ624" s="95"/>
      <c r="AK624" s="95"/>
      <c r="AL624" s="95"/>
      <c r="AM624" s="95"/>
      <c r="AN624" s="95"/>
      <c r="AO624" s="95"/>
      <c r="AP624" s="95"/>
      <c r="AQ624" s="95"/>
    </row>
    <row r="625" spans="1:43" ht="12.75" x14ac:dyDescent="0.35">
      <c r="A625" s="41" t="s">
        <v>2042</v>
      </c>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c r="AA625" s="95"/>
      <c r="AB625" s="95"/>
      <c r="AC625" s="95"/>
      <c r="AD625" s="95"/>
      <c r="AE625" s="95"/>
      <c r="AF625" s="95"/>
      <c r="AG625" s="95"/>
      <c r="AH625" s="95"/>
      <c r="AI625" s="95"/>
      <c r="AJ625" s="95"/>
      <c r="AK625" s="95"/>
      <c r="AL625" s="95"/>
      <c r="AM625" s="95"/>
      <c r="AN625" s="95"/>
      <c r="AO625" s="95"/>
      <c r="AP625" s="95"/>
      <c r="AQ625" s="95"/>
    </row>
    <row r="626" spans="1:43" ht="12.75" x14ac:dyDescent="0.35">
      <c r="A626" s="41" t="s">
        <v>2045</v>
      </c>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c r="AA626" s="95"/>
      <c r="AB626" s="95"/>
      <c r="AC626" s="95"/>
      <c r="AD626" s="95"/>
      <c r="AE626" s="95"/>
      <c r="AF626" s="95"/>
      <c r="AG626" s="95"/>
      <c r="AH626" s="95"/>
      <c r="AI626" s="95"/>
      <c r="AJ626" s="95"/>
      <c r="AK626" s="95"/>
      <c r="AL626" s="95"/>
      <c r="AM626" s="95"/>
      <c r="AN626" s="95"/>
      <c r="AO626" s="95"/>
      <c r="AP626" s="95"/>
      <c r="AQ626" s="95"/>
    </row>
    <row r="627" spans="1:43" ht="12.75" x14ac:dyDescent="0.35">
      <c r="A627" s="41" t="s">
        <v>2048</v>
      </c>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c r="AA627" s="95"/>
      <c r="AB627" s="95"/>
      <c r="AC627" s="95"/>
      <c r="AD627" s="95"/>
      <c r="AE627" s="95"/>
      <c r="AF627" s="95"/>
      <c r="AG627" s="95"/>
      <c r="AH627" s="95"/>
      <c r="AI627" s="95"/>
      <c r="AJ627" s="95"/>
      <c r="AK627" s="95"/>
      <c r="AL627" s="95"/>
      <c r="AM627" s="95"/>
      <c r="AN627" s="95"/>
      <c r="AO627" s="95"/>
      <c r="AP627" s="95"/>
      <c r="AQ627" s="95"/>
    </row>
    <row r="628" spans="1:43" ht="12.75" x14ac:dyDescent="0.35">
      <c r="A628" s="41" t="s">
        <v>2051</v>
      </c>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c r="AA628" s="95"/>
      <c r="AB628" s="95"/>
      <c r="AC628" s="95"/>
      <c r="AD628" s="95"/>
      <c r="AE628" s="95"/>
      <c r="AF628" s="95"/>
      <c r="AG628" s="95"/>
      <c r="AH628" s="95"/>
      <c r="AI628" s="95"/>
      <c r="AJ628" s="95"/>
      <c r="AK628" s="95"/>
      <c r="AL628" s="95"/>
      <c r="AM628" s="95"/>
      <c r="AN628" s="95"/>
      <c r="AO628" s="95"/>
      <c r="AP628" s="95"/>
      <c r="AQ628" s="95"/>
    </row>
    <row r="629" spans="1:43" ht="12.75" x14ac:dyDescent="0.35">
      <c r="A629" s="41" t="s">
        <v>2054</v>
      </c>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c r="AA629" s="95"/>
      <c r="AB629" s="95"/>
      <c r="AC629" s="95"/>
      <c r="AD629" s="95"/>
      <c r="AE629" s="95"/>
      <c r="AF629" s="95"/>
      <c r="AG629" s="95"/>
      <c r="AH629" s="95"/>
      <c r="AI629" s="95"/>
      <c r="AJ629" s="95"/>
      <c r="AK629" s="95"/>
      <c r="AL629" s="95"/>
      <c r="AM629" s="95"/>
      <c r="AN629" s="95"/>
      <c r="AO629" s="95"/>
      <c r="AP629" s="95"/>
      <c r="AQ629" s="95"/>
    </row>
    <row r="630" spans="1:43" ht="12.75" x14ac:dyDescent="0.35">
      <c r="A630" s="41" t="s">
        <v>2057</v>
      </c>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c r="AA630" s="95"/>
      <c r="AB630" s="95"/>
      <c r="AC630" s="95"/>
      <c r="AD630" s="95"/>
      <c r="AE630" s="95"/>
      <c r="AF630" s="95"/>
      <c r="AG630" s="95"/>
      <c r="AH630" s="95"/>
      <c r="AI630" s="95"/>
      <c r="AJ630" s="95"/>
      <c r="AK630" s="95"/>
      <c r="AL630" s="95"/>
      <c r="AM630" s="95"/>
      <c r="AN630" s="95"/>
      <c r="AO630" s="95"/>
      <c r="AP630" s="95"/>
      <c r="AQ630" s="95"/>
    </row>
    <row r="631" spans="1:43" ht="12.75" x14ac:dyDescent="0.35">
      <c r="A631" s="41" t="s">
        <v>2060</v>
      </c>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c r="AA631" s="95"/>
      <c r="AB631" s="95"/>
      <c r="AC631" s="95"/>
      <c r="AD631" s="95"/>
      <c r="AE631" s="95"/>
      <c r="AF631" s="95"/>
      <c r="AG631" s="95"/>
      <c r="AH631" s="95"/>
      <c r="AI631" s="95"/>
      <c r="AJ631" s="95"/>
      <c r="AK631" s="95"/>
      <c r="AL631" s="95"/>
      <c r="AM631" s="95"/>
      <c r="AN631" s="95"/>
      <c r="AO631" s="95"/>
      <c r="AP631" s="95"/>
      <c r="AQ631" s="95"/>
    </row>
    <row r="632" spans="1:43" ht="12.75" x14ac:dyDescent="0.35">
      <c r="A632" s="41" t="s">
        <v>2063</v>
      </c>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c r="AA632" s="95"/>
      <c r="AB632" s="95"/>
      <c r="AC632" s="95"/>
      <c r="AD632" s="95"/>
      <c r="AE632" s="95"/>
      <c r="AF632" s="95"/>
      <c r="AG632" s="95"/>
      <c r="AH632" s="95"/>
      <c r="AI632" s="95"/>
      <c r="AJ632" s="95"/>
      <c r="AK632" s="95"/>
      <c r="AL632" s="95"/>
      <c r="AM632" s="95"/>
      <c r="AN632" s="95"/>
      <c r="AO632" s="95"/>
      <c r="AP632" s="95"/>
      <c r="AQ632" s="95"/>
    </row>
    <row r="633" spans="1:43" ht="12.75" x14ac:dyDescent="0.35">
      <c r="A633" s="41" t="s">
        <v>2066</v>
      </c>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c r="AA633" s="95"/>
      <c r="AB633" s="95"/>
      <c r="AC633" s="95"/>
      <c r="AD633" s="95"/>
      <c r="AE633" s="95"/>
      <c r="AF633" s="95"/>
      <c r="AG633" s="95"/>
      <c r="AH633" s="95"/>
      <c r="AI633" s="95"/>
      <c r="AJ633" s="95"/>
      <c r="AK633" s="95"/>
      <c r="AL633" s="95"/>
      <c r="AM633" s="95"/>
      <c r="AN633" s="95"/>
      <c r="AO633" s="95"/>
      <c r="AP633" s="95"/>
      <c r="AQ633" s="95"/>
    </row>
    <row r="634" spans="1:43" ht="12.75" x14ac:dyDescent="0.35">
      <c r="A634" s="41" t="s">
        <v>2069</v>
      </c>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c r="AA634" s="95"/>
      <c r="AB634" s="95"/>
      <c r="AC634" s="95"/>
      <c r="AD634" s="95"/>
      <c r="AE634" s="95"/>
      <c r="AF634" s="95"/>
      <c r="AG634" s="95"/>
      <c r="AH634" s="95"/>
      <c r="AI634" s="95"/>
      <c r="AJ634" s="95"/>
      <c r="AK634" s="95"/>
      <c r="AL634" s="95"/>
      <c r="AM634" s="95"/>
      <c r="AN634" s="95"/>
      <c r="AO634" s="95"/>
      <c r="AP634" s="95"/>
      <c r="AQ634" s="95"/>
    </row>
    <row r="635" spans="1:43" ht="12.75" x14ac:dyDescent="0.35">
      <c r="A635" s="41" t="s">
        <v>2072</v>
      </c>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c r="AA635" s="95"/>
      <c r="AB635" s="95"/>
      <c r="AC635" s="95"/>
      <c r="AD635" s="95"/>
      <c r="AE635" s="95"/>
      <c r="AF635" s="95"/>
      <c r="AG635" s="95"/>
      <c r="AH635" s="95"/>
      <c r="AI635" s="95"/>
      <c r="AJ635" s="95"/>
      <c r="AK635" s="95"/>
      <c r="AL635" s="95"/>
      <c r="AM635" s="95"/>
      <c r="AN635" s="95"/>
      <c r="AO635" s="95"/>
      <c r="AP635" s="95"/>
      <c r="AQ635" s="95"/>
    </row>
    <row r="636" spans="1:43" ht="12.75" x14ac:dyDescent="0.35">
      <c r="A636" s="41" t="s">
        <v>2075</v>
      </c>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c r="AA636" s="95"/>
      <c r="AB636" s="95"/>
      <c r="AC636" s="95"/>
      <c r="AD636" s="95"/>
      <c r="AE636" s="95"/>
      <c r="AF636" s="95"/>
      <c r="AG636" s="95"/>
      <c r="AH636" s="95"/>
      <c r="AI636" s="95"/>
      <c r="AJ636" s="95"/>
      <c r="AK636" s="95"/>
      <c r="AL636" s="95"/>
      <c r="AM636" s="95"/>
      <c r="AN636" s="95"/>
      <c r="AO636" s="95"/>
      <c r="AP636" s="95"/>
      <c r="AQ636" s="95"/>
    </row>
    <row r="637" spans="1:43" ht="12.75" x14ac:dyDescent="0.35">
      <c r="A637" s="41" t="s">
        <v>2078</v>
      </c>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c r="AA637" s="95"/>
      <c r="AB637" s="95"/>
      <c r="AC637" s="95"/>
      <c r="AD637" s="95"/>
      <c r="AE637" s="95"/>
      <c r="AF637" s="95"/>
      <c r="AG637" s="95"/>
      <c r="AH637" s="95"/>
      <c r="AI637" s="95"/>
      <c r="AJ637" s="95"/>
      <c r="AK637" s="95"/>
      <c r="AL637" s="95"/>
      <c r="AM637" s="95"/>
      <c r="AN637" s="95"/>
      <c r="AO637" s="95"/>
      <c r="AP637" s="95"/>
      <c r="AQ637" s="95"/>
    </row>
    <row r="638" spans="1:43" ht="12.75" x14ac:dyDescent="0.35">
      <c r="A638" s="41" t="s">
        <v>2080</v>
      </c>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c r="AA638" s="95"/>
      <c r="AB638" s="95"/>
      <c r="AC638" s="95"/>
      <c r="AD638" s="95"/>
      <c r="AE638" s="95"/>
      <c r="AF638" s="95"/>
      <c r="AG638" s="95"/>
      <c r="AH638" s="95"/>
      <c r="AI638" s="95"/>
      <c r="AJ638" s="95"/>
      <c r="AK638" s="95"/>
      <c r="AL638" s="95"/>
      <c r="AM638" s="95"/>
      <c r="AN638" s="95"/>
      <c r="AO638" s="95"/>
      <c r="AP638" s="95"/>
      <c r="AQ638" s="95"/>
    </row>
    <row r="639" spans="1:43" ht="12.75" x14ac:dyDescent="0.35">
      <c r="A639" s="41" t="s">
        <v>2083</v>
      </c>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c r="AA639" s="95"/>
      <c r="AB639" s="95"/>
      <c r="AC639" s="95"/>
      <c r="AD639" s="95"/>
      <c r="AE639" s="95"/>
      <c r="AF639" s="95"/>
      <c r="AG639" s="95"/>
      <c r="AH639" s="95"/>
      <c r="AI639" s="95"/>
      <c r="AJ639" s="95"/>
      <c r="AK639" s="95"/>
      <c r="AL639" s="95"/>
      <c r="AM639" s="95"/>
      <c r="AN639" s="95"/>
      <c r="AO639" s="95"/>
      <c r="AP639" s="95"/>
      <c r="AQ639" s="95"/>
    </row>
    <row r="640" spans="1:43" ht="12.75" x14ac:dyDescent="0.35">
      <c r="A640" s="41" t="s">
        <v>2086</v>
      </c>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c r="AA640" s="95"/>
      <c r="AB640" s="95"/>
      <c r="AC640" s="95"/>
      <c r="AD640" s="95"/>
      <c r="AE640" s="95"/>
      <c r="AF640" s="95"/>
      <c r="AG640" s="95"/>
      <c r="AH640" s="95"/>
      <c r="AI640" s="95"/>
      <c r="AJ640" s="95"/>
      <c r="AK640" s="95"/>
      <c r="AL640" s="95"/>
      <c r="AM640" s="95"/>
      <c r="AN640" s="95"/>
      <c r="AO640" s="95"/>
      <c r="AP640" s="95"/>
      <c r="AQ640" s="95"/>
    </row>
    <row r="641" spans="1:43" ht="12.75" x14ac:dyDescent="0.35">
      <c r="A641" s="41" t="s">
        <v>2089</v>
      </c>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c r="AA641" s="95"/>
      <c r="AB641" s="95"/>
      <c r="AC641" s="95"/>
      <c r="AD641" s="95"/>
      <c r="AE641" s="95"/>
      <c r="AF641" s="95"/>
      <c r="AG641" s="95"/>
      <c r="AH641" s="95"/>
      <c r="AI641" s="95"/>
      <c r="AJ641" s="95"/>
      <c r="AK641" s="95"/>
      <c r="AL641" s="95"/>
      <c r="AM641" s="95"/>
      <c r="AN641" s="95"/>
      <c r="AO641" s="95"/>
      <c r="AP641" s="95"/>
      <c r="AQ641" s="95"/>
    </row>
    <row r="642" spans="1:43" ht="12.75" x14ac:dyDescent="0.35">
      <c r="A642" s="41" t="s">
        <v>2092</v>
      </c>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c r="AA642" s="95"/>
      <c r="AB642" s="95"/>
      <c r="AC642" s="95"/>
      <c r="AD642" s="95"/>
      <c r="AE642" s="95"/>
      <c r="AF642" s="95"/>
      <c r="AG642" s="95"/>
      <c r="AH642" s="95"/>
      <c r="AI642" s="95"/>
      <c r="AJ642" s="95"/>
      <c r="AK642" s="95"/>
      <c r="AL642" s="95"/>
      <c r="AM642" s="95"/>
      <c r="AN642" s="95"/>
      <c r="AO642" s="95"/>
      <c r="AP642" s="95"/>
      <c r="AQ642" s="95"/>
    </row>
    <row r="643" spans="1:43" ht="12.75" x14ac:dyDescent="0.35">
      <c r="A643" s="41" t="s">
        <v>2095</v>
      </c>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c r="AA643" s="95"/>
      <c r="AB643" s="95"/>
      <c r="AC643" s="95"/>
      <c r="AD643" s="95"/>
      <c r="AE643" s="95"/>
      <c r="AF643" s="95"/>
      <c r="AG643" s="95"/>
      <c r="AH643" s="95"/>
      <c r="AI643" s="95"/>
      <c r="AJ643" s="95"/>
      <c r="AK643" s="95"/>
      <c r="AL643" s="95"/>
      <c r="AM643" s="95"/>
      <c r="AN643" s="95"/>
      <c r="AO643" s="95"/>
      <c r="AP643" s="95"/>
      <c r="AQ643" s="95"/>
    </row>
    <row r="644" spans="1:43" ht="12.75" x14ac:dyDescent="0.35">
      <c r="A644" s="41" t="s">
        <v>2098</v>
      </c>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c r="AA644" s="95"/>
      <c r="AB644" s="95"/>
      <c r="AC644" s="95"/>
      <c r="AD644" s="95"/>
      <c r="AE644" s="95"/>
      <c r="AF644" s="95"/>
      <c r="AG644" s="95"/>
      <c r="AH644" s="95"/>
      <c r="AI644" s="95"/>
      <c r="AJ644" s="95"/>
      <c r="AK644" s="95"/>
      <c r="AL644" s="95"/>
      <c r="AM644" s="95"/>
      <c r="AN644" s="95"/>
      <c r="AO644" s="95"/>
      <c r="AP644" s="95"/>
      <c r="AQ644" s="95"/>
    </row>
    <row r="645" spans="1:43" ht="12.75" x14ac:dyDescent="0.35">
      <c r="A645" s="41" t="s">
        <v>2101</v>
      </c>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c r="AA645" s="95"/>
      <c r="AB645" s="95"/>
      <c r="AC645" s="95"/>
      <c r="AD645" s="95"/>
      <c r="AE645" s="95"/>
      <c r="AF645" s="95"/>
      <c r="AG645" s="95"/>
      <c r="AH645" s="95"/>
      <c r="AI645" s="95"/>
      <c r="AJ645" s="95"/>
      <c r="AK645" s="95"/>
      <c r="AL645" s="95"/>
      <c r="AM645" s="95"/>
      <c r="AN645" s="95"/>
      <c r="AO645" s="95"/>
      <c r="AP645" s="95"/>
      <c r="AQ645" s="95"/>
    </row>
    <row r="646" spans="1:43" ht="12.75" x14ac:dyDescent="0.35">
      <c r="A646" s="41" t="s">
        <v>2104</v>
      </c>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c r="AA646" s="95"/>
      <c r="AB646" s="95"/>
      <c r="AC646" s="95"/>
      <c r="AD646" s="95"/>
      <c r="AE646" s="95"/>
      <c r="AF646" s="95"/>
      <c r="AG646" s="95"/>
      <c r="AH646" s="95"/>
      <c r="AI646" s="95"/>
      <c r="AJ646" s="95"/>
      <c r="AK646" s="95"/>
      <c r="AL646" s="95"/>
      <c r="AM646" s="95"/>
      <c r="AN646" s="95"/>
      <c r="AO646" s="95"/>
      <c r="AP646" s="95"/>
      <c r="AQ646" s="95"/>
    </row>
    <row r="647" spans="1:43" ht="12.75" x14ac:dyDescent="0.35">
      <c r="A647" s="41" t="s">
        <v>2107</v>
      </c>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c r="AA647" s="95"/>
      <c r="AB647" s="95"/>
      <c r="AC647" s="95"/>
      <c r="AD647" s="95"/>
      <c r="AE647" s="95"/>
      <c r="AF647" s="95"/>
      <c r="AG647" s="95"/>
      <c r="AH647" s="95"/>
      <c r="AI647" s="95"/>
      <c r="AJ647" s="95"/>
      <c r="AK647" s="95"/>
      <c r="AL647" s="95"/>
      <c r="AM647" s="95"/>
      <c r="AN647" s="95"/>
      <c r="AO647" s="95"/>
      <c r="AP647" s="95"/>
      <c r="AQ647" s="95"/>
    </row>
    <row r="648" spans="1:43" ht="12.75" x14ac:dyDescent="0.35">
      <c r="A648" s="41" t="s">
        <v>2110</v>
      </c>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c r="AA648" s="95"/>
      <c r="AB648" s="95"/>
      <c r="AC648" s="95"/>
      <c r="AD648" s="95"/>
      <c r="AE648" s="95"/>
      <c r="AF648" s="95"/>
      <c r="AG648" s="95"/>
      <c r="AH648" s="95"/>
      <c r="AI648" s="95"/>
      <c r="AJ648" s="95"/>
      <c r="AK648" s="95"/>
      <c r="AL648" s="95"/>
      <c r="AM648" s="95"/>
      <c r="AN648" s="95"/>
      <c r="AO648" s="95"/>
      <c r="AP648" s="95"/>
      <c r="AQ648" s="95"/>
    </row>
    <row r="649" spans="1:43" ht="12.75" x14ac:dyDescent="0.35">
      <c r="A649" s="41" t="s">
        <v>2113</v>
      </c>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c r="AA649" s="95"/>
      <c r="AB649" s="95"/>
      <c r="AC649" s="95"/>
      <c r="AD649" s="95"/>
      <c r="AE649" s="95"/>
      <c r="AF649" s="95"/>
      <c r="AG649" s="95"/>
      <c r="AH649" s="95"/>
      <c r="AI649" s="95"/>
      <c r="AJ649" s="95"/>
      <c r="AK649" s="95"/>
      <c r="AL649" s="95"/>
      <c r="AM649" s="95"/>
      <c r="AN649" s="95"/>
      <c r="AO649" s="95"/>
      <c r="AP649" s="95"/>
      <c r="AQ649" s="95"/>
    </row>
    <row r="650" spans="1:43" ht="12.75" x14ac:dyDescent="0.35">
      <c r="A650" s="41" t="s">
        <v>2116</v>
      </c>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c r="AA650" s="95"/>
      <c r="AB650" s="95"/>
      <c r="AC650" s="95"/>
      <c r="AD650" s="95"/>
      <c r="AE650" s="95"/>
      <c r="AF650" s="95"/>
      <c r="AG650" s="95"/>
      <c r="AH650" s="95"/>
      <c r="AI650" s="95"/>
      <c r="AJ650" s="95"/>
      <c r="AK650" s="95"/>
      <c r="AL650" s="95"/>
      <c r="AM650" s="95"/>
      <c r="AN650" s="95"/>
      <c r="AO650" s="95"/>
      <c r="AP650" s="95"/>
      <c r="AQ650" s="95"/>
    </row>
    <row r="651" spans="1:43" ht="12.75" x14ac:dyDescent="0.35">
      <c r="A651" s="41" t="s">
        <v>2119</v>
      </c>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c r="AA651" s="95"/>
      <c r="AB651" s="95"/>
      <c r="AC651" s="95"/>
      <c r="AD651" s="95"/>
      <c r="AE651" s="95"/>
      <c r="AF651" s="95"/>
      <c r="AG651" s="95"/>
      <c r="AH651" s="95"/>
      <c r="AI651" s="95"/>
      <c r="AJ651" s="95"/>
      <c r="AK651" s="95"/>
      <c r="AL651" s="95"/>
      <c r="AM651" s="95"/>
      <c r="AN651" s="95"/>
      <c r="AO651" s="95"/>
      <c r="AP651" s="95"/>
      <c r="AQ651" s="95"/>
    </row>
    <row r="652" spans="1:43" ht="12.75" x14ac:dyDescent="0.35">
      <c r="A652" s="41" t="s">
        <v>2120</v>
      </c>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c r="AA652" s="95"/>
      <c r="AB652" s="95"/>
      <c r="AC652" s="95"/>
      <c r="AD652" s="95"/>
      <c r="AE652" s="95"/>
      <c r="AF652" s="95"/>
      <c r="AG652" s="95"/>
      <c r="AH652" s="95"/>
      <c r="AI652" s="95"/>
      <c r="AJ652" s="95"/>
      <c r="AK652" s="95"/>
      <c r="AL652" s="95"/>
      <c r="AM652" s="95"/>
      <c r="AN652" s="95"/>
      <c r="AO652" s="95"/>
      <c r="AP652" s="95"/>
      <c r="AQ652" s="95"/>
    </row>
    <row r="653" spans="1:43" ht="12.75" x14ac:dyDescent="0.35">
      <c r="A653" s="41" t="s">
        <v>2123</v>
      </c>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c r="AA653" s="95"/>
      <c r="AB653" s="95"/>
      <c r="AC653" s="95"/>
      <c r="AD653" s="95"/>
      <c r="AE653" s="95"/>
      <c r="AF653" s="95"/>
      <c r="AG653" s="95"/>
      <c r="AH653" s="95"/>
      <c r="AI653" s="95"/>
      <c r="AJ653" s="95"/>
      <c r="AK653" s="95"/>
      <c r="AL653" s="95"/>
      <c r="AM653" s="95"/>
      <c r="AN653" s="95"/>
      <c r="AO653" s="95"/>
      <c r="AP653" s="95"/>
      <c r="AQ653" s="95"/>
    </row>
    <row r="654" spans="1:43" ht="12.75" x14ac:dyDescent="0.35">
      <c r="A654" s="41" t="s">
        <v>2126</v>
      </c>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c r="AA654" s="95"/>
      <c r="AB654" s="95"/>
      <c r="AC654" s="95"/>
      <c r="AD654" s="95"/>
      <c r="AE654" s="95"/>
      <c r="AF654" s="95"/>
      <c r="AG654" s="95"/>
      <c r="AH654" s="95"/>
      <c r="AI654" s="95"/>
      <c r="AJ654" s="95"/>
      <c r="AK654" s="95"/>
      <c r="AL654" s="95"/>
      <c r="AM654" s="95"/>
      <c r="AN654" s="95"/>
      <c r="AO654" s="95"/>
      <c r="AP654" s="95"/>
      <c r="AQ654" s="95"/>
    </row>
    <row r="655" spans="1:43" ht="12.75" x14ac:dyDescent="0.35">
      <c r="A655" s="41" t="s">
        <v>2129</v>
      </c>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c r="AA655" s="95"/>
      <c r="AB655" s="95"/>
      <c r="AC655" s="95"/>
      <c r="AD655" s="95"/>
      <c r="AE655" s="95"/>
      <c r="AF655" s="95"/>
      <c r="AG655" s="95"/>
      <c r="AH655" s="95"/>
      <c r="AI655" s="95"/>
      <c r="AJ655" s="95"/>
      <c r="AK655" s="95"/>
      <c r="AL655" s="95"/>
      <c r="AM655" s="95"/>
      <c r="AN655" s="95"/>
      <c r="AO655" s="95"/>
      <c r="AP655" s="95"/>
      <c r="AQ655" s="95"/>
    </row>
    <row r="656" spans="1:43" ht="12.75" x14ac:dyDescent="0.35">
      <c r="A656" s="41" t="s">
        <v>2132</v>
      </c>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c r="AA656" s="95"/>
      <c r="AB656" s="95"/>
      <c r="AC656" s="95"/>
      <c r="AD656" s="95"/>
      <c r="AE656" s="95"/>
      <c r="AF656" s="95"/>
      <c r="AG656" s="95"/>
      <c r="AH656" s="95"/>
      <c r="AI656" s="95"/>
      <c r="AJ656" s="95"/>
      <c r="AK656" s="95"/>
      <c r="AL656" s="95"/>
      <c r="AM656" s="95"/>
      <c r="AN656" s="95"/>
      <c r="AO656" s="95"/>
      <c r="AP656" s="95"/>
      <c r="AQ656" s="95"/>
    </row>
    <row r="657" spans="1:43" ht="12.75" x14ac:dyDescent="0.35">
      <c r="A657" s="41" t="s">
        <v>2135</v>
      </c>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c r="AA657" s="95"/>
      <c r="AB657" s="95"/>
      <c r="AC657" s="95"/>
      <c r="AD657" s="95"/>
      <c r="AE657" s="95"/>
      <c r="AF657" s="95"/>
      <c r="AG657" s="95"/>
      <c r="AH657" s="95"/>
      <c r="AI657" s="95"/>
      <c r="AJ657" s="95"/>
      <c r="AK657" s="95"/>
      <c r="AL657" s="95"/>
      <c r="AM657" s="95"/>
      <c r="AN657" s="95"/>
      <c r="AO657" s="95"/>
      <c r="AP657" s="95"/>
      <c r="AQ657" s="95"/>
    </row>
    <row r="658" spans="1:43" ht="12.75" x14ac:dyDescent="0.35">
      <c r="A658" s="41" t="s">
        <v>2138</v>
      </c>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c r="AA658" s="95"/>
      <c r="AB658" s="95"/>
      <c r="AC658" s="95"/>
      <c r="AD658" s="95"/>
      <c r="AE658" s="95"/>
      <c r="AF658" s="95"/>
      <c r="AG658" s="95"/>
      <c r="AH658" s="95"/>
      <c r="AI658" s="95"/>
      <c r="AJ658" s="95"/>
      <c r="AK658" s="95"/>
      <c r="AL658" s="95"/>
      <c r="AM658" s="95"/>
      <c r="AN658" s="95"/>
      <c r="AO658" s="95"/>
      <c r="AP658" s="95"/>
      <c r="AQ658" s="95"/>
    </row>
    <row r="659" spans="1:43" ht="12.75" x14ac:dyDescent="0.35">
      <c r="A659" s="41" t="s">
        <v>2141</v>
      </c>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c r="AA659" s="95"/>
      <c r="AB659" s="95"/>
      <c r="AC659" s="95"/>
      <c r="AD659" s="95"/>
      <c r="AE659" s="95"/>
      <c r="AF659" s="95"/>
      <c r="AG659" s="95"/>
      <c r="AH659" s="95"/>
      <c r="AI659" s="95"/>
      <c r="AJ659" s="95"/>
      <c r="AK659" s="95"/>
      <c r="AL659" s="95"/>
      <c r="AM659" s="95"/>
      <c r="AN659" s="95"/>
      <c r="AO659" s="95"/>
      <c r="AP659" s="95"/>
      <c r="AQ659" s="95"/>
    </row>
    <row r="660" spans="1:43" ht="12.75" x14ac:dyDescent="0.35">
      <c r="A660" s="41" t="s">
        <v>2144</v>
      </c>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c r="AA660" s="95"/>
      <c r="AB660" s="95"/>
      <c r="AC660" s="95"/>
      <c r="AD660" s="95"/>
      <c r="AE660" s="95"/>
      <c r="AF660" s="95"/>
      <c r="AG660" s="95"/>
      <c r="AH660" s="95"/>
      <c r="AI660" s="95"/>
      <c r="AJ660" s="95"/>
      <c r="AK660" s="95"/>
      <c r="AL660" s="95"/>
      <c r="AM660" s="95"/>
      <c r="AN660" s="95"/>
      <c r="AO660" s="95"/>
      <c r="AP660" s="95"/>
      <c r="AQ660" s="95"/>
    </row>
    <row r="661" spans="1:43" ht="12.75" x14ac:dyDescent="0.35">
      <c r="A661" s="41" t="s">
        <v>2147</v>
      </c>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c r="AA661" s="95"/>
      <c r="AB661" s="95"/>
      <c r="AC661" s="95"/>
      <c r="AD661" s="95"/>
      <c r="AE661" s="95"/>
      <c r="AF661" s="95"/>
      <c r="AG661" s="95"/>
      <c r="AH661" s="95"/>
      <c r="AI661" s="95"/>
      <c r="AJ661" s="95"/>
      <c r="AK661" s="95"/>
      <c r="AL661" s="95"/>
      <c r="AM661" s="95"/>
      <c r="AN661" s="95"/>
      <c r="AO661" s="95"/>
      <c r="AP661" s="95"/>
      <c r="AQ661" s="95"/>
    </row>
    <row r="662" spans="1:43" ht="12.75" x14ac:dyDescent="0.35">
      <c r="A662" s="41" t="s">
        <v>2150</v>
      </c>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c r="AA662" s="95"/>
      <c r="AB662" s="95"/>
      <c r="AC662" s="95"/>
      <c r="AD662" s="95"/>
      <c r="AE662" s="95"/>
      <c r="AF662" s="95"/>
      <c r="AG662" s="95"/>
      <c r="AH662" s="95"/>
      <c r="AI662" s="95"/>
      <c r="AJ662" s="95"/>
      <c r="AK662" s="95"/>
      <c r="AL662" s="95"/>
      <c r="AM662" s="95"/>
      <c r="AN662" s="95"/>
      <c r="AO662" s="95"/>
      <c r="AP662" s="95"/>
      <c r="AQ662" s="95"/>
    </row>
    <row r="663" spans="1:43" ht="12.75" x14ac:dyDescent="0.35">
      <c r="A663" s="41" t="s">
        <v>2153</v>
      </c>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c r="AA663" s="95"/>
      <c r="AB663" s="95"/>
      <c r="AC663" s="95"/>
      <c r="AD663" s="95"/>
      <c r="AE663" s="95"/>
      <c r="AF663" s="95"/>
      <c r="AG663" s="95"/>
      <c r="AH663" s="95"/>
      <c r="AI663" s="95"/>
      <c r="AJ663" s="95"/>
      <c r="AK663" s="95"/>
      <c r="AL663" s="95"/>
      <c r="AM663" s="95"/>
      <c r="AN663" s="95"/>
      <c r="AO663" s="95"/>
      <c r="AP663" s="95"/>
      <c r="AQ663" s="95"/>
    </row>
    <row r="664" spans="1:43" ht="12.75" x14ac:dyDescent="0.35">
      <c r="A664" s="41" t="s">
        <v>2156</v>
      </c>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c r="AA664" s="95"/>
      <c r="AB664" s="95"/>
      <c r="AC664" s="95"/>
      <c r="AD664" s="95"/>
      <c r="AE664" s="95"/>
      <c r="AF664" s="95"/>
      <c r="AG664" s="95"/>
      <c r="AH664" s="95"/>
      <c r="AI664" s="95"/>
      <c r="AJ664" s="95"/>
      <c r="AK664" s="95"/>
      <c r="AL664" s="95"/>
      <c r="AM664" s="95"/>
      <c r="AN664" s="95"/>
      <c r="AO664" s="95"/>
      <c r="AP664" s="95"/>
      <c r="AQ664" s="95"/>
    </row>
    <row r="665" spans="1:43" ht="12.75" x14ac:dyDescent="0.35">
      <c r="A665" s="41" t="s">
        <v>2158</v>
      </c>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c r="AA665" s="95"/>
      <c r="AB665" s="95"/>
      <c r="AC665" s="95"/>
      <c r="AD665" s="95"/>
      <c r="AE665" s="95"/>
      <c r="AF665" s="95"/>
      <c r="AG665" s="95"/>
      <c r="AH665" s="95"/>
      <c r="AI665" s="95"/>
      <c r="AJ665" s="95"/>
      <c r="AK665" s="95"/>
      <c r="AL665" s="95"/>
      <c r="AM665" s="95"/>
      <c r="AN665" s="95"/>
      <c r="AO665" s="95"/>
      <c r="AP665" s="95"/>
      <c r="AQ665" s="95"/>
    </row>
    <row r="666" spans="1:43" ht="12.75" x14ac:dyDescent="0.35">
      <c r="A666" s="41" t="s">
        <v>2161</v>
      </c>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c r="AA666" s="95"/>
      <c r="AB666" s="95"/>
      <c r="AC666" s="95"/>
      <c r="AD666" s="95"/>
      <c r="AE666" s="95"/>
      <c r="AF666" s="95"/>
      <c r="AG666" s="95"/>
      <c r="AH666" s="95"/>
      <c r="AI666" s="95"/>
      <c r="AJ666" s="95"/>
      <c r="AK666" s="95"/>
      <c r="AL666" s="95"/>
      <c r="AM666" s="95"/>
      <c r="AN666" s="95"/>
      <c r="AO666" s="95"/>
      <c r="AP666" s="95"/>
      <c r="AQ666" s="95"/>
    </row>
    <row r="667" spans="1:43" ht="12.75" x14ac:dyDescent="0.35">
      <c r="A667" s="41" t="s">
        <v>2164</v>
      </c>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c r="AA667" s="95"/>
      <c r="AB667" s="95"/>
      <c r="AC667" s="95"/>
      <c r="AD667" s="95"/>
      <c r="AE667" s="95"/>
      <c r="AF667" s="95"/>
      <c r="AG667" s="95"/>
      <c r="AH667" s="95"/>
      <c r="AI667" s="95"/>
      <c r="AJ667" s="95"/>
      <c r="AK667" s="95"/>
      <c r="AL667" s="95"/>
      <c r="AM667" s="95"/>
      <c r="AN667" s="95"/>
      <c r="AO667" s="95"/>
      <c r="AP667" s="95"/>
      <c r="AQ667" s="95"/>
    </row>
    <row r="668" spans="1:43" ht="12.75" x14ac:dyDescent="0.35">
      <c r="A668" s="41" t="s">
        <v>2167</v>
      </c>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c r="AA668" s="95"/>
      <c r="AB668" s="95"/>
      <c r="AC668" s="95"/>
      <c r="AD668" s="95"/>
      <c r="AE668" s="95"/>
      <c r="AF668" s="95"/>
      <c r="AG668" s="95"/>
      <c r="AH668" s="95"/>
      <c r="AI668" s="95"/>
      <c r="AJ668" s="95"/>
      <c r="AK668" s="95"/>
      <c r="AL668" s="95"/>
      <c r="AM668" s="95"/>
      <c r="AN668" s="95"/>
      <c r="AO668" s="95"/>
      <c r="AP668" s="95"/>
      <c r="AQ668" s="95"/>
    </row>
    <row r="669" spans="1:43" ht="12.75" x14ac:dyDescent="0.35">
      <c r="A669" s="41" t="s">
        <v>2170</v>
      </c>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c r="AA669" s="95"/>
      <c r="AB669" s="95"/>
      <c r="AC669" s="95"/>
      <c r="AD669" s="95"/>
      <c r="AE669" s="95"/>
      <c r="AF669" s="95"/>
      <c r="AG669" s="95"/>
      <c r="AH669" s="95"/>
      <c r="AI669" s="95"/>
      <c r="AJ669" s="95"/>
      <c r="AK669" s="95"/>
      <c r="AL669" s="95"/>
      <c r="AM669" s="95"/>
      <c r="AN669" s="95"/>
      <c r="AO669" s="95"/>
      <c r="AP669" s="95"/>
      <c r="AQ669" s="95"/>
    </row>
    <row r="670" spans="1:43" ht="12.75" x14ac:dyDescent="0.35">
      <c r="A670" s="41" t="s">
        <v>2173</v>
      </c>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c r="AA670" s="95"/>
      <c r="AB670" s="95"/>
      <c r="AC670" s="95"/>
      <c r="AD670" s="95"/>
      <c r="AE670" s="95"/>
      <c r="AF670" s="95"/>
      <c r="AG670" s="95"/>
      <c r="AH670" s="95"/>
      <c r="AI670" s="95"/>
      <c r="AJ670" s="95"/>
      <c r="AK670" s="95"/>
      <c r="AL670" s="95"/>
      <c r="AM670" s="95"/>
      <c r="AN670" s="95"/>
      <c r="AO670" s="95"/>
      <c r="AP670" s="95"/>
      <c r="AQ670" s="95"/>
    </row>
    <row r="671" spans="1:43" ht="12.75" x14ac:dyDescent="0.35">
      <c r="A671" s="41" t="s">
        <v>2176</v>
      </c>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c r="AA671" s="95"/>
      <c r="AB671" s="95"/>
      <c r="AC671" s="95"/>
      <c r="AD671" s="95"/>
      <c r="AE671" s="95"/>
      <c r="AF671" s="95"/>
      <c r="AG671" s="95"/>
      <c r="AH671" s="95"/>
      <c r="AI671" s="95"/>
      <c r="AJ671" s="95"/>
      <c r="AK671" s="95"/>
      <c r="AL671" s="95"/>
      <c r="AM671" s="95"/>
      <c r="AN671" s="95"/>
      <c r="AO671" s="95"/>
      <c r="AP671" s="95"/>
      <c r="AQ671" s="95"/>
    </row>
    <row r="672" spans="1:43" ht="12.75" x14ac:dyDescent="0.35">
      <c r="A672" s="41" t="s">
        <v>2179</v>
      </c>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c r="AA672" s="95"/>
      <c r="AB672" s="95"/>
      <c r="AC672" s="95"/>
      <c r="AD672" s="95"/>
      <c r="AE672" s="95"/>
      <c r="AF672" s="95"/>
      <c r="AG672" s="95"/>
      <c r="AH672" s="95"/>
      <c r="AI672" s="95"/>
      <c r="AJ672" s="95"/>
      <c r="AK672" s="95"/>
      <c r="AL672" s="95"/>
      <c r="AM672" s="95"/>
      <c r="AN672" s="95"/>
      <c r="AO672" s="95"/>
      <c r="AP672" s="95"/>
      <c r="AQ672" s="95"/>
    </row>
    <row r="673" spans="1:43" ht="12.75" x14ac:dyDescent="0.35">
      <c r="A673" s="41" t="s">
        <v>2182</v>
      </c>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c r="AA673" s="95"/>
      <c r="AB673" s="95"/>
      <c r="AC673" s="95"/>
      <c r="AD673" s="95"/>
      <c r="AE673" s="95"/>
      <c r="AF673" s="95"/>
      <c r="AG673" s="95"/>
      <c r="AH673" s="95"/>
      <c r="AI673" s="95"/>
      <c r="AJ673" s="95"/>
      <c r="AK673" s="95"/>
      <c r="AL673" s="95"/>
      <c r="AM673" s="95"/>
      <c r="AN673" s="95"/>
      <c r="AO673" s="95"/>
      <c r="AP673" s="95"/>
      <c r="AQ673" s="95"/>
    </row>
    <row r="674" spans="1:43" ht="12.75" x14ac:dyDescent="0.35">
      <c r="A674" s="41" t="s">
        <v>2184</v>
      </c>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c r="AA674" s="95"/>
      <c r="AB674" s="95"/>
      <c r="AC674" s="95"/>
      <c r="AD674" s="95"/>
      <c r="AE674" s="95"/>
      <c r="AF674" s="95"/>
      <c r="AG674" s="95"/>
      <c r="AH674" s="95"/>
      <c r="AI674" s="95"/>
      <c r="AJ674" s="95"/>
      <c r="AK674" s="95"/>
      <c r="AL674" s="95"/>
      <c r="AM674" s="95"/>
      <c r="AN674" s="95"/>
      <c r="AO674" s="95"/>
      <c r="AP674" s="95"/>
      <c r="AQ674" s="95"/>
    </row>
    <row r="675" spans="1:43" ht="12.75" x14ac:dyDescent="0.35">
      <c r="A675" s="41" t="s">
        <v>2187</v>
      </c>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c r="AA675" s="95"/>
      <c r="AB675" s="95"/>
      <c r="AC675" s="95"/>
      <c r="AD675" s="95"/>
      <c r="AE675" s="95"/>
      <c r="AF675" s="95"/>
      <c r="AG675" s="95"/>
      <c r="AH675" s="95"/>
      <c r="AI675" s="95"/>
      <c r="AJ675" s="95"/>
      <c r="AK675" s="95"/>
      <c r="AL675" s="95"/>
      <c r="AM675" s="95"/>
      <c r="AN675" s="95"/>
      <c r="AO675" s="95"/>
      <c r="AP675" s="95"/>
      <c r="AQ675" s="95"/>
    </row>
    <row r="676" spans="1:43" ht="12.75" x14ac:dyDescent="0.35">
      <c r="A676" s="41" t="s">
        <v>2190</v>
      </c>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c r="AA676" s="95"/>
      <c r="AB676" s="95"/>
      <c r="AC676" s="95"/>
      <c r="AD676" s="95"/>
      <c r="AE676" s="95"/>
      <c r="AF676" s="95"/>
      <c r="AG676" s="95"/>
      <c r="AH676" s="95"/>
      <c r="AI676" s="95"/>
      <c r="AJ676" s="95"/>
      <c r="AK676" s="95"/>
      <c r="AL676" s="95"/>
      <c r="AM676" s="95"/>
      <c r="AN676" s="95"/>
      <c r="AO676" s="95"/>
      <c r="AP676" s="95"/>
      <c r="AQ676" s="95"/>
    </row>
    <row r="677" spans="1:43" ht="12.75" x14ac:dyDescent="0.35">
      <c r="A677" s="41" t="s">
        <v>2193</v>
      </c>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c r="AA677" s="95"/>
      <c r="AB677" s="95"/>
      <c r="AC677" s="95"/>
      <c r="AD677" s="95"/>
      <c r="AE677" s="95"/>
      <c r="AF677" s="95"/>
      <c r="AG677" s="95"/>
      <c r="AH677" s="95"/>
      <c r="AI677" s="95"/>
      <c r="AJ677" s="95"/>
      <c r="AK677" s="95"/>
      <c r="AL677" s="95"/>
      <c r="AM677" s="95"/>
      <c r="AN677" s="95"/>
      <c r="AO677" s="95"/>
      <c r="AP677" s="95"/>
      <c r="AQ677" s="95"/>
    </row>
    <row r="678" spans="1:43" ht="12.75" x14ac:dyDescent="0.35">
      <c r="A678" s="41" t="s">
        <v>2196</v>
      </c>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c r="AA678" s="95"/>
      <c r="AB678" s="95"/>
      <c r="AC678" s="95"/>
      <c r="AD678" s="95"/>
      <c r="AE678" s="95"/>
      <c r="AF678" s="95"/>
      <c r="AG678" s="95"/>
      <c r="AH678" s="95"/>
      <c r="AI678" s="95"/>
      <c r="AJ678" s="95"/>
      <c r="AK678" s="95"/>
      <c r="AL678" s="95"/>
      <c r="AM678" s="95"/>
      <c r="AN678" s="95"/>
      <c r="AO678" s="95"/>
      <c r="AP678" s="95"/>
      <c r="AQ678" s="95"/>
    </row>
    <row r="679" spans="1:43" ht="12.75" x14ac:dyDescent="0.35">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c r="AA679" s="95"/>
      <c r="AB679" s="95"/>
      <c r="AC679" s="95"/>
      <c r="AD679" s="95"/>
      <c r="AE679" s="95"/>
      <c r="AF679" s="95"/>
      <c r="AG679" s="95"/>
      <c r="AH679" s="95"/>
      <c r="AI679" s="95"/>
      <c r="AJ679" s="95"/>
      <c r="AK679" s="95"/>
      <c r="AL679" s="95"/>
      <c r="AM679" s="95"/>
      <c r="AN679" s="95"/>
      <c r="AO679" s="95"/>
      <c r="AP679" s="95"/>
      <c r="AQ679" s="95"/>
    </row>
    <row r="680" spans="1:43" ht="12.75" x14ac:dyDescent="0.35">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c r="AA680" s="95"/>
      <c r="AB680" s="95"/>
      <c r="AC680" s="95"/>
      <c r="AD680" s="95"/>
      <c r="AE680" s="95"/>
      <c r="AF680" s="95"/>
      <c r="AG680" s="95"/>
      <c r="AH680" s="95"/>
      <c r="AI680" s="95"/>
      <c r="AJ680" s="95"/>
      <c r="AK680" s="95"/>
      <c r="AL680" s="95"/>
      <c r="AM680" s="95"/>
      <c r="AN680" s="95"/>
      <c r="AO680" s="95"/>
      <c r="AP680" s="95"/>
      <c r="AQ680" s="95"/>
    </row>
    <row r="681" spans="1:43" ht="12.75" x14ac:dyDescent="0.35">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c r="AA681" s="95"/>
      <c r="AB681" s="95"/>
      <c r="AC681" s="95"/>
      <c r="AD681" s="95"/>
      <c r="AE681" s="95"/>
      <c r="AF681" s="95"/>
      <c r="AG681" s="95"/>
      <c r="AH681" s="95"/>
      <c r="AI681" s="95"/>
      <c r="AJ681" s="95"/>
      <c r="AK681" s="95"/>
      <c r="AL681" s="95"/>
      <c r="AM681" s="95"/>
      <c r="AN681" s="95"/>
      <c r="AO681" s="95"/>
      <c r="AP681" s="95"/>
      <c r="AQ681" s="95"/>
    </row>
    <row r="682" spans="1:43" ht="12.75" x14ac:dyDescent="0.35">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c r="AA682" s="95"/>
      <c r="AB682" s="95"/>
      <c r="AC682" s="95"/>
      <c r="AD682" s="95"/>
      <c r="AE682" s="95"/>
      <c r="AF682" s="95"/>
      <c r="AG682" s="95"/>
      <c r="AH682" s="95"/>
      <c r="AI682" s="95"/>
      <c r="AJ682" s="95"/>
      <c r="AK682" s="95"/>
      <c r="AL682" s="95"/>
      <c r="AM682" s="95"/>
      <c r="AN682" s="95"/>
      <c r="AO682" s="95"/>
      <c r="AP682" s="95"/>
      <c r="AQ682" s="95"/>
    </row>
    <row r="683" spans="1:43" ht="12.75" x14ac:dyDescent="0.35">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c r="AA683" s="95"/>
      <c r="AB683" s="95"/>
      <c r="AC683" s="95"/>
      <c r="AD683" s="95"/>
      <c r="AE683" s="95"/>
      <c r="AF683" s="95"/>
      <c r="AG683" s="95"/>
      <c r="AH683" s="95"/>
      <c r="AI683" s="95"/>
      <c r="AJ683" s="95"/>
      <c r="AK683" s="95"/>
      <c r="AL683" s="95"/>
      <c r="AM683" s="95"/>
      <c r="AN683" s="95"/>
      <c r="AO683" s="95"/>
      <c r="AP683" s="95"/>
      <c r="AQ683" s="95"/>
    </row>
    <row r="684" spans="1:43" ht="12.75" x14ac:dyDescent="0.35">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c r="AA684" s="95"/>
      <c r="AB684" s="95"/>
      <c r="AC684" s="95"/>
      <c r="AD684" s="95"/>
      <c r="AE684" s="95"/>
      <c r="AF684" s="95"/>
      <c r="AG684" s="95"/>
      <c r="AH684" s="95"/>
      <c r="AI684" s="95"/>
      <c r="AJ684" s="95"/>
      <c r="AK684" s="95"/>
      <c r="AL684" s="95"/>
      <c r="AM684" s="95"/>
      <c r="AN684" s="95"/>
      <c r="AO684" s="95"/>
      <c r="AP684" s="95"/>
      <c r="AQ684" s="95"/>
    </row>
    <row r="685" spans="1:43" ht="12.75" x14ac:dyDescent="0.35">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c r="AA685" s="95"/>
      <c r="AB685" s="95"/>
      <c r="AC685" s="95"/>
      <c r="AD685" s="95"/>
      <c r="AE685" s="95"/>
      <c r="AF685" s="95"/>
      <c r="AG685" s="95"/>
      <c r="AH685" s="95"/>
      <c r="AI685" s="95"/>
      <c r="AJ685" s="95"/>
      <c r="AK685" s="95"/>
      <c r="AL685" s="95"/>
      <c r="AM685" s="95"/>
      <c r="AN685" s="95"/>
      <c r="AO685" s="95"/>
      <c r="AP685" s="95"/>
      <c r="AQ685" s="95"/>
    </row>
    <row r="686" spans="1:43" ht="12.75" x14ac:dyDescent="0.35">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c r="AA686" s="95"/>
      <c r="AB686" s="95"/>
      <c r="AC686" s="95"/>
      <c r="AD686" s="95"/>
      <c r="AE686" s="95"/>
      <c r="AF686" s="95"/>
      <c r="AG686" s="95"/>
      <c r="AH686" s="95"/>
      <c r="AI686" s="95"/>
      <c r="AJ686" s="95"/>
      <c r="AK686" s="95"/>
      <c r="AL686" s="95"/>
      <c r="AM686" s="95"/>
      <c r="AN686" s="95"/>
      <c r="AO686" s="95"/>
      <c r="AP686" s="95"/>
      <c r="AQ686" s="95"/>
    </row>
    <row r="687" spans="1:43" ht="12.75" x14ac:dyDescent="0.35">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c r="AA687" s="95"/>
      <c r="AB687" s="95"/>
      <c r="AC687" s="95"/>
      <c r="AD687" s="95"/>
      <c r="AE687" s="95"/>
      <c r="AF687" s="95"/>
      <c r="AG687" s="95"/>
      <c r="AH687" s="95"/>
      <c r="AI687" s="95"/>
      <c r="AJ687" s="95"/>
      <c r="AK687" s="95"/>
      <c r="AL687" s="95"/>
      <c r="AM687" s="95"/>
      <c r="AN687" s="95"/>
      <c r="AO687" s="95"/>
      <c r="AP687" s="95"/>
      <c r="AQ687" s="95"/>
    </row>
    <row r="688" spans="1:43" ht="12.75" x14ac:dyDescent="0.35">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c r="AA688" s="95"/>
      <c r="AB688" s="95"/>
      <c r="AC688" s="95"/>
      <c r="AD688" s="95"/>
      <c r="AE688" s="95"/>
      <c r="AF688" s="95"/>
      <c r="AG688" s="95"/>
      <c r="AH688" s="95"/>
      <c r="AI688" s="95"/>
      <c r="AJ688" s="95"/>
      <c r="AK688" s="95"/>
      <c r="AL688" s="95"/>
      <c r="AM688" s="95"/>
      <c r="AN688" s="95"/>
      <c r="AO688" s="95"/>
      <c r="AP688" s="95"/>
      <c r="AQ688" s="95"/>
    </row>
    <row r="689" spans="1:43" ht="12.75" x14ac:dyDescent="0.35">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c r="AA689" s="95"/>
      <c r="AB689" s="95"/>
      <c r="AC689" s="95"/>
      <c r="AD689" s="95"/>
      <c r="AE689" s="95"/>
      <c r="AF689" s="95"/>
      <c r="AG689" s="95"/>
      <c r="AH689" s="95"/>
      <c r="AI689" s="95"/>
      <c r="AJ689" s="95"/>
      <c r="AK689" s="95"/>
      <c r="AL689" s="95"/>
      <c r="AM689" s="95"/>
      <c r="AN689" s="95"/>
      <c r="AO689" s="95"/>
      <c r="AP689" s="95"/>
      <c r="AQ689" s="95"/>
    </row>
    <row r="690" spans="1:43" ht="12.75" x14ac:dyDescent="0.35">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c r="AA690" s="95"/>
      <c r="AB690" s="95"/>
      <c r="AC690" s="95"/>
      <c r="AD690" s="95"/>
      <c r="AE690" s="95"/>
      <c r="AF690" s="95"/>
      <c r="AG690" s="95"/>
      <c r="AH690" s="95"/>
      <c r="AI690" s="95"/>
      <c r="AJ690" s="95"/>
      <c r="AK690" s="95"/>
      <c r="AL690" s="95"/>
      <c r="AM690" s="95"/>
      <c r="AN690" s="95"/>
      <c r="AO690" s="95"/>
      <c r="AP690" s="95"/>
      <c r="AQ690" s="95"/>
    </row>
    <row r="691" spans="1:43" ht="12.75" x14ac:dyDescent="0.35">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c r="AA691" s="95"/>
      <c r="AB691" s="95"/>
      <c r="AC691" s="95"/>
      <c r="AD691" s="95"/>
      <c r="AE691" s="95"/>
      <c r="AF691" s="95"/>
      <c r="AG691" s="95"/>
      <c r="AH691" s="95"/>
      <c r="AI691" s="95"/>
      <c r="AJ691" s="95"/>
      <c r="AK691" s="95"/>
      <c r="AL691" s="95"/>
      <c r="AM691" s="95"/>
      <c r="AN691" s="95"/>
      <c r="AO691" s="95"/>
      <c r="AP691" s="95"/>
      <c r="AQ691" s="95"/>
    </row>
    <row r="692" spans="1:43" ht="12.75" x14ac:dyDescent="0.35">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c r="AA692" s="95"/>
      <c r="AB692" s="95"/>
      <c r="AC692" s="95"/>
      <c r="AD692" s="95"/>
      <c r="AE692" s="95"/>
      <c r="AF692" s="95"/>
      <c r="AG692" s="95"/>
      <c r="AH692" s="95"/>
      <c r="AI692" s="95"/>
      <c r="AJ692" s="95"/>
      <c r="AK692" s="95"/>
      <c r="AL692" s="95"/>
      <c r="AM692" s="95"/>
      <c r="AN692" s="95"/>
      <c r="AO692" s="95"/>
      <c r="AP692" s="95"/>
      <c r="AQ692" s="95"/>
    </row>
    <row r="693" spans="1:43" ht="12.75" x14ac:dyDescent="0.35">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c r="AA693" s="95"/>
      <c r="AB693" s="95"/>
      <c r="AC693" s="95"/>
      <c r="AD693" s="95"/>
      <c r="AE693" s="95"/>
      <c r="AF693" s="95"/>
      <c r="AG693" s="95"/>
      <c r="AH693" s="95"/>
      <c r="AI693" s="95"/>
      <c r="AJ693" s="95"/>
      <c r="AK693" s="95"/>
      <c r="AL693" s="95"/>
      <c r="AM693" s="95"/>
      <c r="AN693" s="95"/>
      <c r="AO693" s="95"/>
      <c r="AP693" s="95"/>
      <c r="AQ693" s="95"/>
    </row>
    <row r="694" spans="1:43" ht="12.75" x14ac:dyDescent="0.35">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c r="AA694" s="95"/>
      <c r="AB694" s="95"/>
      <c r="AC694" s="95"/>
      <c r="AD694" s="95"/>
      <c r="AE694" s="95"/>
      <c r="AF694" s="95"/>
      <c r="AG694" s="95"/>
      <c r="AH694" s="95"/>
      <c r="AI694" s="95"/>
      <c r="AJ694" s="95"/>
      <c r="AK694" s="95"/>
      <c r="AL694" s="95"/>
      <c r="AM694" s="95"/>
      <c r="AN694" s="95"/>
      <c r="AO694" s="95"/>
      <c r="AP694" s="95"/>
      <c r="AQ694" s="95"/>
    </row>
    <row r="695" spans="1:43" ht="12.75" x14ac:dyDescent="0.35">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c r="AA695" s="95"/>
      <c r="AB695" s="95"/>
      <c r="AC695" s="95"/>
      <c r="AD695" s="95"/>
      <c r="AE695" s="95"/>
      <c r="AF695" s="95"/>
      <c r="AG695" s="95"/>
      <c r="AH695" s="95"/>
      <c r="AI695" s="95"/>
      <c r="AJ695" s="95"/>
      <c r="AK695" s="95"/>
      <c r="AL695" s="95"/>
      <c r="AM695" s="95"/>
      <c r="AN695" s="95"/>
      <c r="AO695" s="95"/>
      <c r="AP695" s="95"/>
      <c r="AQ695" s="95"/>
    </row>
    <row r="696" spans="1:43" ht="12.75" x14ac:dyDescent="0.35">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c r="AA696" s="95"/>
      <c r="AB696" s="95"/>
      <c r="AC696" s="95"/>
      <c r="AD696" s="95"/>
      <c r="AE696" s="95"/>
      <c r="AF696" s="95"/>
      <c r="AG696" s="95"/>
      <c r="AH696" s="95"/>
      <c r="AI696" s="95"/>
      <c r="AJ696" s="95"/>
      <c r="AK696" s="95"/>
      <c r="AL696" s="95"/>
      <c r="AM696" s="95"/>
      <c r="AN696" s="95"/>
      <c r="AO696" s="95"/>
      <c r="AP696" s="95"/>
      <c r="AQ696" s="95"/>
    </row>
    <row r="697" spans="1:43" ht="12.75" x14ac:dyDescent="0.35">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c r="AA697" s="95"/>
      <c r="AB697" s="95"/>
      <c r="AC697" s="95"/>
      <c r="AD697" s="95"/>
      <c r="AE697" s="95"/>
      <c r="AF697" s="95"/>
      <c r="AG697" s="95"/>
      <c r="AH697" s="95"/>
      <c r="AI697" s="95"/>
      <c r="AJ697" s="95"/>
      <c r="AK697" s="95"/>
      <c r="AL697" s="95"/>
      <c r="AM697" s="95"/>
      <c r="AN697" s="95"/>
      <c r="AO697" s="95"/>
      <c r="AP697" s="95"/>
      <c r="AQ697" s="95"/>
    </row>
    <row r="698" spans="1:43" ht="12.75" x14ac:dyDescent="0.35">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c r="AA698" s="95"/>
      <c r="AB698" s="95"/>
      <c r="AC698" s="95"/>
      <c r="AD698" s="95"/>
      <c r="AE698" s="95"/>
      <c r="AF698" s="95"/>
      <c r="AG698" s="95"/>
      <c r="AH698" s="95"/>
      <c r="AI698" s="95"/>
      <c r="AJ698" s="95"/>
      <c r="AK698" s="95"/>
      <c r="AL698" s="95"/>
      <c r="AM698" s="95"/>
      <c r="AN698" s="95"/>
      <c r="AO698" s="95"/>
      <c r="AP698" s="95"/>
      <c r="AQ698" s="95"/>
    </row>
    <row r="699" spans="1:43" ht="12.75" x14ac:dyDescent="0.35">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c r="AA699" s="95"/>
      <c r="AB699" s="95"/>
      <c r="AC699" s="95"/>
      <c r="AD699" s="95"/>
      <c r="AE699" s="95"/>
      <c r="AF699" s="95"/>
      <c r="AG699" s="95"/>
      <c r="AH699" s="95"/>
      <c r="AI699" s="95"/>
      <c r="AJ699" s="95"/>
      <c r="AK699" s="95"/>
      <c r="AL699" s="95"/>
      <c r="AM699" s="95"/>
      <c r="AN699" s="95"/>
      <c r="AO699" s="95"/>
      <c r="AP699" s="95"/>
      <c r="AQ699" s="95"/>
    </row>
    <row r="700" spans="1:43" ht="12.75" x14ac:dyDescent="0.35">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c r="AA700" s="95"/>
      <c r="AB700" s="95"/>
      <c r="AC700" s="95"/>
      <c r="AD700" s="95"/>
      <c r="AE700" s="95"/>
      <c r="AF700" s="95"/>
      <c r="AG700" s="95"/>
      <c r="AH700" s="95"/>
      <c r="AI700" s="95"/>
      <c r="AJ700" s="95"/>
      <c r="AK700" s="95"/>
      <c r="AL700" s="95"/>
      <c r="AM700" s="95"/>
      <c r="AN700" s="95"/>
      <c r="AO700" s="95"/>
      <c r="AP700" s="95"/>
      <c r="AQ700" s="95"/>
    </row>
    <row r="701" spans="1:43" ht="12.75" x14ac:dyDescent="0.35">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c r="AA701" s="95"/>
      <c r="AB701" s="95"/>
      <c r="AC701" s="95"/>
      <c r="AD701" s="95"/>
      <c r="AE701" s="95"/>
      <c r="AF701" s="95"/>
      <c r="AG701" s="95"/>
      <c r="AH701" s="95"/>
      <c r="AI701" s="95"/>
      <c r="AJ701" s="95"/>
      <c r="AK701" s="95"/>
      <c r="AL701" s="95"/>
      <c r="AM701" s="95"/>
      <c r="AN701" s="95"/>
      <c r="AO701" s="95"/>
      <c r="AP701" s="95"/>
      <c r="AQ701" s="95"/>
    </row>
    <row r="702" spans="1:43" ht="12.75" x14ac:dyDescent="0.35">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c r="AA702" s="95"/>
      <c r="AB702" s="95"/>
      <c r="AC702" s="95"/>
      <c r="AD702" s="95"/>
      <c r="AE702" s="95"/>
      <c r="AF702" s="95"/>
      <c r="AG702" s="95"/>
      <c r="AH702" s="95"/>
      <c r="AI702" s="95"/>
      <c r="AJ702" s="95"/>
      <c r="AK702" s="95"/>
      <c r="AL702" s="95"/>
      <c r="AM702" s="95"/>
      <c r="AN702" s="95"/>
      <c r="AO702" s="95"/>
      <c r="AP702" s="95"/>
      <c r="AQ702" s="95"/>
    </row>
    <row r="703" spans="1:43" ht="12.75" x14ac:dyDescent="0.35">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c r="AA703" s="95"/>
      <c r="AB703" s="95"/>
      <c r="AC703" s="95"/>
      <c r="AD703" s="95"/>
      <c r="AE703" s="95"/>
      <c r="AF703" s="95"/>
      <c r="AG703" s="95"/>
      <c r="AH703" s="95"/>
      <c r="AI703" s="95"/>
      <c r="AJ703" s="95"/>
      <c r="AK703" s="95"/>
      <c r="AL703" s="95"/>
      <c r="AM703" s="95"/>
      <c r="AN703" s="95"/>
      <c r="AO703" s="95"/>
      <c r="AP703" s="95"/>
      <c r="AQ703" s="95"/>
    </row>
    <row r="704" spans="1:43" ht="12.75" x14ac:dyDescent="0.35">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c r="AA704" s="95"/>
      <c r="AB704" s="95"/>
      <c r="AC704" s="95"/>
      <c r="AD704" s="95"/>
      <c r="AE704" s="95"/>
      <c r="AF704" s="95"/>
      <c r="AG704" s="95"/>
      <c r="AH704" s="95"/>
      <c r="AI704" s="95"/>
      <c r="AJ704" s="95"/>
      <c r="AK704" s="95"/>
      <c r="AL704" s="95"/>
      <c r="AM704" s="95"/>
      <c r="AN704" s="95"/>
      <c r="AO704" s="95"/>
      <c r="AP704" s="95"/>
      <c r="AQ704" s="95"/>
    </row>
    <row r="705" spans="1:43" ht="12.75" x14ac:dyDescent="0.35">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c r="AA705" s="95"/>
      <c r="AB705" s="95"/>
      <c r="AC705" s="95"/>
      <c r="AD705" s="95"/>
      <c r="AE705" s="95"/>
      <c r="AF705" s="95"/>
      <c r="AG705" s="95"/>
      <c r="AH705" s="95"/>
      <c r="AI705" s="95"/>
      <c r="AJ705" s="95"/>
      <c r="AK705" s="95"/>
      <c r="AL705" s="95"/>
      <c r="AM705" s="95"/>
      <c r="AN705" s="95"/>
      <c r="AO705" s="95"/>
      <c r="AP705" s="95"/>
      <c r="AQ705" s="95"/>
    </row>
    <row r="706" spans="1:43" ht="12.75" x14ac:dyDescent="0.35">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c r="AA706" s="95"/>
      <c r="AB706" s="95"/>
      <c r="AC706" s="95"/>
      <c r="AD706" s="95"/>
      <c r="AE706" s="95"/>
      <c r="AF706" s="95"/>
      <c r="AG706" s="95"/>
      <c r="AH706" s="95"/>
      <c r="AI706" s="95"/>
      <c r="AJ706" s="95"/>
      <c r="AK706" s="95"/>
      <c r="AL706" s="95"/>
      <c r="AM706" s="95"/>
      <c r="AN706" s="95"/>
      <c r="AO706" s="95"/>
      <c r="AP706" s="95"/>
      <c r="AQ706" s="95"/>
    </row>
    <row r="707" spans="1:43" ht="12.75" x14ac:dyDescent="0.35">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c r="AA707" s="95"/>
      <c r="AB707" s="95"/>
      <c r="AC707" s="95"/>
      <c r="AD707" s="95"/>
      <c r="AE707" s="95"/>
      <c r="AF707" s="95"/>
      <c r="AG707" s="95"/>
      <c r="AH707" s="95"/>
      <c r="AI707" s="95"/>
      <c r="AJ707" s="95"/>
      <c r="AK707" s="95"/>
      <c r="AL707" s="95"/>
      <c r="AM707" s="95"/>
      <c r="AN707" s="95"/>
      <c r="AO707" s="95"/>
      <c r="AP707" s="95"/>
      <c r="AQ707" s="95"/>
    </row>
    <row r="708" spans="1:43" ht="12.75" x14ac:dyDescent="0.35">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c r="AA708" s="95"/>
      <c r="AB708" s="95"/>
      <c r="AC708" s="95"/>
      <c r="AD708" s="95"/>
      <c r="AE708" s="95"/>
      <c r="AF708" s="95"/>
      <c r="AG708" s="95"/>
      <c r="AH708" s="95"/>
      <c r="AI708" s="95"/>
      <c r="AJ708" s="95"/>
      <c r="AK708" s="95"/>
      <c r="AL708" s="95"/>
      <c r="AM708" s="95"/>
      <c r="AN708" s="95"/>
      <c r="AO708" s="95"/>
      <c r="AP708" s="95"/>
      <c r="AQ708" s="95"/>
    </row>
    <row r="709" spans="1:43" ht="12.75" x14ac:dyDescent="0.35">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c r="AA709" s="95"/>
      <c r="AB709" s="95"/>
      <c r="AC709" s="95"/>
      <c r="AD709" s="95"/>
      <c r="AE709" s="95"/>
      <c r="AF709" s="95"/>
      <c r="AG709" s="95"/>
      <c r="AH709" s="95"/>
      <c r="AI709" s="95"/>
      <c r="AJ709" s="95"/>
      <c r="AK709" s="95"/>
      <c r="AL709" s="95"/>
      <c r="AM709" s="95"/>
      <c r="AN709" s="95"/>
      <c r="AO709" s="95"/>
      <c r="AP709" s="95"/>
      <c r="AQ709" s="95"/>
    </row>
    <row r="710" spans="1:43" ht="12.75" x14ac:dyDescent="0.35">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c r="AA710" s="95"/>
      <c r="AB710" s="95"/>
      <c r="AC710" s="95"/>
      <c r="AD710" s="95"/>
      <c r="AE710" s="95"/>
      <c r="AF710" s="95"/>
      <c r="AG710" s="95"/>
      <c r="AH710" s="95"/>
      <c r="AI710" s="95"/>
      <c r="AJ710" s="95"/>
      <c r="AK710" s="95"/>
      <c r="AL710" s="95"/>
      <c r="AM710" s="95"/>
      <c r="AN710" s="95"/>
      <c r="AO710" s="95"/>
      <c r="AP710" s="95"/>
      <c r="AQ710" s="95"/>
    </row>
    <row r="711" spans="1:43" ht="12.75" x14ac:dyDescent="0.35">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c r="AA711" s="95"/>
      <c r="AB711" s="95"/>
      <c r="AC711" s="95"/>
      <c r="AD711" s="95"/>
      <c r="AE711" s="95"/>
      <c r="AF711" s="95"/>
      <c r="AG711" s="95"/>
      <c r="AH711" s="95"/>
      <c r="AI711" s="95"/>
      <c r="AJ711" s="95"/>
      <c r="AK711" s="95"/>
      <c r="AL711" s="95"/>
      <c r="AM711" s="95"/>
      <c r="AN711" s="95"/>
      <c r="AO711" s="95"/>
      <c r="AP711" s="95"/>
      <c r="AQ711" s="95"/>
    </row>
    <row r="712" spans="1:43" ht="12.75" x14ac:dyDescent="0.35">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c r="AA712" s="95"/>
      <c r="AB712" s="95"/>
      <c r="AC712" s="95"/>
      <c r="AD712" s="95"/>
      <c r="AE712" s="95"/>
      <c r="AF712" s="95"/>
      <c r="AG712" s="95"/>
      <c r="AH712" s="95"/>
      <c r="AI712" s="95"/>
      <c r="AJ712" s="95"/>
      <c r="AK712" s="95"/>
      <c r="AL712" s="95"/>
      <c r="AM712" s="95"/>
      <c r="AN712" s="95"/>
      <c r="AO712" s="95"/>
      <c r="AP712" s="95"/>
      <c r="AQ712" s="95"/>
    </row>
    <row r="713" spans="1:43" ht="12.75" x14ac:dyDescent="0.35">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c r="AA713" s="95"/>
      <c r="AB713" s="95"/>
      <c r="AC713" s="95"/>
      <c r="AD713" s="95"/>
      <c r="AE713" s="95"/>
      <c r="AF713" s="95"/>
      <c r="AG713" s="95"/>
      <c r="AH713" s="95"/>
      <c r="AI713" s="95"/>
      <c r="AJ713" s="95"/>
      <c r="AK713" s="95"/>
      <c r="AL713" s="95"/>
      <c r="AM713" s="95"/>
      <c r="AN713" s="95"/>
      <c r="AO713" s="95"/>
      <c r="AP713" s="95"/>
      <c r="AQ713" s="95"/>
    </row>
    <row r="714" spans="1:43" ht="12.75" x14ac:dyDescent="0.35">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c r="AA714" s="95"/>
      <c r="AB714" s="95"/>
      <c r="AC714" s="95"/>
      <c r="AD714" s="95"/>
      <c r="AE714" s="95"/>
      <c r="AF714" s="95"/>
      <c r="AG714" s="95"/>
      <c r="AH714" s="95"/>
      <c r="AI714" s="95"/>
      <c r="AJ714" s="95"/>
      <c r="AK714" s="95"/>
      <c r="AL714" s="95"/>
      <c r="AM714" s="95"/>
      <c r="AN714" s="95"/>
      <c r="AO714" s="95"/>
      <c r="AP714" s="95"/>
      <c r="AQ714" s="95"/>
    </row>
    <row r="715" spans="1:43" ht="12.75" x14ac:dyDescent="0.35">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c r="AA715" s="95"/>
      <c r="AB715" s="95"/>
      <c r="AC715" s="95"/>
      <c r="AD715" s="95"/>
      <c r="AE715" s="95"/>
      <c r="AF715" s="95"/>
      <c r="AG715" s="95"/>
      <c r="AH715" s="95"/>
      <c r="AI715" s="95"/>
      <c r="AJ715" s="95"/>
      <c r="AK715" s="95"/>
      <c r="AL715" s="95"/>
      <c r="AM715" s="95"/>
      <c r="AN715" s="95"/>
      <c r="AO715" s="95"/>
      <c r="AP715" s="95"/>
      <c r="AQ715" s="95"/>
    </row>
    <row r="716" spans="1:43" ht="12.75" x14ac:dyDescent="0.35">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c r="AA716" s="95"/>
      <c r="AB716" s="95"/>
      <c r="AC716" s="95"/>
      <c r="AD716" s="95"/>
      <c r="AE716" s="95"/>
      <c r="AF716" s="95"/>
      <c r="AG716" s="95"/>
      <c r="AH716" s="95"/>
      <c r="AI716" s="95"/>
      <c r="AJ716" s="95"/>
      <c r="AK716" s="95"/>
      <c r="AL716" s="95"/>
      <c r="AM716" s="95"/>
      <c r="AN716" s="95"/>
      <c r="AO716" s="95"/>
      <c r="AP716" s="95"/>
      <c r="AQ716" s="95"/>
    </row>
    <row r="717" spans="1:43" ht="12.75" x14ac:dyDescent="0.35">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c r="AA717" s="95"/>
      <c r="AB717" s="95"/>
      <c r="AC717" s="95"/>
      <c r="AD717" s="95"/>
      <c r="AE717" s="95"/>
      <c r="AF717" s="95"/>
      <c r="AG717" s="95"/>
      <c r="AH717" s="95"/>
      <c r="AI717" s="95"/>
      <c r="AJ717" s="95"/>
      <c r="AK717" s="95"/>
      <c r="AL717" s="95"/>
      <c r="AM717" s="95"/>
      <c r="AN717" s="95"/>
      <c r="AO717" s="95"/>
      <c r="AP717" s="95"/>
      <c r="AQ717" s="95"/>
    </row>
    <row r="718" spans="1:43" ht="12.75" x14ac:dyDescent="0.35">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c r="AA718" s="95"/>
      <c r="AB718" s="95"/>
      <c r="AC718" s="95"/>
      <c r="AD718" s="95"/>
      <c r="AE718" s="95"/>
      <c r="AF718" s="95"/>
      <c r="AG718" s="95"/>
      <c r="AH718" s="95"/>
      <c r="AI718" s="95"/>
      <c r="AJ718" s="95"/>
      <c r="AK718" s="95"/>
      <c r="AL718" s="95"/>
      <c r="AM718" s="95"/>
      <c r="AN718" s="95"/>
      <c r="AO718" s="95"/>
      <c r="AP718" s="95"/>
      <c r="AQ718" s="95"/>
    </row>
    <row r="719" spans="1:43" ht="12.75" x14ac:dyDescent="0.35">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c r="AA719" s="95"/>
      <c r="AB719" s="95"/>
      <c r="AC719" s="95"/>
      <c r="AD719" s="95"/>
      <c r="AE719" s="95"/>
      <c r="AF719" s="95"/>
      <c r="AG719" s="95"/>
      <c r="AH719" s="95"/>
      <c r="AI719" s="95"/>
      <c r="AJ719" s="95"/>
      <c r="AK719" s="95"/>
      <c r="AL719" s="95"/>
      <c r="AM719" s="95"/>
      <c r="AN719" s="95"/>
      <c r="AO719" s="95"/>
      <c r="AP719" s="95"/>
      <c r="AQ719" s="95"/>
    </row>
    <row r="720" spans="1:43" ht="12.75" x14ac:dyDescent="0.35">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c r="AA720" s="95"/>
      <c r="AB720" s="95"/>
      <c r="AC720" s="95"/>
      <c r="AD720" s="95"/>
      <c r="AE720" s="95"/>
      <c r="AF720" s="95"/>
      <c r="AG720" s="95"/>
      <c r="AH720" s="95"/>
      <c r="AI720" s="95"/>
      <c r="AJ720" s="95"/>
      <c r="AK720" s="95"/>
      <c r="AL720" s="95"/>
      <c r="AM720" s="95"/>
      <c r="AN720" s="95"/>
      <c r="AO720" s="95"/>
      <c r="AP720" s="95"/>
      <c r="AQ720" s="95"/>
    </row>
    <row r="721" spans="1:43" ht="12.75" x14ac:dyDescent="0.35">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c r="AA721" s="95"/>
      <c r="AB721" s="95"/>
      <c r="AC721" s="95"/>
      <c r="AD721" s="95"/>
      <c r="AE721" s="95"/>
      <c r="AF721" s="95"/>
      <c r="AG721" s="95"/>
      <c r="AH721" s="95"/>
      <c r="AI721" s="95"/>
      <c r="AJ721" s="95"/>
      <c r="AK721" s="95"/>
      <c r="AL721" s="95"/>
      <c r="AM721" s="95"/>
      <c r="AN721" s="95"/>
      <c r="AO721" s="95"/>
      <c r="AP721" s="95"/>
      <c r="AQ721" s="95"/>
    </row>
    <row r="722" spans="1:43" ht="12.75" x14ac:dyDescent="0.35">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c r="AA722" s="95"/>
      <c r="AB722" s="95"/>
      <c r="AC722" s="95"/>
      <c r="AD722" s="95"/>
      <c r="AE722" s="95"/>
      <c r="AF722" s="95"/>
      <c r="AG722" s="95"/>
      <c r="AH722" s="95"/>
      <c r="AI722" s="95"/>
      <c r="AJ722" s="95"/>
      <c r="AK722" s="95"/>
      <c r="AL722" s="95"/>
      <c r="AM722" s="95"/>
      <c r="AN722" s="95"/>
      <c r="AO722" s="95"/>
      <c r="AP722" s="95"/>
      <c r="AQ722" s="95"/>
    </row>
    <row r="723" spans="1:43" ht="12.75" x14ac:dyDescent="0.35">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c r="AA723" s="95"/>
      <c r="AB723" s="95"/>
      <c r="AC723" s="95"/>
      <c r="AD723" s="95"/>
      <c r="AE723" s="95"/>
      <c r="AF723" s="95"/>
      <c r="AG723" s="95"/>
      <c r="AH723" s="95"/>
      <c r="AI723" s="95"/>
      <c r="AJ723" s="95"/>
      <c r="AK723" s="95"/>
      <c r="AL723" s="95"/>
      <c r="AM723" s="95"/>
      <c r="AN723" s="95"/>
      <c r="AO723" s="95"/>
      <c r="AP723" s="95"/>
      <c r="AQ723" s="95"/>
    </row>
    <row r="724" spans="1:43" ht="12.75" x14ac:dyDescent="0.35">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c r="AA724" s="95"/>
      <c r="AB724" s="95"/>
      <c r="AC724" s="95"/>
      <c r="AD724" s="95"/>
      <c r="AE724" s="95"/>
      <c r="AF724" s="95"/>
      <c r="AG724" s="95"/>
      <c r="AH724" s="95"/>
      <c r="AI724" s="95"/>
      <c r="AJ724" s="95"/>
      <c r="AK724" s="95"/>
      <c r="AL724" s="95"/>
      <c r="AM724" s="95"/>
      <c r="AN724" s="95"/>
      <c r="AO724" s="95"/>
      <c r="AP724" s="95"/>
      <c r="AQ724" s="95"/>
    </row>
    <row r="725" spans="1:43" ht="12.75" x14ac:dyDescent="0.35">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c r="AA725" s="95"/>
      <c r="AB725" s="95"/>
      <c r="AC725" s="95"/>
      <c r="AD725" s="95"/>
      <c r="AE725" s="95"/>
      <c r="AF725" s="95"/>
      <c r="AG725" s="95"/>
      <c r="AH725" s="95"/>
      <c r="AI725" s="95"/>
      <c r="AJ725" s="95"/>
      <c r="AK725" s="95"/>
      <c r="AL725" s="95"/>
      <c r="AM725" s="95"/>
      <c r="AN725" s="95"/>
      <c r="AO725" s="95"/>
      <c r="AP725" s="95"/>
      <c r="AQ725" s="95"/>
    </row>
    <row r="726" spans="1:43" ht="12.75" x14ac:dyDescent="0.35">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c r="AA726" s="95"/>
      <c r="AB726" s="95"/>
      <c r="AC726" s="95"/>
      <c r="AD726" s="95"/>
      <c r="AE726" s="95"/>
      <c r="AF726" s="95"/>
      <c r="AG726" s="95"/>
      <c r="AH726" s="95"/>
      <c r="AI726" s="95"/>
      <c r="AJ726" s="95"/>
      <c r="AK726" s="95"/>
      <c r="AL726" s="95"/>
      <c r="AM726" s="95"/>
      <c r="AN726" s="95"/>
      <c r="AO726" s="95"/>
      <c r="AP726" s="95"/>
      <c r="AQ726" s="95"/>
    </row>
    <row r="727" spans="1:43" ht="12.75" x14ac:dyDescent="0.35">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c r="AA727" s="95"/>
      <c r="AB727" s="95"/>
      <c r="AC727" s="95"/>
      <c r="AD727" s="95"/>
      <c r="AE727" s="95"/>
      <c r="AF727" s="95"/>
      <c r="AG727" s="95"/>
      <c r="AH727" s="95"/>
      <c r="AI727" s="95"/>
      <c r="AJ727" s="95"/>
      <c r="AK727" s="95"/>
      <c r="AL727" s="95"/>
      <c r="AM727" s="95"/>
      <c r="AN727" s="95"/>
      <c r="AO727" s="95"/>
      <c r="AP727" s="95"/>
      <c r="AQ727" s="95"/>
    </row>
    <row r="728" spans="1:43" ht="12.75" x14ac:dyDescent="0.35">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c r="AA728" s="95"/>
      <c r="AB728" s="95"/>
      <c r="AC728" s="95"/>
      <c r="AD728" s="95"/>
      <c r="AE728" s="95"/>
      <c r="AF728" s="95"/>
      <c r="AG728" s="95"/>
      <c r="AH728" s="95"/>
      <c r="AI728" s="95"/>
      <c r="AJ728" s="95"/>
      <c r="AK728" s="95"/>
      <c r="AL728" s="95"/>
      <c r="AM728" s="95"/>
      <c r="AN728" s="95"/>
      <c r="AO728" s="95"/>
      <c r="AP728" s="95"/>
      <c r="AQ728" s="95"/>
    </row>
    <row r="729" spans="1:43" ht="12.75" x14ac:dyDescent="0.35">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c r="AA729" s="95"/>
      <c r="AB729" s="95"/>
      <c r="AC729" s="95"/>
      <c r="AD729" s="95"/>
      <c r="AE729" s="95"/>
      <c r="AF729" s="95"/>
      <c r="AG729" s="95"/>
      <c r="AH729" s="95"/>
      <c r="AI729" s="95"/>
      <c r="AJ729" s="95"/>
      <c r="AK729" s="95"/>
      <c r="AL729" s="95"/>
      <c r="AM729" s="95"/>
      <c r="AN729" s="95"/>
      <c r="AO729" s="95"/>
      <c r="AP729" s="95"/>
      <c r="AQ729" s="95"/>
    </row>
    <row r="730" spans="1:43" ht="12.75" x14ac:dyDescent="0.35">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c r="AA730" s="95"/>
      <c r="AB730" s="95"/>
      <c r="AC730" s="95"/>
      <c r="AD730" s="95"/>
      <c r="AE730" s="95"/>
      <c r="AF730" s="95"/>
      <c r="AG730" s="95"/>
      <c r="AH730" s="95"/>
      <c r="AI730" s="95"/>
      <c r="AJ730" s="95"/>
      <c r="AK730" s="95"/>
      <c r="AL730" s="95"/>
      <c r="AM730" s="95"/>
      <c r="AN730" s="95"/>
      <c r="AO730" s="95"/>
      <c r="AP730" s="95"/>
      <c r="AQ730" s="95"/>
    </row>
    <row r="731" spans="1:43" ht="12.75" x14ac:dyDescent="0.35">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c r="AA731" s="95"/>
      <c r="AB731" s="95"/>
      <c r="AC731" s="95"/>
      <c r="AD731" s="95"/>
      <c r="AE731" s="95"/>
      <c r="AF731" s="95"/>
      <c r="AG731" s="95"/>
      <c r="AH731" s="95"/>
      <c r="AI731" s="95"/>
      <c r="AJ731" s="95"/>
      <c r="AK731" s="95"/>
      <c r="AL731" s="95"/>
      <c r="AM731" s="95"/>
      <c r="AN731" s="95"/>
      <c r="AO731" s="95"/>
      <c r="AP731" s="95"/>
      <c r="AQ731" s="95"/>
    </row>
    <row r="732" spans="1:43" ht="12.75" x14ac:dyDescent="0.35">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c r="AA732" s="95"/>
      <c r="AB732" s="95"/>
      <c r="AC732" s="95"/>
      <c r="AD732" s="95"/>
      <c r="AE732" s="95"/>
      <c r="AF732" s="95"/>
      <c r="AG732" s="95"/>
      <c r="AH732" s="95"/>
      <c r="AI732" s="95"/>
      <c r="AJ732" s="95"/>
      <c r="AK732" s="95"/>
      <c r="AL732" s="95"/>
      <c r="AM732" s="95"/>
      <c r="AN732" s="95"/>
      <c r="AO732" s="95"/>
      <c r="AP732" s="95"/>
      <c r="AQ732" s="95"/>
    </row>
    <row r="733" spans="1:43" ht="12.75" x14ac:dyDescent="0.35">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c r="AA733" s="95"/>
      <c r="AB733" s="95"/>
      <c r="AC733" s="95"/>
      <c r="AD733" s="95"/>
      <c r="AE733" s="95"/>
      <c r="AF733" s="95"/>
      <c r="AG733" s="95"/>
      <c r="AH733" s="95"/>
      <c r="AI733" s="95"/>
      <c r="AJ733" s="95"/>
      <c r="AK733" s="95"/>
      <c r="AL733" s="95"/>
      <c r="AM733" s="95"/>
      <c r="AN733" s="95"/>
      <c r="AO733" s="95"/>
      <c r="AP733" s="95"/>
      <c r="AQ733" s="95"/>
    </row>
    <row r="734" spans="1:43" ht="12.75" x14ac:dyDescent="0.35">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c r="AA734" s="95"/>
      <c r="AB734" s="95"/>
      <c r="AC734" s="95"/>
      <c r="AD734" s="95"/>
      <c r="AE734" s="95"/>
      <c r="AF734" s="95"/>
      <c r="AG734" s="95"/>
      <c r="AH734" s="95"/>
      <c r="AI734" s="95"/>
      <c r="AJ734" s="95"/>
      <c r="AK734" s="95"/>
      <c r="AL734" s="95"/>
      <c r="AM734" s="95"/>
      <c r="AN734" s="95"/>
      <c r="AO734" s="95"/>
      <c r="AP734" s="95"/>
      <c r="AQ734" s="95"/>
    </row>
    <row r="735" spans="1:43" ht="12.75" x14ac:dyDescent="0.35">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c r="AA735" s="95"/>
      <c r="AB735" s="95"/>
      <c r="AC735" s="95"/>
      <c r="AD735" s="95"/>
      <c r="AE735" s="95"/>
      <c r="AF735" s="95"/>
      <c r="AG735" s="95"/>
      <c r="AH735" s="95"/>
      <c r="AI735" s="95"/>
      <c r="AJ735" s="95"/>
      <c r="AK735" s="95"/>
      <c r="AL735" s="95"/>
      <c r="AM735" s="95"/>
      <c r="AN735" s="95"/>
      <c r="AO735" s="95"/>
      <c r="AP735" s="95"/>
      <c r="AQ735" s="95"/>
    </row>
    <row r="736" spans="1:43" ht="12.75" x14ac:dyDescent="0.35">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c r="AA736" s="95"/>
      <c r="AB736" s="95"/>
      <c r="AC736" s="95"/>
      <c r="AD736" s="95"/>
      <c r="AE736" s="95"/>
      <c r="AF736" s="95"/>
      <c r="AG736" s="95"/>
      <c r="AH736" s="95"/>
      <c r="AI736" s="95"/>
      <c r="AJ736" s="95"/>
      <c r="AK736" s="95"/>
      <c r="AL736" s="95"/>
      <c r="AM736" s="95"/>
      <c r="AN736" s="95"/>
      <c r="AO736" s="95"/>
      <c r="AP736" s="95"/>
      <c r="AQ736" s="95"/>
    </row>
    <row r="737" spans="1:43" ht="12.75" x14ac:dyDescent="0.35">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c r="AA737" s="95"/>
      <c r="AB737" s="95"/>
      <c r="AC737" s="95"/>
      <c r="AD737" s="95"/>
      <c r="AE737" s="95"/>
      <c r="AF737" s="95"/>
      <c r="AG737" s="95"/>
      <c r="AH737" s="95"/>
      <c r="AI737" s="95"/>
      <c r="AJ737" s="95"/>
      <c r="AK737" s="95"/>
      <c r="AL737" s="95"/>
      <c r="AM737" s="95"/>
      <c r="AN737" s="95"/>
      <c r="AO737" s="95"/>
      <c r="AP737" s="95"/>
      <c r="AQ737" s="95"/>
    </row>
    <row r="738" spans="1:43" ht="12.75" x14ac:dyDescent="0.35">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c r="AA738" s="95"/>
      <c r="AB738" s="95"/>
      <c r="AC738" s="95"/>
      <c r="AD738" s="95"/>
      <c r="AE738" s="95"/>
      <c r="AF738" s="95"/>
      <c r="AG738" s="95"/>
      <c r="AH738" s="95"/>
      <c r="AI738" s="95"/>
      <c r="AJ738" s="95"/>
      <c r="AK738" s="95"/>
      <c r="AL738" s="95"/>
      <c r="AM738" s="95"/>
      <c r="AN738" s="95"/>
      <c r="AO738" s="95"/>
      <c r="AP738" s="95"/>
      <c r="AQ738" s="95"/>
    </row>
    <row r="739" spans="1:43" ht="12.75" x14ac:dyDescent="0.35">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c r="AA739" s="95"/>
      <c r="AB739" s="95"/>
      <c r="AC739" s="95"/>
      <c r="AD739" s="95"/>
      <c r="AE739" s="95"/>
      <c r="AF739" s="95"/>
      <c r="AG739" s="95"/>
      <c r="AH739" s="95"/>
      <c r="AI739" s="95"/>
      <c r="AJ739" s="95"/>
      <c r="AK739" s="95"/>
      <c r="AL739" s="95"/>
      <c r="AM739" s="95"/>
      <c r="AN739" s="95"/>
      <c r="AO739" s="95"/>
      <c r="AP739" s="95"/>
      <c r="AQ739" s="95"/>
    </row>
    <row r="740" spans="1:43" ht="12.75" x14ac:dyDescent="0.35">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c r="AA740" s="95"/>
      <c r="AB740" s="95"/>
      <c r="AC740" s="95"/>
      <c r="AD740" s="95"/>
      <c r="AE740" s="95"/>
      <c r="AF740" s="95"/>
      <c r="AG740" s="95"/>
      <c r="AH740" s="95"/>
      <c r="AI740" s="95"/>
      <c r="AJ740" s="95"/>
      <c r="AK740" s="95"/>
      <c r="AL740" s="95"/>
      <c r="AM740" s="95"/>
      <c r="AN740" s="95"/>
      <c r="AO740" s="95"/>
      <c r="AP740" s="95"/>
      <c r="AQ740" s="95"/>
    </row>
    <row r="741" spans="1:43" ht="12.75" x14ac:dyDescent="0.35">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c r="AA741" s="95"/>
      <c r="AB741" s="95"/>
      <c r="AC741" s="95"/>
      <c r="AD741" s="95"/>
      <c r="AE741" s="95"/>
      <c r="AF741" s="95"/>
      <c r="AG741" s="95"/>
      <c r="AH741" s="95"/>
      <c r="AI741" s="95"/>
      <c r="AJ741" s="95"/>
      <c r="AK741" s="95"/>
      <c r="AL741" s="95"/>
      <c r="AM741" s="95"/>
      <c r="AN741" s="95"/>
      <c r="AO741" s="95"/>
      <c r="AP741" s="95"/>
      <c r="AQ741" s="95"/>
    </row>
    <row r="742" spans="1:43" ht="12.75" x14ac:dyDescent="0.35">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c r="AA742" s="95"/>
      <c r="AB742" s="95"/>
      <c r="AC742" s="95"/>
      <c r="AD742" s="95"/>
      <c r="AE742" s="95"/>
      <c r="AF742" s="95"/>
      <c r="AG742" s="95"/>
      <c r="AH742" s="95"/>
      <c r="AI742" s="95"/>
      <c r="AJ742" s="95"/>
      <c r="AK742" s="95"/>
      <c r="AL742" s="95"/>
      <c r="AM742" s="95"/>
      <c r="AN742" s="95"/>
      <c r="AO742" s="95"/>
      <c r="AP742" s="95"/>
      <c r="AQ742" s="95"/>
    </row>
    <row r="743" spans="1:43" ht="12.75" x14ac:dyDescent="0.35">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c r="AA743" s="95"/>
      <c r="AB743" s="95"/>
      <c r="AC743" s="95"/>
      <c r="AD743" s="95"/>
      <c r="AE743" s="95"/>
      <c r="AF743" s="95"/>
      <c r="AG743" s="95"/>
      <c r="AH743" s="95"/>
      <c r="AI743" s="95"/>
      <c r="AJ743" s="95"/>
      <c r="AK743" s="95"/>
      <c r="AL743" s="95"/>
      <c r="AM743" s="95"/>
      <c r="AN743" s="95"/>
      <c r="AO743" s="95"/>
      <c r="AP743" s="95"/>
      <c r="AQ743" s="95"/>
    </row>
    <row r="744" spans="1:43" ht="12.75" x14ac:dyDescent="0.35">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c r="AA744" s="95"/>
      <c r="AB744" s="95"/>
      <c r="AC744" s="95"/>
      <c r="AD744" s="95"/>
      <c r="AE744" s="95"/>
      <c r="AF744" s="95"/>
      <c r="AG744" s="95"/>
      <c r="AH744" s="95"/>
      <c r="AI744" s="95"/>
      <c r="AJ744" s="95"/>
      <c r="AK744" s="95"/>
      <c r="AL744" s="95"/>
      <c r="AM744" s="95"/>
      <c r="AN744" s="95"/>
      <c r="AO744" s="95"/>
      <c r="AP744" s="95"/>
      <c r="AQ744" s="95"/>
    </row>
    <row r="745" spans="1:43" ht="12.75" x14ac:dyDescent="0.35">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c r="AA745" s="95"/>
      <c r="AB745" s="95"/>
      <c r="AC745" s="95"/>
      <c r="AD745" s="95"/>
      <c r="AE745" s="95"/>
      <c r="AF745" s="95"/>
      <c r="AG745" s="95"/>
      <c r="AH745" s="95"/>
      <c r="AI745" s="95"/>
      <c r="AJ745" s="95"/>
      <c r="AK745" s="95"/>
      <c r="AL745" s="95"/>
      <c r="AM745" s="95"/>
      <c r="AN745" s="95"/>
      <c r="AO745" s="95"/>
      <c r="AP745" s="95"/>
      <c r="AQ745" s="95"/>
    </row>
    <row r="746" spans="1:43" ht="12.75" x14ac:dyDescent="0.35">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c r="AA746" s="95"/>
      <c r="AB746" s="95"/>
      <c r="AC746" s="95"/>
      <c r="AD746" s="95"/>
      <c r="AE746" s="95"/>
      <c r="AF746" s="95"/>
      <c r="AG746" s="95"/>
      <c r="AH746" s="95"/>
      <c r="AI746" s="95"/>
      <c r="AJ746" s="95"/>
      <c r="AK746" s="95"/>
      <c r="AL746" s="95"/>
      <c r="AM746" s="95"/>
      <c r="AN746" s="95"/>
      <c r="AO746" s="95"/>
      <c r="AP746" s="95"/>
      <c r="AQ746" s="95"/>
    </row>
    <row r="747" spans="1:43" ht="12.75" x14ac:dyDescent="0.35">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c r="AA747" s="95"/>
      <c r="AB747" s="95"/>
      <c r="AC747" s="95"/>
      <c r="AD747" s="95"/>
      <c r="AE747" s="95"/>
      <c r="AF747" s="95"/>
      <c r="AG747" s="95"/>
      <c r="AH747" s="95"/>
      <c r="AI747" s="95"/>
      <c r="AJ747" s="95"/>
      <c r="AK747" s="95"/>
      <c r="AL747" s="95"/>
      <c r="AM747" s="95"/>
      <c r="AN747" s="95"/>
      <c r="AO747" s="95"/>
      <c r="AP747" s="95"/>
      <c r="AQ747" s="95"/>
    </row>
    <row r="748" spans="1:43" ht="12.75" x14ac:dyDescent="0.35">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c r="AA748" s="95"/>
      <c r="AB748" s="95"/>
      <c r="AC748" s="95"/>
      <c r="AD748" s="95"/>
      <c r="AE748" s="95"/>
      <c r="AF748" s="95"/>
      <c r="AG748" s="95"/>
      <c r="AH748" s="95"/>
      <c r="AI748" s="95"/>
      <c r="AJ748" s="95"/>
      <c r="AK748" s="95"/>
      <c r="AL748" s="95"/>
      <c r="AM748" s="95"/>
      <c r="AN748" s="95"/>
      <c r="AO748" s="95"/>
      <c r="AP748" s="95"/>
      <c r="AQ748" s="95"/>
    </row>
    <row r="749" spans="1:43" ht="12.75" x14ac:dyDescent="0.35">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c r="AA749" s="95"/>
      <c r="AB749" s="95"/>
      <c r="AC749" s="95"/>
      <c r="AD749" s="95"/>
      <c r="AE749" s="95"/>
      <c r="AF749" s="95"/>
      <c r="AG749" s="95"/>
      <c r="AH749" s="95"/>
      <c r="AI749" s="95"/>
      <c r="AJ749" s="95"/>
      <c r="AK749" s="95"/>
      <c r="AL749" s="95"/>
      <c r="AM749" s="95"/>
      <c r="AN749" s="95"/>
      <c r="AO749" s="95"/>
      <c r="AP749" s="95"/>
      <c r="AQ749" s="95"/>
    </row>
    <row r="750" spans="1:43" ht="12.75" x14ac:dyDescent="0.35">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c r="AA750" s="95"/>
      <c r="AB750" s="95"/>
      <c r="AC750" s="95"/>
      <c r="AD750" s="95"/>
      <c r="AE750" s="95"/>
      <c r="AF750" s="95"/>
      <c r="AG750" s="95"/>
      <c r="AH750" s="95"/>
      <c r="AI750" s="95"/>
      <c r="AJ750" s="95"/>
      <c r="AK750" s="95"/>
      <c r="AL750" s="95"/>
      <c r="AM750" s="95"/>
      <c r="AN750" s="95"/>
      <c r="AO750" s="95"/>
      <c r="AP750" s="95"/>
      <c r="AQ750" s="95"/>
    </row>
    <row r="751" spans="1:43" ht="12.75" x14ac:dyDescent="0.35">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c r="AA751" s="95"/>
      <c r="AB751" s="95"/>
      <c r="AC751" s="95"/>
      <c r="AD751" s="95"/>
      <c r="AE751" s="95"/>
      <c r="AF751" s="95"/>
      <c r="AG751" s="95"/>
      <c r="AH751" s="95"/>
      <c r="AI751" s="95"/>
      <c r="AJ751" s="95"/>
      <c r="AK751" s="95"/>
      <c r="AL751" s="95"/>
      <c r="AM751" s="95"/>
      <c r="AN751" s="95"/>
      <c r="AO751" s="95"/>
      <c r="AP751" s="95"/>
      <c r="AQ751" s="95"/>
    </row>
    <row r="752" spans="1:43" ht="12.75" x14ac:dyDescent="0.35">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c r="AA752" s="95"/>
      <c r="AB752" s="95"/>
      <c r="AC752" s="95"/>
      <c r="AD752" s="95"/>
      <c r="AE752" s="95"/>
      <c r="AF752" s="95"/>
      <c r="AG752" s="95"/>
      <c r="AH752" s="95"/>
      <c r="AI752" s="95"/>
      <c r="AJ752" s="95"/>
      <c r="AK752" s="95"/>
      <c r="AL752" s="95"/>
      <c r="AM752" s="95"/>
      <c r="AN752" s="95"/>
      <c r="AO752" s="95"/>
      <c r="AP752" s="95"/>
      <c r="AQ752" s="95"/>
    </row>
    <row r="753" spans="1:43" ht="12.75" x14ac:dyDescent="0.35">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c r="AA753" s="95"/>
      <c r="AB753" s="95"/>
      <c r="AC753" s="95"/>
      <c r="AD753" s="95"/>
      <c r="AE753" s="95"/>
      <c r="AF753" s="95"/>
      <c r="AG753" s="95"/>
      <c r="AH753" s="95"/>
      <c r="AI753" s="95"/>
      <c r="AJ753" s="95"/>
      <c r="AK753" s="95"/>
      <c r="AL753" s="95"/>
      <c r="AM753" s="95"/>
      <c r="AN753" s="95"/>
      <c r="AO753" s="95"/>
      <c r="AP753" s="95"/>
      <c r="AQ753" s="95"/>
    </row>
    <row r="754" spans="1:43" ht="12.75" x14ac:dyDescent="0.35">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c r="AA754" s="95"/>
      <c r="AB754" s="95"/>
      <c r="AC754" s="95"/>
      <c r="AD754" s="95"/>
      <c r="AE754" s="95"/>
      <c r="AF754" s="95"/>
      <c r="AG754" s="95"/>
      <c r="AH754" s="95"/>
      <c r="AI754" s="95"/>
      <c r="AJ754" s="95"/>
      <c r="AK754" s="95"/>
      <c r="AL754" s="95"/>
      <c r="AM754" s="95"/>
      <c r="AN754" s="95"/>
      <c r="AO754" s="95"/>
      <c r="AP754" s="95"/>
      <c r="AQ754" s="95"/>
    </row>
    <row r="755" spans="1:43" ht="12.75" x14ac:dyDescent="0.35">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c r="AA755" s="95"/>
      <c r="AB755" s="95"/>
      <c r="AC755" s="95"/>
      <c r="AD755" s="95"/>
      <c r="AE755" s="95"/>
      <c r="AF755" s="95"/>
      <c r="AG755" s="95"/>
      <c r="AH755" s="95"/>
      <c r="AI755" s="95"/>
      <c r="AJ755" s="95"/>
      <c r="AK755" s="95"/>
      <c r="AL755" s="95"/>
      <c r="AM755" s="95"/>
      <c r="AN755" s="95"/>
      <c r="AO755" s="95"/>
      <c r="AP755" s="95"/>
      <c r="AQ755" s="95"/>
    </row>
    <row r="756" spans="1:43" ht="12.75" x14ac:dyDescent="0.35">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c r="AA756" s="95"/>
      <c r="AB756" s="95"/>
      <c r="AC756" s="95"/>
      <c r="AD756" s="95"/>
      <c r="AE756" s="95"/>
      <c r="AF756" s="95"/>
      <c r="AG756" s="95"/>
      <c r="AH756" s="95"/>
      <c r="AI756" s="95"/>
      <c r="AJ756" s="95"/>
      <c r="AK756" s="95"/>
      <c r="AL756" s="95"/>
      <c r="AM756" s="95"/>
      <c r="AN756" s="95"/>
      <c r="AO756" s="95"/>
      <c r="AP756" s="95"/>
      <c r="AQ756" s="95"/>
    </row>
    <row r="757" spans="1:43" ht="12.75" x14ac:dyDescent="0.35">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c r="AA757" s="95"/>
      <c r="AB757" s="95"/>
      <c r="AC757" s="95"/>
      <c r="AD757" s="95"/>
      <c r="AE757" s="95"/>
      <c r="AF757" s="95"/>
      <c r="AG757" s="95"/>
      <c r="AH757" s="95"/>
      <c r="AI757" s="95"/>
      <c r="AJ757" s="95"/>
      <c r="AK757" s="95"/>
      <c r="AL757" s="95"/>
      <c r="AM757" s="95"/>
      <c r="AN757" s="95"/>
      <c r="AO757" s="95"/>
      <c r="AP757" s="95"/>
      <c r="AQ757" s="95"/>
    </row>
    <row r="758" spans="1:43" ht="12.75" x14ac:dyDescent="0.35">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c r="AA758" s="95"/>
      <c r="AB758" s="95"/>
      <c r="AC758" s="95"/>
      <c r="AD758" s="95"/>
      <c r="AE758" s="95"/>
      <c r="AF758" s="95"/>
      <c r="AG758" s="95"/>
      <c r="AH758" s="95"/>
      <c r="AI758" s="95"/>
      <c r="AJ758" s="95"/>
      <c r="AK758" s="95"/>
      <c r="AL758" s="95"/>
      <c r="AM758" s="95"/>
      <c r="AN758" s="95"/>
      <c r="AO758" s="95"/>
      <c r="AP758" s="95"/>
      <c r="AQ758" s="95"/>
    </row>
    <row r="759" spans="1:43" ht="12.75" x14ac:dyDescent="0.35">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c r="AA759" s="95"/>
      <c r="AB759" s="95"/>
      <c r="AC759" s="95"/>
      <c r="AD759" s="95"/>
      <c r="AE759" s="95"/>
      <c r="AF759" s="95"/>
      <c r="AG759" s="95"/>
      <c r="AH759" s="95"/>
      <c r="AI759" s="95"/>
      <c r="AJ759" s="95"/>
      <c r="AK759" s="95"/>
      <c r="AL759" s="95"/>
      <c r="AM759" s="95"/>
      <c r="AN759" s="95"/>
      <c r="AO759" s="95"/>
      <c r="AP759" s="95"/>
      <c r="AQ759" s="95"/>
    </row>
    <row r="760" spans="1:43" ht="12.75" x14ac:dyDescent="0.35">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c r="AA760" s="95"/>
      <c r="AB760" s="95"/>
      <c r="AC760" s="95"/>
      <c r="AD760" s="95"/>
      <c r="AE760" s="95"/>
      <c r="AF760" s="95"/>
      <c r="AG760" s="95"/>
      <c r="AH760" s="95"/>
      <c r="AI760" s="95"/>
      <c r="AJ760" s="95"/>
      <c r="AK760" s="95"/>
      <c r="AL760" s="95"/>
      <c r="AM760" s="95"/>
      <c r="AN760" s="95"/>
      <c r="AO760" s="95"/>
      <c r="AP760" s="95"/>
      <c r="AQ760" s="95"/>
    </row>
    <row r="761" spans="1:43" ht="12.75" x14ac:dyDescent="0.35">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c r="AA761" s="95"/>
      <c r="AB761" s="95"/>
      <c r="AC761" s="95"/>
      <c r="AD761" s="95"/>
      <c r="AE761" s="95"/>
      <c r="AF761" s="95"/>
      <c r="AG761" s="95"/>
      <c r="AH761" s="95"/>
      <c r="AI761" s="95"/>
      <c r="AJ761" s="95"/>
      <c r="AK761" s="95"/>
      <c r="AL761" s="95"/>
      <c r="AM761" s="95"/>
      <c r="AN761" s="95"/>
      <c r="AO761" s="95"/>
      <c r="AP761" s="95"/>
      <c r="AQ761" s="95"/>
    </row>
    <row r="762" spans="1:43" ht="12.75" x14ac:dyDescent="0.35">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c r="AA762" s="95"/>
      <c r="AB762" s="95"/>
      <c r="AC762" s="95"/>
      <c r="AD762" s="95"/>
      <c r="AE762" s="95"/>
      <c r="AF762" s="95"/>
      <c r="AG762" s="95"/>
      <c r="AH762" s="95"/>
      <c r="AI762" s="95"/>
      <c r="AJ762" s="95"/>
      <c r="AK762" s="95"/>
      <c r="AL762" s="95"/>
      <c r="AM762" s="95"/>
      <c r="AN762" s="95"/>
      <c r="AO762" s="95"/>
      <c r="AP762" s="95"/>
      <c r="AQ762" s="95"/>
    </row>
    <row r="763" spans="1:43" ht="12.75" x14ac:dyDescent="0.35">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c r="AA763" s="95"/>
      <c r="AB763" s="95"/>
      <c r="AC763" s="95"/>
      <c r="AD763" s="95"/>
      <c r="AE763" s="95"/>
      <c r="AF763" s="95"/>
      <c r="AG763" s="95"/>
      <c r="AH763" s="95"/>
      <c r="AI763" s="95"/>
      <c r="AJ763" s="95"/>
      <c r="AK763" s="95"/>
      <c r="AL763" s="95"/>
      <c r="AM763" s="95"/>
      <c r="AN763" s="95"/>
      <c r="AO763" s="95"/>
      <c r="AP763" s="95"/>
      <c r="AQ763" s="95"/>
    </row>
    <row r="764" spans="1:43" ht="12.75" x14ac:dyDescent="0.35">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c r="AA764" s="95"/>
      <c r="AB764" s="95"/>
      <c r="AC764" s="95"/>
      <c r="AD764" s="95"/>
      <c r="AE764" s="95"/>
      <c r="AF764" s="95"/>
      <c r="AG764" s="95"/>
      <c r="AH764" s="95"/>
      <c r="AI764" s="95"/>
      <c r="AJ764" s="95"/>
      <c r="AK764" s="95"/>
      <c r="AL764" s="95"/>
      <c r="AM764" s="95"/>
      <c r="AN764" s="95"/>
      <c r="AO764" s="95"/>
      <c r="AP764" s="95"/>
      <c r="AQ764" s="95"/>
    </row>
    <row r="765" spans="1:43" ht="12.75" x14ac:dyDescent="0.35">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c r="AA765" s="95"/>
      <c r="AB765" s="95"/>
      <c r="AC765" s="95"/>
      <c r="AD765" s="95"/>
      <c r="AE765" s="95"/>
      <c r="AF765" s="95"/>
      <c r="AG765" s="95"/>
      <c r="AH765" s="95"/>
      <c r="AI765" s="95"/>
      <c r="AJ765" s="95"/>
      <c r="AK765" s="95"/>
      <c r="AL765" s="95"/>
      <c r="AM765" s="95"/>
      <c r="AN765" s="95"/>
      <c r="AO765" s="95"/>
      <c r="AP765" s="95"/>
      <c r="AQ765" s="95"/>
    </row>
    <row r="766" spans="1:43" ht="12.75" x14ac:dyDescent="0.35">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c r="AA766" s="95"/>
      <c r="AB766" s="95"/>
      <c r="AC766" s="95"/>
      <c r="AD766" s="95"/>
      <c r="AE766" s="95"/>
      <c r="AF766" s="95"/>
      <c r="AG766" s="95"/>
      <c r="AH766" s="95"/>
      <c r="AI766" s="95"/>
      <c r="AJ766" s="95"/>
      <c r="AK766" s="95"/>
      <c r="AL766" s="95"/>
      <c r="AM766" s="95"/>
      <c r="AN766" s="95"/>
      <c r="AO766" s="95"/>
      <c r="AP766" s="95"/>
      <c r="AQ766" s="95"/>
    </row>
    <row r="767" spans="1:43" ht="12.75" x14ac:dyDescent="0.35">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c r="AA767" s="95"/>
      <c r="AB767" s="95"/>
      <c r="AC767" s="95"/>
      <c r="AD767" s="95"/>
      <c r="AE767" s="95"/>
      <c r="AF767" s="95"/>
      <c r="AG767" s="95"/>
      <c r="AH767" s="95"/>
      <c r="AI767" s="95"/>
      <c r="AJ767" s="95"/>
      <c r="AK767" s="95"/>
      <c r="AL767" s="95"/>
      <c r="AM767" s="95"/>
      <c r="AN767" s="95"/>
      <c r="AO767" s="95"/>
      <c r="AP767" s="95"/>
      <c r="AQ767" s="95"/>
    </row>
    <row r="768" spans="1:43" ht="12.75" x14ac:dyDescent="0.35">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c r="AA768" s="95"/>
      <c r="AB768" s="95"/>
      <c r="AC768" s="95"/>
      <c r="AD768" s="95"/>
      <c r="AE768" s="95"/>
      <c r="AF768" s="95"/>
      <c r="AG768" s="95"/>
      <c r="AH768" s="95"/>
      <c r="AI768" s="95"/>
      <c r="AJ768" s="95"/>
      <c r="AK768" s="95"/>
      <c r="AL768" s="95"/>
      <c r="AM768" s="95"/>
      <c r="AN768" s="95"/>
      <c r="AO768" s="95"/>
      <c r="AP768" s="95"/>
      <c r="AQ768" s="95"/>
    </row>
    <row r="769" spans="1:43" ht="12.75" x14ac:dyDescent="0.35">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c r="AA769" s="95"/>
      <c r="AB769" s="95"/>
      <c r="AC769" s="95"/>
      <c r="AD769" s="95"/>
      <c r="AE769" s="95"/>
      <c r="AF769" s="95"/>
      <c r="AG769" s="95"/>
      <c r="AH769" s="95"/>
      <c r="AI769" s="95"/>
      <c r="AJ769" s="95"/>
      <c r="AK769" s="95"/>
      <c r="AL769" s="95"/>
      <c r="AM769" s="95"/>
      <c r="AN769" s="95"/>
      <c r="AO769" s="95"/>
      <c r="AP769" s="95"/>
      <c r="AQ769" s="95"/>
    </row>
    <row r="770" spans="1:43" ht="12.75" x14ac:dyDescent="0.35">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c r="AA770" s="95"/>
      <c r="AB770" s="95"/>
      <c r="AC770" s="95"/>
      <c r="AD770" s="95"/>
      <c r="AE770" s="95"/>
      <c r="AF770" s="95"/>
      <c r="AG770" s="95"/>
      <c r="AH770" s="95"/>
      <c r="AI770" s="95"/>
      <c r="AJ770" s="95"/>
      <c r="AK770" s="95"/>
      <c r="AL770" s="95"/>
      <c r="AM770" s="95"/>
      <c r="AN770" s="95"/>
      <c r="AO770" s="95"/>
      <c r="AP770" s="95"/>
      <c r="AQ770" s="95"/>
    </row>
    <row r="771" spans="1:43" ht="12.75" x14ac:dyDescent="0.35">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c r="AA771" s="95"/>
      <c r="AB771" s="95"/>
      <c r="AC771" s="95"/>
      <c r="AD771" s="95"/>
      <c r="AE771" s="95"/>
      <c r="AF771" s="95"/>
      <c r="AG771" s="95"/>
      <c r="AH771" s="95"/>
      <c r="AI771" s="95"/>
      <c r="AJ771" s="95"/>
      <c r="AK771" s="95"/>
      <c r="AL771" s="95"/>
      <c r="AM771" s="95"/>
      <c r="AN771" s="95"/>
      <c r="AO771" s="95"/>
      <c r="AP771" s="95"/>
      <c r="AQ771" s="95"/>
    </row>
    <row r="772" spans="1:43" ht="12.75" x14ac:dyDescent="0.35">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c r="AA772" s="95"/>
      <c r="AB772" s="95"/>
      <c r="AC772" s="95"/>
      <c r="AD772" s="95"/>
      <c r="AE772" s="95"/>
      <c r="AF772" s="95"/>
      <c r="AG772" s="95"/>
      <c r="AH772" s="95"/>
      <c r="AI772" s="95"/>
      <c r="AJ772" s="95"/>
      <c r="AK772" s="95"/>
      <c r="AL772" s="95"/>
      <c r="AM772" s="95"/>
      <c r="AN772" s="95"/>
      <c r="AO772" s="95"/>
      <c r="AP772" s="95"/>
      <c r="AQ772" s="95"/>
    </row>
    <row r="773" spans="1:43" ht="12.75" x14ac:dyDescent="0.35">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c r="AA773" s="95"/>
      <c r="AB773" s="95"/>
      <c r="AC773" s="95"/>
      <c r="AD773" s="95"/>
      <c r="AE773" s="95"/>
      <c r="AF773" s="95"/>
      <c r="AG773" s="95"/>
      <c r="AH773" s="95"/>
      <c r="AI773" s="95"/>
      <c r="AJ773" s="95"/>
      <c r="AK773" s="95"/>
      <c r="AL773" s="95"/>
      <c r="AM773" s="95"/>
      <c r="AN773" s="95"/>
      <c r="AO773" s="95"/>
      <c r="AP773" s="95"/>
      <c r="AQ773" s="95"/>
    </row>
    <row r="774" spans="1:43" ht="12.75" x14ac:dyDescent="0.35">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c r="AA774" s="95"/>
      <c r="AB774" s="95"/>
      <c r="AC774" s="95"/>
      <c r="AD774" s="95"/>
      <c r="AE774" s="95"/>
      <c r="AF774" s="95"/>
      <c r="AG774" s="95"/>
      <c r="AH774" s="95"/>
      <c r="AI774" s="95"/>
      <c r="AJ774" s="95"/>
      <c r="AK774" s="95"/>
      <c r="AL774" s="95"/>
      <c r="AM774" s="95"/>
      <c r="AN774" s="95"/>
      <c r="AO774" s="95"/>
      <c r="AP774" s="95"/>
      <c r="AQ774" s="95"/>
    </row>
    <row r="775" spans="1:43" ht="12.75" x14ac:dyDescent="0.35">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c r="AA775" s="95"/>
      <c r="AB775" s="95"/>
      <c r="AC775" s="95"/>
      <c r="AD775" s="95"/>
      <c r="AE775" s="95"/>
      <c r="AF775" s="95"/>
      <c r="AG775" s="95"/>
      <c r="AH775" s="95"/>
      <c r="AI775" s="95"/>
      <c r="AJ775" s="95"/>
      <c r="AK775" s="95"/>
      <c r="AL775" s="95"/>
      <c r="AM775" s="95"/>
      <c r="AN775" s="95"/>
      <c r="AO775" s="95"/>
      <c r="AP775" s="95"/>
      <c r="AQ775" s="95"/>
    </row>
    <row r="776" spans="1:43" ht="12.75" x14ac:dyDescent="0.35">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c r="AA776" s="95"/>
      <c r="AB776" s="95"/>
      <c r="AC776" s="95"/>
      <c r="AD776" s="95"/>
      <c r="AE776" s="95"/>
      <c r="AF776" s="95"/>
      <c r="AG776" s="95"/>
      <c r="AH776" s="95"/>
      <c r="AI776" s="95"/>
      <c r="AJ776" s="95"/>
      <c r="AK776" s="95"/>
      <c r="AL776" s="95"/>
      <c r="AM776" s="95"/>
      <c r="AN776" s="95"/>
      <c r="AO776" s="95"/>
      <c r="AP776" s="95"/>
      <c r="AQ776" s="95"/>
    </row>
    <row r="777" spans="1:43" ht="12.75" x14ac:dyDescent="0.35">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c r="AA777" s="95"/>
      <c r="AB777" s="95"/>
      <c r="AC777" s="95"/>
      <c r="AD777" s="95"/>
      <c r="AE777" s="95"/>
      <c r="AF777" s="95"/>
      <c r="AG777" s="95"/>
      <c r="AH777" s="95"/>
      <c r="AI777" s="95"/>
      <c r="AJ777" s="95"/>
      <c r="AK777" s="95"/>
      <c r="AL777" s="95"/>
      <c r="AM777" s="95"/>
      <c r="AN777" s="95"/>
      <c r="AO777" s="95"/>
      <c r="AP777" s="95"/>
      <c r="AQ777" s="95"/>
    </row>
    <row r="778" spans="1:43" ht="12.75" x14ac:dyDescent="0.35">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c r="AA778" s="95"/>
      <c r="AB778" s="95"/>
      <c r="AC778" s="95"/>
      <c r="AD778" s="95"/>
      <c r="AE778" s="95"/>
      <c r="AF778" s="95"/>
      <c r="AG778" s="95"/>
      <c r="AH778" s="95"/>
      <c r="AI778" s="95"/>
      <c r="AJ778" s="95"/>
      <c r="AK778" s="95"/>
      <c r="AL778" s="95"/>
      <c r="AM778" s="95"/>
      <c r="AN778" s="95"/>
      <c r="AO778" s="95"/>
      <c r="AP778" s="95"/>
      <c r="AQ778" s="95"/>
    </row>
    <row r="779" spans="1:43" ht="12.75" x14ac:dyDescent="0.35">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c r="AA779" s="95"/>
      <c r="AB779" s="95"/>
      <c r="AC779" s="95"/>
      <c r="AD779" s="95"/>
      <c r="AE779" s="95"/>
      <c r="AF779" s="95"/>
      <c r="AG779" s="95"/>
      <c r="AH779" s="95"/>
      <c r="AI779" s="95"/>
      <c r="AJ779" s="95"/>
      <c r="AK779" s="95"/>
      <c r="AL779" s="95"/>
      <c r="AM779" s="95"/>
      <c r="AN779" s="95"/>
      <c r="AO779" s="95"/>
      <c r="AP779" s="95"/>
      <c r="AQ779" s="95"/>
    </row>
    <row r="780" spans="1:43" ht="12.75" x14ac:dyDescent="0.35">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c r="AA780" s="95"/>
      <c r="AB780" s="95"/>
      <c r="AC780" s="95"/>
      <c r="AD780" s="95"/>
      <c r="AE780" s="95"/>
      <c r="AF780" s="95"/>
      <c r="AG780" s="95"/>
      <c r="AH780" s="95"/>
      <c r="AI780" s="95"/>
      <c r="AJ780" s="95"/>
      <c r="AK780" s="95"/>
      <c r="AL780" s="95"/>
      <c r="AM780" s="95"/>
      <c r="AN780" s="95"/>
      <c r="AO780" s="95"/>
      <c r="AP780" s="95"/>
      <c r="AQ780" s="95"/>
    </row>
    <row r="781" spans="1:43" ht="12.75" x14ac:dyDescent="0.35">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c r="AA781" s="95"/>
      <c r="AB781" s="95"/>
      <c r="AC781" s="95"/>
      <c r="AD781" s="95"/>
      <c r="AE781" s="95"/>
      <c r="AF781" s="95"/>
      <c r="AG781" s="95"/>
      <c r="AH781" s="95"/>
      <c r="AI781" s="95"/>
      <c r="AJ781" s="95"/>
      <c r="AK781" s="95"/>
      <c r="AL781" s="95"/>
      <c r="AM781" s="95"/>
      <c r="AN781" s="95"/>
      <c r="AO781" s="95"/>
      <c r="AP781" s="95"/>
      <c r="AQ781" s="95"/>
    </row>
    <row r="782" spans="1:43" ht="12.75" x14ac:dyDescent="0.35">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c r="AA782" s="95"/>
      <c r="AB782" s="95"/>
      <c r="AC782" s="95"/>
      <c r="AD782" s="95"/>
      <c r="AE782" s="95"/>
      <c r="AF782" s="95"/>
      <c r="AG782" s="95"/>
      <c r="AH782" s="95"/>
      <c r="AI782" s="95"/>
      <c r="AJ782" s="95"/>
      <c r="AK782" s="95"/>
      <c r="AL782" s="95"/>
      <c r="AM782" s="95"/>
      <c r="AN782" s="95"/>
      <c r="AO782" s="95"/>
      <c r="AP782" s="95"/>
      <c r="AQ782" s="95"/>
    </row>
    <row r="783" spans="1:43" ht="12.75" x14ac:dyDescent="0.35">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c r="AA783" s="95"/>
      <c r="AB783" s="95"/>
      <c r="AC783" s="95"/>
      <c r="AD783" s="95"/>
      <c r="AE783" s="95"/>
      <c r="AF783" s="95"/>
      <c r="AG783" s="95"/>
      <c r="AH783" s="95"/>
      <c r="AI783" s="95"/>
      <c r="AJ783" s="95"/>
      <c r="AK783" s="95"/>
      <c r="AL783" s="95"/>
      <c r="AM783" s="95"/>
      <c r="AN783" s="95"/>
      <c r="AO783" s="95"/>
      <c r="AP783" s="95"/>
      <c r="AQ783" s="95"/>
    </row>
    <row r="784" spans="1:43" ht="12.75" x14ac:dyDescent="0.35">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c r="AA784" s="95"/>
      <c r="AB784" s="95"/>
      <c r="AC784" s="95"/>
      <c r="AD784" s="95"/>
      <c r="AE784" s="95"/>
      <c r="AF784" s="95"/>
      <c r="AG784" s="95"/>
      <c r="AH784" s="95"/>
      <c r="AI784" s="95"/>
      <c r="AJ784" s="95"/>
      <c r="AK784" s="95"/>
      <c r="AL784" s="95"/>
      <c r="AM784" s="95"/>
      <c r="AN784" s="95"/>
      <c r="AO784" s="95"/>
      <c r="AP784" s="95"/>
      <c r="AQ784" s="95"/>
    </row>
    <row r="785" spans="1:43" ht="12.75" x14ac:dyDescent="0.35">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c r="AA785" s="95"/>
      <c r="AB785" s="95"/>
      <c r="AC785" s="95"/>
      <c r="AD785" s="95"/>
      <c r="AE785" s="95"/>
      <c r="AF785" s="95"/>
      <c r="AG785" s="95"/>
      <c r="AH785" s="95"/>
      <c r="AI785" s="95"/>
      <c r="AJ785" s="95"/>
      <c r="AK785" s="95"/>
      <c r="AL785" s="95"/>
      <c r="AM785" s="95"/>
      <c r="AN785" s="95"/>
      <c r="AO785" s="95"/>
      <c r="AP785" s="95"/>
      <c r="AQ785" s="95"/>
    </row>
    <row r="786" spans="1:43" ht="12.75" x14ac:dyDescent="0.35">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c r="AA786" s="95"/>
      <c r="AB786" s="95"/>
      <c r="AC786" s="95"/>
      <c r="AD786" s="95"/>
      <c r="AE786" s="95"/>
      <c r="AF786" s="95"/>
      <c r="AG786" s="95"/>
      <c r="AH786" s="95"/>
      <c r="AI786" s="95"/>
      <c r="AJ786" s="95"/>
      <c r="AK786" s="95"/>
      <c r="AL786" s="95"/>
      <c r="AM786" s="95"/>
      <c r="AN786" s="95"/>
      <c r="AO786" s="95"/>
      <c r="AP786" s="95"/>
      <c r="AQ786" s="95"/>
    </row>
    <row r="787" spans="1:43" ht="12.75" x14ac:dyDescent="0.35">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c r="AA787" s="95"/>
      <c r="AB787" s="95"/>
      <c r="AC787" s="95"/>
      <c r="AD787" s="95"/>
      <c r="AE787" s="95"/>
      <c r="AF787" s="95"/>
      <c r="AG787" s="95"/>
      <c r="AH787" s="95"/>
      <c r="AI787" s="95"/>
      <c r="AJ787" s="95"/>
      <c r="AK787" s="95"/>
      <c r="AL787" s="95"/>
      <c r="AM787" s="95"/>
      <c r="AN787" s="95"/>
      <c r="AO787" s="95"/>
      <c r="AP787" s="95"/>
      <c r="AQ787" s="95"/>
    </row>
    <row r="788" spans="1:43" ht="12.75" x14ac:dyDescent="0.35">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c r="AA788" s="95"/>
      <c r="AB788" s="95"/>
      <c r="AC788" s="95"/>
      <c r="AD788" s="95"/>
      <c r="AE788" s="95"/>
      <c r="AF788" s="95"/>
      <c r="AG788" s="95"/>
      <c r="AH788" s="95"/>
      <c r="AI788" s="95"/>
      <c r="AJ788" s="95"/>
      <c r="AK788" s="95"/>
      <c r="AL788" s="95"/>
      <c r="AM788" s="95"/>
      <c r="AN788" s="95"/>
      <c r="AO788" s="95"/>
      <c r="AP788" s="95"/>
      <c r="AQ788" s="95"/>
    </row>
    <row r="789" spans="1:43" ht="12.75" x14ac:dyDescent="0.35">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c r="AA789" s="95"/>
      <c r="AB789" s="95"/>
      <c r="AC789" s="95"/>
      <c r="AD789" s="95"/>
      <c r="AE789" s="95"/>
      <c r="AF789" s="95"/>
      <c r="AG789" s="95"/>
      <c r="AH789" s="95"/>
      <c r="AI789" s="95"/>
      <c r="AJ789" s="95"/>
      <c r="AK789" s="95"/>
      <c r="AL789" s="95"/>
      <c r="AM789" s="95"/>
      <c r="AN789" s="95"/>
      <c r="AO789" s="95"/>
      <c r="AP789" s="95"/>
      <c r="AQ789" s="95"/>
    </row>
    <row r="790" spans="1:43" ht="12.75" x14ac:dyDescent="0.35">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c r="AA790" s="95"/>
      <c r="AB790" s="95"/>
      <c r="AC790" s="95"/>
      <c r="AD790" s="95"/>
      <c r="AE790" s="95"/>
      <c r="AF790" s="95"/>
      <c r="AG790" s="95"/>
      <c r="AH790" s="95"/>
      <c r="AI790" s="95"/>
      <c r="AJ790" s="95"/>
      <c r="AK790" s="95"/>
      <c r="AL790" s="95"/>
      <c r="AM790" s="95"/>
      <c r="AN790" s="95"/>
      <c r="AO790" s="95"/>
      <c r="AP790" s="95"/>
      <c r="AQ790" s="95"/>
    </row>
    <row r="791" spans="1:43" ht="12.75" x14ac:dyDescent="0.35">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c r="AA791" s="95"/>
      <c r="AB791" s="95"/>
      <c r="AC791" s="95"/>
      <c r="AD791" s="95"/>
      <c r="AE791" s="95"/>
      <c r="AF791" s="95"/>
      <c r="AG791" s="95"/>
      <c r="AH791" s="95"/>
      <c r="AI791" s="95"/>
      <c r="AJ791" s="95"/>
      <c r="AK791" s="95"/>
      <c r="AL791" s="95"/>
      <c r="AM791" s="95"/>
      <c r="AN791" s="95"/>
      <c r="AO791" s="95"/>
      <c r="AP791" s="95"/>
      <c r="AQ791" s="95"/>
    </row>
    <row r="792" spans="1:43" ht="12.75" x14ac:dyDescent="0.35">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c r="AA792" s="95"/>
      <c r="AB792" s="95"/>
      <c r="AC792" s="95"/>
      <c r="AD792" s="95"/>
      <c r="AE792" s="95"/>
      <c r="AF792" s="95"/>
      <c r="AG792" s="95"/>
      <c r="AH792" s="95"/>
      <c r="AI792" s="95"/>
      <c r="AJ792" s="95"/>
      <c r="AK792" s="95"/>
      <c r="AL792" s="95"/>
      <c r="AM792" s="95"/>
      <c r="AN792" s="95"/>
      <c r="AO792" s="95"/>
      <c r="AP792" s="95"/>
      <c r="AQ792" s="95"/>
    </row>
    <row r="793" spans="1:43" ht="12.75" x14ac:dyDescent="0.35">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c r="AA793" s="95"/>
      <c r="AB793" s="95"/>
      <c r="AC793" s="95"/>
      <c r="AD793" s="95"/>
      <c r="AE793" s="95"/>
      <c r="AF793" s="95"/>
      <c r="AG793" s="95"/>
      <c r="AH793" s="95"/>
      <c r="AI793" s="95"/>
      <c r="AJ793" s="95"/>
      <c r="AK793" s="95"/>
      <c r="AL793" s="95"/>
      <c r="AM793" s="95"/>
      <c r="AN793" s="95"/>
      <c r="AO793" s="95"/>
      <c r="AP793" s="95"/>
      <c r="AQ793" s="95"/>
    </row>
    <row r="794" spans="1:43" ht="12.75" x14ac:dyDescent="0.35">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c r="AA794" s="95"/>
      <c r="AB794" s="95"/>
      <c r="AC794" s="95"/>
      <c r="AD794" s="95"/>
      <c r="AE794" s="95"/>
      <c r="AF794" s="95"/>
      <c r="AG794" s="95"/>
      <c r="AH794" s="95"/>
      <c r="AI794" s="95"/>
      <c r="AJ794" s="95"/>
      <c r="AK794" s="95"/>
      <c r="AL794" s="95"/>
      <c r="AM794" s="95"/>
      <c r="AN794" s="95"/>
      <c r="AO794" s="95"/>
      <c r="AP794" s="95"/>
      <c r="AQ794" s="95"/>
    </row>
    <row r="795" spans="1:43" ht="12.75" x14ac:dyDescent="0.35">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c r="AA795" s="95"/>
      <c r="AB795" s="95"/>
      <c r="AC795" s="95"/>
      <c r="AD795" s="95"/>
      <c r="AE795" s="95"/>
      <c r="AF795" s="95"/>
      <c r="AG795" s="95"/>
      <c r="AH795" s="95"/>
      <c r="AI795" s="95"/>
      <c r="AJ795" s="95"/>
      <c r="AK795" s="95"/>
      <c r="AL795" s="95"/>
      <c r="AM795" s="95"/>
      <c r="AN795" s="95"/>
      <c r="AO795" s="95"/>
      <c r="AP795" s="95"/>
      <c r="AQ795" s="95"/>
    </row>
    <row r="796" spans="1:43" ht="12.75" x14ac:dyDescent="0.35">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c r="AA796" s="95"/>
      <c r="AB796" s="95"/>
      <c r="AC796" s="95"/>
      <c r="AD796" s="95"/>
      <c r="AE796" s="95"/>
      <c r="AF796" s="95"/>
      <c r="AG796" s="95"/>
      <c r="AH796" s="95"/>
      <c r="AI796" s="95"/>
      <c r="AJ796" s="95"/>
      <c r="AK796" s="95"/>
      <c r="AL796" s="95"/>
      <c r="AM796" s="95"/>
      <c r="AN796" s="95"/>
      <c r="AO796" s="95"/>
      <c r="AP796" s="95"/>
      <c r="AQ796" s="95"/>
    </row>
    <row r="797" spans="1:43" ht="12.75" x14ac:dyDescent="0.35">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c r="AA797" s="95"/>
      <c r="AB797" s="95"/>
      <c r="AC797" s="95"/>
      <c r="AD797" s="95"/>
      <c r="AE797" s="95"/>
      <c r="AF797" s="95"/>
      <c r="AG797" s="95"/>
      <c r="AH797" s="95"/>
      <c r="AI797" s="95"/>
      <c r="AJ797" s="95"/>
      <c r="AK797" s="95"/>
      <c r="AL797" s="95"/>
      <c r="AM797" s="95"/>
      <c r="AN797" s="95"/>
      <c r="AO797" s="95"/>
      <c r="AP797" s="95"/>
      <c r="AQ797" s="95"/>
    </row>
    <row r="798" spans="1:43" ht="12.75" x14ac:dyDescent="0.35">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c r="AA798" s="95"/>
      <c r="AB798" s="95"/>
      <c r="AC798" s="95"/>
      <c r="AD798" s="95"/>
      <c r="AE798" s="95"/>
      <c r="AF798" s="95"/>
      <c r="AG798" s="95"/>
      <c r="AH798" s="95"/>
      <c r="AI798" s="95"/>
      <c r="AJ798" s="95"/>
      <c r="AK798" s="95"/>
      <c r="AL798" s="95"/>
      <c r="AM798" s="95"/>
      <c r="AN798" s="95"/>
      <c r="AO798" s="95"/>
      <c r="AP798" s="95"/>
      <c r="AQ798" s="95"/>
    </row>
    <row r="799" spans="1:43" ht="12.75" x14ac:dyDescent="0.35">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c r="AA799" s="95"/>
      <c r="AB799" s="95"/>
      <c r="AC799" s="95"/>
      <c r="AD799" s="95"/>
      <c r="AE799" s="95"/>
      <c r="AF799" s="95"/>
      <c r="AG799" s="95"/>
      <c r="AH799" s="95"/>
      <c r="AI799" s="95"/>
      <c r="AJ799" s="95"/>
      <c r="AK799" s="95"/>
      <c r="AL799" s="95"/>
      <c r="AM799" s="95"/>
      <c r="AN799" s="95"/>
      <c r="AO799" s="95"/>
      <c r="AP799" s="95"/>
      <c r="AQ799" s="95"/>
    </row>
    <row r="800" spans="1:43" ht="12.75" x14ac:dyDescent="0.35">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c r="AA800" s="95"/>
      <c r="AB800" s="95"/>
      <c r="AC800" s="95"/>
      <c r="AD800" s="95"/>
      <c r="AE800" s="95"/>
      <c r="AF800" s="95"/>
      <c r="AG800" s="95"/>
      <c r="AH800" s="95"/>
      <c r="AI800" s="95"/>
      <c r="AJ800" s="95"/>
      <c r="AK800" s="95"/>
      <c r="AL800" s="95"/>
      <c r="AM800" s="95"/>
      <c r="AN800" s="95"/>
      <c r="AO800" s="95"/>
      <c r="AP800" s="95"/>
      <c r="AQ800" s="95"/>
    </row>
    <row r="801" spans="1:43" ht="12.75" x14ac:dyDescent="0.35">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c r="AA801" s="95"/>
      <c r="AB801" s="95"/>
      <c r="AC801" s="95"/>
      <c r="AD801" s="95"/>
      <c r="AE801" s="95"/>
      <c r="AF801" s="95"/>
      <c r="AG801" s="95"/>
      <c r="AH801" s="95"/>
      <c r="AI801" s="95"/>
      <c r="AJ801" s="95"/>
      <c r="AK801" s="95"/>
      <c r="AL801" s="95"/>
      <c r="AM801" s="95"/>
      <c r="AN801" s="95"/>
      <c r="AO801" s="95"/>
      <c r="AP801" s="95"/>
      <c r="AQ801" s="95"/>
    </row>
    <row r="802" spans="1:43" ht="12.75" x14ac:dyDescent="0.35">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c r="AA802" s="95"/>
      <c r="AB802" s="95"/>
      <c r="AC802" s="95"/>
      <c r="AD802" s="95"/>
      <c r="AE802" s="95"/>
      <c r="AF802" s="95"/>
      <c r="AG802" s="95"/>
      <c r="AH802" s="95"/>
      <c r="AI802" s="95"/>
      <c r="AJ802" s="95"/>
      <c r="AK802" s="95"/>
      <c r="AL802" s="95"/>
      <c r="AM802" s="95"/>
      <c r="AN802" s="95"/>
      <c r="AO802" s="95"/>
      <c r="AP802" s="95"/>
      <c r="AQ802" s="95"/>
    </row>
    <row r="803" spans="1:43" ht="12.75" x14ac:dyDescent="0.35">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c r="AA803" s="95"/>
      <c r="AB803" s="95"/>
      <c r="AC803" s="95"/>
      <c r="AD803" s="95"/>
      <c r="AE803" s="95"/>
      <c r="AF803" s="95"/>
      <c r="AG803" s="95"/>
      <c r="AH803" s="95"/>
      <c r="AI803" s="95"/>
      <c r="AJ803" s="95"/>
      <c r="AK803" s="95"/>
      <c r="AL803" s="95"/>
      <c r="AM803" s="95"/>
      <c r="AN803" s="95"/>
      <c r="AO803" s="95"/>
      <c r="AP803" s="95"/>
      <c r="AQ803" s="95"/>
    </row>
    <row r="804" spans="1:43" ht="12.75" x14ac:dyDescent="0.35">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c r="AA804" s="95"/>
      <c r="AB804" s="95"/>
      <c r="AC804" s="95"/>
      <c r="AD804" s="95"/>
      <c r="AE804" s="95"/>
      <c r="AF804" s="95"/>
      <c r="AG804" s="95"/>
      <c r="AH804" s="95"/>
      <c r="AI804" s="95"/>
      <c r="AJ804" s="95"/>
      <c r="AK804" s="95"/>
      <c r="AL804" s="95"/>
      <c r="AM804" s="95"/>
      <c r="AN804" s="95"/>
      <c r="AO804" s="95"/>
      <c r="AP804" s="95"/>
      <c r="AQ804" s="95"/>
    </row>
    <row r="805" spans="1:43" ht="12.75" x14ac:dyDescent="0.35">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c r="AA805" s="95"/>
      <c r="AB805" s="95"/>
      <c r="AC805" s="95"/>
      <c r="AD805" s="95"/>
      <c r="AE805" s="95"/>
      <c r="AF805" s="95"/>
      <c r="AG805" s="95"/>
      <c r="AH805" s="95"/>
      <c r="AI805" s="95"/>
      <c r="AJ805" s="95"/>
      <c r="AK805" s="95"/>
      <c r="AL805" s="95"/>
      <c r="AM805" s="95"/>
      <c r="AN805" s="95"/>
      <c r="AO805" s="95"/>
      <c r="AP805" s="95"/>
      <c r="AQ805" s="95"/>
    </row>
    <row r="806" spans="1:43" ht="12.75" x14ac:dyDescent="0.35">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c r="AA806" s="95"/>
      <c r="AB806" s="95"/>
      <c r="AC806" s="95"/>
      <c r="AD806" s="95"/>
      <c r="AE806" s="95"/>
      <c r="AF806" s="95"/>
      <c r="AG806" s="95"/>
      <c r="AH806" s="95"/>
      <c r="AI806" s="95"/>
      <c r="AJ806" s="95"/>
      <c r="AK806" s="95"/>
      <c r="AL806" s="95"/>
      <c r="AM806" s="95"/>
      <c r="AN806" s="95"/>
      <c r="AO806" s="95"/>
      <c r="AP806" s="95"/>
      <c r="AQ806" s="95"/>
    </row>
    <row r="807" spans="1:43" ht="12.75" x14ac:dyDescent="0.35">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c r="AA807" s="95"/>
      <c r="AB807" s="95"/>
      <c r="AC807" s="95"/>
      <c r="AD807" s="95"/>
      <c r="AE807" s="95"/>
      <c r="AF807" s="95"/>
      <c r="AG807" s="95"/>
      <c r="AH807" s="95"/>
      <c r="AI807" s="95"/>
      <c r="AJ807" s="95"/>
      <c r="AK807" s="95"/>
      <c r="AL807" s="95"/>
      <c r="AM807" s="95"/>
      <c r="AN807" s="95"/>
      <c r="AO807" s="95"/>
      <c r="AP807" s="95"/>
      <c r="AQ807" s="95"/>
    </row>
    <row r="808" spans="1:43" ht="12.75" x14ac:dyDescent="0.35">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c r="AA808" s="95"/>
      <c r="AB808" s="95"/>
      <c r="AC808" s="95"/>
      <c r="AD808" s="95"/>
      <c r="AE808" s="95"/>
      <c r="AF808" s="95"/>
      <c r="AG808" s="95"/>
      <c r="AH808" s="95"/>
      <c r="AI808" s="95"/>
      <c r="AJ808" s="95"/>
      <c r="AK808" s="95"/>
      <c r="AL808" s="95"/>
      <c r="AM808" s="95"/>
      <c r="AN808" s="95"/>
      <c r="AO808" s="95"/>
      <c r="AP808" s="95"/>
      <c r="AQ808" s="95"/>
    </row>
    <row r="809" spans="1:43" ht="12.75" x14ac:dyDescent="0.35">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c r="AA809" s="95"/>
      <c r="AB809" s="95"/>
      <c r="AC809" s="95"/>
      <c r="AD809" s="95"/>
      <c r="AE809" s="95"/>
      <c r="AF809" s="95"/>
      <c r="AG809" s="95"/>
      <c r="AH809" s="95"/>
      <c r="AI809" s="95"/>
      <c r="AJ809" s="95"/>
      <c r="AK809" s="95"/>
      <c r="AL809" s="95"/>
      <c r="AM809" s="95"/>
      <c r="AN809" s="95"/>
      <c r="AO809" s="95"/>
      <c r="AP809" s="95"/>
      <c r="AQ809" s="95"/>
    </row>
    <row r="810" spans="1:43" ht="12.75" x14ac:dyDescent="0.35">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c r="AA810" s="95"/>
      <c r="AB810" s="95"/>
      <c r="AC810" s="95"/>
      <c r="AD810" s="95"/>
      <c r="AE810" s="95"/>
      <c r="AF810" s="95"/>
      <c r="AG810" s="95"/>
      <c r="AH810" s="95"/>
      <c r="AI810" s="95"/>
      <c r="AJ810" s="95"/>
      <c r="AK810" s="95"/>
      <c r="AL810" s="95"/>
      <c r="AM810" s="95"/>
      <c r="AN810" s="95"/>
      <c r="AO810" s="95"/>
      <c r="AP810" s="95"/>
      <c r="AQ810" s="95"/>
    </row>
    <row r="811" spans="1:43" ht="12.75" x14ac:dyDescent="0.35">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c r="AA811" s="95"/>
      <c r="AB811" s="95"/>
      <c r="AC811" s="95"/>
      <c r="AD811" s="95"/>
      <c r="AE811" s="95"/>
      <c r="AF811" s="95"/>
      <c r="AG811" s="95"/>
      <c r="AH811" s="95"/>
      <c r="AI811" s="95"/>
      <c r="AJ811" s="95"/>
      <c r="AK811" s="95"/>
      <c r="AL811" s="95"/>
      <c r="AM811" s="95"/>
      <c r="AN811" s="95"/>
      <c r="AO811" s="95"/>
      <c r="AP811" s="95"/>
      <c r="AQ811" s="95"/>
    </row>
    <row r="812" spans="1:43" ht="12.75" x14ac:dyDescent="0.35">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c r="AA812" s="95"/>
      <c r="AB812" s="95"/>
      <c r="AC812" s="95"/>
      <c r="AD812" s="95"/>
      <c r="AE812" s="95"/>
      <c r="AF812" s="95"/>
      <c r="AG812" s="95"/>
      <c r="AH812" s="95"/>
      <c r="AI812" s="95"/>
      <c r="AJ812" s="95"/>
      <c r="AK812" s="95"/>
      <c r="AL812" s="95"/>
      <c r="AM812" s="95"/>
      <c r="AN812" s="95"/>
      <c r="AO812" s="95"/>
      <c r="AP812" s="95"/>
      <c r="AQ812" s="95"/>
    </row>
    <row r="813" spans="1:43" ht="12.75" x14ac:dyDescent="0.35">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c r="AA813" s="95"/>
      <c r="AB813" s="95"/>
      <c r="AC813" s="95"/>
      <c r="AD813" s="95"/>
      <c r="AE813" s="95"/>
      <c r="AF813" s="95"/>
      <c r="AG813" s="95"/>
      <c r="AH813" s="95"/>
      <c r="AI813" s="95"/>
      <c r="AJ813" s="95"/>
      <c r="AK813" s="95"/>
      <c r="AL813" s="95"/>
      <c r="AM813" s="95"/>
      <c r="AN813" s="95"/>
      <c r="AO813" s="95"/>
      <c r="AP813" s="95"/>
      <c r="AQ813" s="95"/>
    </row>
    <row r="814" spans="1:43" ht="12.75" x14ac:dyDescent="0.35">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c r="AA814" s="95"/>
      <c r="AB814" s="95"/>
      <c r="AC814" s="95"/>
      <c r="AD814" s="95"/>
      <c r="AE814" s="95"/>
      <c r="AF814" s="95"/>
      <c r="AG814" s="95"/>
      <c r="AH814" s="95"/>
      <c r="AI814" s="95"/>
      <c r="AJ814" s="95"/>
      <c r="AK814" s="95"/>
      <c r="AL814" s="95"/>
      <c r="AM814" s="95"/>
      <c r="AN814" s="95"/>
      <c r="AO814" s="95"/>
      <c r="AP814" s="95"/>
      <c r="AQ814" s="95"/>
    </row>
    <row r="815" spans="1:43" ht="12.75" x14ac:dyDescent="0.35">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c r="AA815" s="95"/>
      <c r="AB815" s="95"/>
      <c r="AC815" s="95"/>
      <c r="AD815" s="95"/>
      <c r="AE815" s="95"/>
      <c r="AF815" s="95"/>
      <c r="AG815" s="95"/>
      <c r="AH815" s="95"/>
      <c r="AI815" s="95"/>
      <c r="AJ815" s="95"/>
      <c r="AK815" s="95"/>
      <c r="AL815" s="95"/>
      <c r="AM815" s="95"/>
      <c r="AN815" s="95"/>
      <c r="AO815" s="95"/>
      <c r="AP815" s="95"/>
      <c r="AQ815" s="95"/>
    </row>
    <row r="816" spans="1:43" ht="12.75" x14ac:dyDescent="0.35">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c r="AA816" s="95"/>
      <c r="AB816" s="95"/>
      <c r="AC816" s="95"/>
      <c r="AD816" s="95"/>
      <c r="AE816" s="95"/>
      <c r="AF816" s="95"/>
      <c r="AG816" s="95"/>
      <c r="AH816" s="95"/>
      <c r="AI816" s="95"/>
      <c r="AJ816" s="95"/>
      <c r="AK816" s="95"/>
      <c r="AL816" s="95"/>
      <c r="AM816" s="95"/>
      <c r="AN816" s="95"/>
      <c r="AO816" s="95"/>
      <c r="AP816" s="95"/>
      <c r="AQ816" s="95"/>
    </row>
    <row r="817" spans="1:43" ht="12.75" x14ac:dyDescent="0.35">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c r="AA817" s="95"/>
      <c r="AB817" s="95"/>
      <c r="AC817" s="95"/>
      <c r="AD817" s="95"/>
      <c r="AE817" s="95"/>
      <c r="AF817" s="95"/>
      <c r="AG817" s="95"/>
      <c r="AH817" s="95"/>
      <c r="AI817" s="95"/>
      <c r="AJ817" s="95"/>
      <c r="AK817" s="95"/>
      <c r="AL817" s="95"/>
      <c r="AM817" s="95"/>
      <c r="AN817" s="95"/>
      <c r="AO817" s="95"/>
      <c r="AP817" s="95"/>
      <c r="AQ817" s="95"/>
    </row>
    <row r="818" spans="1:43" ht="12.75" x14ac:dyDescent="0.35">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c r="AA818" s="95"/>
      <c r="AB818" s="95"/>
      <c r="AC818" s="95"/>
      <c r="AD818" s="95"/>
      <c r="AE818" s="95"/>
      <c r="AF818" s="95"/>
      <c r="AG818" s="95"/>
      <c r="AH818" s="95"/>
      <c r="AI818" s="95"/>
      <c r="AJ818" s="95"/>
      <c r="AK818" s="95"/>
      <c r="AL818" s="95"/>
      <c r="AM818" s="95"/>
      <c r="AN818" s="95"/>
      <c r="AO818" s="95"/>
      <c r="AP818" s="95"/>
      <c r="AQ818" s="95"/>
    </row>
    <row r="819" spans="1:43" ht="12.75" x14ac:dyDescent="0.35">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c r="AA819" s="95"/>
      <c r="AB819" s="95"/>
      <c r="AC819" s="95"/>
      <c r="AD819" s="95"/>
      <c r="AE819" s="95"/>
      <c r="AF819" s="95"/>
      <c r="AG819" s="95"/>
      <c r="AH819" s="95"/>
      <c r="AI819" s="95"/>
      <c r="AJ819" s="95"/>
      <c r="AK819" s="95"/>
      <c r="AL819" s="95"/>
      <c r="AM819" s="95"/>
      <c r="AN819" s="95"/>
      <c r="AO819" s="95"/>
      <c r="AP819" s="95"/>
      <c r="AQ819" s="95"/>
    </row>
    <row r="820" spans="1:43" ht="12.75" x14ac:dyDescent="0.35">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c r="AA820" s="95"/>
      <c r="AB820" s="95"/>
      <c r="AC820" s="95"/>
      <c r="AD820" s="95"/>
      <c r="AE820" s="95"/>
      <c r="AF820" s="95"/>
      <c r="AG820" s="95"/>
      <c r="AH820" s="95"/>
      <c r="AI820" s="95"/>
      <c r="AJ820" s="95"/>
      <c r="AK820" s="95"/>
      <c r="AL820" s="95"/>
      <c r="AM820" s="95"/>
      <c r="AN820" s="95"/>
      <c r="AO820" s="95"/>
      <c r="AP820" s="95"/>
      <c r="AQ820" s="95"/>
    </row>
    <row r="821" spans="1:43" ht="12.75" x14ac:dyDescent="0.35">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c r="AA821" s="95"/>
      <c r="AB821" s="95"/>
      <c r="AC821" s="95"/>
      <c r="AD821" s="95"/>
      <c r="AE821" s="95"/>
      <c r="AF821" s="95"/>
      <c r="AG821" s="95"/>
      <c r="AH821" s="95"/>
      <c r="AI821" s="95"/>
      <c r="AJ821" s="95"/>
      <c r="AK821" s="95"/>
      <c r="AL821" s="95"/>
      <c r="AM821" s="95"/>
      <c r="AN821" s="95"/>
      <c r="AO821" s="95"/>
      <c r="AP821" s="95"/>
      <c r="AQ821" s="95"/>
    </row>
    <row r="822" spans="1:43" ht="12.75" x14ac:dyDescent="0.35">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c r="AA822" s="95"/>
      <c r="AB822" s="95"/>
      <c r="AC822" s="95"/>
      <c r="AD822" s="95"/>
      <c r="AE822" s="95"/>
      <c r="AF822" s="95"/>
      <c r="AG822" s="95"/>
      <c r="AH822" s="95"/>
      <c r="AI822" s="95"/>
      <c r="AJ822" s="95"/>
      <c r="AK822" s="95"/>
      <c r="AL822" s="95"/>
      <c r="AM822" s="95"/>
      <c r="AN822" s="95"/>
      <c r="AO822" s="95"/>
      <c r="AP822" s="95"/>
      <c r="AQ822" s="95"/>
    </row>
    <row r="823" spans="1:43" ht="12.75" x14ac:dyDescent="0.35">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c r="AA823" s="95"/>
      <c r="AB823" s="95"/>
      <c r="AC823" s="95"/>
      <c r="AD823" s="95"/>
      <c r="AE823" s="95"/>
      <c r="AF823" s="95"/>
      <c r="AG823" s="95"/>
      <c r="AH823" s="95"/>
      <c r="AI823" s="95"/>
      <c r="AJ823" s="95"/>
      <c r="AK823" s="95"/>
      <c r="AL823" s="95"/>
      <c r="AM823" s="95"/>
      <c r="AN823" s="95"/>
      <c r="AO823" s="95"/>
      <c r="AP823" s="95"/>
      <c r="AQ823" s="95"/>
    </row>
    <row r="824" spans="1:43" ht="12.75" x14ac:dyDescent="0.35">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c r="AA824" s="95"/>
      <c r="AB824" s="95"/>
      <c r="AC824" s="95"/>
      <c r="AD824" s="95"/>
      <c r="AE824" s="95"/>
      <c r="AF824" s="95"/>
      <c r="AG824" s="95"/>
      <c r="AH824" s="95"/>
      <c r="AI824" s="95"/>
      <c r="AJ824" s="95"/>
      <c r="AK824" s="95"/>
      <c r="AL824" s="95"/>
      <c r="AM824" s="95"/>
      <c r="AN824" s="95"/>
      <c r="AO824" s="95"/>
      <c r="AP824" s="95"/>
      <c r="AQ824" s="95"/>
    </row>
    <row r="825" spans="1:43" ht="12.75" x14ac:dyDescent="0.35">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c r="AA825" s="95"/>
      <c r="AB825" s="95"/>
      <c r="AC825" s="95"/>
      <c r="AD825" s="95"/>
      <c r="AE825" s="95"/>
      <c r="AF825" s="95"/>
      <c r="AG825" s="95"/>
      <c r="AH825" s="95"/>
      <c r="AI825" s="95"/>
      <c r="AJ825" s="95"/>
      <c r="AK825" s="95"/>
      <c r="AL825" s="95"/>
      <c r="AM825" s="95"/>
      <c r="AN825" s="95"/>
      <c r="AO825" s="95"/>
      <c r="AP825" s="95"/>
      <c r="AQ825" s="95"/>
    </row>
    <row r="826" spans="1:43" ht="12.75" x14ac:dyDescent="0.35">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c r="AA826" s="95"/>
      <c r="AB826" s="95"/>
      <c r="AC826" s="95"/>
      <c r="AD826" s="95"/>
      <c r="AE826" s="95"/>
      <c r="AF826" s="95"/>
      <c r="AG826" s="95"/>
      <c r="AH826" s="95"/>
      <c r="AI826" s="95"/>
      <c r="AJ826" s="95"/>
      <c r="AK826" s="95"/>
      <c r="AL826" s="95"/>
      <c r="AM826" s="95"/>
      <c r="AN826" s="95"/>
      <c r="AO826" s="95"/>
      <c r="AP826" s="95"/>
      <c r="AQ826" s="95"/>
    </row>
    <row r="827" spans="1:43" ht="12.75" x14ac:dyDescent="0.35">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c r="AA827" s="95"/>
      <c r="AB827" s="95"/>
      <c r="AC827" s="95"/>
      <c r="AD827" s="95"/>
      <c r="AE827" s="95"/>
      <c r="AF827" s="95"/>
      <c r="AG827" s="95"/>
      <c r="AH827" s="95"/>
      <c r="AI827" s="95"/>
      <c r="AJ827" s="95"/>
      <c r="AK827" s="95"/>
      <c r="AL827" s="95"/>
      <c r="AM827" s="95"/>
      <c r="AN827" s="95"/>
      <c r="AO827" s="95"/>
      <c r="AP827" s="95"/>
      <c r="AQ827" s="95"/>
    </row>
    <row r="828" spans="1:43" ht="12.75" x14ac:dyDescent="0.35">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c r="AA828" s="95"/>
      <c r="AB828" s="95"/>
      <c r="AC828" s="95"/>
      <c r="AD828" s="95"/>
      <c r="AE828" s="95"/>
      <c r="AF828" s="95"/>
      <c r="AG828" s="95"/>
      <c r="AH828" s="95"/>
      <c r="AI828" s="95"/>
      <c r="AJ828" s="95"/>
      <c r="AK828" s="95"/>
      <c r="AL828" s="95"/>
      <c r="AM828" s="95"/>
      <c r="AN828" s="95"/>
      <c r="AO828" s="95"/>
      <c r="AP828" s="95"/>
      <c r="AQ828" s="95"/>
    </row>
    <row r="829" spans="1:43" ht="12.75" x14ac:dyDescent="0.35">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c r="AA829" s="95"/>
      <c r="AB829" s="95"/>
      <c r="AC829" s="95"/>
      <c r="AD829" s="95"/>
      <c r="AE829" s="95"/>
      <c r="AF829" s="95"/>
      <c r="AG829" s="95"/>
      <c r="AH829" s="95"/>
      <c r="AI829" s="95"/>
      <c r="AJ829" s="95"/>
      <c r="AK829" s="95"/>
      <c r="AL829" s="95"/>
      <c r="AM829" s="95"/>
      <c r="AN829" s="95"/>
      <c r="AO829" s="95"/>
      <c r="AP829" s="95"/>
      <c r="AQ829" s="95"/>
    </row>
    <row r="830" spans="1:43" ht="12.75" x14ac:dyDescent="0.35">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c r="AA830" s="95"/>
      <c r="AB830" s="95"/>
      <c r="AC830" s="95"/>
      <c r="AD830" s="95"/>
      <c r="AE830" s="95"/>
      <c r="AF830" s="95"/>
      <c r="AG830" s="95"/>
      <c r="AH830" s="95"/>
      <c r="AI830" s="95"/>
      <c r="AJ830" s="95"/>
      <c r="AK830" s="95"/>
      <c r="AL830" s="95"/>
      <c r="AM830" s="95"/>
      <c r="AN830" s="95"/>
      <c r="AO830" s="95"/>
      <c r="AP830" s="95"/>
      <c r="AQ830" s="95"/>
    </row>
    <row r="831" spans="1:43" ht="12.75" x14ac:dyDescent="0.35">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c r="AA831" s="95"/>
      <c r="AB831" s="95"/>
      <c r="AC831" s="95"/>
      <c r="AD831" s="95"/>
      <c r="AE831" s="95"/>
      <c r="AF831" s="95"/>
      <c r="AG831" s="95"/>
      <c r="AH831" s="95"/>
      <c r="AI831" s="95"/>
      <c r="AJ831" s="95"/>
      <c r="AK831" s="95"/>
      <c r="AL831" s="95"/>
      <c r="AM831" s="95"/>
      <c r="AN831" s="95"/>
      <c r="AO831" s="95"/>
      <c r="AP831" s="95"/>
      <c r="AQ831" s="95"/>
    </row>
    <row r="832" spans="1:43" ht="12.75" x14ac:dyDescent="0.35">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c r="AA832" s="95"/>
      <c r="AB832" s="95"/>
      <c r="AC832" s="95"/>
      <c r="AD832" s="95"/>
      <c r="AE832" s="95"/>
      <c r="AF832" s="95"/>
      <c r="AG832" s="95"/>
      <c r="AH832" s="95"/>
      <c r="AI832" s="95"/>
      <c r="AJ832" s="95"/>
      <c r="AK832" s="95"/>
      <c r="AL832" s="95"/>
      <c r="AM832" s="95"/>
      <c r="AN832" s="95"/>
      <c r="AO832" s="95"/>
      <c r="AP832" s="95"/>
      <c r="AQ832" s="95"/>
    </row>
    <row r="833" spans="1:43" ht="12.75" x14ac:dyDescent="0.35">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c r="AA833" s="95"/>
      <c r="AB833" s="95"/>
      <c r="AC833" s="95"/>
      <c r="AD833" s="95"/>
      <c r="AE833" s="95"/>
      <c r="AF833" s="95"/>
      <c r="AG833" s="95"/>
      <c r="AH833" s="95"/>
      <c r="AI833" s="95"/>
      <c r="AJ833" s="95"/>
      <c r="AK833" s="95"/>
      <c r="AL833" s="95"/>
      <c r="AM833" s="95"/>
      <c r="AN833" s="95"/>
      <c r="AO833" s="95"/>
      <c r="AP833" s="95"/>
      <c r="AQ833" s="95"/>
    </row>
    <row r="834" spans="1:43" ht="12.75" x14ac:dyDescent="0.35">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c r="AA834" s="95"/>
      <c r="AB834" s="95"/>
      <c r="AC834" s="95"/>
      <c r="AD834" s="95"/>
      <c r="AE834" s="95"/>
      <c r="AF834" s="95"/>
      <c r="AG834" s="95"/>
      <c r="AH834" s="95"/>
      <c r="AI834" s="95"/>
      <c r="AJ834" s="95"/>
      <c r="AK834" s="95"/>
      <c r="AL834" s="95"/>
      <c r="AM834" s="95"/>
      <c r="AN834" s="95"/>
      <c r="AO834" s="95"/>
      <c r="AP834" s="95"/>
      <c r="AQ834" s="95"/>
    </row>
    <row r="835" spans="1:43" ht="12.75" x14ac:dyDescent="0.35">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c r="AA835" s="95"/>
      <c r="AB835" s="95"/>
      <c r="AC835" s="95"/>
      <c r="AD835" s="95"/>
      <c r="AE835" s="95"/>
      <c r="AF835" s="95"/>
      <c r="AG835" s="95"/>
      <c r="AH835" s="95"/>
      <c r="AI835" s="95"/>
      <c r="AJ835" s="95"/>
      <c r="AK835" s="95"/>
      <c r="AL835" s="95"/>
      <c r="AM835" s="95"/>
      <c r="AN835" s="95"/>
      <c r="AO835" s="95"/>
      <c r="AP835" s="95"/>
      <c r="AQ835" s="95"/>
    </row>
    <row r="836" spans="1:43" ht="12.75" x14ac:dyDescent="0.35">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c r="AA836" s="95"/>
      <c r="AB836" s="95"/>
      <c r="AC836" s="95"/>
      <c r="AD836" s="95"/>
      <c r="AE836" s="95"/>
      <c r="AF836" s="95"/>
      <c r="AG836" s="95"/>
      <c r="AH836" s="95"/>
      <c r="AI836" s="95"/>
      <c r="AJ836" s="95"/>
      <c r="AK836" s="95"/>
      <c r="AL836" s="95"/>
      <c r="AM836" s="95"/>
      <c r="AN836" s="95"/>
      <c r="AO836" s="95"/>
      <c r="AP836" s="95"/>
      <c r="AQ836" s="95"/>
    </row>
    <row r="837" spans="1:43" ht="12.75" x14ac:dyDescent="0.35">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c r="AA837" s="95"/>
      <c r="AB837" s="95"/>
      <c r="AC837" s="95"/>
      <c r="AD837" s="95"/>
      <c r="AE837" s="95"/>
      <c r="AF837" s="95"/>
      <c r="AG837" s="95"/>
      <c r="AH837" s="95"/>
      <c r="AI837" s="95"/>
      <c r="AJ837" s="95"/>
      <c r="AK837" s="95"/>
      <c r="AL837" s="95"/>
      <c r="AM837" s="95"/>
      <c r="AN837" s="95"/>
      <c r="AO837" s="95"/>
      <c r="AP837" s="95"/>
      <c r="AQ837" s="95"/>
    </row>
    <row r="838" spans="1:43" ht="12.75" x14ac:dyDescent="0.35">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c r="AA838" s="95"/>
      <c r="AB838" s="95"/>
      <c r="AC838" s="95"/>
      <c r="AD838" s="95"/>
      <c r="AE838" s="95"/>
      <c r="AF838" s="95"/>
      <c r="AG838" s="95"/>
      <c r="AH838" s="95"/>
      <c r="AI838" s="95"/>
      <c r="AJ838" s="95"/>
      <c r="AK838" s="95"/>
      <c r="AL838" s="95"/>
      <c r="AM838" s="95"/>
      <c r="AN838" s="95"/>
      <c r="AO838" s="95"/>
      <c r="AP838" s="95"/>
      <c r="AQ838" s="95"/>
    </row>
    <row r="839" spans="1:43" ht="12.75" x14ac:dyDescent="0.35">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c r="AA839" s="95"/>
      <c r="AB839" s="95"/>
      <c r="AC839" s="95"/>
      <c r="AD839" s="95"/>
      <c r="AE839" s="95"/>
      <c r="AF839" s="95"/>
      <c r="AG839" s="95"/>
      <c r="AH839" s="95"/>
      <c r="AI839" s="95"/>
      <c r="AJ839" s="95"/>
      <c r="AK839" s="95"/>
      <c r="AL839" s="95"/>
      <c r="AM839" s="95"/>
      <c r="AN839" s="95"/>
      <c r="AO839" s="95"/>
      <c r="AP839" s="95"/>
      <c r="AQ839" s="95"/>
    </row>
    <row r="840" spans="1:43" ht="12.75" x14ac:dyDescent="0.35">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c r="AA840" s="95"/>
      <c r="AB840" s="95"/>
      <c r="AC840" s="95"/>
      <c r="AD840" s="95"/>
      <c r="AE840" s="95"/>
      <c r="AF840" s="95"/>
      <c r="AG840" s="95"/>
      <c r="AH840" s="95"/>
      <c r="AI840" s="95"/>
      <c r="AJ840" s="95"/>
      <c r="AK840" s="95"/>
      <c r="AL840" s="95"/>
      <c r="AM840" s="95"/>
      <c r="AN840" s="95"/>
      <c r="AO840" s="95"/>
      <c r="AP840" s="95"/>
      <c r="AQ840" s="95"/>
    </row>
    <row r="841" spans="1:43" ht="12.75" x14ac:dyDescent="0.35">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c r="AA841" s="95"/>
      <c r="AB841" s="95"/>
      <c r="AC841" s="95"/>
      <c r="AD841" s="95"/>
      <c r="AE841" s="95"/>
      <c r="AF841" s="95"/>
      <c r="AG841" s="95"/>
      <c r="AH841" s="95"/>
      <c r="AI841" s="95"/>
      <c r="AJ841" s="95"/>
      <c r="AK841" s="95"/>
      <c r="AL841" s="95"/>
      <c r="AM841" s="95"/>
      <c r="AN841" s="95"/>
      <c r="AO841" s="95"/>
      <c r="AP841" s="95"/>
      <c r="AQ841" s="95"/>
    </row>
    <row r="842" spans="1:43" ht="12.75" x14ac:dyDescent="0.35">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c r="AA842" s="95"/>
      <c r="AB842" s="95"/>
      <c r="AC842" s="95"/>
      <c r="AD842" s="95"/>
      <c r="AE842" s="95"/>
      <c r="AF842" s="95"/>
      <c r="AG842" s="95"/>
      <c r="AH842" s="95"/>
      <c r="AI842" s="95"/>
      <c r="AJ842" s="95"/>
      <c r="AK842" s="95"/>
      <c r="AL842" s="95"/>
      <c r="AM842" s="95"/>
      <c r="AN842" s="95"/>
      <c r="AO842" s="95"/>
      <c r="AP842" s="95"/>
      <c r="AQ842" s="95"/>
    </row>
    <row r="843" spans="1:43" ht="12.75" x14ac:dyDescent="0.35">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c r="AA843" s="95"/>
      <c r="AB843" s="95"/>
      <c r="AC843" s="95"/>
      <c r="AD843" s="95"/>
      <c r="AE843" s="95"/>
      <c r="AF843" s="95"/>
      <c r="AG843" s="95"/>
      <c r="AH843" s="95"/>
      <c r="AI843" s="95"/>
      <c r="AJ843" s="95"/>
      <c r="AK843" s="95"/>
      <c r="AL843" s="95"/>
      <c r="AM843" s="95"/>
      <c r="AN843" s="95"/>
      <c r="AO843" s="95"/>
      <c r="AP843" s="95"/>
      <c r="AQ843" s="95"/>
    </row>
    <row r="844" spans="1:43" ht="12.75" x14ac:dyDescent="0.35">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c r="AA844" s="95"/>
      <c r="AB844" s="95"/>
      <c r="AC844" s="95"/>
      <c r="AD844" s="95"/>
      <c r="AE844" s="95"/>
      <c r="AF844" s="95"/>
      <c r="AG844" s="95"/>
      <c r="AH844" s="95"/>
      <c r="AI844" s="95"/>
      <c r="AJ844" s="95"/>
      <c r="AK844" s="95"/>
      <c r="AL844" s="95"/>
      <c r="AM844" s="95"/>
      <c r="AN844" s="95"/>
      <c r="AO844" s="95"/>
      <c r="AP844" s="95"/>
      <c r="AQ844" s="95"/>
    </row>
    <row r="845" spans="1:43" ht="12.75" x14ac:dyDescent="0.35">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c r="AA845" s="95"/>
      <c r="AB845" s="95"/>
      <c r="AC845" s="95"/>
      <c r="AD845" s="95"/>
      <c r="AE845" s="95"/>
      <c r="AF845" s="95"/>
      <c r="AG845" s="95"/>
      <c r="AH845" s="95"/>
      <c r="AI845" s="95"/>
      <c r="AJ845" s="95"/>
      <c r="AK845" s="95"/>
      <c r="AL845" s="95"/>
      <c r="AM845" s="95"/>
      <c r="AN845" s="95"/>
      <c r="AO845" s="95"/>
      <c r="AP845" s="95"/>
      <c r="AQ845" s="95"/>
    </row>
    <row r="846" spans="1:43" ht="12.75" x14ac:dyDescent="0.35">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c r="AA846" s="95"/>
      <c r="AB846" s="95"/>
      <c r="AC846" s="95"/>
      <c r="AD846" s="95"/>
      <c r="AE846" s="95"/>
      <c r="AF846" s="95"/>
      <c r="AG846" s="95"/>
      <c r="AH846" s="95"/>
      <c r="AI846" s="95"/>
      <c r="AJ846" s="95"/>
      <c r="AK846" s="95"/>
      <c r="AL846" s="95"/>
      <c r="AM846" s="95"/>
      <c r="AN846" s="95"/>
      <c r="AO846" s="95"/>
      <c r="AP846" s="95"/>
      <c r="AQ846" s="95"/>
    </row>
    <row r="847" spans="1:43" ht="12.75" x14ac:dyDescent="0.35">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c r="AA847" s="95"/>
      <c r="AB847" s="95"/>
      <c r="AC847" s="95"/>
      <c r="AD847" s="95"/>
      <c r="AE847" s="95"/>
      <c r="AF847" s="95"/>
      <c r="AG847" s="95"/>
      <c r="AH847" s="95"/>
      <c r="AI847" s="95"/>
      <c r="AJ847" s="95"/>
      <c r="AK847" s="95"/>
      <c r="AL847" s="95"/>
      <c r="AM847" s="95"/>
      <c r="AN847" s="95"/>
      <c r="AO847" s="95"/>
      <c r="AP847" s="95"/>
      <c r="AQ847" s="95"/>
    </row>
    <row r="848" spans="1:43" ht="12.75" x14ac:dyDescent="0.35">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c r="AA848" s="95"/>
      <c r="AB848" s="95"/>
      <c r="AC848" s="95"/>
      <c r="AD848" s="95"/>
      <c r="AE848" s="95"/>
      <c r="AF848" s="95"/>
      <c r="AG848" s="95"/>
      <c r="AH848" s="95"/>
      <c r="AI848" s="95"/>
      <c r="AJ848" s="95"/>
      <c r="AK848" s="95"/>
      <c r="AL848" s="95"/>
      <c r="AM848" s="95"/>
      <c r="AN848" s="95"/>
      <c r="AO848" s="95"/>
      <c r="AP848" s="95"/>
      <c r="AQ848" s="95"/>
    </row>
    <row r="849" spans="1:43" ht="12.75" x14ac:dyDescent="0.35">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c r="AA849" s="95"/>
      <c r="AB849" s="95"/>
      <c r="AC849" s="95"/>
      <c r="AD849" s="95"/>
      <c r="AE849" s="95"/>
      <c r="AF849" s="95"/>
      <c r="AG849" s="95"/>
      <c r="AH849" s="95"/>
      <c r="AI849" s="95"/>
      <c r="AJ849" s="95"/>
      <c r="AK849" s="95"/>
      <c r="AL849" s="95"/>
      <c r="AM849" s="95"/>
      <c r="AN849" s="95"/>
      <c r="AO849" s="95"/>
      <c r="AP849" s="95"/>
      <c r="AQ849" s="95"/>
    </row>
    <row r="850" spans="1:43" ht="12.75" x14ac:dyDescent="0.35">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c r="AA850" s="95"/>
      <c r="AB850" s="95"/>
      <c r="AC850" s="95"/>
      <c r="AD850" s="95"/>
      <c r="AE850" s="95"/>
      <c r="AF850" s="95"/>
      <c r="AG850" s="95"/>
      <c r="AH850" s="95"/>
      <c r="AI850" s="95"/>
      <c r="AJ850" s="95"/>
      <c r="AK850" s="95"/>
      <c r="AL850" s="95"/>
      <c r="AM850" s="95"/>
      <c r="AN850" s="95"/>
      <c r="AO850" s="95"/>
      <c r="AP850" s="95"/>
      <c r="AQ850" s="95"/>
    </row>
    <row r="851" spans="1:43" ht="12.75" x14ac:dyDescent="0.35">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c r="AA851" s="95"/>
      <c r="AB851" s="95"/>
      <c r="AC851" s="95"/>
      <c r="AD851" s="95"/>
      <c r="AE851" s="95"/>
      <c r="AF851" s="95"/>
      <c r="AG851" s="95"/>
      <c r="AH851" s="95"/>
      <c r="AI851" s="95"/>
      <c r="AJ851" s="95"/>
      <c r="AK851" s="95"/>
      <c r="AL851" s="95"/>
      <c r="AM851" s="95"/>
      <c r="AN851" s="95"/>
      <c r="AO851" s="95"/>
      <c r="AP851" s="95"/>
      <c r="AQ851" s="95"/>
    </row>
    <row r="852" spans="1:43" ht="12.75" x14ac:dyDescent="0.35">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c r="AA852" s="95"/>
      <c r="AB852" s="95"/>
      <c r="AC852" s="95"/>
      <c r="AD852" s="95"/>
      <c r="AE852" s="95"/>
      <c r="AF852" s="95"/>
      <c r="AG852" s="95"/>
      <c r="AH852" s="95"/>
      <c r="AI852" s="95"/>
      <c r="AJ852" s="95"/>
      <c r="AK852" s="95"/>
      <c r="AL852" s="95"/>
      <c r="AM852" s="95"/>
      <c r="AN852" s="95"/>
      <c r="AO852" s="95"/>
      <c r="AP852" s="95"/>
      <c r="AQ852" s="95"/>
    </row>
    <row r="853" spans="1:43" ht="12.75" x14ac:dyDescent="0.35">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c r="AA853" s="95"/>
      <c r="AB853" s="95"/>
      <c r="AC853" s="95"/>
      <c r="AD853" s="95"/>
      <c r="AE853" s="95"/>
      <c r="AF853" s="95"/>
      <c r="AG853" s="95"/>
      <c r="AH853" s="95"/>
      <c r="AI853" s="95"/>
      <c r="AJ853" s="95"/>
      <c r="AK853" s="95"/>
      <c r="AL853" s="95"/>
      <c r="AM853" s="95"/>
      <c r="AN853" s="95"/>
      <c r="AO853" s="95"/>
      <c r="AP853" s="95"/>
      <c r="AQ853" s="95"/>
    </row>
    <row r="854" spans="1:43" ht="12.75" x14ac:dyDescent="0.35">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c r="AA854" s="95"/>
      <c r="AB854" s="95"/>
      <c r="AC854" s="95"/>
      <c r="AD854" s="95"/>
      <c r="AE854" s="95"/>
      <c r="AF854" s="95"/>
      <c r="AG854" s="95"/>
      <c r="AH854" s="95"/>
      <c r="AI854" s="95"/>
      <c r="AJ854" s="95"/>
      <c r="AK854" s="95"/>
      <c r="AL854" s="95"/>
      <c r="AM854" s="95"/>
      <c r="AN854" s="95"/>
      <c r="AO854" s="95"/>
      <c r="AP854" s="95"/>
      <c r="AQ854" s="95"/>
    </row>
    <row r="855" spans="1:43" ht="12.75" x14ac:dyDescent="0.35">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c r="AA855" s="95"/>
      <c r="AB855" s="95"/>
      <c r="AC855" s="95"/>
      <c r="AD855" s="95"/>
      <c r="AE855" s="95"/>
      <c r="AF855" s="95"/>
      <c r="AG855" s="95"/>
      <c r="AH855" s="95"/>
      <c r="AI855" s="95"/>
      <c r="AJ855" s="95"/>
      <c r="AK855" s="95"/>
      <c r="AL855" s="95"/>
      <c r="AM855" s="95"/>
      <c r="AN855" s="95"/>
      <c r="AO855" s="95"/>
      <c r="AP855" s="95"/>
      <c r="AQ855" s="95"/>
    </row>
    <row r="856" spans="1:43" ht="12.75" x14ac:dyDescent="0.35">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c r="AA856" s="95"/>
      <c r="AB856" s="95"/>
      <c r="AC856" s="95"/>
      <c r="AD856" s="95"/>
      <c r="AE856" s="95"/>
      <c r="AF856" s="95"/>
      <c r="AG856" s="95"/>
      <c r="AH856" s="95"/>
      <c r="AI856" s="95"/>
      <c r="AJ856" s="95"/>
      <c r="AK856" s="95"/>
      <c r="AL856" s="95"/>
      <c r="AM856" s="95"/>
      <c r="AN856" s="95"/>
      <c r="AO856" s="95"/>
      <c r="AP856" s="95"/>
      <c r="AQ856" s="95"/>
    </row>
    <row r="857" spans="1:43" ht="12.75" x14ac:dyDescent="0.35">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c r="AA857" s="95"/>
      <c r="AB857" s="95"/>
      <c r="AC857" s="95"/>
      <c r="AD857" s="95"/>
      <c r="AE857" s="95"/>
      <c r="AF857" s="95"/>
      <c r="AG857" s="95"/>
      <c r="AH857" s="95"/>
      <c r="AI857" s="95"/>
      <c r="AJ857" s="95"/>
      <c r="AK857" s="95"/>
      <c r="AL857" s="95"/>
      <c r="AM857" s="95"/>
      <c r="AN857" s="95"/>
      <c r="AO857" s="95"/>
      <c r="AP857" s="95"/>
      <c r="AQ857" s="95"/>
    </row>
    <row r="858" spans="1:43" ht="12.75" x14ac:dyDescent="0.35">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c r="AA858" s="95"/>
      <c r="AB858" s="95"/>
      <c r="AC858" s="95"/>
      <c r="AD858" s="95"/>
      <c r="AE858" s="95"/>
      <c r="AF858" s="95"/>
      <c r="AG858" s="95"/>
      <c r="AH858" s="95"/>
      <c r="AI858" s="95"/>
      <c r="AJ858" s="95"/>
      <c r="AK858" s="95"/>
      <c r="AL858" s="95"/>
      <c r="AM858" s="95"/>
      <c r="AN858" s="95"/>
      <c r="AO858" s="95"/>
      <c r="AP858" s="95"/>
      <c r="AQ858" s="95"/>
    </row>
    <row r="859" spans="1:43" ht="12.75" x14ac:dyDescent="0.35">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c r="AA859" s="95"/>
      <c r="AB859" s="95"/>
      <c r="AC859" s="95"/>
      <c r="AD859" s="95"/>
      <c r="AE859" s="95"/>
      <c r="AF859" s="95"/>
      <c r="AG859" s="95"/>
      <c r="AH859" s="95"/>
      <c r="AI859" s="95"/>
      <c r="AJ859" s="95"/>
      <c r="AK859" s="95"/>
      <c r="AL859" s="95"/>
      <c r="AM859" s="95"/>
      <c r="AN859" s="95"/>
      <c r="AO859" s="95"/>
      <c r="AP859" s="95"/>
      <c r="AQ859" s="95"/>
    </row>
    <row r="860" spans="1:43" ht="12.75" x14ac:dyDescent="0.35">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c r="AA860" s="95"/>
      <c r="AB860" s="95"/>
      <c r="AC860" s="95"/>
      <c r="AD860" s="95"/>
      <c r="AE860" s="95"/>
      <c r="AF860" s="95"/>
      <c r="AG860" s="95"/>
      <c r="AH860" s="95"/>
      <c r="AI860" s="95"/>
      <c r="AJ860" s="95"/>
      <c r="AK860" s="95"/>
      <c r="AL860" s="95"/>
      <c r="AM860" s="95"/>
      <c r="AN860" s="95"/>
      <c r="AO860" s="95"/>
      <c r="AP860" s="95"/>
      <c r="AQ860" s="95"/>
    </row>
    <row r="861" spans="1:43" ht="12.75" x14ac:dyDescent="0.35">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c r="AA861" s="95"/>
      <c r="AB861" s="95"/>
      <c r="AC861" s="95"/>
      <c r="AD861" s="95"/>
      <c r="AE861" s="95"/>
      <c r="AF861" s="95"/>
      <c r="AG861" s="95"/>
      <c r="AH861" s="95"/>
      <c r="AI861" s="95"/>
      <c r="AJ861" s="95"/>
      <c r="AK861" s="95"/>
      <c r="AL861" s="95"/>
      <c r="AM861" s="95"/>
      <c r="AN861" s="95"/>
      <c r="AO861" s="95"/>
      <c r="AP861" s="95"/>
      <c r="AQ861" s="95"/>
    </row>
    <row r="862" spans="1:43" ht="12.75" x14ac:dyDescent="0.35">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c r="AA862" s="95"/>
      <c r="AB862" s="95"/>
      <c r="AC862" s="95"/>
      <c r="AD862" s="95"/>
      <c r="AE862" s="95"/>
      <c r="AF862" s="95"/>
      <c r="AG862" s="95"/>
      <c r="AH862" s="95"/>
      <c r="AI862" s="95"/>
      <c r="AJ862" s="95"/>
      <c r="AK862" s="95"/>
      <c r="AL862" s="95"/>
      <c r="AM862" s="95"/>
      <c r="AN862" s="95"/>
      <c r="AO862" s="95"/>
      <c r="AP862" s="95"/>
      <c r="AQ862" s="95"/>
    </row>
    <row r="863" spans="1:43" ht="12.75" x14ac:dyDescent="0.35">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c r="AA863" s="95"/>
      <c r="AB863" s="95"/>
      <c r="AC863" s="95"/>
      <c r="AD863" s="95"/>
      <c r="AE863" s="95"/>
      <c r="AF863" s="95"/>
      <c r="AG863" s="95"/>
      <c r="AH863" s="95"/>
      <c r="AI863" s="95"/>
      <c r="AJ863" s="95"/>
      <c r="AK863" s="95"/>
      <c r="AL863" s="95"/>
      <c r="AM863" s="95"/>
      <c r="AN863" s="95"/>
      <c r="AO863" s="95"/>
      <c r="AP863" s="95"/>
      <c r="AQ863" s="95"/>
    </row>
    <row r="864" spans="1:43" ht="12.75" x14ac:dyDescent="0.35">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c r="AA864" s="95"/>
      <c r="AB864" s="95"/>
      <c r="AC864" s="95"/>
      <c r="AD864" s="95"/>
      <c r="AE864" s="95"/>
      <c r="AF864" s="95"/>
      <c r="AG864" s="95"/>
      <c r="AH864" s="95"/>
      <c r="AI864" s="95"/>
      <c r="AJ864" s="95"/>
      <c r="AK864" s="95"/>
      <c r="AL864" s="95"/>
      <c r="AM864" s="95"/>
      <c r="AN864" s="95"/>
      <c r="AO864" s="95"/>
      <c r="AP864" s="95"/>
      <c r="AQ864" s="95"/>
    </row>
    <row r="865" spans="1:43" ht="12.75" x14ac:dyDescent="0.35">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c r="AA865" s="95"/>
      <c r="AB865" s="95"/>
      <c r="AC865" s="95"/>
      <c r="AD865" s="95"/>
      <c r="AE865" s="95"/>
      <c r="AF865" s="95"/>
      <c r="AG865" s="95"/>
      <c r="AH865" s="95"/>
      <c r="AI865" s="95"/>
      <c r="AJ865" s="95"/>
      <c r="AK865" s="95"/>
      <c r="AL865" s="95"/>
      <c r="AM865" s="95"/>
      <c r="AN865" s="95"/>
      <c r="AO865" s="95"/>
      <c r="AP865" s="95"/>
      <c r="AQ865" s="95"/>
    </row>
    <row r="866" spans="1:43" ht="12.75" x14ac:dyDescent="0.35">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c r="AA866" s="95"/>
      <c r="AB866" s="95"/>
      <c r="AC866" s="95"/>
      <c r="AD866" s="95"/>
      <c r="AE866" s="95"/>
      <c r="AF866" s="95"/>
      <c r="AG866" s="95"/>
      <c r="AH866" s="95"/>
      <c r="AI866" s="95"/>
      <c r="AJ866" s="95"/>
      <c r="AK866" s="95"/>
      <c r="AL866" s="95"/>
      <c r="AM866" s="95"/>
      <c r="AN866" s="95"/>
      <c r="AO866" s="95"/>
      <c r="AP866" s="95"/>
      <c r="AQ866" s="95"/>
    </row>
    <row r="867" spans="1:43" ht="12.75" x14ac:dyDescent="0.35">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c r="AA867" s="95"/>
      <c r="AB867" s="95"/>
      <c r="AC867" s="95"/>
      <c r="AD867" s="95"/>
      <c r="AE867" s="95"/>
      <c r="AF867" s="95"/>
      <c r="AG867" s="95"/>
      <c r="AH867" s="95"/>
      <c r="AI867" s="95"/>
      <c r="AJ867" s="95"/>
      <c r="AK867" s="95"/>
      <c r="AL867" s="95"/>
      <c r="AM867" s="95"/>
      <c r="AN867" s="95"/>
      <c r="AO867" s="95"/>
      <c r="AP867" s="95"/>
      <c r="AQ867" s="95"/>
    </row>
    <row r="868" spans="1:43" ht="12.75" x14ac:dyDescent="0.35">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c r="AA868" s="95"/>
      <c r="AB868" s="95"/>
      <c r="AC868" s="95"/>
      <c r="AD868" s="95"/>
      <c r="AE868" s="95"/>
      <c r="AF868" s="95"/>
      <c r="AG868" s="95"/>
      <c r="AH868" s="95"/>
      <c r="AI868" s="95"/>
      <c r="AJ868" s="95"/>
      <c r="AK868" s="95"/>
      <c r="AL868" s="95"/>
      <c r="AM868" s="95"/>
      <c r="AN868" s="95"/>
      <c r="AO868" s="95"/>
      <c r="AP868" s="95"/>
      <c r="AQ868" s="95"/>
    </row>
    <row r="869" spans="1:43" ht="12.75" x14ac:dyDescent="0.35">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c r="AA869" s="95"/>
      <c r="AB869" s="95"/>
      <c r="AC869" s="95"/>
      <c r="AD869" s="95"/>
      <c r="AE869" s="95"/>
      <c r="AF869" s="95"/>
      <c r="AG869" s="95"/>
      <c r="AH869" s="95"/>
      <c r="AI869" s="95"/>
      <c r="AJ869" s="95"/>
      <c r="AK869" s="95"/>
      <c r="AL869" s="95"/>
      <c r="AM869" s="95"/>
      <c r="AN869" s="95"/>
      <c r="AO869" s="95"/>
      <c r="AP869" s="95"/>
      <c r="AQ869" s="95"/>
    </row>
    <row r="870" spans="1:43" ht="12.75" x14ac:dyDescent="0.35">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c r="AA870" s="95"/>
      <c r="AB870" s="95"/>
      <c r="AC870" s="95"/>
      <c r="AD870" s="95"/>
      <c r="AE870" s="95"/>
      <c r="AF870" s="95"/>
      <c r="AG870" s="95"/>
      <c r="AH870" s="95"/>
      <c r="AI870" s="95"/>
      <c r="AJ870" s="95"/>
      <c r="AK870" s="95"/>
      <c r="AL870" s="95"/>
      <c r="AM870" s="95"/>
      <c r="AN870" s="95"/>
      <c r="AO870" s="95"/>
      <c r="AP870" s="95"/>
      <c r="AQ870" s="95"/>
    </row>
    <row r="871" spans="1:43" ht="12.75" x14ac:dyDescent="0.35">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c r="AA871" s="95"/>
      <c r="AB871" s="95"/>
      <c r="AC871" s="95"/>
      <c r="AD871" s="95"/>
      <c r="AE871" s="95"/>
      <c r="AF871" s="95"/>
      <c r="AG871" s="95"/>
      <c r="AH871" s="95"/>
      <c r="AI871" s="95"/>
      <c r="AJ871" s="95"/>
      <c r="AK871" s="95"/>
      <c r="AL871" s="95"/>
      <c r="AM871" s="95"/>
      <c r="AN871" s="95"/>
      <c r="AO871" s="95"/>
      <c r="AP871" s="95"/>
      <c r="AQ871" s="95"/>
    </row>
    <row r="872" spans="1:43" ht="12.75" x14ac:dyDescent="0.35">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c r="AA872" s="95"/>
      <c r="AB872" s="95"/>
      <c r="AC872" s="95"/>
      <c r="AD872" s="95"/>
      <c r="AE872" s="95"/>
      <c r="AF872" s="95"/>
      <c r="AG872" s="95"/>
      <c r="AH872" s="95"/>
      <c r="AI872" s="95"/>
      <c r="AJ872" s="95"/>
      <c r="AK872" s="95"/>
      <c r="AL872" s="95"/>
      <c r="AM872" s="95"/>
      <c r="AN872" s="95"/>
      <c r="AO872" s="95"/>
      <c r="AP872" s="95"/>
      <c r="AQ872" s="95"/>
    </row>
    <row r="873" spans="1:43" ht="12.75" x14ac:dyDescent="0.35">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c r="AA873" s="95"/>
      <c r="AB873" s="95"/>
      <c r="AC873" s="95"/>
      <c r="AD873" s="95"/>
      <c r="AE873" s="95"/>
      <c r="AF873" s="95"/>
      <c r="AG873" s="95"/>
      <c r="AH873" s="95"/>
      <c r="AI873" s="95"/>
      <c r="AJ873" s="95"/>
      <c r="AK873" s="95"/>
      <c r="AL873" s="95"/>
      <c r="AM873" s="95"/>
      <c r="AN873" s="95"/>
      <c r="AO873" s="95"/>
      <c r="AP873" s="95"/>
      <c r="AQ873" s="95"/>
    </row>
    <row r="874" spans="1:43" ht="12.75" x14ac:dyDescent="0.35">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c r="AA874" s="95"/>
      <c r="AB874" s="95"/>
      <c r="AC874" s="95"/>
      <c r="AD874" s="95"/>
      <c r="AE874" s="95"/>
      <c r="AF874" s="95"/>
      <c r="AG874" s="95"/>
      <c r="AH874" s="95"/>
      <c r="AI874" s="95"/>
      <c r="AJ874" s="95"/>
      <c r="AK874" s="95"/>
      <c r="AL874" s="95"/>
      <c r="AM874" s="95"/>
      <c r="AN874" s="95"/>
      <c r="AO874" s="95"/>
      <c r="AP874" s="95"/>
      <c r="AQ874" s="95"/>
    </row>
    <row r="875" spans="1:43" ht="12.75" x14ac:dyDescent="0.35">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c r="AA875" s="95"/>
      <c r="AB875" s="95"/>
      <c r="AC875" s="95"/>
      <c r="AD875" s="95"/>
      <c r="AE875" s="95"/>
      <c r="AF875" s="95"/>
      <c r="AG875" s="95"/>
      <c r="AH875" s="95"/>
      <c r="AI875" s="95"/>
      <c r="AJ875" s="95"/>
      <c r="AK875" s="95"/>
      <c r="AL875" s="95"/>
      <c r="AM875" s="95"/>
      <c r="AN875" s="95"/>
      <c r="AO875" s="95"/>
      <c r="AP875" s="95"/>
      <c r="AQ875" s="95"/>
    </row>
    <row r="876" spans="1:43" ht="12.75" x14ac:dyDescent="0.35">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c r="AA876" s="95"/>
      <c r="AB876" s="95"/>
      <c r="AC876" s="95"/>
      <c r="AD876" s="95"/>
      <c r="AE876" s="95"/>
      <c r="AF876" s="95"/>
      <c r="AG876" s="95"/>
      <c r="AH876" s="95"/>
      <c r="AI876" s="95"/>
      <c r="AJ876" s="95"/>
      <c r="AK876" s="95"/>
      <c r="AL876" s="95"/>
      <c r="AM876" s="95"/>
      <c r="AN876" s="95"/>
      <c r="AO876" s="95"/>
      <c r="AP876" s="95"/>
      <c r="AQ876" s="95"/>
    </row>
    <row r="877" spans="1:43" ht="12.75" x14ac:dyDescent="0.35">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c r="AA877" s="95"/>
      <c r="AB877" s="95"/>
      <c r="AC877" s="95"/>
      <c r="AD877" s="95"/>
      <c r="AE877" s="95"/>
      <c r="AF877" s="95"/>
      <c r="AG877" s="95"/>
      <c r="AH877" s="95"/>
      <c r="AI877" s="95"/>
      <c r="AJ877" s="95"/>
      <c r="AK877" s="95"/>
      <c r="AL877" s="95"/>
      <c r="AM877" s="95"/>
      <c r="AN877" s="95"/>
      <c r="AO877" s="95"/>
      <c r="AP877" s="95"/>
      <c r="AQ877" s="95"/>
    </row>
    <row r="878" spans="1:43" ht="12.75" x14ac:dyDescent="0.35">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c r="AA878" s="95"/>
      <c r="AB878" s="95"/>
      <c r="AC878" s="95"/>
      <c r="AD878" s="95"/>
      <c r="AE878" s="95"/>
      <c r="AF878" s="95"/>
      <c r="AG878" s="95"/>
      <c r="AH878" s="95"/>
      <c r="AI878" s="95"/>
      <c r="AJ878" s="95"/>
      <c r="AK878" s="95"/>
      <c r="AL878" s="95"/>
      <c r="AM878" s="95"/>
      <c r="AN878" s="95"/>
      <c r="AO878" s="95"/>
      <c r="AP878" s="95"/>
      <c r="AQ878" s="95"/>
    </row>
    <row r="879" spans="1:43" ht="12.75" x14ac:dyDescent="0.35">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c r="AA879" s="95"/>
      <c r="AB879" s="95"/>
      <c r="AC879" s="95"/>
      <c r="AD879" s="95"/>
      <c r="AE879" s="95"/>
      <c r="AF879" s="95"/>
      <c r="AG879" s="95"/>
      <c r="AH879" s="95"/>
      <c r="AI879" s="95"/>
      <c r="AJ879" s="95"/>
      <c r="AK879" s="95"/>
      <c r="AL879" s="95"/>
      <c r="AM879" s="95"/>
      <c r="AN879" s="95"/>
      <c r="AO879" s="95"/>
      <c r="AP879" s="95"/>
      <c r="AQ879" s="95"/>
    </row>
    <row r="880" spans="1:43" ht="12.75" x14ac:dyDescent="0.35">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c r="AA880" s="95"/>
      <c r="AB880" s="95"/>
      <c r="AC880" s="95"/>
      <c r="AD880" s="95"/>
      <c r="AE880" s="95"/>
      <c r="AF880" s="95"/>
      <c r="AG880" s="95"/>
      <c r="AH880" s="95"/>
      <c r="AI880" s="95"/>
      <c r="AJ880" s="95"/>
      <c r="AK880" s="95"/>
      <c r="AL880" s="95"/>
      <c r="AM880" s="95"/>
      <c r="AN880" s="95"/>
      <c r="AO880" s="95"/>
      <c r="AP880" s="95"/>
      <c r="AQ880" s="95"/>
    </row>
    <row r="881" spans="1:43" ht="12.75" x14ac:dyDescent="0.35">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c r="AA881" s="95"/>
      <c r="AB881" s="95"/>
      <c r="AC881" s="95"/>
      <c r="AD881" s="95"/>
      <c r="AE881" s="95"/>
      <c r="AF881" s="95"/>
      <c r="AG881" s="95"/>
      <c r="AH881" s="95"/>
      <c r="AI881" s="95"/>
      <c r="AJ881" s="95"/>
      <c r="AK881" s="95"/>
      <c r="AL881" s="95"/>
      <c r="AM881" s="95"/>
      <c r="AN881" s="95"/>
      <c r="AO881" s="95"/>
      <c r="AP881" s="95"/>
      <c r="AQ881" s="95"/>
    </row>
    <row r="882" spans="1:43" ht="12.75" x14ac:dyDescent="0.35">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c r="AA882" s="95"/>
      <c r="AB882" s="95"/>
      <c r="AC882" s="95"/>
      <c r="AD882" s="95"/>
      <c r="AE882" s="95"/>
      <c r="AF882" s="95"/>
      <c r="AG882" s="95"/>
      <c r="AH882" s="95"/>
      <c r="AI882" s="95"/>
      <c r="AJ882" s="95"/>
      <c r="AK882" s="95"/>
      <c r="AL882" s="95"/>
      <c r="AM882" s="95"/>
      <c r="AN882" s="95"/>
      <c r="AO882" s="95"/>
      <c r="AP882" s="95"/>
      <c r="AQ882" s="95"/>
    </row>
    <row r="883" spans="1:43" ht="12.75" x14ac:dyDescent="0.35">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c r="AA883" s="95"/>
      <c r="AB883" s="95"/>
      <c r="AC883" s="95"/>
      <c r="AD883" s="95"/>
      <c r="AE883" s="95"/>
      <c r="AF883" s="95"/>
      <c r="AG883" s="95"/>
      <c r="AH883" s="95"/>
      <c r="AI883" s="95"/>
      <c r="AJ883" s="95"/>
      <c r="AK883" s="95"/>
      <c r="AL883" s="95"/>
      <c r="AM883" s="95"/>
      <c r="AN883" s="95"/>
      <c r="AO883" s="95"/>
      <c r="AP883" s="95"/>
      <c r="AQ883" s="95"/>
    </row>
    <row r="884" spans="1:43" ht="12.75" x14ac:dyDescent="0.35">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c r="AA884" s="95"/>
      <c r="AB884" s="95"/>
      <c r="AC884" s="95"/>
      <c r="AD884" s="95"/>
      <c r="AE884" s="95"/>
      <c r="AF884" s="95"/>
      <c r="AG884" s="95"/>
      <c r="AH884" s="95"/>
      <c r="AI884" s="95"/>
      <c r="AJ884" s="95"/>
      <c r="AK884" s="95"/>
      <c r="AL884" s="95"/>
      <c r="AM884" s="95"/>
      <c r="AN884" s="95"/>
      <c r="AO884" s="95"/>
      <c r="AP884" s="95"/>
      <c r="AQ884" s="95"/>
    </row>
    <row r="885" spans="1:43" ht="12.75" x14ac:dyDescent="0.35">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c r="AA885" s="95"/>
      <c r="AB885" s="95"/>
      <c r="AC885" s="95"/>
      <c r="AD885" s="95"/>
      <c r="AE885" s="95"/>
      <c r="AF885" s="95"/>
      <c r="AG885" s="95"/>
      <c r="AH885" s="95"/>
      <c r="AI885" s="95"/>
      <c r="AJ885" s="95"/>
      <c r="AK885" s="95"/>
      <c r="AL885" s="95"/>
      <c r="AM885" s="95"/>
      <c r="AN885" s="95"/>
      <c r="AO885" s="95"/>
      <c r="AP885" s="95"/>
      <c r="AQ885" s="95"/>
    </row>
    <row r="886" spans="1:43" ht="12.75" x14ac:dyDescent="0.35">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c r="AA886" s="95"/>
      <c r="AB886" s="95"/>
      <c r="AC886" s="95"/>
      <c r="AD886" s="95"/>
      <c r="AE886" s="95"/>
      <c r="AF886" s="95"/>
      <c r="AG886" s="95"/>
      <c r="AH886" s="95"/>
      <c r="AI886" s="95"/>
      <c r="AJ886" s="95"/>
      <c r="AK886" s="95"/>
      <c r="AL886" s="95"/>
      <c r="AM886" s="95"/>
      <c r="AN886" s="95"/>
      <c r="AO886" s="95"/>
      <c r="AP886" s="95"/>
      <c r="AQ886" s="95"/>
    </row>
    <row r="887" spans="1:43" ht="12.75" x14ac:dyDescent="0.35">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c r="AA887" s="95"/>
      <c r="AB887" s="95"/>
      <c r="AC887" s="95"/>
      <c r="AD887" s="95"/>
      <c r="AE887" s="95"/>
      <c r="AF887" s="95"/>
      <c r="AG887" s="95"/>
      <c r="AH887" s="95"/>
      <c r="AI887" s="95"/>
      <c r="AJ887" s="95"/>
      <c r="AK887" s="95"/>
      <c r="AL887" s="95"/>
      <c r="AM887" s="95"/>
      <c r="AN887" s="95"/>
      <c r="AO887" s="95"/>
      <c r="AP887" s="95"/>
      <c r="AQ887" s="95"/>
    </row>
    <row r="888" spans="1:43" ht="12.75" x14ac:dyDescent="0.35">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c r="AA888" s="95"/>
      <c r="AB888" s="95"/>
      <c r="AC888" s="95"/>
      <c r="AD888" s="95"/>
      <c r="AE888" s="95"/>
      <c r="AF888" s="95"/>
      <c r="AG888" s="95"/>
      <c r="AH888" s="95"/>
      <c r="AI888" s="95"/>
      <c r="AJ888" s="95"/>
      <c r="AK888" s="95"/>
      <c r="AL888" s="95"/>
      <c r="AM888" s="95"/>
      <c r="AN888" s="95"/>
      <c r="AO888" s="95"/>
      <c r="AP888" s="95"/>
      <c r="AQ888" s="95"/>
    </row>
    <row r="889" spans="1:43" ht="12.75" x14ac:dyDescent="0.35">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c r="AA889" s="95"/>
      <c r="AB889" s="95"/>
      <c r="AC889" s="95"/>
      <c r="AD889" s="95"/>
      <c r="AE889" s="95"/>
      <c r="AF889" s="95"/>
      <c r="AG889" s="95"/>
      <c r="AH889" s="95"/>
      <c r="AI889" s="95"/>
      <c r="AJ889" s="95"/>
      <c r="AK889" s="95"/>
      <c r="AL889" s="95"/>
      <c r="AM889" s="95"/>
      <c r="AN889" s="95"/>
      <c r="AO889" s="95"/>
      <c r="AP889" s="95"/>
      <c r="AQ889" s="95"/>
    </row>
    <row r="890" spans="1:43" ht="12.75" x14ac:dyDescent="0.35">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c r="AA890" s="95"/>
      <c r="AB890" s="95"/>
      <c r="AC890" s="95"/>
      <c r="AD890" s="95"/>
      <c r="AE890" s="95"/>
      <c r="AF890" s="95"/>
      <c r="AG890" s="95"/>
      <c r="AH890" s="95"/>
      <c r="AI890" s="95"/>
      <c r="AJ890" s="95"/>
      <c r="AK890" s="95"/>
      <c r="AL890" s="95"/>
      <c r="AM890" s="95"/>
      <c r="AN890" s="95"/>
      <c r="AO890" s="95"/>
      <c r="AP890" s="95"/>
      <c r="AQ890" s="95"/>
    </row>
    <row r="891" spans="1:43" ht="12.75" x14ac:dyDescent="0.35">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c r="AA891" s="95"/>
      <c r="AB891" s="95"/>
      <c r="AC891" s="95"/>
      <c r="AD891" s="95"/>
      <c r="AE891" s="95"/>
      <c r="AF891" s="95"/>
      <c r="AG891" s="95"/>
      <c r="AH891" s="95"/>
      <c r="AI891" s="95"/>
      <c r="AJ891" s="95"/>
      <c r="AK891" s="95"/>
      <c r="AL891" s="95"/>
      <c r="AM891" s="95"/>
      <c r="AN891" s="95"/>
      <c r="AO891" s="95"/>
      <c r="AP891" s="95"/>
      <c r="AQ891" s="95"/>
    </row>
    <row r="892" spans="1:43" ht="12.75" x14ac:dyDescent="0.35">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c r="AA892" s="95"/>
      <c r="AB892" s="95"/>
      <c r="AC892" s="95"/>
      <c r="AD892" s="95"/>
      <c r="AE892" s="95"/>
      <c r="AF892" s="95"/>
      <c r="AG892" s="95"/>
      <c r="AH892" s="95"/>
      <c r="AI892" s="95"/>
      <c r="AJ892" s="95"/>
      <c r="AK892" s="95"/>
      <c r="AL892" s="95"/>
      <c r="AM892" s="95"/>
      <c r="AN892" s="95"/>
      <c r="AO892" s="95"/>
      <c r="AP892" s="95"/>
      <c r="AQ892" s="95"/>
    </row>
    <row r="893" spans="1:43" ht="12.75" x14ac:dyDescent="0.35">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c r="AA893" s="95"/>
      <c r="AB893" s="95"/>
      <c r="AC893" s="95"/>
      <c r="AD893" s="95"/>
      <c r="AE893" s="95"/>
      <c r="AF893" s="95"/>
      <c r="AG893" s="95"/>
      <c r="AH893" s="95"/>
      <c r="AI893" s="95"/>
      <c r="AJ893" s="95"/>
      <c r="AK893" s="95"/>
      <c r="AL893" s="95"/>
      <c r="AM893" s="95"/>
      <c r="AN893" s="95"/>
      <c r="AO893" s="95"/>
      <c r="AP893" s="95"/>
      <c r="AQ893" s="95"/>
    </row>
    <row r="894" spans="1:43" ht="12.75" x14ac:dyDescent="0.35">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c r="AA894" s="95"/>
      <c r="AB894" s="95"/>
      <c r="AC894" s="95"/>
      <c r="AD894" s="95"/>
      <c r="AE894" s="95"/>
      <c r="AF894" s="95"/>
      <c r="AG894" s="95"/>
      <c r="AH894" s="95"/>
      <c r="AI894" s="95"/>
      <c r="AJ894" s="95"/>
      <c r="AK894" s="95"/>
      <c r="AL894" s="95"/>
      <c r="AM894" s="95"/>
      <c r="AN894" s="95"/>
      <c r="AO894" s="95"/>
      <c r="AP894" s="95"/>
      <c r="AQ894" s="95"/>
    </row>
    <row r="895" spans="1:43" ht="12.75" x14ac:dyDescent="0.35">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c r="AA895" s="95"/>
      <c r="AB895" s="95"/>
      <c r="AC895" s="95"/>
      <c r="AD895" s="95"/>
      <c r="AE895" s="95"/>
      <c r="AF895" s="95"/>
      <c r="AG895" s="95"/>
      <c r="AH895" s="95"/>
      <c r="AI895" s="95"/>
      <c r="AJ895" s="95"/>
      <c r="AK895" s="95"/>
      <c r="AL895" s="95"/>
      <c r="AM895" s="95"/>
      <c r="AN895" s="95"/>
      <c r="AO895" s="95"/>
      <c r="AP895" s="95"/>
      <c r="AQ895" s="95"/>
    </row>
    <row r="896" spans="1:43" ht="12.75" x14ac:dyDescent="0.35">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c r="AA896" s="95"/>
      <c r="AB896" s="95"/>
      <c r="AC896" s="95"/>
      <c r="AD896" s="95"/>
      <c r="AE896" s="95"/>
      <c r="AF896" s="95"/>
      <c r="AG896" s="95"/>
      <c r="AH896" s="95"/>
      <c r="AI896" s="95"/>
      <c r="AJ896" s="95"/>
      <c r="AK896" s="95"/>
      <c r="AL896" s="95"/>
      <c r="AM896" s="95"/>
      <c r="AN896" s="95"/>
      <c r="AO896" s="95"/>
      <c r="AP896" s="95"/>
      <c r="AQ896" s="95"/>
    </row>
    <row r="897" spans="1:43" ht="12.75" x14ac:dyDescent="0.35">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c r="AA897" s="95"/>
      <c r="AB897" s="95"/>
      <c r="AC897" s="95"/>
      <c r="AD897" s="95"/>
      <c r="AE897" s="95"/>
      <c r="AF897" s="95"/>
      <c r="AG897" s="95"/>
      <c r="AH897" s="95"/>
      <c r="AI897" s="95"/>
      <c r="AJ897" s="95"/>
      <c r="AK897" s="95"/>
      <c r="AL897" s="95"/>
      <c r="AM897" s="95"/>
      <c r="AN897" s="95"/>
      <c r="AO897" s="95"/>
      <c r="AP897" s="95"/>
      <c r="AQ897" s="95"/>
    </row>
    <row r="898" spans="1:43" ht="12.75" x14ac:dyDescent="0.35">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c r="AA898" s="95"/>
      <c r="AB898" s="95"/>
      <c r="AC898" s="95"/>
      <c r="AD898" s="95"/>
      <c r="AE898" s="95"/>
      <c r="AF898" s="95"/>
      <c r="AG898" s="95"/>
      <c r="AH898" s="95"/>
      <c r="AI898" s="95"/>
      <c r="AJ898" s="95"/>
      <c r="AK898" s="95"/>
      <c r="AL898" s="95"/>
      <c r="AM898" s="95"/>
      <c r="AN898" s="95"/>
      <c r="AO898" s="95"/>
      <c r="AP898" s="95"/>
      <c r="AQ898" s="95"/>
    </row>
    <row r="899" spans="1:43" ht="12.75" x14ac:dyDescent="0.35">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c r="AA899" s="95"/>
      <c r="AB899" s="95"/>
      <c r="AC899" s="95"/>
      <c r="AD899" s="95"/>
      <c r="AE899" s="95"/>
      <c r="AF899" s="95"/>
      <c r="AG899" s="95"/>
      <c r="AH899" s="95"/>
      <c r="AI899" s="95"/>
      <c r="AJ899" s="95"/>
      <c r="AK899" s="95"/>
      <c r="AL899" s="95"/>
      <c r="AM899" s="95"/>
      <c r="AN899" s="95"/>
      <c r="AO899" s="95"/>
      <c r="AP899" s="95"/>
      <c r="AQ899" s="95"/>
    </row>
    <row r="900" spans="1:43" ht="12.75" x14ac:dyDescent="0.35">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c r="AA900" s="95"/>
      <c r="AB900" s="95"/>
      <c r="AC900" s="95"/>
      <c r="AD900" s="95"/>
      <c r="AE900" s="95"/>
      <c r="AF900" s="95"/>
      <c r="AG900" s="95"/>
      <c r="AH900" s="95"/>
      <c r="AI900" s="95"/>
      <c r="AJ900" s="95"/>
      <c r="AK900" s="95"/>
      <c r="AL900" s="95"/>
      <c r="AM900" s="95"/>
      <c r="AN900" s="95"/>
      <c r="AO900" s="95"/>
      <c r="AP900" s="95"/>
      <c r="AQ900" s="95"/>
    </row>
    <row r="901" spans="1:43" ht="12.75" x14ac:dyDescent="0.35">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c r="AA901" s="95"/>
      <c r="AB901" s="95"/>
      <c r="AC901" s="95"/>
      <c r="AD901" s="95"/>
      <c r="AE901" s="95"/>
      <c r="AF901" s="95"/>
      <c r="AG901" s="95"/>
      <c r="AH901" s="95"/>
      <c r="AI901" s="95"/>
      <c r="AJ901" s="95"/>
      <c r="AK901" s="95"/>
      <c r="AL901" s="95"/>
      <c r="AM901" s="95"/>
      <c r="AN901" s="95"/>
      <c r="AO901" s="95"/>
      <c r="AP901" s="95"/>
      <c r="AQ901" s="95"/>
    </row>
    <row r="902" spans="1:43" ht="12.75" x14ac:dyDescent="0.35">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c r="AA902" s="95"/>
      <c r="AB902" s="95"/>
      <c r="AC902" s="95"/>
      <c r="AD902" s="95"/>
      <c r="AE902" s="95"/>
      <c r="AF902" s="95"/>
      <c r="AG902" s="95"/>
      <c r="AH902" s="95"/>
      <c r="AI902" s="95"/>
      <c r="AJ902" s="95"/>
      <c r="AK902" s="95"/>
      <c r="AL902" s="95"/>
      <c r="AM902" s="95"/>
      <c r="AN902" s="95"/>
      <c r="AO902" s="95"/>
      <c r="AP902" s="95"/>
      <c r="AQ902" s="95"/>
    </row>
    <row r="903" spans="1:43" ht="12.75" x14ac:dyDescent="0.35">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c r="AA903" s="95"/>
      <c r="AB903" s="95"/>
      <c r="AC903" s="95"/>
      <c r="AD903" s="95"/>
      <c r="AE903" s="95"/>
      <c r="AF903" s="95"/>
      <c r="AG903" s="95"/>
      <c r="AH903" s="95"/>
      <c r="AI903" s="95"/>
      <c r="AJ903" s="95"/>
      <c r="AK903" s="95"/>
      <c r="AL903" s="95"/>
      <c r="AM903" s="95"/>
      <c r="AN903" s="95"/>
      <c r="AO903" s="95"/>
      <c r="AP903" s="95"/>
      <c r="AQ903" s="95"/>
    </row>
    <row r="904" spans="1:43" ht="12.75" x14ac:dyDescent="0.35">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c r="AA904" s="95"/>
      <c r="AB904" s="95"/>
      <c r="AC904" s="95"/>
      <c r="AD904" s="95"/>
      <c r="AE904" s="95"/>
      <c r="AF904" s="95"/>
      <c r="AG904" s="95"/>
      <c r="AH904" s="95"/>
      <c r="AI904" s="95"/>
      <c r="AJ904" s="95"/>
      <c r="AK904" s="95"/>
      <c r="AL904" s="95"/>
      <c r="AM904" s="95"/>
      <c r="AN904" s="95"/>
      <c r="AO904" s="95"/>
      <c r="AP904" s="95"/>
      <c r="AQ904" s="95"/>
    </row>
    <row r="905" spans="1:43" ht="12.75" x14ac:dyDescent="0.35">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c r="AA905" s="95"/>
      <c r="AB905" s="95"/>
      <c r="AC905" s="95"/>
      <c r="AD905" s="95"/>
      <c r="AE905" s="95"/>
      <c r="AF905" s="95"/>
      <c r="AG905" s="95"/>
      <c r="AH905" s="95"/>
      <c r="AI905" s="95"/>
      <c r="AJ905" s="95"/>
      <c r="AK905" s="95"/>
      <c r="AL905" s="95"/>
      <c r="AM905" s="95"/>
      <c r="AN905" s="95"/>
      <c r="AO905" s="95"/>
      <c r="AP905" s="95"/>
      <c r="AQ905" s="95"/>
    </row>
    <row r="906" spans="1:43" ht="12.75" x14ac:dyDescent="0.35">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c r="AA906" s="95"/>
      <c r="AB906" s="95"/>
      <c r="AC906" s="95"/>
      <c r="AD906" s="95"/>
      <c r="AE906" s="95"/>
      <c r="AF906" s="95"/>
      <c r="AG906" s="95"/>
      <c r="AH906" s="95"/>
      <c r="AI906" s="95"/>
      <c r="AJ906" s="95"/>
      <c r="AK906" s="95"/>
      <c r="AL906" s="95"/>
      <c r="AM906" s="95"/>
      <c r="AN906" s="95"/>
      <c r="AO906" s="95"/>
      <c r="AP906" s="95"/>
      <c r="AQ906" s="95"/>
    </row>
    <row r="907" spans="1:43" ht="12.75" x14ac:dyDescent="0.35">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c r="AA907" s="95"/>
      <c r="AB907" s="95"/>
      <c r="AC907" s="95"/>
      <c r="AD907" s="95"/>
      <c r="AE907" s="95"/>
      <c r="AF907" s="95"/>
      <c r="AG907" s="95"/>
      <c r="AH907" s="95"/>
      <c r="AI907" s="95"/>
      <c r="AJ907" s="95"/>
      <c r="AK907" s="95"/>
      <c r="AL907" s="95"/>
      <c r="AM907" s="95"/>
      <c r="AN907" s="95"/>
      <c r="AO907" s="95"/>
      <c r="AP907" s="95"/>
      <c r="AQ907" s="95"/>
    </row>
    <row r="908" spans="1:43" ht="12.75" x14ac:dyDescent="0.35">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c r="AA908" s="95"/>
      <c r="AB908" s="95"/>
      <c r="AC908" s="95"/>
      <c r="AD908" s="95"/>
      <c r="AE908" s="95"/>
      <c r="AF908" s="95"/>
      <c r="AG908" s="95"/>
      <c r="AH908" s="95"/>
      <c r="AI908" s="95"/>
      <c r="AJ908" s="95"/>
      <c r="AK908" s="95"/>
      <c r="AL908" s="95"/>
      <c r="AM908" s="95"/>
      <c r="AN908" s="95"/>
      <c r="AO908" s="95"/>
      <c r="AP908" s="95"/>
      <c r="AQ908" s="95"/>
    </row>
    <row r="909" spans="1:43" ht="12.75" x14ac:dyDescent="0.35">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c r="AA909" s="95"/>
      <c r="AB909" s="95"/>
      <c r="AC909" s="95"/>
      <c r="AD909" s="95"/>
      <c r="AE909" s="95"/>
      <c r="AF909" s="95"/>
      <c r="AG909" s="95"/>
      <c r="AH909" s="95"/>
      <c r="AI909" s="95"/>
      <c r="AJ909" s="95"/>
      <c r="AK909" s="95"/>
      <c r="AL909" s="95"/>
      <c r="AM909" s="95"/>
      <c r="AN909" s="95"/>
      <c r="AO909" s="95"/>
      <c r="AP909" s="95"/>
      <c r="AQ909" s="95"/>
    </row>
    <row r="910" spans="1:43" ht="12.75" x14ac:dyDescent="0.35">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c r="AA910" s="95"/>
      <c r="AB910" s="95"/>
      <c r="AC910" s="95"/>
      <c r="AD910" s="95"/>
      <c r="AE910" s="95"/>
      <c r="AF910" s="95"/>
      <c r="AG910" s="95"/>
      <c r="AH910" s="95"/>
      <c r="AI910" s="95"/>
      <c r="AJ910" s="95"/>
      <c r="AK910" s="95"/>
      <c r="AL910" s="95"/>
      <c r="AM910" s="95"/>
      <c r="AN910" s="95"/>
      <c r="AO910" s="95"/>
      <c r="AP910" s="95"/>
      <c r="AQ910" s="95"/>
    </row>
    <row r="911" spans="1:43" ht="12.75" x14ac:dyDescent="0.35">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c r="AA911" s="95"/>
      <c r="AB911" s="95"/>
      <c r="AC911" s="95"/>
      <c r="AD911" s="95"/>
      <c r="AE911" s="95"/>
      <c r="AF911" s="95"/>
      <c r="AG911" s="95"/>
      <c r="AH911" s="95"/>
      <c r="AI911" s="95"/>
      <c r="AJ911" s="95"/>
      <c r="AK911" s="95"/>
      <c r="AL911" s="95"/>
      <c r="AM911" s="95"/>
      <c r="AN911" s="95"/>
      <c r="AO911" s="95"/>
      <c r="AP911" s="95"/>
      <c r="AQ911" s="95"/>
    </row>
    <row r="912" spans="1:43" ht="12.75" x14ac:dyDescent="0.35">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c r="AA912" s="95"/>
      <c r="AB912" s="95"/>
      <c r="AC912" s="95"/>
      <c r="AD912" s="95"/>
      <c r="AE912" s="95"/>
      <c r="AF912" s="95"/>
      <c r="AG912" s="95"/>
      <c r="AH912" s="95"/>
      <c r="AI912" s="95"/>
      <c r="AJ912" s="95"/>
      <c r="AK912" s="95"/>
      <c r="AL912" s="95"/>
      <c r="AM912" s="95"/>
      <c r="AN912" s="95"/>
      <c r="AO912" s="95"/>
      <c r="AP912" s="95"/>
      <c r="AQ912" s="95"/>
    </row>
    <row r="913" spans="1:43" ht="12.75" x14ac:dyDescent="0.35">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c r="AA913" s="95"/>
      <c r="AB913" s="95"/>
      <c r="AC913" s="95"/>
      <c r="AD913" s="95"/>
      <c r="AE913" s="95"/>
      <c r="AF913" s="95"/>
      <c r="AG913" s="95"/>
      <c r="AH913" s="95"/>
      <c r="AI913" s="95"/>
      <c r="AJ913" s="95"/>
      <c r="AK913" s="95"/>
      <c r="AL913" s="95"/>
      <c r="AM913" s="95"/>
      <c r="AN913" s="95"/>
      <c r="AO913" s="95"/>
      <c r="AP913" s="95"/>
      <c r="AQ913" s="95"/>
    </row>
    <row r="914" spans="1:43" ht="12.75" x14ac:dyDescent="0.35">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c r="AA914" s="95"/>
      <c r="AB914" s="95"/>
      <c r="AC914" s="95"/>
      <c r="AD914" s="95"/>
      <c r="AE914" s="95"/>
      <c r="AF914" s="95"/>
      <c r="AG914" s="95"/>
      <c r="AH914" s="95"/>
      <c r="AI914" s="95"/>
      <c r="AJ914" s="95"/>
      <c r="AK914" s="95"/>
      <c r="AL914" s="95"/>
      <c r="AM914" s="95"/>
      <c r="AN914" s="95"/>
      <c r="AO914" s="95"/>
      <c r="AP914" s="95"/>
      <c r="AQ914" s="95"/>
    </row>
    <row r="915" spans="1:43" ht="12.75" x14ac:dyDescent="0.35">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c r="AA915" s="95"/>
      <c r="AB915" s="95"/>
      <c r="AC915" s="95"/>
      <c r="AD915" s="95"/>
      <c r="AE915" s="95"/>
      <c r="AF915" s="95"/>
      <c r="AG915" s="95"/>
      <c r="AH915" s="95"/>
      <c r="AI915" s="95"/>
      <c r="AJ915" s="95"/>
      <c r="AK915" s="95"/>
      <c r="AL915" s="95"/>
      <c r="AM915" s="95"/>
      <c r="AN915" s="95"/>
      <c r="AO915" s="95"/>
      <c r="AP915" s="95"/>
      <c r="AQ915" s="95"/>
    </row>
    <row r="916" spans="1:43" ht="12.75" x14ac:dyDescent="0.35">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c r="AA916" s="95"/>
      <c r="AB916" s="95"/>
      <c r="AC916" s="95"/>
      <c r="AD916" s="95"/>
      <c r="AE916" s="95"/>
      <c r="AF916" s="95"/>
      <c r="AG916" s="95"/>
      <c r="AH916" s="95"/>
      <c r="AI916" s="95"/>
      <c r="AJ916" s="95"/>
      <c r="AK916" s="95"/>
      <c r="AL916" s="95"/>
      <c r="AM916" s="95"/>
      <c r="AN916" s="95"/>
      <c r="AO916" s="95"/>
      <c r="AP916" s="95"/>
      <c r="AQ916" s="95"/>
    </row>
    <row r="917" spans="1:43" ht="12.75" x14ac:dyDescent="0.35">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c r="AA917" s="95"/>
      <c r="AB917" s="95"/>
      <c r="AC917" s="95"/>
      <c r="AD917" s="95"/>
      <c r="AE917" s="95"/>
      <c r="AF917" s="95"/>
      <c r="AG917" s="95"/>
      <c r="AH917" s="95"/>
      <c r="AI917" s="95"/>
      <c r="AJ917" s="95"/>
      <c r="AK917" s="95"/>
      <c r="AL917" s="95"/>
      <c r="AM917" s="95"/>
      <c r="AN917" s="95"/>
      <c r="AO917" s="95"/>
      <c r="AP917" s="95"/>
      <c r="AQ917" s="95"/>
    </row>
    <row r="918" spans="1:43" ht="12.75" x14ac:dyDescent="0.35">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c r="AA918" s="95"/>
      <c r="AB918" s="95"/>
      <c r="AC918" s="95"/>
      <c r="AD918" s="95"/>
      <c r="AE918" s="95"/>
      <c r="AF918" s="95"/>
      <c r="AG918" s="95"/>
      <c r="AH918" s="95"/>
      <c r="AI918" s="95"/>
      <c r="AJ918" s="95"/>
      <c r="AK918" s="95"/>
      <c r="AL918" s="95"/>
      <c r="AM918" s="95"/>
      <c r="AN918" s="95"/>
      <c r="AO918" s="95"/>
      <c r="AP918" s="95"/>
      <c r="AQ918" s="95"/>
    </row>
    <row r="919" spans="1:43" ht="12.75" x14ac:dyDescent="0.35">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c r="AA919" s="95"/>
      <c r="AB919" s="95"/>
      <c r="AC919" s="95"/>
      <c r="AD919" s="95"/>
      <c r="AE919" s="95"/>
      <c r="AF919" s="95"/>
      <c r="AG919" s="95"/>
      <c r="AH919" s="95"/>
      <c r="AI919" s="95"/>
      <c r="AJ919" s="95"/>
      <c r="AK919" s="95"/>
      <c r="AL919" s="95"/>
      <c r="AM919" s="95"/>
      <c r="AN919" s="95"/>
      <c r="AO919" s="95"/>
      <c r="AP919" s="95"/>
      <c r="AQ919" s="95"/>
    </row>
    <row r="920" spans="1:43" ht="12.75" x14ac:dyDescent="0.35">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c r="AA920" s="95"/>
      <c r="AB920" s="95"/>
      <c r="AC920" s="95"/>
      <c r="AD920" s="95"/>
      <c r="AE920" s="95"/>
      <c r="AF920" s="95"/>
      <c r="AG920" s="95"/>
      <c r="AH920" s="95"/>
      <c r="AI920" s="95"/>
      <c r="AJ920" s="95"/>
      <c r="AK920" s="95"/>
      <c r="AL920" s="95"/>
      <c r="AM920" s="95"/>
      <c r="AN920" s="95"/>
      <c r="AO920" s="95"/>
      <c r="AP920" s="95"/>
      <c r="AQ920" s="95"/>
    </row>
    <row r="921" spans="1:43" ht="12.75" x14ac:dyDescent="0.35">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c r="AA921" s="95"/>
      <c r="AB921" s="95"/>
      <c r="AC921" s="95"/>
      <c r="AD921" s="95"/>
      <c r="AE921" s="95"/>
      <c r="AF921" s="95"/>
      <c r="AG921" s="95"/>
      <c r="AH921" s="95"/>
      <c r="AI921" s="95"/>
      <c r="AJ921" s="95"/>
      <c r="AK921" s="95"/>
      <c r="AL921" s="95"/>
      <c r="AM921" s="95"/>
      <c r="AN921" s="95"/>
      <c r="AO921" s="95"/>
      <c r="AP921" s="95"/>
      <c r="AQ921" s="95"/>
    </row>
    <row r="922" spans="1:43" ht="12.75" x14ac:dyDescent="0.35">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c r="AA922" s="95"/>
      <c r="AB922" s="95"/>
      <c r="AC922" s="95"/>
      <c r="AD922" s="95"/>
      <c r="AE922" s="95"/>
      <c r="AF922" s="95"/>
      <c r="AG922" s="95"/>
      <c r="AH922" s="95"/>
      <c r="AI922" s="95"/>
      <c r="AJ922" s="95"/>
      <c r="AK922" s="95"/>
      <c r="AL922" s="95"/>
      <c r="AM922" s="95"/>
      <c r="AN922" s="95"/>
      <c r="AO922" s="95"/>
      <c r="AP922" s="95"/>
      <c r="AQ922" s="95"/>
    </row>
    <row r="923" spans="1:43" ht="12.75" x14ac:dyDescent="0.35">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c r="AA923" s="95"/>
      <c r="AB923" s="95"/>
      <c r="AC923" s="95"/>
      <c r="AD923" s="95"/>
      <c r="AE923" s="95"/>
      <c r="AF923" s="95"/>
      <c r="AG923" s="95"/>
      <c r="AH923" s="95"/>
      <c r="AI923" s="95"/>
      <c r="AJ923" s="95"/>
      <c r="AK923" s="95"/>
      <c r="AL923" s="95"/>
      <c r="AM923" s="95"/>
      <c r="AN923" s="95"/>
      <c r="AO923" s="95"/>
      <c r="AP923" s="95"/>
      <c r="AQ923" s="95"/>
    </row>
    <row r="924" spans="1:43" ht="12.75" x14ac:dyDescent="0.35">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c r="AA924" s="95"/>
      <c r="AB924" s="95"/>
      <c r="AC924" s="95"/>
      <c r="AD924" s="95"/>
      <c r="AE924" s="95"/>
      <c r="AF924" s="95"/>
      <c r="AG924" s="95"/>
      <c r="AH924" s="95"/>
      <c r="AI924" s="95"/>
      <c r="AJ924" s="95"/>
      <c r="AK924" s="95"/>
      <c r="AL924" s="95"/>
      <c r="AM924" s="95"/>
      <c r="AN924" s="95"/>
      <c r="AO924" s="95"/>
      <c r="AP924" s="95"/>
      <c r="AQ924" s="95"/>
    </row>
    <row r="925" spans="1:43" ht="12.75" x14ac:dyDescent="0.35">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c r="AA925" s="95"/>
      <c r="AB925" s="95"/>
      <c r="AC925" s="95"/>
      <c r="AD925" s="95"/>
      <c r="AE925" s="95"/>
      <c r="AF925" s="95"/>
      <c r="AG925" s="95"/>
      <c r="AH925" s="95"/>
      <c r="AI925" s="95"/>
      <c r="AJ925" s="95"/>
      <c r="AK925" s="95"/>
      <c r="AL925" s="95"/>
      <c r="AM925" s="95"/>
      <c r="AN925" s="95"/>
      <c r="AO925" s="95"/>
      <c r="AP925" s="95"/>
      <c r="AQ925" s="95"/>
    </row>
    <row r="926" spans="1:43" ht="12.75" x14ac:dyDescent="0.35">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c r="AA926" s="95"/>
      <c r="AB926" s="95"/>
      <c r="AC926" s="95"/>
      <c r="AD926" s="95"/>
      <c r="AE926" s="95"/>
      <c r="AF926" s="95"/>
      <c r="AG926" s="95"/>
      <c r="AH926" s="95"/>
      <c r="AI926" s="95"/>
      <c r="AJ926" s="95"/>
      <c r="AK926" s="95"/>
      <c r="AL926" s="95"/>
      <c r="AM926" s="95"/>
      <c r="AN926" s="95"/>
      <c r="AO926" s="95"/>
      <c r="AP926" s="95"/>
      <c r="AQ926" s="95"/>
    </row>
    <row r="927" spans="1:43" ht="12.75" x14ac:dyDescent="0.35">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c r="AA927" s="95"/>
      <c r="AB927" s="95"/>
      <c r="AC927" s="95"/>
      <c r="AD927" s="95"/>
      <c r="AE927" s="95"/>
      <c r="AF927" s="95"/>
      <c r="AG927" s="95"/>
      <c r="AH927" s="95"/>
      <c r="AI927" s="95"/>
      <c r="AJ927" s="95"/>
      <c r="AK927" s="95"/>
      <c r="AL927" s="95"/>
      <c r="AM927" s="95"/>
      <c r="AN927" s="95"/>
      <c r="AO927" s="95"/>
      <c r="AP927" s="95"/>
      <c r="AQ927" s="95"/>
    </row>
    <row r="928" spans="1:43" ht="12.75" x14ac:dyDescent="0.35">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c r="AA928" s="95"/>
      <c r="AB928" s="95"/>
      <c r="AC928" s="95"/>
      <c r="AD928" s="95"/>
      <c r="AE928" s="95"/>
      <c r="AF928" s="95"/>
      <c r="AG928" s="95"/>
      <c r="AH928" s="95"/>
      <c r="AI928" s="95"/>
      <c r="AJ928" s="95"/>
      <c r="AK928" s="95"/>
      <c r="AL928" s="95"/>
      <c r="AM928" s="95"/>
      <c r="AN928" s="95"/>
      <c r="AO928" s="95"/>
      <c r="AP928" s="95"/>
      <c r="AQ928" s="95"/>
    </row>
    <row r="929" spans="1:43" ht="12.75" x14ac:dyDescent="0.35">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c r="AA929" s="95"/>
      <c r="AB929" s="95"/>
      <c r="AC929" s="95"/>
      <c r="AD929" s="95"/>
      <c r="AE929" s="95"/>
      <c r="AF929" s="95"/>
      <c r="AG929" s="95"/>
      <c r="AH929" s="95"/>
      <c r="AI929" s="95"/>
      <c r="AJ929" s="95"/>
      <c r="AK929" s="95"/>
      <c r="AL929" s="95"/>
      <c r="AM929" s="95"/>
      <c r="AN929" s="95"/>
      <c r="AO929" s="95"/>
      <c r="AP929" s="95"/>
      <c r="AQ929" s="95"/>
    </row>
    <row r="930" spans="1:43" ht="12.75" x14ac:dyDescent="0.35">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c r="AA930" s="95"/>
      <c r="AB930" s="95"/>
      <c r="AC930" s="95"/>
      <c r="AD930" s="95"/>
      <c r="AE930" s="95"/>
      <c r="AF930" s="95"/>
      <c r="AG930" s="95"/>
      <c r="AH930" s="95"/>
      <c r="AI930" s="95"/>
      <c r="AJ930" s="95"/>
      <c r="AK930" s="95"/>
      <c r="AL930" s="95"/>
      <c r="AM930" s="95"/>
      <c r="AN930" s="95"/>
      <c r="AO930" s="95"/>
      <c r="AP930" s="95"/>
      <c r="AQ930" s="95"/>
    </row>
    <row r="931" spans="1:43" ht="12.75" x14ac:dyDescent="0.35">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c r="AA931" s="95"/>
      <c r="AB931" s="95"/>
      <c r="AC931" s="95"/>
      <c r="AD931" s="95"/>
      <c r="AE931" s="95"/>
      <c r="AF931" s="95"/>
      <c r="AG931" s="95"/>
      <c r="AH931" s="95"/>
      <c r="AI931" s="95"/>
      <c r="AJ931" s="95"/>
      <c r="AK931" s="95"/>
      <c r="AL931" s="95"/>
      <c r="AM931" s="95"/>
      <c r="AN931" s="95"/>
      <c r="AO931" s="95"/>
      <c r="AP931" s="95"/>
      <c r="AQ931" s="95"/>
    </row>
    <row r="932" spans="1:43" ht="12.75" x14ac:dyDescent="0.35">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c r="AA932" s="95"/>
      <c r="AB932" s="95"/>
      <c r="AC932" s="95"/>
      <c r="AD932" s="95"/>
      <c r="AE932" s="95"/>
      <c r="AF932" s="95"/>
      <c r="AG932" s="95"/>
      <c r="AH932" s="95"/>
      <c r="AI932" s="95"/>
      <c r="AJ932" s="95"/>
      <c r="AK932" s="95"/>
      <c r="AL932" s="95"/>
      <c r="AM932" s="95"/>
      <c r="AN932" s="95"/>
      <c r="AO932" s="95"/>
      <c r="AP932" s="95"/>
      <c r="AQ932" s="95"/>
    </row>
    <row r="933" spans="1:43" ht="12.75" x14ac:dyDescent="0.35">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c r="AA933" s="95"/>
      <c r="AB933" s="95"/>
      <c r="AC933" s="95"/>
      <c r="AD933" s="95"/>
      <c r="AE933" s="95"/>
      <c r="AF933" s="95"/>
      <c r="AG933" s="95"/>
      <c r="AH933" s="95"/>
      <c r="AI933" s="95"/>
      <c r="AJ933" s="95"/>
      <c r="AK933" s="95"/>
      <c r="AL933" s="95"/>
      <c r="AM933" s="95"/>
      <c r="AN933" s="95"/>
      <c r="AO933" s="95"/>
      <c r="AP933" s="95"/>
      <c r="AQ933" s="95"/>
    </row>
    <row r="934" spans="1:43" ht="12.75" x14ac:dyDescent="0.35">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c r="AA934" s="95"/>
      <c r="AB934" s="95"/>
      <c r="AC934" s="95"/>
      <c r="AD934" s="95"/>
      <c r="AE934" s="95"/>
      <c r="AF934" s="95"/>
      <c r="AG934" s="95"/>
      <c r="AH934" s="95"/>
      <c r="AI934" s="95"/>
      <c r="AJ934" s="95"/>
      <c r="AK934" s="95"/>
      <c r="AL934" s="95"/>
      <c r="AM934" s="95"/>
      <c r="AN934" s="95"/>
      <c r="AO934" s="95"/>
      <c r="AP934" s="95"/>
      <c r="AQ934" s="95"/>
    </row>
    <row r="935" spans="1:43" ht="12.75" x14ac:dyDescent="0.35">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c r="AA935" s="95"/>
      <c r="AB935" s="95"/>
      <c r="AC935" s="95"/>
      <c r="AD935" s="95"/>
      <c r="AE935" s="95"/>
      <c r="AF935" s="95"/>
      <c r="AG935" s="95"/>
      <c r="AH935" s="95"/>
      <c r="AI935" s="95"/>
      <c r="AJ935" s="95"/>
      <c r="AK935" s="95"/>
      <c r="AL935" s="95"/>
      <c r="AM935" s="95"/>
      <c r="AN935" s="95"/>
      <c r="AO935" s="95"/>
      <c r="AP935" s="95"/>
      <c r="AQ935" s="95"/>
    </row>
    <row r="936" spans="1:43" ht="12.75" x14ac:dyDescent="0.35">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c r="AA936" s="95"/>
      <c r="AB936" s="95"/>
      <c r="AC936" s="95"/>
      <c r="AD936" s="95"/>
      <c r="AE936" s="95"/>
      <c r="AF936" s="95"/>
      <c r="AG936" s="95"/>
      <c r="AH936" s="95"/>
      <c r="AI936" s="95"/>
      <c r="AJ936" s="95"/>
      <c r="AK936" s="95"/>
      <c r="AL936" s="95"/>
      <c r="AM936" s="95"/>
      <c r="AN936" s="95"/>
      <c r="AO936" s="95"/>
      <c r="AP936" s="95"/>
      <c r="AQ936" s="95"/>
    </row>
    <row r="937" spans="1:43" ht="12.75" x14ac:dyDescent="0.35">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c r="AA937" s="95"/>
      <c r="AB937" s="95"/>
      <c r="AC937" s="95"/>
      <c r="AD937" s="95"/>
      <c r="AE937" s="95"/>
      <c r="AF937" s="95"/>
      <c r="AG937" s="95"/>
      <c r="AH937" s="95"/>
      <c r="AI937" s="95"/>
      <c r="AJ937" s="95"/>
      <c r="AK937" s="95"/>
      <c r="AL937" s="95"/>
      <c r="AM937" s="95"/>
      <c r="AN937" s="95"/>
      <c r="AO937" s="95"/>
      <c r="AP937" s="95"/>
      <c r="AQ937" s="95"/>
    </row>
    <row r="938" spans="1:43" ht="12.75" x14ac:dyDescent="0.35">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c r="AA938" s="95"/>
      <c r="AB938" s="95"/>
      <c r="AC938" s="95"/>
      <c r="AD938" s="95"/>
      <c r="AE938" s="95"/>
      <c r="AF938" s="95"/>
      <c r="AG938" s="95"/>
      <c r="AH938" s="95"/>
      <c r="AI938" s="95"/>
      <c r="AJ938" s="95"/>
      <c r="AK938" s="95"/>
      <c r="AL938" s="95"/>
      <c r="AM938" s="95"/>
      <c r="AN938" s="95"/>
      <c r="AO938" s="95"/>
      <c r="AP938" s="95"/>
      <c r="AQ938" s="95"/>
    </row>
    <row r="939" spans="1:43" ht="12.75" x14ac:dyDescent="0.35">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c r="AA939" s="95"/>
      <c r="AB939" s="95"/>
      <c r="AC939" s="95"/>
      <c r="AD939" s="95"/>
      <c r="AE939" s="95"/>
      <c r="AF939" s="95"/>
      <c r="AG939" s="95"/>
      <c r="AH939" s="95"/>
      <c r="AI939" s="95"/>
      <c r="AJ939" s="95"/>
      <c r="AK939" s="95"/>
      <c r="AL939" s="95"/>
      <c r="AM939" s="95"/>
      <c r="AN939" s="95"/>
      <c r="AO939" s="95"/>
      <c r="AP939" s="95"/>
      <c r="AQ939" s="95"/>
    </row>
    <row r="940" spans="1:43" ht="12.75" x14ac:dyDescent="0.35">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c r="AA940" s="95"/>
      <c r="AB940" s="95"/>
      <c r="AC940" s="95"/>
      <c r="AD940" s="95"/>
      <c r="AE940" s="95"/>
      <c r="AF940" s="95"/>
      <c r="AG940" s="95"/>
      <c r="AH940" s="95"/>
      <c r="AI940" s="95"/>
      <c r="AJ940" s="95"/>
      <c r="AK940" s="95"/>
      <c r="AL940" s="95"/>
      <c r="AM940" s="95"/>
      <c r="AN940" s="95"/>
      <c r="AO940" s="95"/>
      <c r="AP940" s="95"/>
      <c r="AQ940" s="95"/>
    </row>
    <row r="941" spans="1:43" ht="12.75" x14ac:dyDescent="0.35">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c r="AA941" s="95"/>
      <c r="AB941" s="95"/>
      <c r="AC941" s="95"/>
      <c r="AD941" s="95"/>
      <c r="AE941" s="95"/>
      <c r="AF941" s="95"/>
      <c r="AG941" s="95"/>
      <c r="AH941" s="95"/>
      <c r="AI941" s="95"/>
      <c r="AJ941" s="95"/>
      <c r="AK941" s="95"/>
      <c r="AL941" s="95"/>
      <c r="AM941" s="95"/>
      <c r="AN941" s="95"/>
      <c r="AO941" s="95"/>
      <c r="AP941" s="95"/>
      <c r="AQ941" s="95"/>
    </row>
    <row r="942" spans="1:43" ht="12.75" x14ac:dyDescent="0.35">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c r="AA942" s="95"/>
      <c r="AB942" s="95"/>
      <c r="AC942" s="95"/>
      <c r="AD942" s="95"/>
      <c r="AE942" s="95"/>
      <c r="AF942" s="95"/>
      <c r="AG942" s="95"/>
      <c r="AH942" s="95"/>
      <c r="AI942" s="95"/>
      <c r="AJ942" s="95"/>
      <c r="AK942" s="95"/>
      <c r="AL942" s="95"/>
      <c r="AM942" s="95"/>
      <c r="AN942" s="95"/>
      <c r="AO942" s="95"/>
      <c r="AP942" s="95"/>
      <c r="AQ942" s="95"/>
    </row>
    <row r="943" spans="1:43" ht="12.75" x14ac:dyDescent="0.35">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c r="AA943" s="95"/>
      <c r="AB943" s="95"/>
      <c r="AC943" s="95"/>
      <c r="AD943" s="95"/>
      <c r="AE943" s="95"/>
      <c r="AF943" s="95"/>
      <c r="AG943" s="95"/>
      <c r="AH943" s="95"/>
      <c r="AI943" s="95"/>
      <c r="AJ943" s="95"/>
      <c r="AK943" s="95"/>
      <c r="AL943" s="95"/>
      <c r="AM943" s="95"/>
      <c r="AN943" s="95"/>
      <c r="AO943" s="95"/>
      <c r="AP943" s="95"/>
      <c r="AQ943" s="95"/>
    </row>
    <row r="944" spans="1:43" ht="12.75" x14ac:dyDescent="0.35">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c r="AA944" s="95"/>
      <c r="AB944" s="95"/>
      <c r="AC944" s="95"/>
      <c r="AD944" s="95"/>
      <c r="AE944" s="95"/>
      <c r="AF944" s="95"/>
      <c r="AG944" s="95"/>
      <c r="AH944" s="95"/>
      <c r="AI944" s="95"/>
      <c r="AJ944" s="95"/>
      <c r="AK944" s="95"/>
      <c r="AL944" s="95"/>
      <c r="AM944" s="95"/>
      <c r="AN944" s="95"/>
      <c r="AO944" s="95"/>
      <c r="AP944" s="95"/>
      <c r="AQ944" s="95"/>
    </row>
    <row r="945" spans="1:43" ht="12.75" x14ac:dyDescent="0.35">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c r="AA945" s="95"/>
      <c r="AB945" s="95"/>
      <c r="AC945" s="95"/>
      <c r="AD945" s="95"/>
      <c r="AE945" s="95"/>
      <c r="AF945" s="95"/>
      <c r="AG945" s="95"/>
      <c r="AH945" s="95"/>
      <c r="AI945" s="95"/>
      <c r="AJ945" s="95"/>
      <c r="AK945" s="95"/>
      <c r="AL945" s="95"/>
      <c r="AM945" s="95"/>
      <c r="AN945" s="95"/>
      <c r="AO945" s="95"/>
      <c r="AP945" s="95"/>
      <c r="AQ945" s="95"/>
    </row>
    <row r="946" spans="1:43" ht="12.75" x14ac:dyDescent="0.35">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c r="AA946" s="95"/>
      <c r="AB946" s="95"/>
      <c r="AC946" s="95"/>
      <c r="AD946" s="95"/>
      <c r="AE946" s="95"/>
      <c r="AF946" s="95"/>
      <c r="AG946" s="95"/>
      <c r="AH946" s="95"/>
      <c r="AI946" s="95"/>
      <c r="AJ946" s="95"/>
      <c r="AK946" s="95"/>
      <c r="AL946" s="95"/>
      <c r="AM946" s="95"/>
      <c r="AN946" s="95"/>
      <c r="AO946" s="95"/>
      <c r="AP946" s="95"/>
      <c r="AQ946" s="95"/>
    </row>
    <row r="947" spans="1:43" ht="12.75" x14ac:dyDescent="0.35">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c r="AA947" s="95"/>
      <c r="AB947" s="95"/>
      <c r="AC947" s="95"/>
      <c r="AD947" s="95"/>
      <c r="AE947" s="95"/>
      <c r="AF947" s="95"/>
      <c r="AG947" s="95"/>
      <c r="AH947" s="95"/>
      <c r="AI947" s="95"/>
      <c r="AJ947" s="95"/>
      <c r="AK947" s="95"/>
      <c r="AL947" s="95"/>
      <c r="AM947" s="95"/>
      <c r="AN947" s="95"/>
      <c r="AO947" s="95"/>
      <c r="AP947" s="95"/>
      <c r="AQ947" s="95"/>
    </row>
    <row r="948" spans="1:43" ht="12.75" x14ac:dyDescent="0.35">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c r="AA948" s="95"/>
      <c r="AB948" s="95"/>
      <c r="AC948" s="95"/>
      <c r="AD948" s="95"/>
      <c r="AE948" s="95"/>
      <c r="AF948" s="95"/>
      <c r="AG948" s="95"/>
      <c r="AH948" s="95"/>
      <c r="AI948" s="95"/>
      <c r="AJ948" s="95"/>
      <c r="AK948" s="95"/>
      <c r="AL948" s="95"/>
      <c r="AM948" s="95"/>
      <c r="AN948" s="95"/>
      <c r="AO948" s="95"/>
      <c r="AP948" s="95"/>
      <c r="AQ948" s="95"/>
    </row>
    <row r="949" spans="1:43" ht="12.75" x14ac:dyDescent="0.35">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c r="AA949" s="95"/>
      <c r="AB949" s="95"/>
      <c r="AC949" s="95"/>
      <c r="AD949" s="95"/>
      <c r="AE949" s="95"/>
      <c r="AF949" s="95"/>
      <c r="AG949" s="95"/>
      <c r="AH949" s="95"/>
      <c r="AI949" s="95"/>
      <c r="AJ949" s="95"/>
      <c r="AK949" s="95"/>
      <c r="AL949" s="95"/>
      <c r="AM949" s="95"/>
      <c r="AN949" s="95"/>
      <c r="AO949" s="95"/>
      <c r="AP949" s="95"/>
      <c r="AQ949" s="95"/>
    </row>
    <row r="950" spans="1:43" ht="12.75" x14ac:dyDescent="0.35">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c r="AA950" s="95"/>
      <c r="AB950" s="95"/>
      <c r="AC950" s="95"/>
      <c r="AD950" s="95"/>
      <c r="AE950" s="95"/>
      <c r="AF950" s="95"/>
      <c r="AG950" s="95"/>
      <c r="AH950" s="95"/>
      <c r="AI950" s="95"/>
      <c r="AJ950" s="95"/>
      <c r="AK950" s="95"/>
      <c r="AL950" s="95"/>
      <c r="AM950" s="95"/>
      <c r="AN950" s="95"/>
      <c r="AO950" s="95"/>
      <c r="AP950" s="95"/>
      <c r="AQ950" s="95"/>
    </row>
    <row r="951" spans="1:43" ht="12.75" x14ac:dyDescent="0.35">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c r="AA951" s="95"/>
      <c r="AB951" s="95"/>
      <c r="AC951" s="95"/>
      <c r="AD951" s="95"/>
      <c r="AE951" s="95"/>
      <c r="AF951" s="95"/>
      <c r="AG951" s="95"/>
      <c r="AH951" s="95"/>
      <c r="AI951" s="95"/>
      <c r="AJ951" s="95"/>
      <c r="AK951" s="95"/>
      <c r="AL951" s="95"/>
      <c r="AM951" s="95"/>
      <c r="AN951" s="95"/>
      <c r="AO951" s="95"/>
      <c r="AP951" s="95"/>
      <c r="AQ951" s="95"/>
    </row>
    <row r="952" spans="1:43" ht="12.75" x14ac:dyDescent="0.35">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c r="AA952" s="95"/>
      <c r="AB952" s="95"/>
      <c r="AC952" s="95"/>
      <c r="AD952" s="95"/>
      <c r="AE952" s="95"/>
      <c r="AF952" s="95"/>
      <c r="AG952" s="95"/>
      <c r="AH952" s="95"/>
      <c r="AI952" s="95"/>
      <c r="AJ952" s="95"/>
      <c r="AK952" s="95"/>
      <c r="AL952" s="95"/>
      <c r="AM952" s="95"/>
      <c r="AN952" s="95"/>
      <c r="AO952" s="95"/>
      <c r="AP952" s="95"/>
      <c r="AQ952" s="95"/>
    </row>
    <row r="953" spans="1:43" ht="12.75" x14ac:dyDescent="0.35">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c r="AA953" s="95"/>
      <c r="AB953" s="95"/>
      <c r="AC953" s="95"/>
      <c r="AD953" s="95"/>
      <c r="AE953" s="95"/>
      <c r="AF953" s="95"/>
      <c r="AG953" s="95"/>
      <c r="AH953" s="95"/>
      <c r="AI953" s="95"/>
      <c r="AJ953" s="95"/>
      <c r="AK953" s="95"/>
      <c r="AL953" s="95"/>
      <c r="AM953" s="95"/>
      <c r="AN953" s="95"/>
      <c r="AO953" s="95"/>
      <c r="AP953" s="95"/>
      <c r="AQ953" s="95"/>
    </row>
    <row r="954" spans="1:43" ht="12.75" x14ac:dyDescent="0.35">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c r="AA954" s="95"/>
      <c r="AB954" s="95"/>
      <c r="AC954" s="95"/>
      <c r="AD954" s="95"/>
      <c r="AE954" s="95"/>
      <c r="AF954" s="95"/>
      <c r="AG954" s="95"/>
      <c r="AH954" s="95"/>
      <c r="AI954" s="95"/>
      <c r="AJ954" s="95"/>
      <c r="AK954" s="95"/>
      <c r="AL954" s="95"/>
      <c r="AM954" s="95"/>
      <c r="AN954" s="95"/>
      <c r="AO954" s="95"/>
      <c r="AP954" s="95"/>
      <c r="AQ954" s="95"/>
    </row>
    <row r="955" spans="1:43" ht="12.75" x14ac:dyDescent="0.35">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c r="AA955" s="95"/>
      <c r="AB955" s="95"/>
      <c r="AC955" s="95"/>
      <c r="AD955" s="95"/>
      <c r="AE955" s="95"/>
      <c r="AF955" s="95"/>
      <c r="AG955" s="95"/>
      <c r="AH955" s="95"/>
      <c r="AI955" s="95"/>
      <c r="AJ955" s="95"/>
      <c r="AK955" s="95"/>
      <c r="AL955" s="95"/>
      <c r="AM955" s="95"/>
      <c r="AN955" s="95"/>
      <c r="AO955" s="95"/>
      <c r="AP955" s="95"/>
      <c r="AQ955" s="95"/>
    </row>
    <row r="956" spans="1:43" ht="12.75" x14ac:dyDescent="0.35">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c r="AA956" s="95"/>
      <c r="AB956" s="95"/>
      <c r="AC956" s="95"/>
      <c r="AD956" s="95"/>
      <c r="AE956" s="95"/>
      <c r="AF956" s="95"/>
      <c r="AG956" s="95"/>
      <c r="AH956" s="95"/>
      <c r="AI956" s="95"/>
      <c r="AJ956" s="95"/>
      <c r="AK956" s="95"/>
      <c r="AL956" s="95"/>
      <c r="AM956" s="95"/>
      <c r="AN956" s="95"/>
      <c r="AO956" s="95"/>
      <c r="AP956" s="95"/>
      <c r="AQ956" s="95"/>
    </row>
    <row r="957" spans="1:43" ht="12.75" x14ac:dyDescent="0.35">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c r="AA957" s="95"/>
      <c r="AB957" s="95"/>
      <c r="AC957" s="95"/>
      <c r="AD957" s="95"/>
      <c r="AE957" s="95"/>
      <c r="AF957" s="95"/>
      <c r="AG957" s="95"/>
      <c r="AH957" s="95"/>
      <c r="AI957" s="95"/>
      <c r="AJ957" s="95"/>
      <c r="AK957" s="95"/>
      <c r="AL957" s="95"/>
      <c r="AM957" s="95"/>
      <c r="AN957" s="95"/>
      <c r="AO957" s="95"/>
      <c r="AP957" s="95"/>
      <c r="AQ957" s="95"/>
    </row>
    <row r="958" spans="1:43" ht="12.75" x14ac:dyDescent="0.35">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c r="AA958" s="95"/>
      <c r="AB958" s="95"/>
      <c r="AC958" s="95"/>
      <c r="AD958" s="95"/>
      <c r="AE958" s="95"/>
      <c r="AF958" s="95"/>
      <c r="AG958" s="95"/>
      <c r="AH958" s="95"/>
      <c r="AI958" s="95"/>
      <c r="AJ958" s="95"/>
      <c r="AK958" s="95"/>
      <c r="AL958" s="95"/>
      <c r="AM958" s="95"/>
      <c r="AN958" s="95"/>
      <c r="AO958" s="95"/>
      <c r="AP958" s="95"/>
      <c r="AQ958" s="95"/>
    </row>
    <row r="959" spans="1:43" ht="12.75" x14ac:dyDescent="0.35">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c r="AA959" s="95"/>
      <c r="AB959" s="95"/>
      <c r="AC959" s="95"/>
      <c r="AD959" s="95"/>
      <c r="AE959" s="95"/>
      <c r="AF959" s="95"/>
      <c r="AG959" s="95"/>
      <c r="AH959" s="95"/>
      <c r="AI959" s="95"/>
      <c r="AJ959" s="95"/>
      <c r="AK959" s="95"/>
      <c r="AL959" s="95"/>
      <c r="AM959" s="95"/>
      <c r="AN959" s="95"/>
      <c r="AO959" s="95"/>
      <c r="AP959" s="95"/>
      <c r="AQ959" s="95"/>
    </row>
    <row r="960" spans="1:43" ht="12.75" x14ac:dyDescent="0.35">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c r="AA960" s="95"/>
      <c r="AB960" s="95"/>
      <c r="AC960" s="95"/>
      <c r="AD960" s="95"/>
      <c r="AE960" s="95"/>
      <c r="AF960" s="95"/>
      <c r="AG960" s="95"/>
      <c r="AH960" s="95"/>
      <c r="AI960" s="95"/>
      <c r="AJ960" s="95"/>
      <c r="AK960" s="95"/>
      <c r="AL960" s="95"/>
      <c r="AM960" s="95"/>
      <c r="AN960" s="95"/>
      <c r="AO960" s="95"/>
      <c r="AP960" s="95"/>
      <c r="AQ960" s="95"/>
    </row>
    <row r="961" spans="1:43" ht="12.75" x14ac:dyDescent="0.35">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c r="AA961" s="95"/>
      <c r="AB961" s="95"/>
      <c r="AC961" s="95"/>
      <c r="AD961" s="95"/>
      <c r="AE961" s="95"/>
      <c r="AF961" s="95"/>
      <c r="AG961" s="95"/>
      <c r="AH961" s="95"/>
      <c r="AI961" s="95"/>
      <c r="AJ961" s="95"/>
      <c r="AK961" s="95"/>
      <c r="AL961" s="95"/>
      <c r="AM961" s="95"/>
      <c r="AN961" s="95"/>
      <c r="AO961" s="95"/>
      <c r="AP961" s="95"/>
      <c r="AQ961" s="95"/>
    </row>
    <row r="962" spans="1:43" ht="12.75" x14ac:dyDescent="0.35">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c r="AA962" s="95"/>
      <c r="AB962" s="95"/>
      <c r="AC962" s="95"/>
      <c r="AD962" s="95"/>
      <c r="AE962" s="95"/>
      <c r="AF962" s="95"/>
      <c r="AG962" s="95"/>
      <c r="AH962" s="95"/>
      <c r="AI962" s="95"/>
      <c r="AJ962" s="95"/>
      <c r="AK962" s="95"/>
      <c r="AL962" s="95"/>
      <c r="AM962" s="95"/>
      <c r="AN962" s="95"/>
      <c r="AO962" s="95"/>
      <c r="AP962" s="95"/>
      <c r="AQ962" s="95"/>
    </row>
    <row r="963" spans="1:43" ht="12.75" x14ac:dyDescent="0.35">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c r="AA963" s="95"/>
      <c r="AB963" s="95"/>
      <c r="AC963" s="95"/>
      <c r="AD963" s="95"/>
      <c r="AE963" s="95"/>
      <c r="AF963" s="95"/>
      <c r="AG963" s="95"/>
      <c r="AH963" s="95"/>
      <c r="AI963" s="95"/>
      <c r="AJ963" s="95"/>
      <c r="AK963" s="95"/>
      <c r="AL963" s="95"/>
      <c r="AM963" s="95"/>
      <c r="AN963" s="95"/>
      <c r="AO963" s="95"/>
      <c r="AP963" s="95"/>
      <c r="AQ963" s="95"/>
    </row>
    <row r="964" spans="1:43" ht="12.75" x14ac:dyDescent="0.35">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c r="AA964" s="95"/>
      <c r="AB964" s="95"/>
      <c r="AC964" s="95"/>
      <c r="AD964" s="95"/>
      <c r="AE964" s="95"/>
      <c r="AF964" s="95"/>
      <c r="AG964" s="95"/>
      <c r="AH964" s="95"/>
      <c r="AI964" s="95"/>
      <c r="AJ964" s="95"/>
      <c r="AK964" s="95"/>
      <c r="AL964" s="95"/>
      <c r="AM964" s="95"/>
      <c r="AN964" s="95"/>
      <c r="AO964" s="95"/>
      <c r="AP964" s="95"/>
      <c r="AQ964" s="95"/>
    </row>
    <row r="965" spans="1:43" ht="12.75" x14ac:dyDescent="0.35">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c r="AA965" s="95"/>
      <c r="AB965" s="95"/>
      <c r="AC965" s="95"/>
      <c r="AD965" s="95"/>
      <c r="AE965" s="95"/>
      <c r="AF965" s="95"/>
      <c r="AG965" s="95"/>
      <c r="AH965" s="95"/>
      <c r="AI965" s="95"/>
      <c r="AJ965" s="95"/>
      <c r="AK965" s="95"/>
      <c r="AL965" s="95"/>
      <c r="AM965" s="95"/>
      <c r="AN965" s="95"/>
      <c r="AO965" s="95"/>
      <c r="AP965" s="95"/>
      <c r="AQ965" s="95"/>
    </row>
    <row r="966" spans="1:43" ht="12.75" x14ac:dyDescent="0.35">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c r="AA966" s="95"/>
      <c r="AB966" s="95"/>
      <c r="AC966" s="95"/>
      <c r="AD966" s="95"/>
      <c r="AE966" s="95"/>
      <c r="AF966" s="95"/>
      <c r="AG966" s="95"/>
      <c r="AH966" s="95"/>
      <c r="AI966" s="95"/>
      <c r="AJ966" s="95"/>
      <c r="AK966" s="95"/>
      <c r="AL966" s="95"/>
      <c r="AM966" s="95"/>
      <c r="AN966" s="95"/>
      <c r="AO966" s="95"/>
      <c r="AP966" s="95"/>
      <c r="AQ966" s="95"/>
    </row>
    <row r="967" spans="1:43" ht="12.75" x14ac:dyDescent="0.35">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c r="AA967" s="95"/>
      <c r="AB967" s="95"/>
      <c r="AC967" s="95"/>
      <c r="AD967" s="95"/>
      <c r="AE967" s="95"/>
      <c r="AF967" s="95"/>
      <c r="AG967" s="95"/>
      <c r="AH967" s="95"/>
      <c r="AI967" s="95"/>
      <c r="AJ967" s="95"/>
      <c r="AK967" s="95"/>
      <c r="AL967" s="95"/>
      <c r="AM967" s="95"/>
      <c r="AN967" s="95"/>
      <c r="AO967" s="95"/>
      <c r="AP967" s="95"/>
      <c r="AQ967" s="95"/>
    </row>
    <row r="968" spans="1:43" ht="12.75" x14ac:dyDescent="0.35">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c r="AA968" s="95"/>
      <c r="AB968" s="95"/>
      <c r="AC968" s="95"/>
      <c r="AD968" s="95"/>
      <c r="AE968" s="95"/>
      <c r="AF968" s="95"/>
      <c r="AG968" s="95"/>
      <c r="AH968" s="95"/>
      <c r="AI968" s="95"/>
      <c r="AJ968" s="95"/>
      <c r="AK968" s="95"/>
      <c r="AL968" s="95"/>
      <c r="AM968" s="95"/>
      <c r="AN968" s="95"/>
      <c r="AO968" s="95"/>
      <c r="AP968" s="95"/>
      <c r="AQ968" s="95"/>
    </row>
    <row r="969" spans="1:43" ht="12.75" x14ac:dyDescent="0.35">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c r="AA969" s="95"/>
      <c r="AB969" s="95"/>
      <c r="AC969" s="95"/>
      <c r="AD969" s="95"/>
      <c r="AE969" s="95"/>
      <c r="AF969" s="95"/>
      <c r="AG969" s="95"/>
      <c r="AH969" s="95"/>
      <c r="AI969" s="95"/>
      <c r="AJ969" s="95"/>
      <c r="AK969" s="95"/>
      <c r="AL969" s="95"/>
      <c r="AM969" s="95"/>
      <c r="AN969" s="95"/>
      <c r="AO969" s="95"/>
      <c r="AP969" s="95"/>
      <c r="AQ969" s="95"/>
    </row>
    <row r="970" spans="1:43" ht="12.75" x14ac:dyDescent="0.35">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c r="AA970" s="95"/>
      <c r="AB970" s="95"/>
      <c r="AC970" s="95"/>
      <c r="AD970" s="95"/>
      <c r="AE970" s="95"/>
      <c r="AF970" s="95"/>
      <c r="AG970" s="95"/>
      <c r="AH970" s="95"/>
      <c r="AI970" s="95"/>
      <c r="AJ970" s="95"/>
      <c r="AK970" s="95"/>
      <c r="AL970" s="95"/>
      <c r="AM970" s="95"/>
      <c r="AN970" s="95"/>
      <c r="AO970" s="95"/>
      <c r="AP970" s="95"/>
      <c r="AQ970" s="95"/>
    </row>
    <row r="971" spans="1:43" ht="12.75" x14ac:dyDescent="0.35">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c r="AA971" s="95"/>
      <c r="AB971" s="95"/>
      <c r="AC971" s="95"/>
      <c r="AD971" s="95"/>
      <c r="AE971" s="95"/>
      <c r="AF971" s="95"/>
      <c r="AG971" s="95"/>
      <c r="AH971" s="95"/>
      <c r="AI971" s="95"/>
      <c r="AJ971" s="95"/>
      <c r="AK971" s="95"/>
      <c r="AL971" s="95"/>
      <c r="AM971" s="95"/>
      <c r="AN971" s="95"/>
      <c r="AO971" s="95"/>
      <c r="AP971" s="95"/>
      <c r="AQ971" s="95"/>
    </row>
    <row r="972" spans="1:43" ht="12.75" x14ac:dyDescent="0.35">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c r="AA972" s="95"/>
      <c r="AB972" s="95"/>
      <c r="AC972" s="95"/>
      <c r="AD972" s="95"/>
      <c r="AE972" s="95"/>
      <c r="AF972" s="95"/>
      <c r="AG972" s="95"/>
      <c r="AH972" s="95"/>
      <c r="AI972" s="95"/>
      <c r="AJ972" s="95"/>
      <c r="AK972" s="95"/>
      <c r="AL972" s="95"/>
      <c r="AM972" s="95"/>
      <c r="AN972" s="95"/>
      <c r="AO972" s="95"/>
      <c r="AP972" s="95"/>
      <c r="AQ972" s="95"/>
    </row>
    <row r="973" spans="1:43" ht="12.75" x14ac:dyDescent="0.35">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c r="AA973" s="95"/>
      <c r="AB973" s="95"/>
      <c r="AC973" s="95"/>
      <c r="AD973" s="95"/>
      <c r="AE973" s="95"/>
      <c r="AF973" s="95"/>
      <c r="AG973" s="95"/>
      <c r="AH973" s="95"/>
      <c r="AI973" s="95"/>
      <c r="AJ973" s="95"/>
      <c r="AK973" s="95"/>
      <c r="AL973" s="95"/>
      <c r="AM973" s="95"/>
      <c r="AN973" s="95"/>
      <c r="AO973" s="95"/>
      <c r="AP973" s="95"/>
      <c r="AQ973" s="95"/>
    </row>
    <row r="974" spans="1:43" ht="12.75" x14ac:dyDescent="0.35">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c r="AA974" s="95"/>
      <c r="AB974" s="95"/>
      <c r="AC974" s="95"/>
      <c r="AD974" s="95"/>
      <c r="AE974" s="95"/>
      <c r="AF974" s="95"/>
      <c r="AG974" s="95"/>
      <c r="AH974" s="95"/>
      <c r="AI974" s="95"/>
      <c r="AJ974" s="95"/>
      <c r="AK974" s="95"/>
      <c r="AL974" s="95"/>
      <c r="AM974" s="95"/>
      <c r="AN974" s="95"/>
      <c r="AO974" s="95"/>
      <c r="AP974" s="95"/>
      <c r="AQ974" s="95"/>
    </row>
    <row r="975" spans="1:43" ht="12.75" x14ac:dyDescent="0.35">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c r="AA975" s="95"/>
      <c r="AB975" s="95"/>
      <c r="AC975" s="95"/>
      <c r="AD975" s="95"/>
      <c r="AE975" s="95"/>
      <c r="AF975" s="95"/>
      <c r="AG975" s="95"/>
      <c r="AH975" s="95"/>
      <c r="AI975" s="95"/>
      <c r="AJ975" s="95"/>
      <c r="AK975" s="95"/>
      <c r="AL975" s="95"/>
      <c r="AM975" s="95"/>
      <c r="AN975" s="95"/>
      <c r="AO975" s="95"/>
      <c r="AP975" s="95"/>
      <c r="AQ975" s="95"/>
    </row>
    <row r="976" spans="1:43" ht="12.75" x14ac:dyDescent="0.35">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c r="AA976" s="95"/>
      <c r="AB976" s="95"/>
      <c r="AC976" s="95"/>
      <c r="AD976" s="95"/>
      <c r="AE976" s="95"/>
      <c r="AF976" s="95"/>
      <c r="AG976" s="95"/>
      <c r="AH976" s="95"/>
      <c r="AI976" s="95"/>
      <c r="AJ976" s="95"/>
      <c r="AK976" s="95"/>
      <c r="AL976" s="95"/>
      <c r="AM976" s="95"/>
      <c r="AN976" s="95"/>
      <c r="AO976" s="95"/>
      <c r="AP976" s="95"/>
      <c r="AQ976" s="95"/>
    </row>
    <row r="977" spans="1:43" ht="12.75" x14ac:dyDescent="0.35">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c r="AA977" s="95"/>
      <c r="AB977" s="95"/>
      <c r="AC977" s="95"/>
      <c r="AD977" s="95"/>
      <c r="AE977" s="95"/>
      <c r="AF977" s="95"/>
      <c r="AG977" s="95"/>
      <c r="AH977" s="95"/>
      <c r="AI977" s="95"/>
      <c r="AJ977" s="95"/>
      <c r="AK977" s="95"/>
      <c r="AL977" s="95"/>
      <c r="AM977" s="95"/>
      <c r="AN977" s="95"/>
      <c r="AO977" s="95"/>
      <c r="AP977" s="95"/>
      <c r="AQ977" s="95"/>
    </row>
    <row r="978" spans="1:43" ht="12.75" x14ac:dyDescent="0.35">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c r="AA978" s="95"/>
      <c r="AB978" s="95"/>
      <c r="AC978" s="95"/>
      <c r="AD978" s="95"/>
      <c r="AE978" s="95"/>
      <c r="AF978" s="95"/>
      <c r="AG978" s="95"/>
      <c r="AH978" s="95"/>
      <c r="AI978" s="95"/>
      <c r="AJ978" s="95"/>
      <c r="AK978" s="95"/>
      <c r="AL978" s="95"/>
      <c r="AM978" s="95"/>
      <c r="AN978" s="95"/>
      <c r="AO978" s="95"/>
      <c r="AP978" s="95"/>
      <c r="AQ978" s="95"/>
    </row>
    <row r="979" spans="1:43" ht="12.75" x14ac:dyDescent="0.35">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c r="AA979" s="95"/>
      <c r="AB979" s="95"/>
      <c r="AC979" s="95"/>
      <c r="AD979" s="95"/>
      <c r="AE979" s="95"/>
      <c r="AF979" s="95"/>
      <c r="AG979" s="95"/>
      <c r="AH979" s="95"/>
      <c r="AI979" s="95"/>
      <c r="AJ979" s="95"/>
      <c r="AK979" s="95"/>
      <c r="AL979" s="95"/>
      <c r="AM979" s="95"/>
      <c r="AN979" s="95"/>
      <c r="AO979" s="95"/>
      <c r="AP979" s="95"/>
      <c r="AQ979" s="95"/>
    </row>
    <row r="980" spans="1:43" ht="12.75" x14ac:dyDescent="0.35">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c r="AA980" s="95"/>
      <c r="AB980" s="95"/>
      <c r="AC980" s="95"/>
      <c r="AD980" s="95"/>
      <c r="AE980" s="95"/>
      <c r="AF980" s="95"/>
      <c r="AG980" s="95"/>
      <c r="AH980" s="95"/>
      <c r="AI980" s="95"/>
      <c r="AJ980" s="95"/>
      <c r="AK980" s="95"/>
      <c r="AL980" s="95"/>
      <c r="AM980" s="95"/>
      <c r="AN980" s="95"/>
      <c r="AO980" s="95"/>
      <c r="AP980" s="95"/>
      <c r="AQ980" s="95"/>
    </row>
    <row r="981" spans="1:43" ht="12.75" x14ac:dyDescent="0.35">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c r="AA981" s="95"/>
      <c r="AB981" s="95"/>
      <c r="AC981" s="95"/>
      <c r="AD981" s="95"/>
      <c r="AE981" s="95"/>
      <c r="AF981" s="95"/>
      <c r="AG981" s="95"/>
      <c r="AH981" s="95"/>
      <c r="AI981" s="95"/>
      <c r="AJ981" s="95"/>
      <c r="AK981" s="95"/>
      <c r="AL981" s="95"/>
      <c r="AM981" s="95"/>
      <c r="AN981" s="95"/>
      <c r="AO981" s="95"/>
      <c r="AP981" s="95"/>
      <c r="AQ981" s="95"/>
    </row>
    <row r="982" spans="1:43" ht="12.75" x14ac:dyDescent="0.35">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c r="AA982" s="95"/>
      <c r="AB982" s="95"/>
      <c r="AC982" s="95"/>
      <c r="AD982" s="95"/>
      <c r="AE982" s="95"/>
      <c r="AF982" s="95"/>
      <c r="AG982" s="95"/>
      <c r="AH982" s="95"/>
      <c r="AI982" s="95"/>
      <c r="AJ982" s="95"/>
      <c r="AK982" s="95"/>
      <c r="AL982" s="95"/>
      <c r="AM982" s="95"/>
      <c r="AN982" s="95"/>
      <c r="AO982" s="95"/>
      <c r="AP982" s="95"/>
      <c r="AQ982" s="95"/>
    </row>
    <row r="983" spans="1:43" ht="12.75" x14ac:dyDescent="0.35">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c r="AA983" s="95"/>
      <c r="AB983" s="95"/>
      <c r="AC983" s="95"/>
      <c r="AD983" s="95"/>
      <c r="AE983" s="95"/>
      <c r="AF983" s="95"/>
      <c r="AG983" s="95"/>
      <c r="AH983" s="95"/>
      <c r="AI983" s="95"/>
      <c r="AJ983" s="95"/>
      <c r="AK983" s="95"/>
      <c r="AL983" s="95"/>
      <c r="AM983" s="95"/>
      <c r="AN983" s="95"/>
      <c r="AO983" s="95"/>
      <c r="AP983" s="95"/>
      <c r="AQ983" s="95"/>
    </row>
    <row r="984" spans="1:43" ht="12.75" x14ac:dyDescent="0.35">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c r="AA984" s="95"/>
      <c r="AB984" s="95"/>
      <c r="AC984" s="95"/>
      <c r="AD984" s="95"/>
      <c r="AE984" s="95"/>
      <c r="AF984" s="95"/>
      <c r="AG984" s="95"/>
      <c r="AH984" s="95"/>
      <c r="AI984" s="95"/>
      <c r="AJ984" s="95"/>
      <c r="AK984" s="95"/>
      <c r="AL984" s="95"/>
      <c r="AM984" s="95"/>
      <c r="AN984" s="95"/>
      <c r="AO984" s="95"/>
      <c r="AP984" s="95"/>
      <c r="AQ984" s="95"/>
    </row>
    <row r="985" spans="1:43" ht="12.75" x14ac:dyDescent="0.35">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c r="AA985" s="95"/>
      <c r="AB985" s="95"/>
      <c r="AC985" s="95"/>
      <c r="AD985" s="95"/>
      <c r="AE985" s="95"/>
      <c r="AF985" s="95"/>
      <c r="AG985" s="95"/>
      <c r="AH985" s="95"/>
      <c r="AI985" s="95"/>
      <c r="AJ985" s="95"/>
      <c r="AK985" s="95"/>
      <c r="AL985" s="95"/>
      <c r="AM985" s="95"/>
      <c r="AN985" s="95"/>
      <c r="AO985" s="95"/>
      <c r="AP985" s="95"/>
      <c r="AQ985" s="95"/>
    </row>
    <row r="986" spans="1:43" ht="12.75" x14ac:dyDescent="0.35">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c r="AA986" s="95"/>
      <c r="AB986" s="95"/>
      <c r="AC986" s="95"/>
      <c r="AD986" s="95"/>
      <c r="AE986" s="95"/>
      <c r="AF986" s="95"/>
      <c r="AG986" s="95"/>
      <c r="AH986" s="95"/>
      <c r="AI986" s="95"/>
      <c r="AJ986" s="95"/>
      <c r="AK986" s="95"/>
      <c r="AL986" s="95"/>
      <c r="AM986" s="95"/>
      <c r="AN986" s="95"/>
      <c r="AO986" s="95"/>
      <c r="AP986" s="95"/>
      <c r="AQ986" s="95"/>
    </row>
    <row r="987" spans="1:43" ht="12.75" x14ac:dyDescent="0.35">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c r="AA987" s="95"/>
      <c r="AB987" s="95"/>
      <c r="AC987" s="95"/>
      <c r="AD987" s="95"/>
      <c r="AE987" s="95"/>
      <c r="AF987" s="95"/>
      <c r="AG987" s="95"/>
      <c r="AH987" s="95"/>
      <c r="AI987" s="95"/>
      <c r="AJ987" s="95"/>
      <c r="AK987" s="95"/>
      <c r="AL987" s="95"/>
      <c r="AM987" s="95"/>
      <c r="AN987" s="95"/>
      <c r="AO987" s="95"/>
      <c r="AP987" s="95"/>
      <c r="AQ987" s="95"/>
    </row>
    <row r="988" spans="1:43" ht="12.75" x14ac:dyDescent="0.35">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c r="AA988" s="95"/>
      <c r="AB988" s="95"/>
      <c r="AC988" s="95"/>
      <c r="AD988" s="95"/>
      <c r="AE988" s="95"/>
      <c r="AF988" s="95"/>
      <c r="AG988" s="95"/>
      <c r="AH988" s="95"/>
      <c r="AI988" s="95"/>
      <c r="AJ988" s="95"/>
      <c r="AK988" s="95"/>
      <c r="AL988" s="95"/>
      <c r="AM988" s="95"/>
      <c r="AN988" s="95"/>
      <c r="AO988" s="95"/>
      <c r="AP988" s="95"/>
      <c r="AQ988" s="95"/>
    </row>
    <row r="989" spans="1:43" ht="12.75" x14ac:dyDescent="0.35">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c r="AA989" s="95"/>
      <c r="AB989" s="95"/>
      <c r="AC989" s="95"/>
      <c r="AD989" s="95"/>
      <c r="AE989" s="95"/>
      <c r="AF989" s="95"/>
      <c r="AG989" s="95"/>
      <c r="AH989" s="95"/>
      <c r="AI989" s="95"/>
      <c r="AJ989" s="95"/>
      <c r="AK989" s="95"/>
      <c r="AL989" s="95"/>
      <c r="AM989" s="95"/>
      <c r="AN989" s="95"/>
      <c r="AO989" s="95"/>
      <c r="AP989" s="95"/>
      <c r="AQ989" s="95"/>
    </row>
    <row r="990" spans="1:43" ht="12.75" x14ac:dyDescent="0.35">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c r="AA990" s="95"/>
      <c r="AB990" s="95"/>
      <c r="AC990" s="95"/>
      <c r="AD990" s="95"/>
      <c r="AE990" s="95"/>
      <c r="AF990" s="95"/>
      <c r="AG990" s="95"/>
      <c r="AH990" s="95"/>
      <c r="AI990" s="95"/>
      <c r="AJ990" s="95"/>
      <c r="AK990" s="95"/>
      <c r="AL990" s="95"/>
      <c r="AM990" s="95"/>
      <c r="AN990" s="95"/>
      <c r="AO990" s="95"/>
      <c r="AP990" s="95"/>
      <c r="AQ990" s="95"/>
    </row>
    <row r="991" spans="1:43" ht="12.75" x14ac:dyDescent="0.35">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c r="AA991" s="95"/>
      <c r="AB991" s="95"/>
      <c r="AC991" s="95"/>
      <c r="AD991" s="95"/>
      <c r="AE991" s="95"/>
      <c r="AF991" s="95"/>
      <c r="AG991" s="95"/>
      <c r="AH991" s="95"/>
      <c r="AI991" s="95"/>
      <c r="AJ991" s="95"/>
      <c r="AK991" s="95"/>
      <c r="AL991" s="95"/>
      <c r="AM991" s="95"/>
      <c r="AN991" s="95"/>
      <c r="AO991" s="95"/>
      <c r="AP991" s="95"/>
      <c r="AQ991" s="95"/>
    </row>
    <row r="992" spans="1:43" ht="12.75" x14ac:dyDescent="0.35">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c r="AA992" s="95"/>
      <c r="AB992" s="95"/>
      <c r="AC992" s="95"/>
      <c r="AD992" s="95"/>
      <c r="AE992" s="95"/>
      <c r="AF992" s="95"/>
      <c r="AG992" s="95"/>
      <c r="AH992" s="95"/>
      <c r="AI992" s="95"/>
      <c r="AJ992" s="95"/>
      <c r="AK992" s="95"/>
      <c r="AL992" s="95"/>
      <c r="AM992" s="95"/>
      <c r="AN992" s="95"/>
      <c r="AO992" s="95"/>
      <c r="AP992" s="95"/>
      <c r="AQ992" s="95"/>
    </row>
    <row r="993" spans="1:43" ht="12.75" x14ac:dyDescent="0.35">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c r="AA993" s="95"/>
      <c r="AB993" s="95"/>
      <c r="AC993" s="95"/>
      <c r="AD993" s="95"/>
      <c r="AE993" s="95"/>
      <c r="AF993" s="95"/>
      <c r="AG993" s="95"/>
      <c r="AH993" s="95"/>
      <c r="AI993" s="95"/>
      <c r="AJ993" s="95"/>
      <c r="AK993" s="95"/>
      <c r="AL993" s="95"/>
      <c r="AM993" s="95"/>
      <c r="AN993" s="95"/>
      <c r="AO993" s="95"/>
      <c r="AP993" s="95"/>
      <c r="AQ993" s="95"/>
    </row>
    <row r="994" spans="1:43" ht="12.75" x14ac:dyDescent="0.35">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c r="AA994" s="95"/>
      <c r="AB994" s="95"/>
      <c r="AC994" s="95"/>
      <c r="AD994" s="95"/>
      <c r="AE994" s="95"/>
      <c r="AF994" s="95"/>
      <c r="AG994" s="95"/>
      <c r="AH994" s="95"/>
      <c r="AI994" s="95"/>
      <c r="AJ994" s="95"/>
      <c r="AK994" s="95"/>
      <c r="AL994" s="95"/>
      <c r="AM994" s="95"/>
      <c r="AN994" s="95"/>
      <c r="AO994" s="95"/>
      <c r="AP994" s="95"/>
      <c r="AQ994" s="95"/>
    </row>
    <row r="995" spans="1:43" ht="12.75" x14ac:dyDescent="0.35">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c r="AA995" s="95"/>
      <c r="AB995" s="95"/>
      <c r="AC995" s="95"/>
      <c r="AD995" s="95"/>
      <c r="AE995" s="95"/>
      <c r="AF995" s="95"/>
      <c r="AG995" s="95"/>
      <c r="AH995" s="95"/>
      <c r="AI995" s="95"/>
      <c r="AJ995" s="95"/>
      <c r="AK995" s="95"/>
      <c r="AL995" s="95"/>
      <c r="AM995" s="95"/>
      <c r="AN995" s="95"/>
      <c r="AO995" s="95"/>
      <c r="AP995" s="95"/>
      <c r="AQ995" s="95"/>
    </row>
    <row r="996" spans="1:43" ht="12.75" x14ac:dyDescent="0.35">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c r="AA996" s="95"/>
      <c r="AB996" s="95"/>
      <c r="AC996" s="95"/>
      <c r="AD996" s="95"/>
      <c r="AE996" s="95"/>
      <c r="AF996" s="95"/>
      <c r="AG996" s="95"/>
      <c r="AH996" s="95"/>
      <c r="AI996" s="95"/>
      <c r="AJ996" s="95"/>
      <c r="AK996" s="95"/>
      <c r="AL996" s="95"/>
      <c r="AM996" s="95"/>
      <c r="AN996" s="95"/>
      <c r="AO996" s="95"/>
      <c r="AP996" s="95"/>
      <c r="AQ996" s="95"/>
    </row>
    <row r="997" spans="1:43" ht="12.75" x14ac:dyDescent="0.35">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c r="AA997" s="95"/>
      <c r="AB997" s="95"/>
      <c r="AC997" s="95"/>
      <c r="AD997" s="95"/>
      <c r="AE997" s="95"/>
      <c r="AF997" s="95"/>
      <c r="AG997" s="95"/>
      <c r="AH997" s="95"/>
      <c r="AI997" s="95"/>
      <c r="AJ997" s="95"/>
      <c r="AK997" s="95"/>
      <c r="AL997" s="95"/>
      <c r="AM997" s="95"/>
      <c r="AN997" s="95"/>
      <c r="AO997" s="95"/>
      <c r="AP997" s="95"/>
      <c r="AQ997" s="95"/>
    </row>
    <row r="998" spans="1:43" ht="12.75" x14ac:dyDescent="0.35">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c r="AA998" s="95"/>
      <c r="AB998" s="95"/>
      <c r="AC998" s="95"/>
      <c r="AD998" s="95"/>
      <c r="AE998" s="95"/>
      <c r="AF998" s="95"/>
      <c r="AG998" s="95"/>
      <c r="AH998" s="95"/>
      <c r="AI998" s="95"/>
      <c r="AJ998" s="95"/>
      <c r="AK998" s="95"/>
      <c r="AL998" s="95"/>
      <c r="AM998" s="95"/>
      <c r="AN998" s="95"/>
      <c r="AO998" s="95"/>
      <c r="AP998" s="95"/>
      <c r="AQ998" s="95"/>
    </row>
    <row r="999" spans="1:43" ht="12.75" x14ac:dyDescent="0.35">
      <c r="A999" s="95"/>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c r="AA999" s="95"/>
      <c r="AB999" s="95"/>
      <c r="AC999" s="95"/>
      <c r="AD999" s="95"/>
      <c r="AE999" s="95"/>
      <c r="AF999" s="95"/>
      <c r="AG999" s="95"/>
      <c r="AH999" s="95"/>
      <c r="AI999" s="95"/>
      <c r="AJ999" s="95"/>
      <c r="AK999" s="95"/>
      <c r="AL999" s="95"/>
      <c r="AM999" s="95"/>
      <c r="AN999" s="95"/>
      <c r="AO999" s="95"/>
      <c r="AP999" s="95"/>
      <c r="AQ999" s="95"/>
    </row>
    <row r="1000" spans="1:43" ht="12.75" x14ac:dyDescent="0.35">
      <c r="A1000" s="95"/>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c r="AA1000" s="95"/>
      <c r="AB1000" s="95"/>
      <c r="AC1000" s="95"/>
      <c r="AD1000" s="95"/>
      <c r="AE1000" s="95"/>
      <c r="AF1000" s="95"/>
      <c r="AG1000" s="95"/>
      <c r="AH1000" s="95"/>
      <c r="AI1000" s="95"/>
      <c r="AJ1000" s="95"/>
      <c r="AK1000" s="95"/>
      <c r="AL1000" s="95"/>
      <c r="AM1000" s="95"/>
      <c r="AN1000" s="95"/>
      <c r="AO1000" s="95"/>
      <c r="AP1000" s="95"/>
      <c r="AQ1000" s="95"/>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explanation</vt:lpstr>
      <vt:lpstr>private</vt:lpstr>
      <vt:lpstr>synopsis</vt:lpstr>
      <vt:lpstr>L</vt:lpstr>
      <vt:lpstr>Sheet7</vt:lpstr>
      <vt:lpstr>test-synopsis</vt:lpstr>
      <vt:lpstr>test-hybrid</vt:lpstr>
      <vt:lpstr>test</vt:lpstr>
      <vt:lpstr>public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jdudley</cp:lastModifiedBy>
  <dcterms:modified xsi:type="dcterms:W3CDTF">2022-06-07T03:39:41Z</dcterms:modified>
</cp:coreProperties>
</file>