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7680" activeTab="1"/>
  </bookViews>
  <sheets>
    <sheet name="1-利润表" sheetId="41" r:id="rId1"/>
    <sheet name="2-资产负债表" sheetId="42" r:id="rId2"/>
    <sheet name="3-现金流量表" sheetId="43" r:id="rId3"/>
    <sheet name="利润表" sheetId="2" r:id="rId4"/>
    <sheet name="资产负债表" sheetId="3" r:id="rId5"/>
    <sheet name="现金流量表" sheetId="4" r:id="rId6"/>
  </sheets>
  <externalReferences>
    <externalReference r:id="rId7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41" l="1"/>
  <c r="G32" i="41"/>
  <c r="G33" i="41"/>
  <c r="G34" i="41"/>
  <c r="G35" i="41"/>
  <c r="G36" i="41"/>
  <c r="G37" i="41"/>
  <c r="G38" i="41"/>
  <c r="G39" i="41"/>
  <c r="G40" i="41"/>
  <c r="G41" i="41"/>
  <c r="G42" i="41"/>
  <c r="G43" i="41"/>
  <c r="G44" i="41"/>
  <c r="G45" i="41"/>
  <c r="G46" i="41"/>
  <c r="G47" i="41"/>
  <c r="G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30" i="41"/>
  <c r="C47" i="41"/>
  <c r="C31" i="41"/>
  <c r="C32" i="41"/>
  <c r="C33" i="41"/>
  <c r="C34" i="41"/>
  <c r="C35" i="41"/>
  <c r="C36" i="41"/>
  <c r="C37" i="41"/>
  <c r="C38" i="41"/>
  <c r="C39" i="41"/>
  <c r="C40" i="41"/>
  <c r="C41" i="41"/>
  <c r="C42" i="41"/>
  <c r="C43" i="41"/>
  <c r="C44" i="41"/>
  <c r="C45" i="41"/>
  <c r="C46" i="41"/>
  <c r="C30" i="41"/>
  <c r="E98" i="4"/>
  <c r="E94" i="4"/>
  <c r="E90" i="4"/>
  <c r="E86" i="4"/>
  <c r="E81" i="4"/>
  <c r="E77" i="4"/>
  <c r="E71" i="4"/>
  <c r="E67" i="4"/>
  <c r="E62" i="4"/>
  <c r="E57" i="4"/>
  <c r="E53" i="4"/>
  <c r="E49" i="4"/>
  <c r="E45" i="4"/>
  <c r="E40" i="4"/>
  <c r="E36" i="4"/>
  <c r="E32" i="4"/>
  <c r="E28" i="4"/>
  <c r="E24" i="4"/>
  <c r="E19" i="4"/>
  <c r="E15" i="4"/>
  <c r="E11" i="4"/>
  <c r="I2" i="4"/>
  <c r="D98" i="4"/>
  <c r="D94" i="4"/>
  <c r="D90" i="4"/>
  <c r="D86" i="4"/>
  <c r="D81" i="4"/>
  <c r="D77" i="4"/>
  <c r="D71" i="4"/>
  <c r="D67" i="4"/>
  <c r="D62" i="4"/>
  <c r="D57" i="4"/>
  <c r="D53" i="4"/>
  <c r="D49" i="4"/>
  <c r="D45" i="4"/>
  <c r="D40" i="4"/>
  <c r="D36" i="4"/>
  <c r="D32" i="4"/>
  <c r="D28" i="4"/>
  <c r="D24" i="4"/>
  <c r="D19" i="4"/>
  <c r="D15" i="4"/>
  <c r="D11" i="4"/>
  <c r="B2" i="4"/>
  <c r="C95" i="4"/>
  <c r="C91" i="4"/>
  <c r="C87" i="4"/>
  <c r="C82" i="4"/>
  <c r="C78" i="4"/>
  <c r="C74" i="4"/>
  <c r="C68" i="4"/>
  <c r="C63" i="4"/>
  <c r="C58" i="4"/>
  <c r="C54" i="4"/>
  <c r="C50" i="4"/>
  <c r="C46" i="4"/>
  <c r="C42" i="4"/>
  <c r="C37" i="4"/>
  <c r="C33" i="4"/>
  <c r="C29" i="4"/>
  <c r="C25" i="4"/>
  <c r="C20" i="4"/>
  <c r="C16" i="4"/>
  <c r="C12" i="4"/>
  <c r="C8" i="4"/>
  <c r="B96" i="4"/>
  <c r="B92" i="4"/>
  <c r="B88" i="4"/>
  <c r="B83" i="4"/>
  <c r="B79" i="4"/>
  <c r="B75" i="4"/>
  <c r="B69" i="4"/>
  <c r="B64" i="4"/>
  <c r="B60" i="4"/>
  <c r="B55" i="4"/>
  <c r="B51" i="4"/>
  <c r="B47" i="4"/>
  <c r="B43" i="4"/>
  <c r="B38" i="4"/>
  <c r="B34" i="4"/>
  <c r="B30" i="4"/>
  <c r="B26" i="4"/>
  <c r="B21" i="4"/>
  <c r="B17" i="4"/>
  <c r="B13" i="4"/>
  <c r="B9" i="4"/>
  <c r="I8" i="4"/>
  <c r="I9" i="4"/>
  <c r="H10" i="4"/>
  <c r="H14" i="4"/>
  <c r="D37" i="4"/>
  <c r="C64" i="4"/>
  <c r="C51" i="4"/>
  <c r="C38" i="4"/>
  <c r="C30" i="4"/>
  <c r="C26" i="4"/>
  <c r="C21" i="4"/>
  <c r="C13" i="4"/>
  <c r="B97" i="4"/>
  <c r="B89" i="4"/>
  <c r="B70" i="4"/>
  <c r="B48" i="4"/>
  <c r="B44" i="4"/>
  <c r="B31" i="4"/>
  <c r="B22" i="4"/>
  <c r="E97" i="4"/>
  <c r="E93" i="4"/>
  <c r="E89" i="4"/>
  <c r="E85" i="4"/>
  <c r="E80" i="4"/>
  <c r="E76" i="4"/>
  <c r="E70" i="4"/>
  <c r="E65" i="4"/>
  <c r="E61" i="4"/>
  <c r="E56" i="4"/>
  <c r="E52" i="4"/>
  <c r="E48" i="4"/>
  <c r="E44" i="4"/>
  <c r="E39" i="4"/>
  <c r="E35" i="4"/>
  <c r="E31" i="4"/>
  <c r="E27" i="4"/>
  <c r="E22" i="4"/>
  <c r="E18" i="4"/>
  <c r="E14" i="4"/>
  <c r="E10" i="4"/>
  <c r="C2" i="4"/>
  <c r="D97" i="4"/>
  <c r="D93" i="4"/>
  <c r="D89" i="4"/>
  <c r="D85" i="4"/>
  <c r="D80" i="4"/>
  <c r="D76" i="4"/>
  <c r="D70" i="4"/>
  <c r="D65" i="4"/>
  <c r="D61" i="4"/>
  <c r="D56" i="4"/>
  <c r="D52" i="4"/>
  <c r="D48" i="4"/>
  <c r="D44" i="4"/>
  <c r="D39" i="4"/>
  <c r="D35" i="4"/>
  <c r="D31" i="4"/>
  <c r="D27" i="4"/>
  <c r="D22" i="4"/>
  <c r="D18" i="4"/>
  <c r="D14" i="4"/>
  <c r="D10" i="4"/>
  <c r="C98" i="4"/>
  <c r="C94" i="4"/>
  <c r="C90" i="4"/>
  <c r="C86" i="4"/>
  <c r="C81" i="4"/>
  <c r="C77" i="4"/>
  <c r="C71" i="4"/>
  <c r="C67" i="4"/>
  <c r="C62" i="4"/>
  <c r="C57" i="4"/>
  <c r="C53" i="4"/>
  <c r="C49" i="4"/>
  <c r="C45" i="4"/>
  <c r="C40" i="4"/>
  <c r="C36" i="4"/>
  <c r="C32" i="4"/>
  <c r="C28" i="4"/>
  <c r="C24" i="4"/>
  <c r="C19" i="4"/>
  <c r="C15" i="4"/>
  <c r="C11" i="4"/>
  <c r="I3" i="4"/>
  <c r="B95" i="4"/>
  <c r="B91" i="4"/>
  <c r="B87" i="4"/>
  <c r="B82" i="4"/>
  <c r="B78" i="4"/>
  <c r="B74" i="4"/>
  <c r="B68" i="4"/>
  <c r="B63" i="4"/>
  <c r="B58" i="4"/>
  <c r="B54" i="4"/>
  <c r="B50" i="4"/>
  <c r="B46" i="4"/>
  <c r="B42" i="4"/>
  <c r="B37" i="4"/>
  <c r="B33" i="4"/>
  <c r="B29" i="4"/>
  <c r="B25" i="4"/>
  <c r="B20" i="4"/>
  <c r="B16" i="4"/>
  <c r="B12" i="4"/>
  <c r="B8" i="4"/>
  <c r="I10" i="4"/>
  <c r="I11" i="4"/>
  <c r="H12" i="4"/>
  <c r="H7" i="4"/>
  <c r="H9" i="4"/>
  <c r="E95" i="4"/>
  <c r="E78" i="4"/>
  <c r="E74" i="4"/>
  <c r="E63" i="4"/>
  <c r="E54" i="4"/>
  <c r="E46" i="4"/>
  <c r="E37" i="4"/>
  <c r="E25" i="4"/>
  <c r="E16" i="4"/>
  <c r="E2" i="4"/>
  <c r="D95" i="4"/>
  <c r="D87" i="4"/>
  <c r="D74" i="4"/>
  <c r="D68" i="4"/>
  <c r="D50" i="4"/>
  <c r="D42" i="4"/>
  <c r="D33" i="4"/>
  <c r="D25" i="4"/>
  <c r="D16" i="4"/>
  <c r="D8" i="4"/>
  <c r="C88" i="4"/>
  <c r="C79" i="4"/>
  <c r="C55" i="4"/>
  <c r="C43" i="4"/>
  <c r="C17" i="4"/>
  <c r="B93" i="4"/>
  <c r="B80" i="4"/>
  <c r="B61" i="4"/>
  <c r="B56" i="4"/>
  <c r="B39" i="4"/>
  <c r="B14" i="4"/>
  <c r="E96" i="4"/>
  <c r="E92" i="4"/>
  <c r="E88" i="4"/>
  <c r="E83" i="4"/>
  <c r="E79" i="4"/>
  <c r="E75" i="4"/>
  <c r="E69" i="4"/>
  <c r="E64" i="4"/>
  <c r="E60" i="4"/>
  <c r="E55" i="4"/>
  <c r="E51" i="4"/>
  <c r="E47" i="4"/>
  <c r="E43" i="4"/>
  <c r="E38" i="4"/>
  <c r="E34" i="4"/>
  <c r="E30" i="4"/>
  <c r="E26" i="4"/>
  <c r="E21" i="4"/>
  <c r="E17" i="4"/>
  <c r="E13" i="4"/>
  <c r="E9" i="4"/>
  <c r="H2" i="4"/>
  <c r="D96" i="4"/>
  <c r="D92" i="4"/>
  <c r="D88" i="4"/>
  <c r="D83" i="4"/>
  <c r="D79" i="4"/>
  <c r="D75" i="4"/>
  <c r="D69" i="4"/>
  <c r="D64" i="4"/>
  <c r="D60" i="4"/>
  <c r="D55" i="4"/>
  <c r="D51" i="4"/>
  <c r="D47" i="4"/>
  <c r="D43" i="4"/>
  <c r="D38" i="4"/>
  <c r="D34" i="4"/>
  <c r="D30" i="4"/>
  <c r="D26" i="4"/>
  <c r="D21" i="4"/>
  <c r="D17" i="4"/>
  <c r="D13" i="4"/>
  <c r="D9" i="4"/>
  <c r="C97" i="4"/>
  <c r="C93" i="4"/>
  <c r="C89" i="4"/>
  <c r="C85" i="4"/>
  <c r="C80" i="4"/>
  <c r="C76" i="4"/>
  <c r="C70" i="4"/>
  <c r="C65" i="4"/>
  <c r="C61" i="4"/>
  <c r="C56" i="4"/>
  <c r="C52" i="4"/>
  <c r="C48" i="4"/>
  <c r="C44" i="4"/>
  <c r="C39" i="4"/>
  <c r="C35" i="4"/>
  <c r="C31" i="4"/>
  <c r="C27" i="4"/>
  <c r="C22" i="4"/>
  <c r="C18" i="4"/>
  <c r="C14" i="4"/>
  <c r="C10" i="4"/>
  <c r="B98" i="4"/>
  <c r="B94" i="4"/>
  <c r="B90" i="4"/>
  <c r="B86" i="4"/>
  <c r="B81" i="4"/>
  <c r="B77" i="4"/>
  <c r="B71" i="4"/>
  <c r="B67" i="4"/>
  <c r="B62" i="4"/>
  <c r="B57" i="4"/>
  <c r="B53" i="4"/>
  <c r="B49" i="4"/>
  <c r="B45" i="4"/>
  <c r="B40" i="4"/>
  <c r="B36" i="4"/>
  <c r="B32" i="4"/>
  <c r="B28" i="4"/>
  <c r="B24" i="4"/>
  <c r="B19" i="4"/>
  <c r="B15" i="4"/>
  <c r="B11" i="4"/>
  <c r="H3" i="4"/>
  <c r="I12" i="4"/>
  <c r="I14" i="4"/>
  <c r="E91" i="4"/>
  <c r="E87" i="4"/>
  <c r="E82" i="4"/>
  <c r="E68" i="4"/>
  <c r="E58" i="4"/>
  <c r="E50" i="4"/>
  <c r="E42" i="4"/>
  <c r="E33" i="4"/>
  <c r="E29" i="4"/>
  <c r="E20" i="4"/>
  <c r="E12" i="4"/>
  <c r="E8" i="4"/>
  <c r="D91" i="4"/>
  <c r="D82" i="4"/>
  <c r="D78" i="4"/>
  <c r="D63" i="4"/>
  <c r="D58" i="4"/>
  <c r="D54" i="4"/>
  <c r="D46" i="4"/>
  <c r="D29" i="4"/>
  <c r="D20" i="4"/>
  <c r="D12" i="4"/>
  <c r="C96" i="4"/>
  <c r="C92" i="4"/>
  <c r="C83" i="4"/>
  <c r="C75" i="4"/>
  <c r="C69" i="4"/>
  <c r="C60" i="4"/>
  <c r="C47" i="4"/>
  <c r="C34" i="4"/>
  <c r="C9" i="4"/>
  <c r="B85" i="4"/>
  <c r="B76" i="4"/>
  <c r="B65" i="4"/>
  <c r="B52" i="4"/>
  <c r="B35" i="4"/>
  <c r="B27" i="4"/>
  <c r="B18" i="4"/>
  <c r="B10" i="4"/>
  <c r="D2" i="4"/>
  <c r="I7" i="4"/>
  <c r="H11" i="4"/>
  <c r="H8" i="4"/>
  <c r="C115" i="3"/>
  <c r="C111" i="3"/>
  <c r="C106" i="3"/>
  <c r="C102" i="3"/>
  <c r="C97" i="3"/>
  <c r="C93" i="3"/>
  <c r="C89" i="3"/>
  <c r="C85" i="3"/>
  <c r="C80" i="3"/>
  <c r="C75" i="3"/>
  <c r="C71" i="3"/>
  <c r="C67" i="3"/>
  <c r="C63" i="3"/>
  <c r="C59" i="3"/>
  <c r="C54" i="3"/>
  <c r="E50" i="3"/>
  <c r="E46" i="3"/>
  <c r="C42" i="3"/>
  <c r="C38" i="3"/>
  <c r="C34" i="3"/>
  <c r="E29" i="3"/>
  <c r="C24" i="3"/>
  <c r="C19" i="3"/>
  <c r="C15" i="3"/>
  <c r="C11" i="3"/>
  <c r="I3" i="3"/>
  <c r="B114" i="3"/>
  <c r="B110" i="3"/>
  <c r="B105" i="3"/>
  <c r="B101" i="3"/>
  <c r="B96" i="3"/>
  <c r="B92" i="3"/>
  <c r="B88" i="3"/>
  <c r="B84" i="3"/>
  <c r="B79" i="3"/>
  <c r="B74" i="3"/>
  <c r="B70" i="3"/>
  <c r="B66" i="3"/>
  <c r="B62" i="3"/>
  <c r="B58" i="3"/>
  <c r="D53" i="3"/>
  <c r="B49" i="3"/>
  <c r="D45" i="3"/>
  <c r="D41" i="3"/>
  <c r="D37" i="3"/>
  <c r="D33" i="3"/>
  <c r="B28" i="3"/>
  <c r="B22" i="3"/>
  <c r="D18" i="3"/>
  <c r="D14" i="3"/>
  <c r="D10" i="3"/>
  <c r="D2" i="3"/>
  <c r="E112" i="3"/>
  <c r="E108" i="3"/>
  <c r="E103" i="3"/>
  <c r="E99" i="3"/>
  <c r="E94" i="3"/>
  <c r="E90" i="3"/>
  <c r="E86" i="3"/>
  <c r="E81" i="3"/>
  <c r="E77" i="3"/>
  <c r="E72" i="3"/>
  <c r="E68" i="3"/>
  <c r="E64" i="3"/>
  <c r="E60" i="3"/>
  <c r="C57" i="3"/>
  <c r="I53" i="3"/>
  <c r="I50" i="3"/>
  <c r="C48" i="3"/>
  <c r="C45" i="3"/>
  <c r="E42" i="3"/>
  <c r="I39" i="3"/>
  <c r="C37" i="3"/>
  <c r="I33" i="3"/>
  <c r="C31" i="3"/>
  <c r="I27" i="3"/>
  <c r="E24" i="3"/>
  <c r="C21" i="3"/>
  <c r="C18" i="3"/>
  <c r="E15" i="3"/>
  <c r="I12" i="3"/>
  <c r="C10" i="3"/>
  <c r="I2" i="3"/>
  <c r="D112" i="3"/>
  <c r="D108" i="3"/>
  <c r="D103" i="3"/>
  <c r="D99" i="3"/>
  <c r="D94" i="3"/>
  <c r="D90" i="3"/>
  <c r="D86" i="3"/>
  <c r="D81" i="3"/>
  <c r="D77" i="3"/>
  <c r="D72" i="3"/>
  <c r="D68" i="3"/>
  <c r="D64" i="3"/>
  <c r="D60" i="3"/>
  <c r="B57" i="3"/>
  <c r="H53" i="3"/>
  <c r="H50" i="3"/>
  <c r="B48" i="3"/>
  <c r="B45" i="3"/>
  <c r="D42" i="3"/>
  <c r="H39" i="3"/>
  <c r="B37" i="3"/>
  <c r="H33" i="3"/>
  <c r="B31" i="3"/>
  <c r="H27" i="3"/>
  <c r="D24" i="3"/>
  <c r="B21" i="3"/>
  <c r="B18" i="3"/>
  <c r="D15" i="3"/>
  <c r="H12" i="3"/>
  <c r="B10" i="3"/>
  <c r="H2" i="3"/>
  <c r="I13" i="3"/>
  <c r="I22" i="3"/>
  <c r="I30" i="3"/>
  <c r="I40" i="3"/>
  <c r="I49" i="3"/>
  <c r="H9" i="3"/>
  <c r="H17" i="3"/>
  <c r="H26" i="3"/>
  <c r="H36" i="3"/>
  <c r="H44" i="3"/>
  <c r="H54" i="3"/>
  <c r="H47" i="3"/>
  <c r="C109" i="3"/>
  <c r="C114" i="3"/>
  <c r="C110" i="3"/>
  <c r="C105" i="3"/>
  <c r="C101" i="3"/>
  <c r="C96" i="3"/>
  <c r="C92" i="3"/>
  <c r="C88" i="3"/>
  <c r="C84" i="3"/>
  <c r="C79" i="3"/>
  <c r="C74" i="3"/>
  <c r="C70" i="3"/>
  <c r="C66" i="3"/>
  <c r="C62" i="3"/>
  <c r="C58" i="3"/>
  <c r="E53" i="3"/>
  <c r="C49" i="3"/>
  <c r="E45" i="3"/>
  <c r="E41" i="3"/>
  <c r="E37" i="3"/>
  <c r="E33" i="3"/>
  <c r="C28" i="3"/>
  <c r="C22" i="3"/>
  <c r="E18" i="3"/>
  <c r="E14" i="3"/>
  <c r="E10" i="3"/>
  <c r="E2" i="3"/>
  <c r="B113" i="3"/>
  <c r="B109" i="3"/>
  <c r="B104" i="3"/>
  <c r="B100" i="3"/>
  <c r="B95" i="3"/>
  <c r="B91" i="3"/>
  <c r="B87" i="3"/>
  <c r="B82" i="3"/>
  <c r="B78" i="3"/>
  <c r="B73" i="3"/>
  <c r="B69" i="3"/>
  <c r="B65" i="3"/>
  <c r="B61" i="3"/>
  <c r="D57" i="3"/>
  <c r="B52" i="3"/>
  <c r="D48" i="3"/>
  <c r="B44" i="3"/>
  <c r="B40" i="3"/>
  <c r="B36" i="3"/>
  <c r="B32" i="3"/>
  <c r="D27" i="3"/>
  <c r="D21" i="3"/>
  <c r="B17" i="3"/>
  <c r="B13" i="3"/>
  <c r="B9" i="3"/>
  <c r="E115" i="3"/>
  <c r="E111" i="3"/>
  <c r="E106" i="3"/>
  <c r="E102" i="3"/>
  <c r="E97" i="3"/>
  <c r="E93" i="3"/>
  <c r="E89" i="3"/>
  <c r="E85" i="3"/>
  <c r="E80" i="3"/>
  <c r="E75" i="3"/>
  <c r="E71" i="3"/>
  <c r="E67" i="3"/>
  <c r="E63" i="3"/>
  <c r="E59" i="3"/>
  <c r="E56" i="3"/>
  <c r="C53" i="3"/>
  <c r="C50" i="3"/>
  <c r="E47" i="3"/>
  <c r="E44" i="3"/>
  <c r="I41" i="3"/>
  <c r="C39" i="3"/>
  <c r="E36" i="3"/>
  <c r="C33" i="3"/>
  <c r="I29" i="3"/>
  <c r="C27" i="3"/>
  <c r="I23" i="3"/>
  <c r="C20" i="3"/>
  <c r="E17" i="3"/>
  <c r="I14" i="3"/>
  <c r="C12" i="3"/>
  <c r="E9" i="3"/>
  <c r="D115" i="3"/>
  <c r="D111" i="3"/>
  <c r="D106" i="3"/>
  <c r="D102" i="3"/>
  <c r="D97" i="3"/>
  <c r="D93" i="3"/>
  <c r="D89" i="3"/>
  <c r="D85" i="3"/>
  <c r="D80" i="3"/>
  <c r="D75" i="3"/>
  <c r="D71" i="3"/>
  <c r="D67" i="3"/>
  <c r="D63" i="3"/>
  <c r="D59" i="3"/>
  <c r="D56" i="3"/>
  <c r="B53" i="3"/>
  <c r="B50" i="3"/>
  <c r="D47" i="3"/>
  <c r="D44" i="3"/>
  <c r="H41" i="3"/>
  <c r="B39" i="3"/>
  <c r="D36" i="3"/>
  <c r="B33" i="3"/>
  <c r="H29" i="3"/>
  <c r="B27" i="3"/>
  <c r="H23" i="3"/>
  <c r="B20" i="3"/>
  <c r="D17" i="3"/>
  <c r="H14" i="3"/>
  <c r="B12" i="3"/>
  <c r="D9" i="3"/>
  <c r="B2" i="3"/>
  <c r="I15" i="3"/>
  <c r="I24" i="3"/>
  <c r="I32" i="3"/>
  <c r="I42" i="3"/>
  <c r="I52" i="3"/>
  <c r="H11" i="3"/>
  <c r="H19" i="3"/>
  <c r="H28" i="3"/>
  <c r="H38" i="3"/>
  <c r="H56" i="3"/>
  <c r="C113" i="3"/>
  <c r="C104" i="3"/>
  <c r="C100" i="3"/>
  <c r="C99" i="3"/>
  <c r="C90" i="3"/>
  <c r="C81" i="3"/>
  <c r="C72" i="3"/>
  <c r="C64" i="3"/>
  <c r="C56" i="3"/>
  <c r="C47" i="3"/>
  <c r="E39" i="3"/>
  <c r="E31" i="3"/>
  <c r="E20" i="3"/>
  <c r="E12" i="3"/>
  <c r="B115" i="3"/>
  <c r="B106" i="3"/>
  <c r="B97" i="3"/>
  <c r="B89" i="3"/>
  <c r="B80" i="3"/>
  <c r="B71" i="3"/>
  <c r="B63" i="3"/>
  <c r="B54" i="3"/>
  <c r="D46" i="3"/>
  <c r="B38" i="3"/>
  <c r="D29" i="3"/>
  <c r="B19" i="3"/>
  <c r="B11" i="3"/>
  <c r="E113" i="3"/>
  <c r="E104" i="3"/>
  <c r="E95" i="3"/>
  <c r="E87" i="3"/>
  <c r="E78" i="3"/>
  <c r="E69" i="3"/>
  <c r="E61" i="3"/>
  <c r="E54" i="3"/>
  <c r="I48" i="3"/>
  <c r="C43" i="3"/>
  <c r="I37" i="3"/>
  <c r="I31" i="3"/>
  <c r="I25" i="3"/>
  <c r="I18" i="3"/>
  <c r="E13" i="3"/>
  <c r="C8" i="3"/>
  <c r="D109" i="3"/>
  <c r="D100" i="3"/>
  <c r="D91" i="3"/>
  <c r="D82" i="3"/>
  <c r="D73" i="3"/>
  <c r="D65" i="3"/>
  <c r="H57" i="3"/>
  <c r="D51" i="3"/>
  <c r="B46" i="3"/>
  <c r="D40" i="3"/>
  <c r="D34" i="3"/>
  <c r="D28" i="3"/>
  <c r="H21" i="3"/>
  <c r="B16" i="3"/>
  <c r="H10" i="3"/>
  <c r="I11" i="3"/>
  <c r="I28" i="3"/>
  <c r="I47" i="3"/>
  <c r="H15" i="3"/>
  <c r="H32" i="3"/>
  <c r="H52" i="3"/>
  <c r="C108" i="3"/>
  <c r="C86" i="3"/>
  <c r="C77" i="3"/>
  <c r="C60" i="3"/>
  <c r="E43" i="3"/>
  <c r="E8" i="3"/>
  <c r="B93" i="3"/>
  <c r="B75" i="3"/>
  <c r="B59" i="3"/>
  <c r="B42" i="3"/>
  <c r="B15" i="3"/>
  <c r="E109" i="3"/>
  <c r="E100" i="3"/>
  <c r="E82" i="3"/>
  <c r="E73" i="3"/>
  <c r="I57" i="3"/>
  <c r="C46" i="3"/>
  <c r="E34" i="3"/>
  <c r="E28" i="3"/>
  <c r="C16" i="3"/>
  <c r="D113" i="3"/>
  <c r="D95" i="3"/>
  <c r="D69" i="3"/>
  <c r="D54" i="3"/>
  <c r="B43" i="3"/>
  <c r="H37" i="3"/>
  <c r="H25" i="3"/>
  <c r="D13" i="3"/>
  <c r="I19" i="3"/>
  <c r="I56" i="3"/>
  <c r="H42" i="3"/>
  <c r="C103" i="3"/>
  <c r="C82" i="3"/>
  <c r="C65" i="3"/>
  <c r="E48" i="3"/>
  <c r="C32" i="3"/>
  <c r="C13" i="3"/>
  <c r="B108" i="3"/>
  <c r="B90" i="3"/>
  <c r="B81" i="3"/>
  <c r="B64" i="3"/>
  <c r="B47" i="3"/>
  <c r="D31" i="3"/>
  <c r="E114" i="3"/>
  <c r="E96" i="3"/>
  <c r="E79" i="3"/>
  <c r="E62" i="3"/>
  <c r="E38" i="3"/>
  <c r="E26" i="3"/>
  <c r="C14" i="3"/>
  <c r="D101" i="3"/>
  <c r="D84" i="3"/>
  <c r="D66" i="3"/>
  <c r="D52" i="3"/>
  <c r="B41" i="3"/>
  <c r="B29" i="3"/>
  <c r="H16" i="3"/>
  <c r="I9" i="3"/>
  <c r="I44" i="3"/>
  <c r="H30" i="3"/>
  <c r="C112" i="3"/>
  <c r="C95" i="3"/>
  <c r="C87" i="3"/>
  <c r="C78" i="3"/>
  <c r="C69" i="3"/>
  <c r="C61" i="3"/>
  <c r="C52" i="3"/>
  <c r="C44" i="3"/>
  <c r="C36" i="3"/>
  <c r="E27" i="3"/>
  <c r="C17" i="3"/>
  <c r="C9" i="3"/>
  <c r="B112" i="3"/>
  <c r="B103" i="3"/>
  <c r="B94" i="3"/>
  <c r="B86" i="3"/>
  <c r="B77" i="3"/>
  <c r="B68" i="3"/>
  <c r="B60" i="3"/>
  <c r="B51" i="3"/>
  <c r="D43" i="3"/>
  <c r="B35" i="3"/>
  <c r="B26" i="3"/>
  <c r="D16" i="3"/>
  <c r="D8" i="3"/>
  <c r="E110" i="3"/>
  <c r="E101" i="3"/>
  <c r="E92" i="3"/>
  <c r="E84" i="3"/>
  <c r="E74" i="3"/>
  <c r="E66" i="3"/>
  <c r="E58" i="3"/>
  <c r="E52" i="3"/>
  <c r="I46" i="3"/>
  <c r="C41" i="3"/>
  <c r="E35" i="3"/>
  <c r="C29" i="3"/>
  <c r="E22" i="3"/>
  <c r="I16" i="3"/>
  <c r="E11" i="3"/>
  <c r="D114" i="3"/>
  <c r="D105" i="3"/>
  <c r="D96" i="3"/>
  <c r="D88" i="3"/>
  <c r="D79" i="3"/>
  <c r="D70" i="3"/>
  <c r="D62" i="3"/>
  <c r="H55" i="3"/>
  <c r="D49" i="3"/>
  <c r="H43" i="3"/>
  <c r="D38" i="3"/>
  <c r="D32" i="3"/>
  <c r="D26" i="3"/>
  <c r="D19" i="3"/>
  <c r="B14" i="3"/>
  <c r="H8" i="3"/>
  <c r="I17" i="3"/>
  <c r="I36" i="3"/>
  <c r="I54" i="3"/>
  <c r="H22" i="3"/>
  <c r="H40" i="3"/>
  <c r="C94" i="3"/>
  <c r="C68" i="3"/>
  <c r="C51" i="3"/>
  <c r="C35" i="3"/>
  <c r="C26" i="3"/>
  <c r="E16" i="3"/>
  <c r="B111" i="3"/>
  <c r="B102" i="3"/>
  <c r="B85" i="3"/>
  <c r="B67" i="3"/>
  <c r="D50" i="3"/>
  <c r="B34" i="3"/>
  <c r="B24" i="3"/>
  <c r="H3" i="3"/>
  <c r="E91" i="3"/>
  <c r="E65" i="3"/>
  <c r="E51" i="3"/>
  <c r="E40" i="3"/>
  <c r="I21" i="3"/>
  <c r="I10" i="3"/>
  <c r="D104" i="3"/>
  <c r="D87" i="3"/>
  <c r="D78" i="3"/>
  <c r="D61" i="3"/>
  <c r="H48" i="3"/>
  <c r="H31" i="3"/>
  <c r="H18" i="3"/>
  <c r="B8" i="3"/>
  <c r="I38" i="3"/>
  <c r="H24" i="3"/>
  <c r="C91" i="3"/>
  <c r="C73" i="3"/>
  <c r="E57" i="3"/>
  <c r="C40" i="3"/>
  <c r="E21" i="3"/>
  <c r="C2" i="3"/>
  <c r="B99" i="3"/>
  <c r="B72" i="3"/>
  <c r="B56" i="3"/>
  <c r="D39" i="3"/>
  <c r="D20" i="3"/>
  <c r="D12" i="3"/>
  <c r="E105" i="3"/>
  <c r="E88" i="3"/>
  <c r="E70" i="3"/>
  <c r="I55" i="3"/>
  <c r="E49" i="3"/>
  <c r="I43" i="3"/>
  <c r="E32" i="3"/>
  <c r="E19" i="3"/>
  <c r="I8" i="3"/>
  <c r="D110" i="3"/>
  <c r="D92" i="3"/>
  <c r="D74" i="3"/>
  <c r="D58" i="3"/>
  <c r="H46" i="3"/>
  <c r="D35" i="3"/>
  <c r="D22" i="3"/>
  <c r="D11" i="3"/>
  <c r="I26" i="3"/>
  <c r="H13" i="3"/>
  <c r="H49" i="3"/>
  <c r="E50" i="2"/>
  <c r="E46" i="2"/>
  <c r="E41" i="2"/>
  <c r="E37" i="2"/>
  <c r="E33" i="2"/>
  <c r="C28" i="2"/>
  <c r="C24" i="2"/>
  <c r="C20" i="2"/>
  <c r="C16" i="2"/>
  <c r="C12" i="2"/>
  <c r="C8" i="2"/>
  <c r="B8" i="2"/>
  <c r="D50" i="2"/>
  <c r="D46" i="2"/>
  <c r="D41" i="2"/>
  <c r="D37" i="2"/>
  <c r="B34" i="2"/>
  <c r="D31" i="2"/>
  <c r="B28" i="2"/>
  <c r="D25" i="2"/>
  <c r="H22" i="2"/>
  <c r="B20" i="2"/>
  <c r="D17" i="2"/>
  <c r="H14" i="2"/>
  <c r="B12" i="2"/>
  <c r="D9" i="2"/>
  <c r="C53" i="2"/>
  <c r="C48" i="2"/>
  <c r="C43" i="2"/>
  <c r="C39" i="2"/>
  <c r="C35" i="2"/>
  <c r="E32" i="2"/>
  <c r="C29" i="2"/>
  <c r="E26" i="2"/>
  <c r="I23" i="2"/>
  <c r="C21" i="2"/>
  <c r="E18" i="2"/>
  <c r="I15" i="2"/>
  <c r="C13" i="2"/>
  <c r="E10" i="2"/>
  <c r="I7" i="2"/>
  <c r="B53" i="2"/>
  <c r="B48" i="2"/>
  <c r="B43" i="2"/>
  <c r="B39" i="2"/>
  <c r="B35" i="2"/>
  <c r="D32" i="2"/>
  <c r="B29" i="2"/>
  <c r="D26" i="2"/>
  <c r="H23" i="2"/>
  <c r="B21" i="2"/>
  <c r="D18" i="2"/>
  <c r="H15" i="2"/>
  <c r="B13" i="2"/>
  <c r="D10" i="2"/>
  <c r="H7" i="2"/>
  <c r="I8" i="2"/>
  <c r="I16" i="2"/>
  <c r="I24" i="2"/>
  <c r="I32" i="2"/>
  <c r="B7" i="2"/>
  <c r="I34" i="2"/>
  <c r="E48" i="2"/>
  <c r="E43" i="2"/>
  <c r="E35" i="2"/>
  <c r="C26" i="2"/>
  <c r="C14" i="2"/>
  <c r="I3" i="2"/>
  <c r="D48" i="2"/>
  <c r="D43" i="2"/>
  <c r="D35" i="2"/>
  <c r="H26" i="2"/>
  <c r="D21" i="2"/>
  <c r="B16" i="2"/>
  <c r="H10" i="2"/>
  <c r="C50" i="2"/>
  <c r="C41" i="2"/>
  <c r="C37" i="2"/>
  <c r="C31" i="2"/>
  <c r="C25" i="2"/>
  <c r="I19" i="2"/>
  <c r="I11" i="2"/>
  <c r="I2" i="2"/>
  <c r="B37" i="2"/>
  <c r="H27" i="2"/>
  <c r="H19" i="2"/>
  <c r="D14" i="2"/>
  <c r="B9" i="2"/>
  <c r="I12" i="2"/>
  <c r="I20" i="2"/>
  <c r="E47" i="2"/>
  <c r="E38" i="2"/>
  <c r="E29" i="2"/>
  <c r="E17" i="2"/>
  <c r="E9" i="2"/>
  <c r="D52" i="2"/>
  <c r="D42" i="2"/>
  <c r="B32" i="2"/>
  <c r="B26" i="2"/>
  <c r="B18" i="2"/>
  <c r="H12" i="2"/>
  <c r="D2" i="2"/>
  <c r="C44" i="2"/>
  <c r="C33" i="2"/>
  <c r="C27" i="2"/>
  <c r="I21" i="2"/>
  <c r="I13" i="2"/>
  <c r="E8" i="2"/>
  <c r="B49" i="2"/>
  <c r="B40" i="2"/>
  <c r="B36" i="2"/>
  <c r="H29" i="2"/>
  <c r="D24" i="2"/>
  <c r="B19" i="2"/>
  <c r="B11" i="2"/>
  <c r="B2" i="2"/>
  <c r="I22" i="2"/>
  <c r="E49" i="2"/>
  <c r="E44" i="2"/>
  <c r="E40" i="2"/>
  <c r="E36" i="2"/>
  <c r="C32" i="2"/>
  <c r="E27" i="2"/>
  <c r="E23" i="2"/>
  <c r="E19" i="2"/>
  <c r="E15" i="2"/>
  <c r="E11" i="2"/>
  <c r="E7" i="2"/>
  <c r="H3" i="2"/>
  <c r="D49" i="2"/>
  <c r="D44" i="2"/>
  <c r="D40" i="2"/>
  <c r="D36" i="2"/>
  <c r="D33" i="2"/>
  <c r="H30" i="2"/>
  <c r="D27" i="2"/>
  <c r="H24" i="2"/>
  <c r="B22" i="2"/>
  <c r="D19" i="2"/>
  <c r="H16" i="2"/>
  <c r="B14" i="2"/>
  <c r="D11" i="2"/>
  <c r="H8" i="2"/>
  <c r="C52" i="2"/>
  <c r="C47" i="2"/>
  <c r="C42" i="2"/>
  <c r="C38" i="2"/>
  <c r="E34" i="2"/>
  <c r="I31" i="2"/>
  <c r="E28" i="2"/>
  <c r="I25" i="2"/>
  <c r="C23" i="2"/>
  <c r="E20" i="2"/>
  <c r="I17" i="2"/>
  <c r="C15" i="2"/>
  <c r="E12" i="2"/>
  <c r="I9" i="2"/>
  <c r="C7" i="2"/>
  <c r="B52" i="2"/>
  <c r="B47" i="2"/>
  <c r="B42" i="2"/>
  <c r="B38" i="2"/>
  <c r="D34" i="2"/>
  <c r="H31" i="2"/>
  <c r="D28" i="2"/>
  <c r="H25" i="2"/>
  <c r="B23" i="2"/>
  <c r="D20" i="2"/>
  <c r="H17" i="2"/>
  <c r="B15" i="2"/>
  <c r="D12" i="2"/>
  <c r="H9" i="2"/>
  <c r="I10" i="2"/>
  <c r="I18" i="2"/>
  <c r="I26" i="2"/>
  <c r="E53" i="2"/>
  <c r="E39" i="2"/>
  <c r="E31" i="2"/>
  <c r="C22" i="2"/>
  <c r="C18" i="2"/>
  <c r="C10" i="2"/>
  <c r="D53" i="2"/>
  <c r="D39" i="2"/>
  <c r="H32" i="2"/>
  <c r="D29" i="2"/>
  <c r="B24" i="2"/>
  <c r="H18" i="2"/>
  <c r="D13" i="2"/>
  <c r="D7" i="2"/>
  <c r="C46" i="2"/>
  <c r="I33" i="2"/>
  <c r="I27" i="2"/>
  <c r="E22" i="2"/>
  <c r="C17" i="2"/>
  <c r="E14" i="2"/>
  <c r="C9" i="2"/>
  <c r="B50" i="2"/>
  <c r="B46" i="2"/>
  <c r="B41" i="2"/>
  <c r="H33" i="2"/>
  <c r="B31" i="2"/>
  <c r="B25" i="2"/>
  <c r="D22" i="2"/>
  <c r="B17" i="2"/>
  <c r="H11" i="2"/>
  <c r="H2" i="2"/>
  <c r="I28" i="2"/>
  <c r="E52" i="2"/>
  <c r="E42" i="2"/>
  <c r="C34" i="2"/>
  <c r="E25" i="2"/>
  <c r="E21" i="2"/>
  <c r="E13" i="2"/>
  <c r="E2" i="2"/>
  <c r="D47" i="2"/>
  <c r="D38" i="2"/>
  <c r="H34" i="2"/>
  <c r="H28" i="2"/>
  <c r="D23" i="2"/>
  <c r="H20" i="2"/>
  <c r="D15" i="2"/>
  <c r="B10" i="2"/>
  <c r="C49" i="2"/>
  <c r="C40" i="2"/>
  <c r="C36" i="2"/>
  <c r="I29" i="2"/>
  <c r="E24" i="2"/>
  <c r="C19" i="2"/>
  <c r="E16" i="2"/>
  <c r="C11" i="2"/>
  <c r="C2" i="2"/>
  <c r="B44" i="2"/>
  <c r="B33" i="2"/>
  <c r="B27" i="2"/>
  <c r="H21" i="2"/>
  <c r="D16" i="2"/>
  <c r="H13" i="2"/>
  <c r="D8" i="2"/>
  <c r="I14" i="2"/>
  <c r="I30" i="2"/>
  <c r="G50" i="43"/>
  <c r="D50" i="43"/>
  <c r="B11" i="43"/>
  <c r="B21" i="43"/>
  <c r="B37" i="43"/>
  <c r="C18" i="43"/>
  <c r="C30" i="43"/>
  <c r="E11" i="43"/>
  <c r="E21" i="43"/>
  <c r="E37" i="43"/>
  <c r="B20" i="43"/>
  <c r="E9" i="43"/>
  <c r="C20" i="43"/>
  <c r="E42" i="43"/>
  <c r="B42" i="43"/>
  <c r="E16" i="43"/>
  <c r="E31" i="43"/>
  <c r="B13" i="43"/>
  <c r="C13" i="43"/>
  <c r="C35" i="43"/>
  <c r="B34" i="43"/>
  <c r="C14" i="43"/>
  <c r="E41" i="43"/>
  <c r="B24" i="43"/>
  <c r="F22" i="43"/>
  <c r="E25" i="43"/>
  <c r="F39" i="43"/>
  <c r="F7" i="43"/>
  <c r="F11" i="43"/>
  <c r="C25" i="43"/>
  <c r="F24" i="43"/>
  <c r="C43" i="43"/>
  <c r="B6" i="43"/>
  <c r="F27" i="43"/>
  <c r="C6" i="43"/>
  <c r="F18" i="43"/>
  <c r="C23" i="43"/>
  <c r="F31" i="43"/>
  <c r="F35" i="43"/>
  <c r="F2" i="43"/>
  <c r="G2" i="43"/>
  <c r="D43" i="43"/>
  <c r="D44" i="43"/>
  <c r="G42" i="43"/>
  <c r="G39" i="43"/>
  <c r="B49" i="43"/>
  <c r="C21" i="43"/>
  <c r="E30" i="43"/>
  <c r="C16" i="43"/>
  <c r="C9" i="43"/>
  <c r="C42" i="43"/>
  <c r="B14" i="43"/>
  <c r="E6" i="43"/>
  <c r="F5" i="43"/>
  <c r="C32" i="43"/>
  <c r="F14" i="43"/>
  <c r="F20" i="43"/>
  <c r="F37" i="43"/>
  <c r="D39" i="43"/>
  <c r="F49" i="43"/>
  <c r="D49" i="43"/>
  <c r="B12" i="43"/>
  <c r="B29" i="43"/>
  <c r="B39" i="43"/>
  <c r="C19" i="43"/>
  <c r="C36" i="43"/>
  <c r="E12" i="43"/>
  <c r="E29" i="43"/>
  <c r="E39" i="43"/>
  <c r="B27" i="43"/>
  <c r="C10" i="43"/>
  <c r="C27" i="43"/>
  <c r="E44" i="43"/>
  <c r="B44" i="43"/>
  <c r="C17" i="43"/>
  <c r="E33" i="43"/>
  <c r="B35" i="43"/>
  <c r="E14" i="43"/>
  <c r="C41" i="43"/>
  <c r="B8" i="43"/>
  <c r="C22" i="43"/>
  <c r="E5" i="43"/>
  <c r="B25" i="43"/>
  <c r="E32" i="43"/>
  <c r="E26" i="43"/>
  <c r="F43" i="43"/>
  <c r="F8" i="43"/>
  <c r="F12" i="43"/>
  <c r="C26" i="43"/>
  <c r="F25" i="43"/>
  <c r="C38" i="43"/>
  <c r="B7" i="43"/>
  <c r="F42" i="43"/>
  <c r="C7" i="43"/>
  <c r="F19" i="43"/>
  <c r="F29" i="43"/>
  <c r="F32" i="43"/>
  <c r="F36" i="43"/>
  <c r="C2" i="43"/>
  <c r="D2" i="43"/>
  <c r="D22" i="43"/>
  <c r="D42" i="43"/>
  <c r="G27" i="43"/>
  <c r="G22" i="43"/>
  <c r="G49" i="43"/>
  <c r="B30" i="43"/>
  <c r="C37" i="43"/>
  <c r="B10" i="43"/>
  <c r="B9" i="43"/>
  <c r="B41" i="43"/>
  <c r="C8" i="43"/>
  <c r="B26" i="43"/>
  <c r="B43" i="43"/>
  <c r="F13" i="43"/>
  <c r="F26" i="43"/>
  <c r="F44" i="43"/>
  <c r="F30" i="43"/>
  <c r="B2" i="43"/>
  <c r="G14" i="43"/>
  <c r="E49" i="43"/>
  <c r="C49" i="43"/>
  <c r="B19" i="43"/>
  <c r="B36" i="43"/>
  <c r="C12" i="43"/>
  <c r="C29" i="43"/>
  <c r="C39" i="43"/>
  <c r="E19" i="43"/>
  <c r="E36" i="43"/>
  <c r="B16" i="43"/>
  <c r="B33" i="43"/>
  <c r="E17" i="43"/>
  <c r="C33" i="43"/>
  <c r="B17" i="43"/>
  <c r="E10" i="43"/>
  <c r="E27" i="43"/>
  <c r="C44" i="43"/>
  <c r="E8" i="43"/>
  <c r="E34" i="43"/>
  <c r="B22" i="43"/>
  <c r="E13" i="43"/>
  <c r="E35" i="43"/>
  <c r="E7" i="43"/>
  <c r="B32" i="43"/>
  <c r="E24" i="43"/>
  <c r="B38" i="43"/>
  <c r="F6" i="43"/>
  <c r="F10" i="43"/>
  <c r="C24" i="43"/>
  <c r="F23" i="43"/>
  <c r="E38" i="43"/>
  <c r="B5" i="43"/>
  <c r="B23" i="43"/>
  <c r="C5" i="43"/>
  <c r="F17" i="43"/>
  <c r="F21" i="43"/>
  <c r="E43" i="43"/>
  <c r="F34" i="43"/>
  <c r="F38" i="43"/>
  <c r="D3" i="43"/>
  <c r="G3" i="43"/>
  <c r="D27" i="43"/>
  <c r="G44" i="43"/>
  <c r="G43" i="43"/>
  <c r="B18" i="43"/>
  <c r="C11" i="43"/>
  <c r="E18" i="43"/>
  <c r="B31" i="43"/>
  <c r="C31" i="43"/>
  <c r="E20" i="43"/>
  <c r="E22" i="43"/>
  <c r="C34" i="43"/>
  <c r="E23" i="43"/>
  <c r="F9" i="43"/>
  <c r="F41" i="43"/>
  <c r="F16" i="43"/>
  <c r="F33" i="43"/>
  <c r="E2" i="43"/>
  <c r="D14" i="43"/>
  <c r="G68" i="42"/>
  <c r="E67" i="42"/>
  <c r="E64" i="42"/>
  <c r="F60" i="42"/>
  <c r="C56" i="42"/>
  <c r="F51" i="42"/>
  <c r="E47" i="42"/>
  <c r="F42" i="42"/>
  <c r="F38" i="42"/>
  <c r="C34" i="42"/>
  <c r="C28" i="42"/>
  <c r="E24" i="42"/>
  <c r="C20" i="42"/>
  <c r="C15" i="42"/>
  <c r="F11" i="42"/>
  <c r="F7" i="42"/>
  <c r="E2" i="42"/>
  <c r="E61" i="42"/>
  <c r="E57" i="42"/>
  <c r="B53" i="42"/>
  <c r="B49" i="42"/>
  <c r="E43" i="42"/>
  <c r="B40" i="42"/>
  <c r="B36" i="42"/>
  <c r="B30" i="42"/>
  <c r="F25" i="42"/>
  <c r="E21" i="42"/>
  <c r="B18" i="42"/>
  <c r="B13" i="42"/>
  <c r="B9" i="42"/>
  <c r="D3" i="42"/>
  <c r="G62" i="42"/>
  <c r="C59" i="42"/>
  <c r="G54" i="42"/>
  <c r="C52" i="42"/>
  <c r="F48" i="42"/>
  <c r="G44" i="42"/>
  <c r="E41" i="42"/>
  <c r="C38" i="42"/>
  <c r="F34" i="42"/>
  <c r="G29" i="42"/>
  <c r="C27" i="42"/>
  <c r="C24" i="42"/>
  <c r="E20" i="42"/>
  <c r="C17" i="42"/>
  <c r="G12" i="42"/>
  <c r="E9" i="42"/>
  <c r="E6" i="42"/>
  <c r="C2" i="42"/>
  <c r="F62" i="42"/>
  <c r="B59" i="42"/>
  <c r="F54" i="42"/>
  <c r="B52" i="42"/>
  <c r="E48" i="42"/>
  <c r="F44" i="42"/>
  <c r="D41" i="42"/>
  <c r="B38" i="42"/>
  <c r="E34" i="42"/>
  <c r="F29" i="42"/>
  <c r="B27" i="42"/>
  <c r="B24" i="42"/>
  <c r="D20" i="42"/>
  <c r="B17" i="42"/>
  <c r="F12" i="42"/>
  <c r="D9" i="42"/>
  <c r="D6" i="42"/>
  <c r="B2" i="42"/>
  <c r="G20" i="42"/>
  <c r="G36" i="42"/>
  <c r="G53" i="42"/>
  <c r="D8" i="42"/>
  <c r="D27" i="42"/>
  <c r="D44" i="42"/>
  <c r="D62" i="42"/>
  <c r="G67" i="42"/>
  <c r="D68" i="42"/>
  <c r="C63" i="42"/>
  <c r="F59" i="42"/>
  <c r="E54" i="42"/>
  <c r="C50" i="42"/>
  <c r="C45" i="42"/>
  <c r="C41" i="42"/>
  <c r="F37" i="42"/>
  <c r="E33" i="42"/>
  <c r="E27" i="42"/>
  <c r="F23" i="42"/>
  <c r="C19" i="42"/>
  <c r="C14" i="42"/>
  <c r="F10" i="42"/>
  <c r="F67" i="42"/>
  <c r="D67" i="42"/>
  <c r="E62" i="42"/>
  <c r="F58" i="42"/>
  <c r="C53" i="42"/>
  <c r="C49" i="42"/>
  <c r="E44" i="42"/>
  <c r="C40" i="42"/>
  <c r="C36" i="42"/>
  <c r="C30" i="42"/>
  <c r="F26" i="42"/>
  <c r="F22" i="42"/>
  <c r="C18" i="42"/>
  <c r="C13" i="42"/>
  <c r="C9" i="42"/>
  <c r="E5" i="42"/>
  <c r="F63" i="42"/>
  <c r="E59" i="42"/>
  <c r="B56" i="42"/>
  <c r="F50" i="42"/>
  <c r="F45" i="42"/>
  <c r="F41" i="42"/>
  <c r="E37" i="42"/>
  <c r="B34" i="42"/>
  <c r="B28" i="42"/>
  <c r="E23" i="42"/>
  <c r="B20" i="42"/>
  <c r="B15" i="42"/>
  <c r="E10" i="42"/>
  <c r="F6" i="42"/>
  <c r="C64" i="42"/>
  <c r="C61" i="42"/>
  <c r="C57" i="42"/>
  <c r="E53" i="42"/>
  <c r="E50" i="42"/>
  <c r="C47" i="42"/>
  <c r="C43" i="42"/>
  <c r="G39" i="42"/>
  <c r="E36" i="42"/>
  <c r="C33" i="42"/>
  <c r="E28" i="42"/>
  <c r="E25" i="42"/>
  <c r="C22" i="42"/>
  <c r="F18" i="42"/>
  <c r="F14" i="42"/>
  <c r="C11" i="42"/>
  <c r="C8" i="42"/>
  <c r="C5" i="42"/>
  <c r="B64" i="42"/>
  <c r="B61" i="42"/>
  <c r="B57" i="42"/>
  <c r="D53" i="42"/>
  <c r="D50" i="42"/>
  <c r="B47" i="42"/>
  <c r="B43" i="42"/>
  <c r="F39" i="42"/>
  <c r="D36" i="42"/>
  <c r="B33" i="42"/>
  <c r="D28" i="42"/>
  <c r="D25" i="42"/>
  <c r="B22" i="42"/>
  <c r="E18" i="42"/>
  <c r="E14" i="42"/>
  <c r="B11" i="42"/>
  <c r="B8" i="42"/>
  <c r="B5" i="42"/>
  <c r="G9" i="42"/>
  <c r="G28" i="42"/>
  <c r="G45" i="42"/>
  <c r="G63" i="42"/>
  <c r="D17" i="42"/>
  <c r="D33" i="42"/>
  <c r="D52" i="42"/>
  <c r="B67" i="42"/>
  <c r="C67" i="42"/>
  <c r="F61" i="42"/>
  <c r="F57" i="42"/>
  <c r="E52" i="42"/>
  <c r="C48" i="42"/>
  <c r="F43" i="42"/>
  <c r="E39" i="42"/>
  <c r="C35" i="42"/>
  <c r="E29" i="42"/>
  <c r="C25" i="42"/>
  <c r="F21" i="42"/>
  <c r="E17" i="42"/>
  <c r="E12" i="42"/>
  <c r="E8" i="42"/>
  <c r="G3" i="42"/>
  <c r="B63" i="42"/>
  <c r="E58" i="42"/>
  <c r="F53" i="42"/>
  <c r="B50" i="42"/>
  <c r="B45" i="42"/>
  <c r="B41" i="42"/>
  <c r="F36" i="42"/>
  <c r="F30" i="42"/>
  <c r="E26" i="42"/>
  <c r="E22" i="42"/>
  <c r="B19" i="42"/>
  <c r="B14" i="42"/>
  <c r="F9" i="42"/>
  <c r="B6" i="42"/>
  <c r="E63" i="42"/>
  <c r="C60" i="42"/>
  <c r="E56" i="42"/>
  <c r="G52" i="42"/>
  <c r="F49" i="42"/>
  <c r="E45" i="42"/>
  <c r="C42" i="42"/>
  <c r="C39" i="42"/>
  <c r="F35" i="42"/>
  <c r="E30" i="42"/>
  <c r="G27" i="42"/>
  <c r="G24" i="42"/>
  <c r="C21" i="42"/>
  <c r="G17" i="42"/>
  <c r="F13" i="42"/>
  <c r="C10" i="42"/>
  <c r="C7" i="42"/>
  <c r="G2" i="42"/>
  <c r="D63" i="42"/>
  <c r="B60" i="42"/>
  <c r="D56" i="42"/>
  <c r="F52" i="42"/>
  <c r="E49" i="42"/>
  <c r="D45" i="42"/>
  <c r="C6" i="42"/>
  <c r="E51" i="42"/>
  <c r="B35" i="42"/>
  <c r="F15" i="42"/>
  <c r="C62" i="42"/>
  <c r="G47" i="42"/>
  <c r="G33" i="42"/>
  <c r="F19" i="42"/>
  <c r="G5" i="42"/>
  <c r="B54" i="42"/>
  <c r="B42" i="42"/>
  <c r="E35" i="42"/>
  <c r="F27" i="42"/>
  <c r="B21" i="42"/>
  <c r="E13" i="42"/>
  <c r="B7" i="42"/>
  <c r="G15" i="42"/>
  <c r="G50" i="42"/>
  <c r="D24" i="42"/>
  <c r="D54" i="42"/>
  <c r="D2" i="42"/>
  <c r="F28" i="42"/>
  <c r="C58" i="42"/>
  <c r="C29" i="42"/>
  <c r="E15" i="42"/>
  <c r="B51" i="42"/>
  <c r="E40" i="42"/>
  <c r="E19" i="42"/>
  <c r="B12" i="42"/>
  <c r="G25" i="42"/>
  <c r="D29" i="42"/>
  <c r="E60" i="42"/>
  <c r="E42" i="42"/>
  <c r="B25" i="42"/>
  <c r="E7" i="42"/>
  <c r="C54" i="42"/>
  <c r="F40" i="42"/>
  <c r="C26" i="42"/>
  <c r="C12" i="42"/>
  <c r="B62" i="42"/>
  <c r="F47" i="42"/>
  <c r="B39" i="42"/>
  <c r="D30" i="42"/>
  <c r="F24" i="42"/>
  <c r="F17" i="42"/>
  <c r="B10" i="42"/>
  <c r="F2" i="42"/>
  <c r="G30" i="42"/>
  <c r="D5" i="42"/>
  <c r="D39" i="42"/>
  <c r="F56" i="42"/>
  <c r="E38" i="42"/>
  <c r="F20" i="42"/>
  <c r="G64" i="42"/>
  <c r="C51" i="42"/>
  <c r="C37" i="42"/>
  <c r="C23" i="42"/>
  <c r="G8" i="42"/>
  <c r="B58" i="42"/>
  <c r="B44" i="42"/>
  <c r="B37" i="42"/>
  <c r="B29" i="42"/>
  <c r="B23" i="42"/>
  <c r="D15" i="42"/>
  <c r="F8" i="42"/>
  <c r="G6" i="42"/>
  <c r="G41" i="42"/>
  <c r="D12" i="42"/>
  <c r="D47" i="42"/>
  <c r="B48" i="42"/>
  <c r="E11" i="42"/>
  <c r="C44" i="42"/>
  <c r="F64" i="42"/>
  <c r="F33" i="42"/>
  <c r="B26" i="42"/>
  <c r="F5" i="42"/>
  <c r="G56" i="42"/>
  <c r="D64" i="42"/>
  <c r="I5" i="41"/>
  <c r="I9" i="41"/>
  <c r="I13" i="41"/>
  <c r="I17" i="41"/>
  <c r="I21" i="41"/>
  <c r="H5" i="41"/>
  <c r="H9" i="41"/>
  <c r="H13" i="41"/>
  <c r="H17" i="41"/>
  <c r="H21" i="41"/>
  <c r="F8" i="41"/>
  <c r="F15" i="41"/>
  <c r="F20" i="41"/>
  <c r="D24" i="41"/>
  <c r="D21" i="41"/>
  <c r="D17" i="41"/>
  <c r="D13" i="41"/>
  <c r="D9" i="41"/>
  <c r="D5" i="41"/>
  <c r="B6" i="41"/>
  <c r="B10" i="41"/>
  <c r="B14" i="41"/>
  <c r="B18" i="41"/>
  <c r="B4" i="41"/>
  <c r="J17" i="41"/>
  <c r="J4" i="41"/>
  <c r="J11" i="41"/>
  <c r="I11" i="41"/>
  <c r="I24" i="41"/>
  <c r="H15" i="41"/>
  <c r="H24" i="41"/>
  <c r="F7" i="41"/>
  <c r="D15" i="41"/>
  <c r="D7" i="41"/>
  <c r="B12" i="41"/>
  <c r="B20" i="41"/>
  <c r="J18" i="41"/>
  <c r="I6" i="41"/>
  <c r="I10" i="41"/>
  <c r="I14" i="41"/>
  <c r="I18" i="41"/>
  <c r="I23" i="41"/>
  <c r="H6" i="41"/>
  <c r="H10" i="41"/>
  <c r="H14" i="41"/>
  <c r="H18" i="41"/>
  <c r="H23" i="41"/>
  <c r="F9" i="41"/>
  <c r="F17" i="41"/>
  <c r="F21" i="41"/>
  <c r="D23" i="41"/>
  <c r="D20" i="41"/>
  <c r="D16" i="41"/>
  <c r="D12" i="41"/>
  <c r="D8" i="41"/>
  <c r="D4" i="41"/>
  <c r="B7" i="41"/>
  <c r="B11" i="41"/>
  <c r="B15" i="41"/>
  <c r="B19" i="41"/>
  <c r="J13" i="41"/>
  <c r="J20" i="41"/>
  <c r="J8" i="41"/>
  <c r="I7" i="41"/>
  <c r="I19" i="41"/>
  <c r="H11" i="41"/>
  <c r="F11" i="41"/>
  <c r="D19" i="41"/>
  <c r="F4" i="41"/>
  <c r="J21" i="41"/>
  <c r="J5" i="41"/>
  <c r="I8" i="41"/>
  <c r="I12" i="41"/>
  <c r="I16" i="41"/>
  <c r="I20" i="41"/>
  <c r="I4" i="41"/>
  <c r="H8" i="41"/>
  <c r="H12" i="41"/>
  <c r="H16" i="41"/>
  <c r="H20" i="41"/>
  <c r="H4" i="41"/>
  <c r="F13" i="41"/>
  <c r="F19" i="41"/>
  <c r="F5" i="41"/>
  <c r="B23" i="41"/>
  <c r="D18" i="41"/>
  <c r="D14" i="41"/>
  <c r="D10" i="41"/>
  <c r="D6" i="41"/>
  <c r="B5" i="41"/>
  <c r="B9" i="41"/>
  <c r="B13" i="41"/>
  <c r="B17" i="41"/>
  <c r="B21" i="41"/>
  <c r="J19" i="41"/>
  <c r="J7" i="41"/>
  <c r="J15" i="41"/>
  <c r="I15" i="41"/>
  <c r="H7" i="41"/>
  <c r="H19" i="41"/>
  <c r="F18" i="41"/>
  <c r="B24" i="41"/>
  <c r="D11" i="41"/>
  <c r="B8" i="41"/>
  <c r="B16" i="41"/>
  <c r="J9" i="41"/>
  <c r="L7" i="42" l="1"/>
  <c r="L10" i="42"/>
  <c r="L11" i="42"/>
  <c r="L13" i="42"/>
  <c r="L14" i="42"/>
  <c r="L18" i="42"/>
  <c r="L19" i="42"/>
  <c r="L21" i="42"/>
  <c r="L22" i="42"/>
  <c r="L23" i="42"/>
  <c r="L26" i="42"/>
  <c r="L34" i="42"/>
  <c r="L35" i="42"/>
  <c r="L37" i="42"/>
  <c r="L38" i="42"/>
  <c r="L40" i="42"/>
  <c r="L42" i="42"/>
  <c r="L43" i="42"/>
  <c r="L48" i="42"/>
  <c r="L49" i="42"/>
  <c r="L51" i="42"/>
  <c r="L57" i="42"/>
  <c r="L58" i="42"/>
  <c r="M58" i="42" s="1"/>
  <c r="L59" i="42"/>
  <c r="L60" i="42"/>
  <c r="L61" i="42"/>
  <c r="M61" i="42" s="1"/>
  <c r="L56" i="42" l="1"/>
  <c r="M56" i="42" s="1"/>
  <c r="L64" i="42"/>
  <c r="M64" i="42" s="1"/>
  <c r="L62" i="42"/>
  <c r="M62" i="42" s="1"/>
  <c r="L63" i="42"/>
  <c r="M63" i="42" s="1"/>
  <c r="L54" i="42"/>
  <c r="M54" i="42" s="1"/>
  <c r="L53" i="42"/>
  <c r="M53" i="42" s="1"/>
  <c r="L52" i="42"/>
  <c r="M52" i="42" s="1"/>
  <c r="L50" i="42"/>
  <c r="M50" i="42" s="1"/>
  <c r="L47" i="42"/>
  <c r="M47" i="42" s="1"/>
  <c r="L45" i="42"/>
  <c r="M45" i="42" s="1"/>
  <c r="L44" i="42"/>
  <c r="M44" i="42" s="1"/>
  <c r="L39" i="42"/>
  <c r="M39" i="42" s="1"/>
  <c r="L41" i="42"/>
  <c r="M41" i="42" s="1"/>
  <c r="L36" i="42"/>
  <c r="M36" i="42" s="1"/>
  <c r="L33" i="42"/>
  <c r="M33" i="42" s="1"/>
  <c r="L20" i="42"/>
  <c r="M20" i="42" s="1"/>
  <c r="L29" i="42"/>
  <c r="M29" i="42" s="1"/>
  <c r="L30" i="42"/>
  <c r="M30" i="42" s="1"/>
  <c r="L28" i="42"/>
  <c r="M28" i="42" s="1"/>
  <c r="L27" i="42"/>
  <c r="M27" i="42" s="1"/>
  <c r="L24" i="42"/>
  <c r="M24" i="42" s="1"/>
  <c r="L25" i="42"/>
  <c r="M25" i="42" s="1"/>
  <c r="L17" i="42"/>
  <c r="L15" i="42"/>
  <c r="M15" i="42" s="1"/>
  <c r="L12" i="42"/>
  <c r="M12" i="42" s="1"/>
  <c r="L9" i="42"/>
  <c r="M9" i="42" s="1"/>
  <c r="L8" i="42"/>
  <c r="M8" i="42" s="1"/>
  <c r="L6" i="42"/>
  <c r="L5" i="42"/>
  <c r="M5" i="42" s="1"/>
  <c r="O23" i="41"/>
  <c r="P23" i="41" s="1"/>
  <c r="O24" i="41"/>
  <c r="P24" i="41" s="1"/>
  <c r="H19" i="42" l="1"/>
  <c r="I19" i="42" s="1"/>
  <c r="H23" i="42"/>
  <c r="I23" i="42" s="1"/>
  <c r="H25" i="42"/>
  <c r="I25" i="42" s="1"/>
  <c r="H51" i="42"/>
  <c r="I51" i="42" s="1"/>
  <c r="H56" i="42"/>
  <c r="I56" i="42" s="1"/>
  <c r="H63" i="42"/>
  <c r="I63" i="42" s="1"/>
  <c r="J5" i="42"/>
  <c r="K5" i="42" s="1"/>
  <c r="J7" i="42"/>
  <c r="K7" i="42" s="1"/>
  <c r="J14" i="42"/>
  <c r="K14" i="42" s="1"/>
  <c r="J19" i="42"/>
  <c r="K19" i="42" s="1"/>
  <c r="J22" i="42"/>
  <c r="J24" i="42"/>
  <c r="K24" i="42" s="1"/>
  <c r="J27" i="42"/>
  <c r="K27" i="42" s="1"/>
  <c r="J29" i="42"/>
  <c r="K29" i="42" s="1"/>
  <c r="J33" i="42"/>
  <c r="K33" i="42" s="1"/>
  <c r="H35" i="42"/>
  <c r="H41" i="42"/>
  <c r="I41" i="42" s="1"/>
  <c r="H49" i="42"/>
  <c r="I49" i="42" s="1"/>
  <c r="H26" i="42"/>
  <c r="I26" i="42" s="1"/>
  <c r="H28" i="42"/>
  <c r="I28" i="42" s="1"/>
  <c r="H30" i="42"/>
  <c r="I30" i="42" s="1"/>
  <c r="H36" i="42"/>
  <c r="I36" i="42" s="1"/>
  <c r="H38" i="42"/>
  <c r="I38" i="42" s="1"/>
  <c r="H42" i="42"/>
  <c r="I42" i="42" s="1"/>
  <c r="H44" i="42"/>
  <c r="H47" i="42"/>
  <c r="I47" i="42" s="1"/>
  <c r="H58" i="42"/>
  <c r="I58" i="42" s="1"/>
  <c r="H60" i="42"/>
  <c r="I60" i="42" s="1"/>
  <c r="H22" i="42"/>
  <c r="H24" i="42"/>
  <c r="I24" i="42" s="1"/>
  <c r="H27" i="42"/>
  <c r="I27" i="42" s="1"/>
  <c r="H29" i="42"/>
  <c r="I29" i="42" s="1"/>
  <c r="H33" i="42"/>
  <c r="I33" i="42" s="1"/>
  <c r="H34" i="42"/>
  <c r="I34" i="42" s="1"/>
  <c r="H40" i="42"/>
  <c r="I40" i="42" s="1"/>
  <c r="H48" i="42"/>
  <c r="I48" i="42" s="1"/>
  <c r="H53" i="42"/>
  <c r="I53" i="42" s="1"/>
  <c r="H59" i="42"/>
  <c r="I59" i="42" s="1"/>
  <c r="H61" i="42"/>
  <c r="I61" i="42" s="1"/>
  <c r="J9" i="42"/>
  <c r="K9" i="42" s="1"/>
  <c r="J10" i="42"/>
  <c r="J12" i="42"/>
  <c r="K12" i="42" s="1"/>
  <c r="J20" i="42"/>
  <c r="K20" i="42" s="1"/>
  <c r="J23" i="42"/>
  <c r="K23" i="42" s="1"/>
  <c r="J25" i="42"/>
  <c r="K25" i="42" s="1"/>
  <c r="H45" i="42"/>
  <c r="I45" i="42" s="1"/>
  <c r="H52" i="42"/>
  <c r="I52" i="42" s="1"/>
  <c r="H57" i="42"/>
  <c r="I57" i="42" s="1"/>
  <c r="H62" i="42"/>
  <c r="I62" i="42" s="1"/>
  <c r="J6" i="42"/>
  <c r="K6" i="42" s="1"/>
  <c r="J8" i="42"/>
  <c r="K8" i="42" s="1"/>
  <c r="J11" i="42"/>
  <c r="K11" i="42" s="1"/>
  <c r="J13" i="42"/>
  <c r="J15" i="42"/>
  <c r="K15" i="42" s="1"/>
  <c r="J17" i="42"/>
  <c r="K17" i="42" s="1"/>
  <c r="J18" i="42"/>
  <c r="K18" i="42" s="1"/>
  <c r="J21" i="42"/>
  <c r="K21" i="42" s="1"/>
  <c r="J26" i="42"/>
  <c r="K26" i="42" s="1"/>
  <c r="J28" i="42"/>
  <c r="K28" i="42" s="1"/>
  <c r="J30" i="42"/>
  <c r="K30" i="42" s="1"/>
  <c r="H37" i="42"/>
  <c r="I37" i="42" s="1"/>
  <c r="H39" i="42"/>
  <c r="I39" i="42" s="1"/>
  <c r="H43" i="42"/>
  <c r="H50" i="42"/>
  <c r="I50" i="42" s="1"/>
  <c r="H54" i="42"/>
  <c r="I54" i="42" s="1"/>
  <c r="H64" i="42"/>
  <c r="I64" i="42" s="1"/>
  <c r="J64" i="42"/>
  <c r="K64" i="42" s="1"/>
  <c r="J35" i="42"/>
  <c r="J36" i="42"/>
  <c r="K36" i="42" s="1"/>
  <c r="J39" i="42"/>
  <c r="K39" i="42" s="1"/>
  <c r="J41" i="42"/>
  <c r="K41" i="42" s="1"/>
  <c r="J42" i="42"/>
  <c r="K42" i="42" s="1"/>
  <c r="J44" i="42"/>
  <c r="J47" i="42"/>
  <c r="K47" i="42" s="1"/>
  <c r="J48" i="42"/>
  <c r="K48" i="42" s="1"/>
  <c r="J51" i="42"/>
  <c r="K51" i="42" s="1"/>
  <c r="J53" i="42"/>
  <c r="K53" i="42" s="1"/>
  <c r="J54" i="42"/>
  <c r="K54" i="42" s="1"/>
  <c r="J57" i="42"/>
  <c r="K57" i="42" s="1"/>
  <c r="J62" i="42"/>
  <c r="K62" i="42" s="1"/>
  <c r="J63" i="42"/>
  <c r="K63" i="42" s="1"/>
  <c r="H5" i="42"/>
  <c r="I5" i="42" s="1"/>
  <c r="H6" i="42"/>
  <c r="I6" i="42" s="1"/>
  <c r="H7" i="42"/>
  <c r="I7" i="42" s="1"/>
  <c r="H8" i="42"/>
  <c r="I8" i="42" s="1"/>
  <c r="H9" i="42"/>
  <c r="I9" i="42" s="1"/>
  <c r="H10" i="42"/>
  <c r="H11" i="42"/>
  <c r="I11" i="42" s="1"/>
  <c r="H12" i="42"/>
  <c r="I12" i="42" s="1"/>
  <c r="H13" i="42"/>
  <c r="H14" i="42"/>
  <c r="I14" i="42" s="1"/>
  <c r="H15" i="42"/>
  <c r="I15" i="42" s="1"/>
  <c r="H17" i="42"/>
  <c r="I17" i="42" s="1"/>
  <c r="H18" i="42"/>
  <c r="I18" i="42" s="1"/>
  <c r="H20" i="42"/>
  <c r="I20" i="42" s="1"/>
  <c r="H21" i="42"/>
  <c r="I21" i="42" s="1"/>
  <c r="J34" i="42"/>
  <c r="K34" i="42" s="1"/>
  <c r="J37" i="42"/>
  <c r="K37" i="42" s="1"/>
  <c r="J38" i="42"/>
  <c r="K38" i="42" s="1"/>
  <c r="J40" i="42"/>
  <c r="K40" i="42" s="1"/>
  <c r="J43" i="42"/>
  <c r="J45" i="42"/>
  <c r="K45" i="42" s="1"/>
  <c r="J49" i="42"/>
  <c r="K49" i="42" s="1"/>
  <c r="J50" i="42"/>
  <c r="K50" i="42" s="1"/>
  <c r="J52" i="42"/>
  <c r="K52" i="42" s="1"/>
  <c r="J56" i="42"/>
  <c r="K56" i="42" s="1"/>
  <c r="J58" i="42"/>
  <c r="K58" i="42" s="1"/>
  <c r="J59" i="42"/>
  <c r="K59" i="42" s="1"/>
  <c r="J60" i="42"/>
  <c r="K60" i="42" s="1"/>
  <c r="J61" i="42"/>
  <c r="K61" i="42" s="1"/>
  <c r="O13" i="41"/>
  <c r="P13" i="41" s="1"/>
  <c r="O9" i="41"/>
  <c r="P9" i="41" s="1"/>
  <c r="K5" i="41"/>
  <c r="L5" i="41" s="1"/>
  <c r="K4" i="41"/>
  <c r="L4" i="41" s="1"/>
  <c r="O20" i="41"/>
  <c r="P20" i="41" s="1"/>
  <c r="O17" i="41"/>
  <c r="P17" i="41" s="1"/>
  <c r="O7" i="41"/>
  <c r="P7" i="41" s="1"/>
  <c r="O5" i="41"/>
  <c r="P5" i="41" s="1"/>
  <c r="M5" i="41"/>
  <c r="N5" i="41" s="1"/>
  <c r="M4" i="41"/>
  <c r="N4" i="41" s="1"/>
  <c r="M6" i="41"/>
  <c r="N6" i="41" s="1"/>
  <c r="O21" i="41"/>
  <c r="P21" i="41" s="1"/>
  <c r="O4" i="41"/>
  <c r="P4" i="41" s="1"/>
  <c r="O19" i="41"/>
  <c r="P19" i="41" s="1"/>
  <c r="O18" i="41"/>
  <c r="P18" i="41" s="1"/>
  <c r="O8" i="41"/>
  <c r="P8" i="41" s="1"/>
  <c r="K6" i="41"/>
  <c r="L6" i="41" s="1"/>
  <c r="M24" i="41"/>
  <c r="N24" i="41" s="1"/>
  <c r="K24" i="41"/>
  <c r="L24" i="41" s="1"/>
  <c r="M20" i="41"/>
  <c r="N20" i="41" s="1"/>
  <c r="M14" i="41"/>
  <c r="N14" i="41" s="1"/>
  <c r="K18" i="41"/>
  <c r="L18" i="41" s="1"/>
  <c r="M21" i="41"/>
  <c r="N21" i="41" s="1"/>
  <c r="K9" i="41"/>
  <c r="L9" i="41" s="1"/>
  <c r="M12" i="41"/>
  <c r="N12" i="41" s="1"/>
  <c r="K21" i="41"/>
  <c r="L21" i="41" s="1"/>
  <c r="M16" i="41"/>
  <c r="N16" i="41" s="1"/>
  <c r="M10" i="41"/>
  <c r="N10" i="41" s="1"/>
  <c r="K13" i="41"/>
  <c r="L13" i="41" s="1"/>
  <c r="K7" i="41"/>
  <c r="L7" i="41" s="1"/>
  <c r="M7" i="41"/>
  <c r="N7" i="41" s="1"/>
  <c r="K17" i="41"/>
  <c r="L17" i="41" s="1"/>
  <c r="M8" i="41"/>
  <c r="N8" i="41" s="1"/>
  <c r="M23" i="41"/>
  <c r="N23" i="41" s="1"/>
  <c r="K20" i="41"/>
  <c r="L20" i="41" s="1"/>
  <c r="K14" i="41"/>
  <c r="L14" i="41" s="1"/>
  <c r="M17" i="41"/>
  <c r="N17" i="41" s="1"/>
  <c r="M18" i="41"/>
  <c r="N18" i="41" s="1"/>
  <c r="K15" i="41"/>
  <c r="L15" i="41" s="1"/>
  <c r="K12" i="41"/>
  <c r="L12" i="41" s="1"/>
  <c r="M15" i="41"/>
  <c r="N15" i="41" s="1"/>
  <c r="M9" i="41"/>
  <c r="N9" i="41" s="1"/>
  <c r="K19" i="41"/>
  <c r="L19" i="41" s="1"/>
  <c r="K16" i="41"/>
  <c r="L16" i="41" s="1"/>
  <c r="K10" i="41"/>
  <c r="L10" i="41" s="1"/>
  <c r="M19" i="41"/>
  <c r="N19" i="41" s="1"/>
  <c r="M13" i="41"/>
  <c r="N13" i="41" s="1"/>
  <c r="K8" i="41"/>
  <c r="L8" i="41" s="1"/>
  <c r="K23" i="41"/>
  <c r="L23" i="41" s="1"/>
  <c r="O15" i="41"/>
  <c r="P15" i="41" s="1"/>
</calcChain>
</file>

<file path=xl/sharedStrings.xml><?xml version="1.0" encoding="utf-8"?>
<sst xmlns="http://schemas.openxmlformats.org/spreadsheetml/2006/main" count="737" uniqueCount="459">
  <si>
    <t>证券代码</t>
  </si>
  <si>
    <t>证券简称</t>
  </si>
  <si>
    <t>报告参数</t>
  </si>
  <si>
    <t>报表类型</t>
  </si>
  <si>
    <t>600887.SH</t>
  </si>
  <si>
    <t>合并报表</t>
  </si>
  <si>
    <t>600597.SH</t>
  </si>
  <si>
    <t>一、营业总收入</t>
  </si>
  <si>
    <t xml:space="preserve">                营业收入</t>
  </si>
  <si>
    <t xml:space="preserve">                利息收入</t>
  </si>
  <si>
    <t xml:space="preserve">                已赚保费</t>
  </si>
  <si>
    <t xml:space="preserve">                手续费及佣金收入</t>
  </si>
  <si>
    <t xml:space="preserve">                营业总收入差额(特殊报表科目)</t>
  </si>
  <si>
    <t xml:space="preserve">                营业总收入差额(合计平衡项目)</t>
  </si>
  <si>
    <t>二、营业总成本</t>
  </si>
  <si>
    <t xml:space="preserve">                营业成本</t>
  </si>
  <si>
    <t xml:space="preserve">                利息支出</t>
  </si>
  <si>
    <t xml:space="preserve">                手续费及佣金支出</t>
  </si>
  <si>
    <t xml:space="preserve">                退保金</t>
  </si>
  <si>
    <t xml:space="preserve">                赔付支出净额</t>
  </si>
  <si>
    <t xml:space="preserve">                提取保险合同准备金净额</t>
  </si>
  <si>
    <t xml:space="preserve">                保单红利支出</t>
  </si>
  <si>
    <t xml:space="preserve">                分保费用</t>
  </si>
  <si>
    <t xml:space="preserve">                营业税金及附加</t>
  </si>
  <si>
    <t xml:space="preserve">                销售费用</t>
  </si>
  <si>
    <t xml:space="preserve">                管理费用</t>
  </si>
  <si>
    <t xml:space="preserve">                财务费用</t>
  </si>
  <si>
    <t xml:space="preserve">                资产减值损失</t>
  </si>
  <si>
    <t xml:space="preserve">                营业总成本差额(特殊报表科目)</t>
  </si>
  <si>
    <t xml:space="preserve">                营业总成本差额(合计平衡项目)</t>
  </si>
  <si>
    <t>三、其他经营收益</t>
  </si>
  <si>
    <t xml:space="preserve">                公允价值变动净收益</t>
  </si>
  <si>
    <t xml:space="preserve">                投资净收益</t>
  </si>
  <si>
    <t xml:space="preserve">                其中：对联营企业和合营企业的投资收益</t>
  </si>
  <si>
    <t xml:space="preserve">                汇兑净收益</t>
  </si>
  <si>
    <t xml:space="preserve">                营业利润差额(特殊报表科目)</t>
  </si>
  <si>
    <t xml:space="preserve">                营业利润差额(合计平衡项目)</t>
  </si>
  <si>
    <t>四、营业利润</t>
  </si>
  <si>
    <t xml:space="preserve">                加：营业外收入</t>
  </si>
  <si>
    <t xml:space="preserve">                减：营业外支出</t>
  </si>
  <si>
    <t xml:space="preserve">                其中：非流动资产处置净损失</t>
  </si>
  <si>
    <t xml:space="preserve">                利润总额差额(特殊报表科目)</t>
  </si>
  <si>
    <t xml:space="preserve">                利润总额差额(合计平衡项目)</t>
  </si>
  <si>
    <t>五、利润总额</t>
  </si>
  <si>
    <t xml:space="preserve">                减：所得税</t>
  </si>
  <si>
    <t xml:space="preserve">                加：未确认的投资损失</t>
  </si>
  <si>
    <t xml:space="preserve">                净利润差额(特殊报表科目)</t>
  </si>
  <si>
    <t xml:space="preserve">                净利润差额(合计平衡项目)</t>
  </si>
  <si>
    <t>六、净利润</t>
  </si>
  <si>
    <t xml:space="preserve">                减：少数股东损益</t>
  </si>
  <si>
    <t xml:space="preserve">                归属于母公司所有者的净利润</t>
  </si>
  <si>
    <t>七、每股收益：</t>
  </si>
  <si>
    <t xml:space="preserve">                (一) 基本每股收益(元)</t>
  </si>
  <si>
    <t xml:space="preserve">                (二) 稀释每股收益(元)</t>
  </si>
  <si>
    <t>流动资产：</t>
  </si>
  <si>
    <t xml:space="preserve">                货币资金</t>
  </si>
  <si>
    <t xml:space="preserve">                结算备付金</t>
  </si>
  <si>
    <t xml:space="preserve">                拆出资金</t>
  </si>
  <si>
    <t xml:space="preserve">                交易性金融资产</t>
  </si>
  <si>
    <t xml:space="preserve">                应收票据</t>
  </si>
  <si>
    <t xml:space="preserve">                应收账款</t>
  </si>
  <si>
    <t xml:space="preserve">                预付款项</t>
  </si>
  <si>
    <t xml:space="preserve">                应收保费</t>
  </si>
  <si>
    <t xml:space="preserve">                应收分保账款</t>
  </si>
  <si>
    <t xml:space="preserve">                应收分保合同准备金</t>
  </si>
  <si>
    <t xml:space="preserve">                应收利息</t>
  </si>
  <si>
    <t xml:space="preserve">                其他应收款</t>
  </si>
  <si>
    <t xml:space="preserve">                应收股利</t>
  </si>
  <si>
    <t xml:space="preserve">                买入返售金融资产</t>
  </si>
  <si>
    <t xml:space="preserve">                存货</t>
  </si>
  <si>
    <t xml:space="preserve">                其中：消耗性生物资产</t>
  </si>
  <si>
    <t xml:space="preserve">                一年内到期的非流动资产</t>
  </si>
  <si>
    <t xml:space="preserve">                待摊费用</t>
  </si>
  <si>
    <t xml:space="preserve">                其他流动资产</t>
  </si>
  <si>
    <t xml:space="preserve">                流动资产差额(特殊报表科目)</t>
  </si>
  <si>
    <t xml:space="preserve">                流动资产差额(合计平衡项目)</t>
  </si>
  <si>
    <t xml:space="preserve">                流动资产合计</t>
  </si>
  <si>
    <t>非流动资产：</t>
  </si>
  <si>
    <t xml:space="preserve">                发放贷款及垫款</t>
  </si>
  <si>
    <t xml:space="preserve">                可供出售金融资产</t>
  </si>
  <si>
    <t xml:space="preserve">                持有至到期投资</t>
  </si>
  <si>
    <t xml:space="preserve">                长期应收款</t>
  </si>
  <si>
    <t xml:space="preserve">                长期股权投资</t>
  </si>
  <si>
    <t xml:space="preserve">                投资性房地产</t>
  </si>
  <si>
    <t xml:space="preserve">                固定资产</t>
  </si>
  <si>
    <t xml:space="preserve">                在建工程</t>
  </si>
  <si>
    <t xml:space="preserve">                工程物资</t>
  </si>
  <si>
    <t xml:space="preserve">                固定资产清理</t>
  </si>
  <si>
    <t xml:space="preserve">                生产性生物资产</t>
  </si>
  <si>
    <t xml:space="preserve">                油气资产</t>
  </si>
  <si>
    <t xml:space="preserve">                无形资产</t>
  </si>
  <si>
    <t xml:space="preserve">                开发支出</t>
  </si>
  <si>
    <t xml:space="preserve">                商誉</t>
  </si>
  <si>
    <t xml:space="preserve">                长期待摊费用</t>
  </si>
  <si>
    <t xml:space="preserve">                递延所得税资产</t>
  </si>
  <si>
    <t xml:space="preserve">                其他非流动资产</t>
  </si>
  <si>
    <t xml:space="preserve">                非流动资产差额(特殊报表科目)</t>
  </si>
  <si>
    <t xml:space="preserve">                非流动资产差额(合计平衡项目)</t>
  </si>
  <si>
    <t xml:space="preserve">                非流动资产合计</t>
  </si>
  <si>
    <t xml:space="preserve">                资产差额(特殊报表科目)</t>
  </si>
  <si>
    <t xml:space="preserve">                资产差额(合计平衡项目)</t>
  </si>
  <si>
    <t xml:space="preserve">                资产总计</t>
  </si>
  <si>
    <t>流动负债：</t>
  </si>
  <si>
    <t xml:space="preserve">                短期借款</t>
  </si>
  <si>
    <t xml:space="preserve">                向中央银行借款</t>
  </si>
  <si>
    <t xml:space="preserve">                吸收存款及同业存放</t>
  </si>
  <si>
    <t xml:space="preserve">                拆入资金</t>
  </si>
  <si>
    <t xml:space="preserve">                交易性金融负债</t>
  </si>
  <si>
    <t xml:space="preserve">                应付票据</t>
  </si>
  <si>
    <t xml:space="preserve">                应付账款</t>
  </si>
  <si>
    <t xml:space="preserve">                预收款项</t>
  </si>
  <si>
    <t xml:space="preserve">                卖出回购金融资产款</t>
  </si>
  <si>
    <t xml:space="preserve">                应付手续费及佣金</t>
  </si>
  <si>
    <t xml:space="preserve">                应付职工薪酬</t>
  </si>
  <si>
    <t xml:space="preserve">                应交税费</t>
  </si>
  <si>
    <t xml:space="preserve">                应付利息</t>
  </si>
  <si>
    <t xml:space="preserve">                其他应付款</t>
  </si>
  <si>
    <t xml:space="preserve">                应付分保账款</t>
  </si>
  <si>
    <t xml:space="preserve">                保险合同准备金</t>
  </si>
  <si>
    <t xml:space="preserve">                代理买卖证券款</t>
  </si>
  <si>
    <t xml:space="preserve">                代理承销证券款</t>
  </si>
  <si>
    <t xml:space="preserve">                一年内到期的非流动负债</t>
  </si>
  <si>
    <t xml:space="preserve">                应付股利</t>
  </si>
  <si>
    <t xml:space="preserve">                预提费用</t>
  </si>
  <si>
    <t xml:space="preserve">                递延收益-流动负债</t>
  </si>
  <si>
    <t xml:space="preserve">                应付短期债券</t>
  </si>
  <si>
    <t xml:space="preserve">                其他流动负债</t>
  </si>
  <si>
    <t xml:space="preserve">                流动负债差额(特殊报表科目)</t>
  </si>
  <si>
    <t xml:space="preserve">                流动负债差额(合计平衡项目)</t>
  </si>
  <si>
    <t xml:space="preserve">                流动负债合计</t>
  </si>
  <si>
    <t>非流动负债：</t>
  </si>
  <si>
    <t xml:space="preserve">                长期借款</t>
  </si>
  <si>
    <t xml:space="preserve">                应付债券</t>
  </si>
  <si>
    <t xml:space="preserve">                长期应付款</t>
  </si>
  <si>
    <t xml:space="preserve">                专项应付款</t>
  </si>
  <si>
    <t xml:space="preserve">                预计负债</t>
  </si>
  <si>
    <t xml:space="preserve">                递延所得税负债</t>
  </si>
  <si>
    <t xml:space="preserve">                递延收益-非流动负债</t>
  </si>
  <si>
    <t xml:space="preserve">                其他非流动负债</t>
  </si>
  <si>
    <t xml:space="preserve">                非流动负债差额(特殊报表科目)</t>
  </si>
  <si>
    <t xml:space="preserve">                非流动负债差额(合计平衡项目)</t>
  </si>
  <si>
    <t xml:space="preserve">                非流动负债合计</t>
  </si>
  <si>
    <t xml:space="preserve">                负债差额(特殊报表科目)</t>
  </si>
  <si>
    <t xml:space="preserve">                负债差额(合计平衡项目)</t>
  </si>
  <si>
    <t xml:space="preserve">                负债合计</t>
  </si>
  <si>
    <t>所有者权益(或股东权益)：</t>
  </si>
  <si>
    <t xml:space="preserve">                实收资本(或股本)</t>
  </si>
  <si>
    <t xml:space="preserve">                资本公积金</t>
  </si>
  <si>
    <t xml:space="preserve">                减：库存股</t>
  </si>
  <si>
    <t xml:space="preserve">                专项储备</t>
  </si>
  <si>
    <t xml:space="preserve">                盈余公积金</t>
  </si>
  <si>
    <t xml:space="preserve">                一般风险准备</t>
  </si>
  <si>
    <t xml:space="preserve">                未分配利润</t>
  </si>
  <si>
    <t xml:space="preserve">                外币报表折算差额</t>
  </si>
  <si>
    <t xml:space="preserve">                未确认的投资损失</t>
  </si>
  <si>
    <t xml:space="preserve">                少数股东权益</t>
  </si>
  <si>
    <t xml:space="preserve">                归属于母公司所有者权益合计</t>
  </si>
  <si>
    <t xml:space="preserve">                股东权益差额(特殊报表科目)</t>
  </si>
  <si>
    <t xml:space="preserve">                股东权益差额(合计平衡项目)</t>
  </si>
  <si>
    <t xml:space="preserve">                所有者权益合计</t>
  </si>
  <si>
    <t xml:space="preserve">                负债及股东权益差额(特殊报表科目)</t>
  </si>
  <si>
    <t xml:space="preserve">                负债及股东权益差额(合计平衡项目)</t>
  </si>
  <si>
    <t xml:space="preserve">                负债和所有者权益总计</t>
  </si>
  <si>
    <t>一、经营活动产生的现金流量：</t>
  </si>
  <si>
    <t xml:space="preserve">                销售商品、提供劳务收到的现金</t>
  </si>
  <si>
    <t xml:space="preserve">                收到的税费返还</t>
  </si>
  <si>
    <t xml:space="preserve">                收到其他与经营活动有关的现金</t>
  </si>
  <si>
    <t xml:space="preserve">                经营活动现金流入差额(特殊报表科目)</t>
  </si>
  <si>
    <t xml:space="preserve">                经营活动现金流入差额(合计平衡项目)</t>
  </si>
  <si>
    <t xml:space="preserve">                经营活动现金流入小计</t>
  </si>
  <si>
    <t xml:space="preserve">                购买商品、接受劳务支付的现金</t>
  </si>
  <si>
    <t xml:space="preserve">                支付给职工以及为职工支付的现金</t>
  </si>
  <si>
    <t xml:space="preserve">                支付的各项税费</t>
  </si>
  <si>
    <t xml:space="preserve">                支付其他与经营活动有关的现金</t>
  </si>
  <si>
    <t xml:space="preserve">                经营活动现金流出差额(特殊报表科目)</t>
  </si>
  <si>
    <t xml:space="preserve">                经营活动现金流出差额(合计平衡项目)</t>
  </si>
  <si>
    <t xml:space="preserve">                经营活动现金流出小计</t>
  </si>
  <si>
    <t xml:space="preserve">                经营活动产生的现金流量净额差额(合计平衡项目)</t>
  </si>
  <si>
    <t xml:space="preserve">                经营活动产生的现金流量净额</t>
  </si>
  <si>
    <t>二、投资活动产生的现金流量：</t>
  </si>
  <si>
    <t xml:space="preserve">                收回投资收到的现金</t>
  </si>
  <si>
    <t xml:space="preserve">                取得投资收益收到的现金</t>
  </si>
  <si>
    <t xml:space="preserve">                处置固定资产、无形资产和其他长期资产收回的现金净额</t>
  </si>
  <si>
    <t xml:space="preserve">                处置子公司及其他营业单位收到的现金净额</t>
  </si>
  <si>
    <t xml:space="preserve">                收到其他与投资活动有关的现金</t>
  </si>
  <si>
    <t xml:space="preserve">                投资活动现金流入差额(特殊报表科目)</t>
  </si>
  <si>
    <t xml:space="preserve">                投资活动现金流入差额(合计平衡项目)</t>
  </si>
  <si>
    <t xml:space="preserve">                投资活动现金流入小计</t>
  </si>
  <si>
    <t xml:space="preserve">                购建固定资产、无形资产和其他长期资产支付的现金</t>
  </si>
  <si>
    <t xml:space="preserve">                投资支付的现金</t>
  </si>
  <si>
    <t xml:space="preserve">                取得子公司及其他营业单位支付的现金净额</t>
  </si>
  <si>
    <t xml:space="preserve">                支付其他与投资活动有关的现金</t>
  </si>
  <si>
    <t xml:space="preserve">                投资活动现金流出差额(特殊报表科目)</t>
  </si>
  <si>
    <t xml:space="preserve">                投资活动现金流出差额(合计平衡项目)</t>
  </si>
  <si>
    <t xml:space="preserve">                投资活动现金流出小计</t>
  </si>
  <si>
    <t xml:space="preserve">                投资活动产生的现金流量净额差额(合计平衡项目)</t>
  </si>
  <si>
    <t xml:space="preserve">                投资活动产生的现金流量净额</t>
  </si>
  <si>
    <t>三、筹资活动产生的现金流量：</t>
  </si>
  <si>
    <t xml:space="preserve">                吸收投资收到的现金</t>
  </si>
  <si>
    <t xml:space="preserve">                其中：子公司吸收少数股东投资收到的现金</t>
  </si>
  <si>
    <t xml:space="preserve">                取得借款收到的现金</t>
  </si>
  <si>
    <t xml:space="preserve">                收到其他与筹资活动有关的现金</t>
  </si>
  <si>
    <t xml:space="preserve">                发行债券收到的现金</t>
  </si>
  <si>
    <t xml:space="preserve">                筹资活动现金流入差额(特殊报表科目)</t>
  </si>
  <si>
    <t xml:space="preserve">                筹资活动现金流入差额(合计平衡项目)</t>
  </si>
  <si>
    <t xml:space="preserve">                筹资活动现金流入小计</t>
  </si>
  <si>
    <t xml:space="preserve">                偿还债务支付的现金</t>
  </si>
  <si>
    <t xml:space="preserve">                分配股利、利润或偿付利息支付的现金</t>
  </si>
  <si>
    <t xml:space="preserve">                其中：子公司支付给少数股东的股利、利润</t>
  </si>
  <si>
    <t xml:space="preserve">                支付其他与筹资活动有关的现金</t>
  </si>
  <si>
    <t xml:space="preserve">                筹资活动现金流出差额(特殊报表科目)</t>
  </si>
  <si>
    <t xml:space="preserve">                筹资活动现金流出差额(合计平衡项目)</t>
  </si>
  <si>
    <t xml:space="preserve">                筹资活动现金流出小计</t>
  </si>
  <si>
    <t xml:space="preserve">                筹资活动产生的现金流量净额差额(合计平衡项目)</t>
  </si>
  <si>
    <t xml:space="preserve">                筹资活动产生的现金流量净额</t>
  </si>
  <si>
    <t>四、现金及现金等价物净增加：</t>
  </si>
  <si>
    <t xml:space="preserve">                汇率变动对现金的影响</t>
  </si>
  <si>
    <t xml:space="preserve">                直接法-现金及现金等价物净增加额差额(特殊报表科目)</t>
  </si>
  <si>
    <t xml:space="preserve">                直接法-现金及现金等价物净增加额差额(合计平衡科目)</t>
  </si>
  <si>
    <t xml:space="preserve">                现金及现金等价物净增加额</t>
  </si>
  <si>
    <t xml:space="preserve">                期初现金及现金等价物余额</t>
  </si>
  <si>
    <t xml:space="preserve">                期末现金及现金等价物余额</t>
  </si>
  <si>
    <t>补充资料：</t>
  </si>
  <si>
    <t xml:space="preserve">                净利润</t>
  </si>
  <si>
    <t xml:space="preserve">                加：资产减值准备</t>
  </si>
  <si>
    <t xml:space="preserve">                固定资产折旧、油气资产折耗、生产性生物资产折旧</t>
  </si>
  <si>
    <t xml:space="preserve">                无形资产摊销</t>
  </si>
  <si>
    <t xml:space="preserve">                长期待摊费用摊销</t>
  </si>
  <si>
    <t xml:space="preserve">                待摊费用减少</t>
  </si>
  <si>
    <t xml:space="preserve">                预提费用增加</t>
  </si>
  <si>
    <t xml:space="preserve">                处置固定资产、无形资产和其他长期资产的损失</t>
  </si>
  <si>
    <t xml:space="preserve">                固定资产报废损失</t>
  </si>
  <si>
    <t xml:space="preserve">                公允价值变动损失</t>
  </si>
  <si>
    <t xml:space="preserve">                投资损失</t>
  </si>
  <si>
    <t xml:space="preserve">                递延所得税资产减少</t>
  </si>
  <si>
    <t xml:space="preserve">                递延所得税负债增加</t>
  </si>
  <si>
    <t xml:space="preserve">                存货的减少</t>
  </si>
  <si>
    <t xml:space="preserve">                经营性应收项目的减少</t>
  </si>
  <si>
    <t xml:space="preserve">                经营性应付项目的增加</t>
  </si>
  <si>
    <t xml:space="preserve">                其他</t>
  </si>
  <si>
    <t xml:space="preserve">                间接法-经营活动现金流量净额差额(特殊报表科目)</t>
  </si>
  <si>
    <t xml:space="preserve">                间接法-经营活动现金流量净额差额(合计平衡项目)</t>
  </si>
  <si>
    <t xml:space="preserve">                债务转为资本</t>
  </si>
  <si>
    <t xml:space="preserve">                一年内到期的可转换公司债券</t>
  </si>
  <si>
    <t xml:space="preserve">                融资租入固定资产</t>
  </si>
  <si>
    <t xml:space="preserve">                现金的期末余额</t>
  </si>
  <si>
    <t xml:space="preserve">                减：现金的期初余额</t>
  </si>
  <si>
    <t xml:space="preserve">                加：现金等价物的期末余额</t>
  </si>
  <si>
    <t xml:space="preserve">                减：现金等价物的期初余额</t>
  </si>
  <si>
    <t xml:space="preserve">                间接法-现金净增加额差额(特殊报表科目)</t>
  </si>
  <si>
    <t xml:space="preserve">                间接法-现金净增加额差额(合计平衡项目)</t>
  </si>
  <si>
    <t xml:space="preserve">                间接法-现金及现金等价物净增加额</t>
  </si>
  <si>
    <t>2319.HK</t>
  </si>
  <si>
    <t>营业额</t>
  </si>
  <si>
    <t>营业收入特殊科目</t>
  </si>
  <si>
    <t>营业收入</t>
  </si>
  <si>
    <t>销售成本</t>
  </si>
  <si>
    <t>毛利</t>
  </si>
  <si>
    <t>其他收入</t>
  </si>
  <si>
    <t>销售费用</t>
  </si>
  <si>
    <t>管理费用</t>
  </si>
  <si>
    <t>财务费用</t>
  </si>
  <si>
    <t>其他费用</t>
  </si>
  <si>
    <t>投资物业公允价值变动</t>
  </si>
  <si>
    <t>经营溢利特殊科目</t>
  </si>
  <si>
    <t>经营溢利</t>
  </si>
  <si>
    <t>应占联营公司业绩</t>
  </si>
  <si>
    <t>应占共同控制实体业绩</t>
  </si>
  <si>
    <t>税前利润特殊科目</t>
  </si>
  <si>
    <t>税前利润</t>
  </si>
  <si>
    <t>所得税费用</t>
  </si>
  <si>
    <t>税后利润特殊科目</t>
  </si>
  <si>
    <t>税后利润</t>
  </si>
  <si>
    <t>归属于母公司股东利润</t>
  </si>
  <si>
    <t>归属于非控制股股东利润</t>
  </si>
  <si>
    <t>基本每股收益（元）</t>
  </si>
  <si>
    <t>稀释每股收益（元）</t>
  </si>
  <si>
    <t>其他综合收益</t>
  </si>
  <si>
    <t>综合收益总额</t>
  </si>
  <si>
    <t>归属于母公司股东综合收益总额</t>
  </si>
  <si>
    <t>归属于非控制股股东综合收益总额</t>
  </si>
  <si>
    <t xml:space="preserve">   流动资产</t>
  </si>
  <si>
    <t xml:space="preserve">      应收账款</t>
  </si>
  <si>
    <t xml:space="preserve">      预付款项、按金及其他应收款项</t>
  </si>
  <si>
    <t xml:space="preserve">      交易性金融资产</t>
  </si>
  <si>
    <t xml:space="preserve">      存货</t>
  </si>
  <si>
    <t xml:space="preserve">      应收附属公司款项</t>
  </si>
  <si>
    <t xml:space="preserve">      应收联营公司款项</t>
  </si>
  <si>
    <t xml:space="preserve">      应收共同控制体款项</t>
  </si>
  <si>
    <t xml:space="preserve">      受限制存款及现金</t>
  </si>
  <si>
    <t xml:space="preserve">      现金及现金等物价</t>
  </si>
  <si>
    <t xml:space="preserve">      可回收税项</t>
  </si>
  <si>
    <t xml:space="preserve">      流动资产特殊科目</t>
  </si>
  <si>
    <t xml:space="preserve">   流动资产合计</t>
  </si>
  <si>
    <t xml:space="preserve">   非流动资产</t>
  </si>
  <si>
    <t xml:space="preserve">      不动产、厂房和设备</t>
  </si>
  <si>
    <t xml:space="preserve">      投资物业</t>
  </si>
  <si>
    <t xml:space="preserve">      可供出售金融资产</t>
  </si>
  <si>
    <t xml:space="preserve">      预付租赁款</t>
  </si>
  <si>
    <t xml:space="preserve">      附属公司权益</t>
  </si>
  <si>
    <t xml:space="preserve">      联营公司权益</t>
  </si>
  <si>
    <t xml:space="preserve">      共同控制体权益</t>
  </si>
  <si>
    <t xml:space="preserve">      商誉</t>
  </si>
  <si>
    <t xml:space="preserve">      无形资产</t>
  </si>
  <si>
    <t xml:space="preserve">      递延所得税资产</t>
  </si>
  <si>
    <t xml:space="preserve">      非流动资产特殊科目</t>
  </si>
  <si>
    <t xml:space="preserve">   非流动资产合计</t>
  </si>
  <si>
    <t>资产合计</t>
  </si>
  <si>
    <t>负债</t>
  </si>
  <si>
    <t xml:space="preserve">   流动负债</t>
  </si>
  <si>
    <t xml:space="preserve">      应付账款</t>
  </si>
  <si>
    <t xml:space="preserve">      应计费用及其他应付款</t>
  </si>
  <si>
    <t xml:space="preserve">      短期借款</t>
  </si>
  <si>
    <t xml:space="preserve">      应交税费</t>
  </si>
  <si>
    <t xml:space="preserve">      流动负债特殊科目</t>
  </si>
  <si>
    <t xml:space="preserve">   流动负债合计</t>
  </si>
  <si>
    <t xml:space="preserve">   非流动负债</t>
  </si>
  <si>
    <t xml:space="preserve">      长期借款</t>
  </si>
  <si>
    <t xml:space="preserve">      递延所得税负债</t>
  </si>
  <si>
    <t xml:space="preserve">      非流动负债特殊科目</t>
  </si>
  <si>
    <t xml:space="preserve">   非流动负债合计</t>
  </si>
  <si>
    <t>负债合计</t>
  </si>
  <si>
    <t>权益</t>
  </si>
  <si>
    <t xml:space="preserve">   权益特殊科目</t>
  </si>
  <si>
    <t xml:space="preserve">   归属于母公司股东权益</t>
  </si>
  <si>
    <t xml:space="preserve">   归属于非控制股股东权益</t>
  </si>
  <si>
    <t>权益合计</t>
  </si>
  <si>
    <t>股本</t>
  </si>
  <si>
    <t>储备</t>
  </si>
  <si>
    <t>经营活动现金流量净额</t>
  </si>
  <si>
    <t>投资活动现金流量净额</t>
  </si>
  <si>
    <t>取得固定资产、无形资产和其他长期资产所支付的现金</t>
  </si>
  <si>
    <t>融资活动现金流量净额</t>
  </si>
  <si>
    <t>现金及现金等价物净增加额</t>
  </si>
  <si>
    <t>现金及现金等价物期初余额</t>
  </si>
  <si>
    <t>汇率变动对现金及现金等价物的影响</t>
  </si>
  <si>
    <t>现金及现金等价物期末余额</t>
  </si>
  <si>
    <t>2319.HK</t>
    <phoneticPr fontId="2" type="noConversion"/>
  </si>
  <si>
    <t>资产负债表(单位:百万元)</t>
    <phoneticPr fontId="2" type="noConversion"/>
  </si>
  <si>
    <t>资产负债表(单位:百万元)</t>
    <phoneticPr fontId="2" type="noConversion"/>
  </si>
  <si>
    <t>综合损益表(单位:百万元)</t>
    <phoneticPr fontId="2" type="noConversion"/>
  </si>
  <si>
    <t>利润表(单位:百万元)</t>
    <phoneticPr fontId="2" type="noConversion"/>
  </si>
  <si>
    <t>2319.HK</t>
    <phoneticPr fontId="2" type="noConversion"/>
  </si>
  <si>
    <t>现金流量表(单位:百万元)</t>
    <phoneticPr fontId="2" type="noConversion"/>
  </si>
  <si>
    <t>项目（单位：百万元）</t>
    <phoneticPr fontId="4" type="noConversion"/>
  </si>
  <si>
    <t>一、营业收入</t>
    <phoneticPr fontId="4" type="noConversion"/>
  </si>
  <si>
    <t xml:space="preserve">  减：营业成本</t>
    <phoneticPr fontId="4" type="noConversion"/>
  </si>
  <si>
    <t xml:space="preserve">      营业税金及附加</t>
    <phoneticPr fontId="4" type="noConversion"/>
  </si>
  <si>
    <t xml:space="preserve">      销售费用</t>
    <phoneticPr fontId="4" type="noConversion"/>
  </si>
  <si>
    <t xml:space="preserve">      管理费用</t>
    <phoneticPr fontId="4" type="noConversion"/>
  </si>
  <si>
    <t xml:space="preserve">      财务费用</t>
    <phoneticPr fontId="4" type="noConversion"/>
  </si>
  <si>
    <t xml:space="preserve">      资产减值损失</t>
    <phoneticPr fontId="4" type="noConversion"/>
  </si>
  <si>
    <t xml:space="preserve">  加：公允价值变动收益</t>
    <phoneticPr fontId="4" type="noConversion"/>
  </si>
  <si>
    <t xml:space="preserve">      投资收益</t>
    <phoneticPr fontId="4" type="noConversion"/>
  </si>
  <si>
    <t>二、营业利润</t>
    <phoneticPr fontId="4" type="noConversion"/>
  </si>
  <si>
    <t xml:space="preserve">  加：营业外收入</t>
    <phoneticPr fontId="4" type="noConversion"/>
  </si>
  <si>
    <t xml:space="preserve">  减：营业外支出</t>
    <phoneticPr fontId="4" type="noConversion"/>
  </si>
  <si>
    <t xml:space="preserve">    其中：非流动资产处置净损失</t>
    <phoneticPr fontId="4" type="noConversion"/>
  </si>
  <si>
    <t>三、利润总额</t>
    <phoneticPr fontId="4" type="noConversion"/>
  </si>
  <si>
    <t xml:space="preserve">  减：所得税费用</t>
    <phoneticPr fontId="4" type="noConversion"/>
  </si>
  <si>
    <t>四、净利润</t>
    <phoneticPr fontId="4" type="noConversion"/>
  </si>
  <si>
    <t>归属于母公司所有者的利润</t>
    <phoneticPr fontId="4" type="noConversion"/>
  </si>
  <si>
    <t>少数股东损益</t>
  </si>
  <si>
    <t>五、每股收益</t>
    <phoneticPr fontId="4" type="noConversion"/>
  </si>
  <si>
    <t>（一）基本每股收益（元）</t>
    <phoneticPr fontId="4" type="noConversion"/>
  </si>
  <si>
    <t>（二）稀释每股收益（元）</t>
    <phoneticPr fontId="4" type="noConversion"/>
  </si>
  <si>
    <t>600887.SH</t>
    <phoneticPr fontId="2" type="noConversion"/>
  </si>
  <si>
    <t>600597.SH</t>
    <phoneticPr fontId="2" type="noConversion"/>
  </si>
  <si>
    <t>02319.HK</t>
    <phoneticPr fontId="2" type="noConversion"/>
  </si>
  <si>
    <t>伊利股份</t>
    <phoneticPr fontId="2" type="noConversion"/>
  </si>
  <si>
    <t>光明乳业</t>
    <phoneticPr fontId="2" type="noConversion"/>
  </si>
  <si>
    <t>蒙牛乳业</t>
    <phoneticPr fontId="2" type="noConversion"/>
  </si>
  <si>
    <t>变动额</t>
  </si>
  <si>
    <t>变动比率</t>
  </si>
  <si>
    <t>-</t>
    <phoneticPr fontId="2" type="noConversion"/>
  </si>
  <si>
    <t>-</t>
    <phoneticPr fontId="2" type="noConversion"/>
  </si>
  <si>
    <t>货币资金</t>
    <phoneticPr fontId="2" type="noConversion"/>
  </si>
  <si>
    <t>预付款项</t>
  </si>
  <si>
    <t>应收利息</t>
  </si>
  <si>
    <t>其他应收款</t>
  </si>
  <si>
    <t>存货</t>
  </si>
  <si>
    <t>一年内到期的非流动资产</t>
  </si>
  <si>
    <t>其他流动资产</t>
  </si>
  <si>
    <t>流动资产合计</t>
  </si>
  <si>
    <t>可供出售金融资产</t>
  </si>
  <si>
    <t>长期应收款</t>
  </si>
  <si>
    <t>交易性金融资产</t>
  </si>
  <si>
    <t>应收票据</t>
  </si>
  <si>
    <t>应收账款</t>
  </si>
  <si>
    <t>长期股权投资</t>
  </si>
  <si>
    <t>固定资产</t>
  </si>
  <si>
    <t>在建工程</t>
  </si>
  <si>
    <t>工程物资</t>
  </si>
  <si>
    <t>生产性生物资产</t>
  </si>
  <si>
    <t>无形资产</t>
  </si>
  <si>
    <t>商誉</t>
  </si>
  <si>
    <t>长期待摊费用</t>
  </si>
  <si>
    <t>递延所得税资产</t>
  </si>
  <si>
    <t>其他非流动资产</t>
  </si>
  <si>
    <t>非流动资产合计</t>
  </si>
  <si>
    <t>资产总计</t>
  </si>
  <si>
    <t>短期借款</t>
  </si>
  <si>
    <t>交易性金融负债</t>
  </si>
  <si>
    <t>应付票据</t>
  </si>
  <si>
    <t>应付账款</t>
  </si>
  <si>
    <t>预收款项</t>
  </si>
  <si>
    <t>应付职工薪酬</t>
  </si>
  <si>
    <t>应交税费</t>
  </si>
  <si>
    <t>应付利息</t>
  </si>
  <si>
    <t>其他应付款</t>
  </si>
  <si>
    <t>一年内到期的非流动负债</t>
  </si>
  <si>
    <t>应付股利</t>
  </si>
  <si>
    <t>其他流动负债</t>
  </si>
  <si>
    <t>流动负债合计</t>
  </si>
  <si>
    <t>长期借款</t>
  </si>
  <si>
    <t>长期应付款</t>
  </si>
  <si>
    <t>专项应付款</t>
  </si>
  <si>
    <t>递延所得税负债</t>
  </si>
  <si>
    <t>递延收益-非流动负债</t>
  </si>
  <si>
    <t>其他非流动负债</t>
  </si>
  <si>
    <t>非流动负债合计</t>
  </si>
  <si>
    <t>实收资本(或股本)</t>
  </si>
  <si>
    <t>资本公积金</t>
  </si>
  <si>
    <t>减：库存股</t>
  </si>
  <si>
    <t>盈余公积金</t>
  </si>
  <si>
    <t>未分配利润</t>
  </si>
  <si>
    <t>少数股东权益</t>
  </si>
  <si>
    <t>归属于母公司所有者权益合计</t>
  </si>
  <si>
    <t>所有者权益合计</t>
  </si>
  <si>
    <t>负债和所有者权益总计</t>
  </si>
  <si>
    <t>02319.HK</t>
    <phoneticPr fontId="2" type="noConversion"/>
  </si>
  <si>
    <t>蒙牛乳业</t>
    <phoneticPr fontId="2" type="noConversion"/>
  </si>
  <si>
    <t>02319.HK</t>
  </si>
  <si>
    <t>伊利股份</t>
  </si>
  <si>
    <t>光明乳业</t>
  </si>
  <si>
    <t>蒙牛乳业</t>
  </si>
  <si>
    <t>项目（单位：百万元）</t>
  </si>
  <si>
    <t>一、营业收入</t>
  </si>
  <si>
    <t xml:space="preserve">  减：营业成本</t>
  </si>
  <si>
    <t xml:space="preserve">      营业税金及附加</t>
  </si>
  <si>
    <t xml:space="preserve">      销售费用</t>
  </si>
  <si>
    <t xml:space="preserve">      管理费用</t>
  </si>
  <si>
    <t xml:space="preserve">      财务费用</t>
  </si>
  <si>
    <t xml:space="preserve">      资产减值损失</t>
  </si>
  <si>
    <t xml:space="preserve">  加：公允价值变动收益</t>
  </si>
  <si>
    <t>-</t>
  </si>
  <si>
    <t xml:space="preserve">      投资收益</t>
  </si>
  <si>
    <t>二、营业利润</t>
  </si>
  <si>
    <t xml:space="preserve">  加：营业外收入</t>
  </si>
  <si>
    <t xml:space="preserve">  减：营业外支出</t>
  </si>
  <si>
    <t xml:space="preserve">    其中：非流动资产处置净损失</t>
  </si>
  <si>
    <t>三、利润总额</t>
  </si>
  <si>
    <t xml:space="preserve">  减：所得税费用</t>
  </si>
  <si>
    <t>四、净利润</t>
  </si>
  <si>
    <t>归属于母公司所有者的利润</t>
  </si>
  <si>
    <t>五、每股收益</t>
  </si>
  <si>
    <t>（一）基本每股收益（元）</t>
  </si>
  <si>
    <t>（二）稀释每股收益（元）</t>
  </si>
  <si>
    <t>货币资金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</si>
</sst>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yyyy\-mm\-dd"/>
    <numFmt numFmtId="178" formatCode="#,##0.00_ ;[Red]\-#,##0.00\ "/>
  </numFmts>
  <fonts count="11">
    <font>
      <sz val="11"/>
      <color theme="1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b/>
      <sz val="10"/>
      <color theme="1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 applyAlignment="1">
      <alignment horizontal="right" vertical="center"/>
    </xf>
    <xf numFmtId="49" fontId="3" fillId="2" borderId="0" xfId="0" applyNumberFormat="1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0" xfId="0" applyNumberFormat="1" applyFont="1">
      <alignment vertical="center"/>
    </xf>
    <xf numFmtId="176" fontId="3" fillId="3" borderId="0" xfId="0" applyNumberFormat="1" applyFont="1" applyFill="1">
      <alignment vertical="center"/>
    </xf>
    <xf numFmtId="0" fontId="5" fillId="4" borderId="2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5" fillId="5" borderId="2" xfId="0" applyFont="1" applyFill="1" applyBorder="1">
      <alignment vertical="center"/>
    </xf>
    <xf numFmtId="0" fontId="5" fillId="4" borderId="2" xfId="0" applyFont="1" applyFill="1" applyBorder="1">
      <alignment vertical="center"/>
    </xf>
    <xf numFmtId="177" fontId="8" fillId="2" borderId="2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76" fontId="5" fillId="5" borderId="2" xfId="0" applyNumberFormat="1" applyFont="1" applyFill="1" applyBorder="1">
      <alignment vertical="center"/>
    </xf>
    <xf numFmtId="176" fontId="5" fillId="4" borderId="2" xfId="0" applyNumberFormat="1" applyFont="1" applyFill="1" applyBorder="1">
      <alignment vertical="center"/>
    </xf>
    <xf numFmtId="0" fontId="9" fillId="4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2" xfId="0" applyNumberFormat="1" applyFont="1" applyBorder="1">
      <alignment vertical="center"/>
    </xf>
    <xf numFmtId="10" fontId="5" fillId="0" borderId="2" xfId="1" applyNumberFormat="1" applyFont="1" applyBorder="1">
      <alignment vertical="center"/>
    </xf>
    <xf numFmtId="176" fontId="10" fillId="0" borderId="2" xfId="0" applyNumberFormat="1" applyFont="1" applyBorder="1">
      <alignment vertical="center"/>
    </xf>
    <xf numFmtId="49" fontId="10" fillId="5" borderId="2" xfId="0" applyNumberFormat="1" applyFont="1" applyFill="1" applyBorder="1" applyAlignment="1">
      <alignment horizontal="center" vertical="center"/>
    </xf>
    <xf numFmtId="176" fontId="10" fillId="5" borderId="2" xfId="0" applyNumberFormat="1" applyFont="1" applyFill="1" applyBorder="1" applyAlignment="1">
      <alignment horizontal="center" vertical="center"/>
    </xf>
    <xf numFmtId="176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40" fontId="5" fillId="5" borderId="2" xfId="0" applyNumberFormat="1" applyFont="1" applyFill="1" applyBorder="1" applyAlignment="1">
      <alignment horizontal="right" vertical="center"/>
    </xf>
    <xf numFmtId="176" fontId="5" fillId="4" borderId="0" xfId="0" applyNumberFormat="1" applyFont="1" applyFill="1">
      <alignment vertical="center"/>
    </xf>
    <xf numFmtId="0" fontId="5" fillId="4" borderId="0" xfId="0" applyFont="1" applyFill="1">
      <alignment vertical="center"/>
    </xf>
    <xf numFmtId="49" fontId="10" fillId="4" borderId="2" xfId="0" applyNumberFormat="1" applyFont="1" applyFill="1" applyBorder="1" applyAlignment="1">
      <alignment horizontal="center" vertical="center"/>
    </xf>
    <xf numFmtId="176" fontId="10" fillId="4" borderId="2" xfId="0" applyNumberFormat="1" applyFont="1" applyFill="1" applyBorder="1" applyAlignment="1">
      <alignment horizontal="center" vertical="center"/>
    </xf>
    <xf numFmtId="177" fontId="10" fillId="6" borderId="2" xfId="0" applyNumberFormat="1" applyFont="1" applyFill="1" applyBorder="1" applyAlignment="1">
      <alignment horizontal="center" vertical="center"/>
    </xf>
    <xf numFmtId="176" fontId="10" fillId="6" borderId="2" xfId="0" applyNumberFormat="1" applyFont="1" applyFill="1" applyBorder="1">
      <alignment vertical="center"/>
    </xf>
    <xf numFmtId="176" fontId="5" fillId="6" borderId="2" xfId="0" applyNumberFormat="1" applyFont="1" applyFill="1" applyBorder="1">
      <alignment vertical="center"/>
    </xf>
    <xf numFmtId="176" fontId="10" fillId="6" borderId="0" xfId="0" applyNumberFormat="1" applyFont="1" applyFill="1">
      <alignment vertical="center"/>
    </xf>
    <xf numFmtId="176" fontId="10" fillId="6" borderId="2" xfId="0" applyNumberFormat="1" applyFont="1" applyFill="1" applyBorder="1" applyAlignment="1">
      <alignment horizontal="right" vertical="center"/>
    </xf>
    <xf numFmtId="10" fontId="5" fillId="0" borderId="2" xfId="1" applyNumberFormat="1" applyFont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176" fontId="10" fillId="4" borderId="3" xfId="0" applyNumberFormat="1" applyFont="1" applyFill="1" applyBorder="1" applyAlignment="1">
      <alignment horizontal="center" vertical="center"/>
    </xf>
    <xf numFmtId="177" fontId="10" fillId="6" borderId="3" xfId="0" applyNumberFormat="1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176" fontId="5" fillId="4" borderId="3" xfId="0" applyNumberFormat="1" applyFont="1" applyFill="1" applyBorder="1">
      <alignment vertical="center"/>
    </xf>
    <xf numFmtId="0" fontId="5" fillId="4" borderId="3" xfId="0" applyFont="1" applyFill="1" applyBorder="1">
      <alignment vertical="center"/>
    </xf>
    <xf numFmtId="40" fontId="5" fillId="4" borderId="3" xfId="0" applyNumberFormat="1" applyFont="1" applyFill="1" applyBorder="1" applyAlignment="1">
      <alignment horizontal="right" vertical="center"/>
    </xf>
    <xf numFmtId="178" fontId="5" fillId="5" borderId="2" xfId="0" applyNumberFormat="1" applyFont="1" applyFill="1" applyBorder="1">
      <alignment vertical="center"/>
    </xf>
    <xf numFmtId="178" fontId="5" fillId="4" borderId="2" xfId="0" applyNumberFormat="1" applyFont="1" applyFill="1" applyBorder="1">
      <alignment vertical="center"/>
    </xf>
    <xf numFmtId="0" fontId="10" fillId="0" borderId="2" xfId="0" applyFont="1" applyBorder="1" applyAlignment="1">
      <alignment horizontal="center" vertical="center"/>
    </xf>
    <xf numFmtId="177" fontId="8" fillId="2" borderId="3" xfId="0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7" borderId="0" xfId="0" applyFill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6" fontId="10" fillId="0" borderId="8" xfId="0" applyNumberFormat="1" applyFont="1" applyBorder="1" applyAlignment="1">
      <alignment horizontal="center" vertical="center"/>
    </xf>
    <xf numFmtId="176" fontId="10" fillId="0" borderId="9" xfId="0" applyNumberFormat="1" applyFont="1" applyBorder="1" applyAlignment="1">
      <alignment horizontal="center" vertical="center"/>
    </xf>
    <xf numFmtId="176" fontId="10" fillId="0" borderId="10" xfId="0" applyNumberFormat="1" applyFont="1" applyBorder="1" applyAlignment="1">
      <alignment horizontal="center" vertical="center"/>
    </xf>
    <xf numFmtId="10" fontId="5" fillId="5" borderId="2" xfId="0" applyNumberFormat="1" applyFont="1" applyFill="1" applyBorder="1">
      <alignment vertical="center"/>
    </xf>
  </cellXfs>
  <cellStyles count="2">
    <cellStyle name="百分比" xfId="1" builtinId="5"/>
    <cellStyle name="常规" xfId="0" builtinId="0"/>
  </cellStyles>
  <dxfs count="6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hsFunc"/>
    </sheetNames>
    <definedNames>
      <definedName name="thsiFinD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zoomScale="90" zoomScaleNormal="90" workbookViewId="0">
      <selection activeCell="H35" sqref="H35"/>
    </sheetView>
  </sheetViews>
  <sheetFormatPr defaultRowHeight="14"/>
  <cols>
    <col min="1" max="1" width="32" style="11" bestFit="1" customWidth="1"/>
    <col min="2" max="2" width="13.36328125" bestFit="1" customWidth="1"/>
    <col min="3" max="3" width="13.36328125" customWidth="1"/>
    <col min="4" max="4" width="13.36328125" bestFit="1" customWidth="1"/>
    <col min="5" max="5" width="13.36328125" customWidth="1"/>
    <col min="6" max="6" width="13.36328125" bestFit="1" customWidth="1"/>
    <col min="7" max="7" width="13.36328125" customWidth="1"/>
    <col min="8" max="10" width="11.7265625" bestFit="1" customWidth="1"/>
    <col min="11" max="11" width="10.453125" bestFit="1" customWidth="1"/>
    <col min="12" max="13" width="9.08984375" bestFit="1" customWidth="1"/>
    <col min="14" max="14" width="9.453125" bestFit="1" customWidth="1"/>
    <col min="15" max="15" width="11.54296875" bestFit="1" customWidth="1"/>
    <col min="16" max="16" width="9.453125" bestFit="1" customWidth="1"/>
  </cols>
  <sheetData>
    <row r="1" spans="1:16">
      <c r="A1" s="13"/>
      <c r="B1" s="21" t="s">
        <v>366</v>
      </c>
      <c r="C1" s="51"/>
      <c r="D1" s="21" t="s">
        <v>367</v>
      </c>
      <c r="E1" s="51"/>
      <c r="F1" s="21" t="s">
        <v>368</v>
      </c>
      <c r="G1" s="51"/>
      <c r="H1" s="22" t="s">
        <v>366</v>
      </c>
      <c r="I1" s="22" t="s">
        <v>367</v>
      </c>
      <c r="J1" s="22" t="s">
        <v>430</v>
      </c>
      <c r="K1" s="55" t="s">
        <v>369</v>
      </c>
      <c r="L1" s="56"/>
      <c r="M1" s="55" t="s">
        <v>370</v>
      </c>
      <c r="N1" s="56"/>
      <c r="O1" s="55" t="s">
        <v>371</v>
      </c>
      <c r="P1" s="56"/>
    </row>
    <row r="2" spans="1:16">
      <c r="A2" s="13"/>
      <c r="B2" s="21" t="s">
        <v>369</v>
      </c>
      <c r="C2" s="51"/>
      <c r="D2" s="21" t="s">
        <v>370</v>
      </c>
      <c r="E2" s="51"/>
      <c r="F2" s="21" t="s">
        <v>371</v>
      </c>
      <c r="G2" s="51"/>
      <c r="H2" s="22" t="s">
        <v>369</v>
      </c>
      <c r="I2" s="22" t="s">
        <v>370</v>
      </c>
      <c r="J2" s="22" t="s">
        <v>431</v>
      </c>
      <c r="K2" s="57"/>
      <c r="L2" s="58"/>
      <c r="M2" s="57"/>
      <c r="N2" s="58"/>
      <c r="O2" s="57"/>
      <c r="P2" s="58"/>
    </row>
    <row r="3" spans="1:16">
      <c r="A3" s="17" t="s">
        <v>344</v>
      </c>
      <c r="B3" s="16">
        <v>42735</v>
      </c>
      <c r="C3" s="16"/>
      <c r="D3" s="16">
        <v>42735</v>
      </c>
      <c r="E3" s="16"/>
      <c r="F3" s="16">
        <v>42735</v>
      </c>
      <c r="G3" s="16"/>
      <c r="H3" s="16">
        <v>42369</v>
      </c>
      <c r="I3" s="16">
        <v>42369</v>
      </c>
      <c r="J3" s="16">
        <v>42369</v>
      </c>
      <c r="K3" s="23" t="s">
        <v>372</v>
      </c>
      <c r="L3" s="23" t="s">
        <v>373</v>
      </c>
      <c r="M3" s="23" t="s">
        <v>372</v>
      </c>
      <c r="N3" s="23" t="s">
        <v>373</v>
      </c>
      <c r="O3" s="23" t="s">
        <v>372</v>
      </c>
      <c r="P3" s="23" t="s">
        <v>373</v>
      </c>
    </row>
    <row r="4" spans="1:16">
      <c r="A4" s="10" t="s">
        <v>345</v>
      </c>
      <c r="B4" s="18" t="e">
        <f ca="1">[1]!thsiFinD("THS_LRB_STOCK",$B$1,2059,B$3,1)/1000000</f>
        <v>#NAME?</v>
      </c>
      <c r="C4" s="18"/>
      <c r="D4" s="18" t="e">
        <f ca="1">[1]!thsiFinD("THS_LRB_STOCK","600597.SH",2059,D$3,1)/1000000</f>
        <v>#NAME?</v>
      </c>
      <c r="E4" s="18"/>
      <c r="F4" s="18" t="e">
        <f ca="1">[1]!thsiFinD("THS_LRB_HK","2319.HK",2048,F$3,1,"CNY")/1000000</f>
        <v>#NAME?</v>
      </c>
      <c r="G4" s="18"/>
      <c r="H4" s="19" t="e">
        <f ca="1">[1]!thsiFinD("THS_LRB_STOCK","600887.SH",2059,H$3,1)/1000000</f>
        <v>#NAME?</v>
      </c>
      <c r="I4" s="19" t="e">
        <f ca="1">[1]!thsiFinD("THS_LRB_STOCK","600597.SH",2059,I$3,1)/1000000</f>
        <v>#NAME?</v>
      </c>
      <c r="J4" s="19" t="e">
        <f ca="1">[1]!thsiFinD("THS_LRB_HK","2319.HK",2048,J$3,1,"CNY")/1000000</f>
        <v>#NAME?</v>
      </c>
      <c r="K4" s="24" t="e">
        <f ca="1">B4-H4</f>
        <v>#NAME?</v>
      </c>
      <c r="L4" s="25" t="e">
        <f ca="1">K4/H4</f>
        <v>#NAME?</v>
      </c>
      <c r="M4" s="24" t="e">
        <f ca="1">D4-I4</f>
        <v>#NAME?</v>
      </c>
      <c r="N4" s="25" t="e">
        <f ca="1">M4/I4</f>
        <v>#NAME?</v>
      </c>
      <c r="O4" s="24" t="e">
        <f ca="1">F4-J4</f>
        <v>#NAME?</v>
      </c>
      <c r="P4" s="25" t="e">
        <f ca="1">O4/J4</f>
        <v>#NAME?</v>
      </c>
    </row>
    <row r="5" spans="1:16">
      <c r="A5" s="10" t="s">
        <v>346</v>
      </c>
      <c r="B5" s="18" t="e">
        <f ca="1">[1]!thsiFinD("THS_LRB_STOCK","600887.SH",2047,B$3,1)/1000000</f>
        <v>#NAME?</v>
      </c>
      <c r="C5" s="18"/>
      <c r="D5" s="18" t="e">
        <f ca="1">[1]!thsiFinD("THS_LRB_STOCK","600597.SH",2047,D$3,1)/1000000</f>
        <v>#NAME?</v>
      </c>
      <c r="E5" s="18"/>
      <c r="F5" s="18" t="e">
        <f ca="1">[1]!thsiFinD("THS_LRB_HK","2319.HK",2044,F$3,1,"CNY")/1000000</f>
        <v>#NAME?</v>
      </c>
      <c r="G5" s="18"/>
      <c r="H5" s="19" t="e">
        <f ca="1">[1]!thsiFinD("THS_LRB_STOCK","600887.SH",2047,H$3,1)/1000000</f>
        <v>#NAME?</v>
      </c>
      <c r="I5" s="19" t="e">
        <f ca="1">[1]!thsiFinD("THS_LRB_STOCK","600597.SH",2047,I$3,1)/1000000</f>
        <v>#NAME?</v>
      </c>
      <c r="J5" s="19" t="e">
        <f ca="1">[1]!thsiFinD("THS_LRB_HK","2319.HK",2044,J$3,1,"CNY")/1000000</f>
        <v>#NAME?</v>
      </c>
      <c r="K5" s="24" t="e">
        <f t="shared" ref="K5:K24" ca="1" si="0">B5-H5</f>
        <v>#NAME?</v>
      </c>
      <c r="L5" s="25" t="e">
        <f t="shared" ref="L5:L24" ca="1" si="1">K5/H5</f>
        <v>#NAME?</v>
      </c>
      <c r="M5" s="24" t="e">
        <f t="shared" ref="M5:M24" ca="1" si="2">D5-I5</f>
        <v>#NAME?</v>
      </c>
      <c r="N5" s="25" t="e">
        <f t="shared" ref="N5:N24" ca="1" si="3">M5/I5</f>
        <v>#NAME?</v>
      </c>
      <c r="O5" s="24" t="e">
        <f t="shared" ref="O5:O24" ca="1" si="4">F5-J5</f>
        <v>#NAME?</v>
      </c>
      <c r="P5" s="25" t="e">
        <f t="shared" ref="P5:P24" ca="1" si="5">O5/J5</f>
        <v>#NAME?</v>
      </c>
    </row>
    <row r="6" spans="1:16">
      <c r="A6" s="10" t="s">
        <v>347</v>
      </c>
      <c r="B6" s="18" t="e">
        <f ca="1">[1]!thsiFinD("THS_LRB_STOCK","600887.SH",2052,B$3,1)/1000000</f>
        <v>#NAME?</v>
      </c>
      <c r="C6" s="18"/>
      <c r="D6" s="18" t="e">
        <f ca="1">[1]!thsiFinD("THS_LRB_STOCK","600597.SH",2052,D$3,1)/1000000</f>
        <v>#NAME?</v>
      </c>
      <c r="E6" s="18"/>
      <c r="F6" s="14"/>
      <c r="G6" s="14"/>
      <c r="H6" s="19" t="e">
        <f ca="1">[1]!thsiFinD("THS_LRB_STOCK","600887.SH",2052,H$3,1)/1000000</f>
        <v>#NAME?</v>
      </c>
      <c r="I6" s="19" t="e">
        <f ca="1">[1]!thsiFinD("THS_LRB_STOCK","600597.SH",2052,I$3,1)/1000000</f>
        <v>#NAME?</v>
      </c>
      <c r="J6" s="19"/>
      <c r="K6" s="24" t="e">
        <f t="shared" ca="1" si="0"/>
        <v>#NAME?</v>
      </c>
      <c r="L6" s="25" t="e">
        <f t="shared" ca="1" si="1"/>
        <v>#NAME?</v>
      </c>
      <c r="M6" s="24" t="e">
        <f t="shared" ca="1" si="2"/>
        <v>#NAME?</v>
      </c>
      <c r="N6" s="25" t="e">
        <f t="shared" ca="1" si="3"/>
        <v>#NAME?</v>
      </c>
      <c r="O6" s="24"/>
      <c r="P6" s="25"/>
    </row>
    <row r="7" spans="1:16">
      <c r="A7" s="10" t="s">
        <v>348</v>
      </c>
      <c r="B7" s="18" t="e">
        <f ca="1">[1]!thsiFinD("THS_LRB_STOCK","600887.SH",2044,B$3,1)/1000000</f>
        <v>#NAME?</v>
      </c>
      <c r="C7" s="18"/>
      <c r="D7" s="18" t="e">
        <f ca="1">[1]!thsiFinD("THS_LRB_STOCK","600597.SH",2044,D$3,1)/1000000</f>
        <v>#NAME?</v>
      </c>
      <c r="E7" s="18"/>
      <c r="F7" s="18" t="e">
        <f ca="1">[1]!thsiFinD("THS_LRB_HK","2319.HK",2045,F$3,1,"CNY")/1000000</f>
        <v>#NAME?</v>
      </c>
      <c r="G7" s="18"/>
      <c r="H7" s="19" t="e">
        <f ca="1">[1]!thsiFinD("THS_LRB_STOCK","600887.SH",2044,H$3,1)/1000000</f>
        <v>#NAME?</v>
      </c>
      <c r="I7" s="19" t="e">
        <f ca="1">[1]!thsiFinD("THS_LRB_STOCK","600597.SH",2044,I$3,1)/1000000</f>
        <v>#NAME?</v>
      </c>
      <c r="J7" s="19" t="e">
        <f ca="1">[1]!thsiFinD("THS_LRB_HK","2319.HK",2045,J$3,1,"CNY")/1000000</f>
        <v>#NAME?</v>
      </c>
      <c r="K7" s="24" t="e">
        <f t="shared" ca="1" si="0"/>
        <v>#NAME?</v>
      </c>
      <c r="L7" s="25" t="e">
        <f t="shared" ca="1" si="1"/>
        <v>#NAME?</v>
      </c>
      <c r="M7" s="24" t="e">
        <f t="shared" ca="1" si="2"/>
        <v>#NAME?</v>
      </c>
      <c r="N7" s="25" t="e">
        <f t="shared" ca="1" si="3"/>
        <v>#NAME?</v>
      </c>
      <c r="O7" s="24" t="e">
        <f t="shared" ca="1" si="4"/>
        <v>#NAME?</v>
      </c>
      <c r="P7" s="25" t="e">
        <f t="shared" ca="1" si="5"/>
        <v>#NAME?</v>
      </c>
    </row>
    <row r="8" spans="1:16">
      <c r="A8" s="10" t="s">
        <v>349</v>
      </c>
      <c r="B8" s="18" t="e">
        <f ca="1">[1]!thsiFinD("THS_LRB_STOCK","600887.SH",2010,B$3,1)/1000000</f>
        <v>#NAME?</v>
      </c>
      <c r="C8" s="18"/>
      <c r="D8" s="18" t="e">
        <f ca="1">[1]!thsiFinD("THS_LRB_STOCK","600597.SH",2010,D$3,1)/1000000</f>
        <v>#NAME?</v>
      </c>
      <c r="E8" s="18"/>
      <c r="F8" s="18" t="e">
        <f ca="1">[1]!thsiFinD("THS_LRB_HK","2319.HK",2006,F$3,1,"CNY")/1000000</f>
        <v>#NAME?</v>
      </c>
      <c r="G8" s="18"/>
      <c r="H8" s="19" t="e">
        <f ca="1">[1]!thsiFinD("THS_LRB_STOCK","600887.SH",2010,H$3,1)/1000000</f>
        <v>#NAME?</v>
      </c>
      <c r="I8" s="19" t="e">
        <f ca="1">[1]!thsiFinD("THS_LRB_STOCK","600597.SH",2010,I$3,1)/1000000</f>
        <v>#NAME?</v>
      </c>
      <c r="J8" s="19" t="e">
        <f ca="1">[1]!thsiFinD("THS_LRB_HK","2319.HK",2006,J$3,1,"CNY")/1000000</f>
        <v>#NAME?</v>
      </c>
      <c r="K8" s="24" t="e">
        <f t="shared" ca="1" si="0"/>
        <v>#NAME?</v>
      </c>
      <c r="L8" s="25" t="e">
        <f t="shared" ca="1" si="1"/>
        <v>#NAME?</v>
      </c>
      <c r="M8" s="24" t="e">
        <f t="shared" ca="1" si="2"/>
        <v>#NAME?</v>
      </c>
      <c r="N8" s="25" t="e">
        <f t="shared" ca="1" si="3"/>
        <v>#NAME?</v>
      </c>
      <c r="O8" s="24" t="e">
        <f t="shared" ca="1" si="4"/>
        <v>#NAME?</v>
      </c>
      <c r="P8" s="25" t="e">
        <f t="shared" ca="1" si="5"/>
        <v>#NAME?</v>
      </c>
    </row>
    <row r="9" spans="1:16">
      <c r="A9" s="10" t="s">
        <v>350</v>
      </c>
      <c r="B9" s="18" t="e">
        <f ca="1">[1]!thsiFinD("THS_LRB_STOCK","600887.SH",2002,B$3,1)/1000000</f>
        <v>#NAME?</v>
      </c>
      <c r="C9" s="18"/>
      <c r="D9" s="18" t="e">
        <f ca="1">[1]!thsiFinD("THS_LRB_STOCK","600597.SH",2002,D$3,1)/1000000</f>
        <v>#NAME?</v>
      </c>
      <c r="E9" s="18"/>
      <c r="F9" s="18" t="e">
        <f ca="1">[1]!thsiFinD("THS_LRB_HK","2319.HK",2004,F$3,1,"CNY")/1000000</f>
        <v>#NAME?</v>
      </c>
      <c r="G9" s="18"/>
      <c r="H9" s="19" t="e">
        <f ca="1">[1]!thsiFinD("THS_LRB_STOCK","600887.SH",2002,H$3,1)/1000000</f>
        <v>#NAME?</v>
      </c>
      <c r="I9" s="19" t="e">
        <f ca="1">[1]!thsiFinD("THS_LRB_STOCK","600597.SH",2002,I$3,1)/1000000</f>
        <v>#NAME?</v>
      </c>
      <c r="J9" s="19" t="e">
        <f ca="1">[1]!thsiFinD("THS_LRB_HK","2319.HK",2004,J$3,1,"CNY")/1000000</f>
        <v>#NAME?</v>
      </c>
      <c r="K9" s="24" t="e">
        <f t="shared" ca="1" si="0"/>
        <v>#NAME?</v>
      </c>
      <c r="L9" s="25" t="e">
        <f t="shared" ca="1" si="1"/>
        <v>#NAME?</v>
      </c>
      <c r="M9" s="24" t="e">
        <f t="shared" ca="1" si="2"/>
        <v>#NAME?</v>
      </c>
      <c r="N9" s="25" t="e">
        <f t="shared" ca="1" si="3"/>
        <v>#NAME?</v>
      </c>
      <c r="O9" s="24" t="e">
        <f t="shared" ca="1" si="4"/>
        <v>#NAME?</v>
      </c>
      <c r="P9" s="25" t="e">
        <f t="shared" ca="1" si="5"/>
        <v>#NAME?</v>
      </c>
    </row>
    <row r="10" spans="1:16">
      <c r="A10" s="10" t="s">
        <v>351</v>
      </c>
      <c r="B10" s="18" t="e">
        <f ca="1">[1]!thsiFinD("THS_LRB_STOCK","600887.SH",2063,B$3,1)/1000000</f>
        <v>#NAME?</v>
      </c>
      <c r="C10" s="18"/>
      <c r="D10" s="18" t="e">
        <f ca="1">[1]!thsiFinD("THS_LRB_STOCK","600597.SH",2063,D$3,1)/1000000</f>
        <v>#NAME?</v>
      </c>
      <c r="E10" s="18"/>
      <c r="F10" s="14"/>
      <c r="G10" s="14"/>
      <c r="H10" s="19" t="e">
        <f ca="1">[1]!thsiFinD("THS_LRB_STOCK","600887.SH",2063,H$3,1)/1000000</f>
        <v>#NAME?</v>
      </c>
      <c r="I10" s="19" t="e">
        <f ca="1">[1]!thsiFinD("THS_LRB_STOCK","600597.SH",2063,I$3,1)/1000000</f>
        <v>#NAME?</v>
      </c>
      <c r="J10" s="19"/>
      <c r="K10" s="24" t="e">
        <f t="shared" ca="1" si="0"/>
        <v>#NAME?</v>
      </c>
      <c r="L10" s="25" t="e">
        <f t="shared" ca="1" si="1"/>
        <v>#NAME?</v>
      </c>
      <c r="M10" s="24" t="e">
        <f t="shared" ca="1" si="2"/>
        <v>#NAME?</v>
      </c>
      <c r="N10" s="25" t="e">
        <f t="shared" ca="1" si="3"/>
        <v>#NAME?</v>
      </c>
      <c r="O10" s="24"/>
      <c r="P10" s="25"/>
    </row>
    <row r="11" spans="1:16">
      <c r="A11" s="10" t="s">
        <v>352</v>
      </c>
      <c r="B11" s="18" t="e">
        <f ca="1">[1]!thsiFinD("THS_LRB_STOCK","600887.SH",2009,B$3,1)/1000000</f>
        <v>#NAME?</v>
      </c>
      <c r="C11" s="18"/>
      <c r="D11" s="18" t="e">
        <f ca="1">[1]!thsiFinD("THS_LRB_STOCK","600597.SH",2009,D$3,1)/1000000</f>
        <v>#NAME?</v>
      </c>
      <c r="E11" s="18"/>
      <c r="F11" s="18" t="e">
        <f ca="1">[1]!thsiFinD("THS_LRB_HK","2319.HK",2041,F$3,1,"CNY")/1000000</f>
        <v>#NAME?</v>
      </c>
      <c r="G11" s="18"/>
      <c r="H11" s="19" t="e">
        <f ca="1">[1]!thsiFinD("THS_LRB_STOCK","600887.SH",2009,H$3,1)/1000000</f>
        <v>#NAME?</v>
      </c>
      <c r="I11" s="19" t="e">
        <f ca="1">[1]!thsiFinD("THS_LRB_STOCK","600597.SH",2009,I$3,1)/1000000</f>
        <v>#NAME?</v>
      </c>
      <c r="J11" s="19" t="e">
        <f ca="1">[1]!thsiFinD("THS_LRB_HK","2319.HK",2041,J$3,1,"CNY")/1000000</f>
        <v>#NAME?</v>
      </c>
      <c r="K11" s="24"/>
      <c r="L11" s="25" t="s">
        <v>374</v>
      </c>
      <c r="M11" s="24"/>
      <c r="N11" s="25" t="s">
        <v>374</v>
      </c>
      <c r="O11" s="24"/>
      <c r="P11" s="25" t="s">
        <v>375</v>
      </c>
    </row>
    <row r="12" spans="1:16">
      <c r="A12" s="10" t="s">
        <v>353</v>
      </c>
      <c r="B12" s="18" t="e">
        <f ca="1">[1]!thsiFinD("THS_LRB_STOCK","600887.SH",2041,B$3,1)/1000000</f>
        <v>#NAME?</v>
      </c>
      <c r="C12" s="18"/>
      <c r="D12" s="18" t="e">
        <f ca="1">[1]!thsiFinD("THS_LRB_STOCK","600597.SH",2041,D$3,1)/1000000</f>
        <v>#NAME?</v>
      </c>
      <c r="E12" s="18"/>
      <c r="F12" s="14"/>
      <c r="G12" s="14"/>
      <c r="H12" s="19" t="e">
        <f ca="1">[1]!thsiFinD("THS_LRB_STOCK","600887.SH",2041,H$3,1)/1000000</f>
        <v>#NAME?</v>
      </c>
      <c r="I12" s="19" t="e">
        <f ca="1">[1]!thsiFinD("THS_LRB_STOCK","600597.SH",2041,I$3,1)/1000000</f>
        <v>#NAME?</v>
      </c>
      <c r="J12" s="19"/>
      <c r="K12" s="24" t="e">
        <f t="shared" ca="1" si="0"/>
        <v>#NAME?</v>
      </c>
      <c r="L12" s="25" t="e">
        <f t="shared" ca="1" si="1"/>
        <v>#NAME?</v>
      </c>
      <c r="M12" s="24" t="e">
        <f t="shared" ca="1" si="2"/>
        <v>#NAME?</v>
      </c>
      <c r="N12" s="25" t="e">
        <f t="shared" ca="1" si="3"/>
        <v>#NAME?</v>
      </c>
      <c r="O12" s="24"/>
      <c r="P12" s="25"/>
    </row>
    <row r="13" spans="1:16">
      <c r="A13" s="10" t="s">
        <v>354</v>
      </c>
      <c r="B13" s="18" t="e">
        <f ca="1">[1]!thsiFinD("THS_LRB_STOCK","600887.SH",2048,B$3,1)/1000000</f>
        <v>#NAME?</v>
      </c>
      <c r="C13" s="18"/>
      <c r="D13" s="18" t="e">
        <f ca="1">[1]!thsiFinD("THS_LRB_STOCK","600597.SH",2048,D$3,1)/1000000</f>
        <v>#NAME?</v>
      </c>
      <c r="E13" s="18"/>
      <c r="F13" s="18" t="e">
        <f ca="1">[1]!thsiFinD("THS_LRB_HK","2319.HK",2017,F$3,1,"CNY")/1000000</f>
        <v>#NAME?</v>
      </c>
      <c r="G13" s="18"/>
      <c r="H13" s="19" t="e">
        <f ca="1">[1]!thsiFinD("THS_LRB_STOCK","600887.SH",2048,H$3,1)/1000000</f>
        <v>#NAME?</v>
      </c>
      <c r="I13" s="19" t="e">
        <f ca="1">[1]!thsiFinD("THS_LRB_STOCK","600597.SH",2048,I$3,1)/1000000</f>
        <v>#NAME?</v>
      </c>
      <c r="J13" s="19" t="e">
        <f ca="1">[1]!thsiFinD("THS_LRB_HK","2319.HK",2017,J$3,1,"CNY")/1000000</f>
        <v>#NAME?</v>
      </c>
      <c r="K13" s="24" t="e">
        <f t="shared" ca="1" si="0"/>
        <v>#NAME?</v>
      </c>
      <c r="L13" s="25" t="e">
        <f t="shared" ca="1" si="1"/>
        <v>#NAME?</v>
      </c>
      <c r="M13" s="24" t="e">
        <f t="shared" ca="1" si="2"/>
        <v>#NAME?</v>
      </c>
      <c r="N13" s="25" t="e">
        <f t="shared" ca="1" si="3"/>
        <v>#NAME?</v>
      </c>
      <c r="O13" s="24" t="e">
        <f t="shared" ca="1" si="4"/>
        <v>#NAME?</v>
      </c>
      <c r="P13" s="25" t="e">
        <f t="shared" ca="1" si="5"/>
        <v>#NAME?</v>
      </c>
    </row>
    <row r="14" spans="1:16">
      <c r="A14" s="10" t="s">
        <v>355</v>
      </c>
      <c r="B14" s="18" t="e">
        <f ca="1">[1]!thsiFinD("THS_LRB_STOCK","600887.SH",2053,B$3,1)/1000000</f>
        <v>#NAME?</v>
      </c>
      <c r="C14" s="18"/>
      <c r="D14" s="18" t="e">
        <f ca="1">[1]!thsiFinD("THS_LRB_STOCK","600597.SH",2053,D$3,1)/1000000</f>
        <v>#NAME?</v>
      </c>
      <c r="E14" s="18"/>
      <c r="F14" s="14"/>
      <c r="G14" s="14"/>
      <c r="H14" s="19" t="e">
        <f ca="1">[1]!thsiFinD("THS_LRB_STOCK","600887.SH",2053,H$3,1)/1000000</f>
        <v>#NAME?</v>
      </c>
      <c r="I14" s="19" t="e">
        <f ca="1">[1]!thsiFinD("THS_LRB_STOCK","600597.SH",2053,I$3,1)/1000000</f>
        <v>#NAME?</v>
      </c>
      <c r="J14" s="19"/>
      <c r="K14" s="24" t="e">
        <f t="shared" ca="1" si="0"/>
        <v>#NAME?</v>
      </c>
      <c r="L14" s="25" t="e">
        <f t="shared" ca="1" si="1"/>
        <v>#NAME?</v>
      </c>
      <c r="M14" s="24" t="e">
        <f t="shared" ca="1" si="2"/>
        <v>#NAME?</v>
      </c>
      <c r="N14" s="25" t="e">
        <f t="shared" ca="1" si="3"/>
        <v>#NAME?</v>
      </c>
      <c r="O14" s="24"/>
      <c r="P14" s="25"/>
    </row>
    <row r="15" spans="1:16">
      <c r="A15" s="10" t="s">
        <v>356</v>
      </c>
      <c r="B15" s="18" t="e">
        <f ca="1">[1]!thsiFinD("THS_LRB_STOCK","600887.SH",2054,B$3,1)/1000000</f>
        <v>#NAME?</v>
      </c>
      <c r="C15" s="18"/>
      <c r="D15" s="18" t="e">
        <f ca="1">[1]!thsiFinD("THS_LRB_STOCK","600597.SH",2054,D$3,1)/1000000</f>
        <v>#NAME?</v>
      </c>
      <c r="E15" s="18"/>
      <c r="F15" s="18" t="e">
        <f ca="1">[1]!thsiFinD("THS_LRB_HK","2319.HK",2053,F$3,1,"CNY")/1000000</f>
        <v>#NAME?</v>
      </c>
      <c r="G15" s="18"/>
      <c r="H15" s="19" t="e">
        <f ca="1">[1]!thsiFinD("THS_LRB_STOCK","600887.SH",2054,H$3,1)/1000000</f>
        <v>#NAME?</v>
      </c>
      <c r="I15" s="19" t="e">
        <f ca="1">[1]!thsiFinD("THS_LRB_STOCK","600597.SH",2054,I$3,1)/1000000</f>
        <v>#NAME?</v>
      </c>
      <c r="J15" s="19" t="e">
        <f ca="1">[1]!thsiFinD("THS_LRB_HK","2319.HK",2053,J$3,1,"CNY")/1000000</f>
        <v>#NAME?</v>
      </c>
      <c r="K15" s="24" t="e">
        <f t="shared" ca="1" si="0"/>
        <v>#NAME?</v>
      </c>
      <c r="L15" s="25" t="e">
        <f t="shared" ca="1" si="1"/>
        <v>#NAME?</v>
      </c>
      <c r="M15" s="24" t="e">
        <f t="shared" ca="1" si="2"/>
        <v>#NAME?</v>
      </c>
      <c r="N15" s="25" t="e">
        <f t="shared" ca="1" si="3"/>
        <v>#NAME?</v>
      </c>
      <c r="O15" s="24" t="e">
        <f t="shared" ca="1" si="4"/>
        <v>#NAME?</v>
      </c>
      <c r="P15" s="25" t="e">
        <f t="shared" ca="1" si="5"/>
        <v>#NAME?</v>
      </c>
    </row>
    <row r="16" spans="1:16">
      <c r="A16" s="10" t="s">
        <v>357</v>
      </c>
      <c r="B16" s="18" t="e">
        <f ca="1">[1]!thsiFinD("THS_LRB_STOCK","600887.SH",2005,B$3,1)/1000000</f>
        <v>#NAME?</v>
      </c>
      <c r="C16" s="18"/>
      <c r="D16" s="18" t="e">
        <f ca="1">[1]!thsiFinD("THS_LRB_STOCK","600597.SH",2005,D$3,1)/1000000</f>
        <v>#NAME?</v>
      </c>
      <c r="E16" s="18"/>
      <c r="F16" s="14"/>
      <c r="G16" s="14"/>
      <c r="H16" s="19" t="e">
        <f ca="1">[1]!thsiFinD("THS_LRB_STOCK","600887.SH",2005,H$3,1)/1000000</f>
        <v>#NAME?</v>
      </c>
      <c r="I16" s="19" t="e">
        <f ca="1">[1]!thsiFinD("THS_LRB_STOCK","600597.SH",2005,I$3,1)/1000000</f>
        <v>#NAME?</v>
      </c>
      <c r="J16" s="19"/>
      <c r="K16" s="24" t="e">
        <f t="shared" ca="1" si="0"/>
        <v>#NAME?</v>
      </c>
      <c r="L16" s="25" t="e">
        <f t="shared" ca="1" si="1"/>
        <v>#NAME?</v>
      </c>
      <c r="M16" s="24" t="e">
        <f t="shared" ca="1" si="2"/>
        <v>#NAME?</v>
      </c>
      <c r="N16" s="25" t="e">
        <f t="shared" ca="1" si="3"/>
        <v>#NAME?</v>
      </c>
      <c r="O16" s="24"/>
      <c r="P16" s="25"/>
    </row>
    <row r="17" spans="1:16">
      <c r="A17" s="10" t="s">
        <v>358</v>
      </c>
      <c r="B17" s="18" t="e">
        <f ca="1">[1]!thsiFinD("THS_LRB_STOCK","600887.SH",2019,B$3,1)/1000000</f>
        <v>#NAME?</v>
      </c>
      <c r="C17" s="18"/>
      <c r="D17" s="18" t="e">
        <f ca="1">[1]!thsiFinD("THS_LRB_STOCK","600597.SH",2019,D$3,1)/1000000</f>
        <v>#NAME?</v>
      </c>
      <c r="E17" s="18"/>
      <c r="F17" s="18" t="e">
        <f ca="1">[1]!thsiFinD("THS_LRB_HK","2319.HK",2037,F$3,1,"CNY")/1000000</f>
        <v>#NAME?</v>
      </c>
      <c r="G17" s="18"/>
      <c r="H17" s="19" t="e">
        <f ca="1">[1]!thsiFinD("THS_LRB_STOCK","600887.SH",2019,H$3,1)/1000000</f>
        <v>#NAME?</v>
      </c>
      <c r="I17" s="19" t="e">
        <f ca="1">[1]!thsiFinD("THS_LRB_STOCK","600597.SH",2019,I$3,1)/1000000</f>
        <v>#NAME?</v>
      </c>
      <c r="J17" s="19" t="e">
        <f ca="1">[1]!thsiFinD("THS_LRB_HK","2319.HK",2037,J$3,1,"CNY")/1000000</f>
        <v>#NAME?</v>
      </c>
      <c r="K17" s="24" t="e">
        <f t="shared" ca="1" si="0"/>
        <v>#NAME?</v>
      </c>
      <c r="L17" s="25" t="e">
        <f t="shared" ca="1" si="1"/>
        <v>#NAME?</v>
      </c>
      <c r="M17" s="24" t="e">
        <f t="shared" ca="1" si="2"/>
        <v>#NAME?</v>
      </c>
      <c r="N17" s="25" t="e">
        <f t="shared" ca="1" si="3"/>
        <v>#NAME?</v>
      </c>
      <c r="O17" s="24" t="e">
        <f t="shared" ca="1" si="4"/>
        <v>#NAME?</v>
      </c>
      <c r="P17" s="25" t="e">
        <f t="shared" ca="1" si="5"/>
        <v>#NAME?</v>
      </c>
    </row>
    <row r="18" spans="1:16">
      <c r="A18" s="10" t="s">
        <v>359</v>
      </c>
      <c r="B18" s="18" t="e">
        <f ca="1">[1]!thsiFinD("THS_LRB_STOCK","600887.SH",2035,B$3,1)/1000000</f>
        <v>#NAME?</v>
      </c>
      <c r="C18" s="18"/>
      <c r="D18" s="18" t="e">
        <f ca="1">[1]!thsiFinD("THS_LRB_STOCK","600597.SH",2035,D$3,1)/1000000</f>
        <v>#NAME?</v>
      </c>
      <c r="E18" s="18"/>
      <c r="F18" s="18" t="e">
        <f ca="1">[1]!thsiFinD("THS_LRB_HK","2319.HK",2039,F$3,1,"CNY")/1000000</f>
        <v>#NAME?</v>
      </c>
      <c r="G18" s="18"/>
      <c r="H18" s="19" t="e">
        <f ca="1">[1]!thsiFinD("THS_LRB_STOCK","600887.SH",2035,H$3,1)/1000000</f>
        <v>#NAME?</v>
      </c>
      <c r="I18" s="19" t="e">
        <f ca="1">[1]!thsiFinD("THS_LRB_STOCK","600597.SH",2035,I$3,1)/1000000</f>
        <v>#NAME?</v>
      </c>
      <c r="J18" s="19" t="e">
        <f ca="1">[1]!thsiFinD("THS_LRB_HK","2319.HK",2039,J$3,1,"CNY")/1000000</f>
        <v>#NAME?</v>
      </c>
      <c r="K18" s="24" t="e">
        <f t="shared" ca="1" si="0"/>
        <v>#NAME?</v>
      </c>
      <c r="L18" s="25" t="e">
        <f t="shared" ca="1" si="1"/>
        <v>#NAME?</v>
      </c>
      <c r="M18" s="24" t="e">
        <f t="shared" ca="1" si="2"/>
        <v>#NAME?</v>
      </c>
      <c r="N18" s="25" t="e">
        <f t="shared" ca="1" si="3"/>
        <v>#NAME?</v>
      </c>
      <c r="O18" s="24" t="e">
        <f t="shared" ca="1" si="4"/>
        <v>#NAME?</v>
      </c>
      <c r="P18" s="25" t="e">
        <f t="shared" ca="1" si="5"/>
        <v>#NAME?</v>
      </c>
    </row>
    <row r="19" spans="1:16">
      <c r="A19" s="10" t="s">
        <v>360</v>
      </c>
      <c r="B19" s="18" t="e">
        <f ca="1">[1]!thsiFinD("THS_LRB_STOCK","600887.SH",2016,B$3,1)/1000000</f>
        <v>#NAME?</v>
      </c>
      <c r="C19" s="18"/>
      <c r="D19" s="18" t="e">
        <f ca="1">[1]!thsiFinD("THS_LRB_STOCK","600597.SH",2016,D$3,1)/1000000</f>
        <v>#NAME?</v>
      </c>
      <c r="E19" s="18"/>
      <c r="F19" s="18" t="e">
        <f ca="1">[1]!thsiFinD("THS_LRB_HK","2319.HK",2035,F$3,1,"CNY")/1000000</f>
        <v>#NAME?</v>
      </c>
      <c r="G19" s="18"/>
      <c r="H19" s="19" t="e">
        <f ca="1">[1]!thsiFinD("THS_LRB_STOCK","600887.SH",2016,H$3,1)/1000000</f>
        <v>#NAME?</v>
      </c>
      <c r="I19" s="19" t="e">
        <f ca="1">[1]!thsiFinD("THS_LRB_STOCK","600597.SH",2016,I$3,1)/1000000</f>
        <v>#NAME?</v>
      </c>
      <c r="J19" s="19" t="e">
        <f ca="1">[1]!thsiFinD("THS_LRB_HK","2319.HK",2035,J$3,1,"CNY")/1000000</f>
        <v>#NAME?</v>
      </c>
      <c r="K19" s="24" t="e">
        <f t="shared" ca="1" si="0"/>
        <v>#NAME?</v>
      </c>
      <c r="L19" s="25" t="e">
        <f t="shared" ca="1" si="1"/>
        <v>#NAME?</v>
      </c>
      <c r="M19" s="24" t="e">
        <f t="shared" ca="1" si="2"/>
        <v>#NAME?</v>
      </c>
      <c r="N19" s="25" t="e">
        <f t="shared" ca="1" si="3"/>
        <v>#NAME?</v>
      </c>
      <c r="O19" s="24" t="e">
        <f t="shared" ca="1" si="4"/>
        <v>#NAME?</v>
      </c>
      <c r="P19" s="25" t="e">
        <f t="shared" ca="1" si="5"/>
        <v>#NAME?</v>
      </c>
    </row>
    <row r="20" spans="1:16">
      <c r="A20" s="10" t="s">
        <v>361</v>
      </c>
      <c r="B20" s="18" t="e">
        <f ca="1">[1]!thsiFinD("THS_LRB_STOCK","600887.SH",2012,B$3,1)/1000000</f>
        <v>#NAME?</v>
      </c>
      <c r="C20" s="18"/>
      <c r="D20" s="18" t="e">
        <f ca="1">[1]!thsiFinD("THS_LRB_STOCK","600597.SH",2012,D$3,1)/1000000</f>
        <v>#NAME?</v>
      </c>
      <c r="E20" s="18"/>
      <c r="F20" s="18" t="e">
        <f ca="1">[1]!thsiFinD("THS_LRB_HK","2319.HK",2009,F$3,1,"CNY")/1000000</f>
        <v>#NAME?</v>
      </c>
      <c r="G20" s="18"/>
      <c r="H20" s="19" t="e">
        <f ca="1">[1]!thsiFinD("THS_LRB_STOCK","600887.SH",2012,H$3,1)/1000000</f>
        <v>#NAME?</v>
      </c>
      <c r="I20" s="19" t="e">
        <f ca="1">[1]!thsiFinD("THS_LRB_STOCK","600597.SH",2012,I$3,1)/1000000</f>
        <v>#NAME?</v>
      </c>
      <c r="J20" s="19" t="e">
        <f ca="1">[1]!thsiFinD("THS_LRB_HK","2319.HK",2009,J$3,1,"CNY")/1000000</f>
        <v>#NAME?</v>
      </c>
      <c r="K20" s="24" t="e">
        <f t="shared" ca="1" si="0"/>
        <v>#NAME?</v>
      </c>
      <c r="L20" s="25" t="e">
        <f t="shared" ca="1" si="1"/>
        <v>#NAME?</v>
      </c>
      <c r="M20" s="24" t="e">
        <f t="shared" ca="1" si="2"/>
        <v>#NAME?</v>
      </c>
      <c r="N20" s="25" t="e">
        <f t="shared" ca="1" si="3"/>
        <v>#NAME?</v>
      </c>
      <c r="O20" s="24" t="e">
        <f t="shared" ca="1" si="4"/>
        <v>#NAME?</v>
      </c>
      <c r="P20" s="25" t="e">
        <f t="shared" ca="1" si="5"/>
        <v>#NAME?</v>
      </c>
    </row>
    <row r="21" spans="1:16">
      <c r="A21" s="10" t="s">
        <v>362</v>
      </c>
      <c r="B21" s="18" t="e">
        <f ca="1">[1]!thsiFinD("THS_LRB_STOCK","600887.SH",2030,B$3,1)/1000000</f>
        <v>#NAME?</v>
      </c>
      <c r="C21" s="18"/>
      <c r="D21" s="18" t="e">
        <f ca="1">[1]!thsiFinD("THS_LRB_STOCK","600597.SH",2030,D$3,1)/1000000</f>
        <v>#NAME?</v>
      </c>
      <c r="E21" s="18"/>
      <c r="F21" s="18" t="e">
        <f ca="1">[1]!thsiFinD("THS_LRB_HK","2319.HK",2007,F$3,1,"CNY")/1000000</f>
        <v>#NAME?</v>
      </c>
      <c r="G21" s="18"/>
      <c r="H21" s="19" t="e">
        <f ca="1">[1]!thsiFinD("THS_LRB_STOCK","600887.SH",2030,H$3,1)/1000000</f>
        <v>#NAME?</v>
      </c>
      <c r="I21" s="19" t="e">
        <f ca="1">[1]!thsiFinD("THS_LRB_STOCK","600597.SH",2030,I$3,1)/1000000</f>
        <v>#NAME?</v>
      </c>
      <c r="J21" s="19" t="e">
        <f ca="1">[1]!thsiFinD("THS_LRB_HK","2319.HK",2007,J$3,1,"CNY")/1000000</f>
        <v>#NAME?</v>
      </c>
      <c r="K21" s="24" t="e">
        <f t="shared" ca="1" si="0"/>
        <v>#NAME?</v>
      </c>
      <c r="L21" s="25" t="e">
        <f t="shared" ca="1" si="1"/>
        <v>#NAME?</v>
      </c>
      <c r="M21" s="24" t="e">
        <f t="shared" ca="1" si="2"/>
        <v>#NAME?</v>
      </c>
      <c r="N21" s="25" t="e">
        <f t="shared" ca="1" si="3"/>
        <v>#NAME?</v>
      </c>
      <c r="O21" s="24" t="e">
        <f t="shared" ca="1" si="4"/>
        <v>#NAME?</v>
      </c>
      <c r="P21" s="25" t="e">
        <f t="shared" ca="1" si="5"/>
        <v>#NAME?</v>
      </c>
    </row>
    <row r="22" spans="1:16">
      <c r="A22" s="10" t="s">
        <v>363</v>
      </c>
      <c r="B22" s="14"/>
      <c r="C22" s="14"/>
      <c r="D22" s="14"/>
      <c r="E22" s="14"/>
      <c r="F22" s="14"/>
      <c r="G22" s="14"/>
      <c r="H22" s="15"/>
      <c r="I22" s="15"/>
      <c r="J22" s="15"/>
      <c r="K22" s="24"/>
      <c r="L22" s="25"/>
      <c r="M22" s="24"/>
      <c r="N22" s="25"/>
      <c r="O22" s="24"/>
      <c r="P22" s="25"/>
    </row>
    <row r="23" spans="1:16">
      <c r="A23" s="20" t="s">
        <v>364</v>
      </c>
      <c r="B23" s="18" t="e">
        <f ca="1">[1]!thsiFinD("THS_LRB_STOCK","600887.SH",2015,B$3,1)</f>
        <v>#NAME?</v>
      </c>
      <c r="C23" s="18"/>
      <c r="D23" s="18" t="e">
        <f ca="1">[1]!thsiFinD("THS_LRB_STOCK","600597.SH",2015,D$3,1)</f>
        <v>#NAME?</v>
      </c>
      <c r="E23" s="18"/>
      <c r="F23" s="18">
        <v>-0.193</v>
      </c>
      <c r="G23" s="18"/>
      <c r="H23" s="19" t="e">
        <f ca="1">[1]!thsiFinD("THS_LRB_STOCK","600887.SH",2015,H$3,1)</f>
        <v>#NAME?</v>
      </c>
      <c r="I23" s="19" t="e">
        <f ca="1">[1]!thsiFinD("THS_LRB_STOCK","600597.SH",2015,I$3,1)</f>
        <v>#NAME?</v>
      </c>
      <c r="J23" s="19">
        <v>0.60899999999999999</v>
      </c>
      <c r="K23" s="24" t="e">
        <f t="shared" ca="1" si="0"/>
        <v>#NAME?</v>
      </c>
      <c r="L23" s="25" t="e">
        <f t="shared" ca="1" si="1"/>
        <v>#NAME?</v>
      </c>
      <c r="M23" s="24" t="e">
        <f t="shared" ca="1" si="2"/>
        <v>#NAME?</v>
      </c>
      <c r="N23" s="25" t="e">
        <f t="shared" ca="1" si="3"/>
        <v>#NAME?</v>
      </c>
      <c r="O23" s="24">
        <f t="shared" si="4"/>
        <v>-0.80200000000000005</v>
      </c>
      <c r="P23" s="25">
        <f t="shared" si="5"/>
        <v>-1.316912972085386</v>
      </c>
    </row>
    <row r="24" spans="1:16">
      <c r="A24" s="20" t="s">
        <v>365</v>
      </c>
      <c r="B24" s="18" t="e">
        <f ca="1">[1]!thsiFinD("THS_LRB_STOCK","600887.SH",2043,B$3,1)</f>
        <v>#NAME?</v>
      </c>
      <c r="C24" s="18"/>
      <c r="D24" s="18" t="e">
        <f ca="1">[1]!thsiFinD("THS_LRB_STOCK","600597.SH",2043,D$3,1)</f>
        <v>#NAME?</v>
      </c>
      <c r="E24" s="18"/>
      <c r="F24" s="18">
        <v>-0.193</v>
      </c>
      <c r="G24" s="18"/>
      <c r="H24" s="19" t="e">
        <f ca="1">[1]!thsiFinD("THS_LRB_STOCK","600887.SH",2043,H$3,1)</f>
        <v>#NAME?</v>
      </c>
      <c r="I24" s="19" t="e">
        <f ca="1">[1]!thsiFinD("THS_LRB_STOCK","600597.SH",2043,I$3,1)</f>
        <v>#NAME?</v>
      </c>
      <c r="J24" s="19">
        <v>0.60699999999999998</v>
      </c>
      <c r="K24" s="24" t="e">
        <f t="shared" ca="1" si="0"/>
        <v>#NAME?</v>
      </c>
      <c r="L24" s="25" t="e">
        <f t="shared" ca="1" si="1"/>
        <v>#NAME?</v>
      </c>
      <c r="M24" s="24" t="e">
        <f t="shared" ca="1" si="2"/>
        <v>#NAME?</v>
      </c>
      <c r="N24" s="25" t="e">
        <f t="shared" ca="1" si="3"/>
        <v>#NAME?</v>
      </c>
      <c r="O24" s="24">
        <f t="shared" si="4"/>
        <v>-0.8</v>
      </c>
      <c r="P24" s="25">
        <f t="shared" si="5"/>
        <v>-1.3179571663920924</v>
      </c>
    </row>
    <row r="27" spans="1:16">
      <c r="B27" t="s">
        <v>4</v>
      </c>
      <c r="D27" t="s">
        <v>6</v>
      </c>
      <c r="F27" t="s">
        <v>432</v>
      </c>
      <c r="H27" t="s">
        <v>4</v>
      </c>
      <c r="I27" t="s">
        <v>6</v>
      </c>
      <c r="J27" t="s">
        <v>432</v>
      </c>
      <c r="K27" s="53" t="s">
        <v>433</v>
      </c>
      <c r="L27" s="53"/>
      <c r="M27" s="53" t="s">
        <v>434</v>
      </c>
      <c r="N27" s="53"/>
      <c r="O27" s="53" t="s">
        <v>435</v>
      </c>
      <c r="P27" s="53"/>
    </row>
    <row r="28" spans="1:16">
      <c r="B28" t="s">
        <v>433</v>
      </c>
      <c r="D28" t="s">
        <v>434</v>
      </c>
      <c r="F28" t="s">
        <v>435</v>
      </c>
      <c r="H28" t="s">
        <v>433</v>
      </c>
      <c r="I28" t="s">
        <v>434</v>
      </c>
      <c r="J28" t="s">
        <v>435</v>
      </c>
      <c r="K28" s="53"/>
      <c r="L28" s="53"/>
      <c r="M28" s="53"/>
      <c r="N28" s="53"/>
      <c r="O28" s="53"/>
      <c r="P28" s="53"/>
    </row>
    <row r="29" spans="1:16">
      <c r="A29" s="11" t="s">
        <v>436</v>
      </c>
      <c r="B29" s="16">
        <v>42735</v>
      </c>
      <c r="C29" s="16"/>
      <c r="D29" s="16">
        <v>42735</v>
      </c>
      <c r="E29" s="16"/>
      <c r="F29" s="16">
        <v>42735</v>
      </c>
      <c r="G29" s="16"/>
      <c r="H29" s="16">
        <v>42369</v>
      </c>
      <c r="I29" s="16">
        <v>42369</v>
      </c>
      <c r="J29" s="52">
        <v>42369</v>
      </c>
      <c r="K29" s="53" t="s">
        <v>372</v>
      </c>
      <c r="L29" s="53" t="s">
        <v>373</v>
      </c>
      <c r="M29" s="53" t="s">
        <v>372</v>
      </c>
      <c r="N29" s="53" t="s">
        <v>373</v>
      </c>
      <c r="O29" s="53" t="s">
        <v>372</v>
      </c>
      <c r="P29" s="53" t="s">
        <v>373</v>
      </c>
    </row>
    <row r="30" spans="1:16">
      <c r="A30" s="11" t="s">
        <v>437</v>
      </c>
      <c r="B30" s="18">
        <v>60609.22152526</v>
      </c>
      <c r="C30" s="63">
        <f>B30/60609.22</f>
        <v>1.0000000251654781</v>
      </c>
      <c r="D30" s="18">
        <v>20206.750929999998</v>
      </c>
      <c r="E30" s="63">
        <f>D30/20206.75</f>
        <v>1.0000000460242244</v>
      </c>
      <c r="F30" s="18">
        <v>53779.339</v>
      </c>
      <c r="G30" s="63">
        <f>F30/53779.34</f>
        <v>0.99999998140549895</v>
      </c>
      <c r="H30" s="18">
        <v>60359.873846620001</v>
      </c>
      <c r="I30" s="18">
        <v>19373.193031999999</v>
      </c>
      <c r="J30" s="18">
        <v>49026.516000000003</v>
      </c>
      <c r="K30" s="24">
        <v>249.34767863999878</v>
      </c>
      <c r="L30" s="24">
        <v>4.1310172263383819E-3</v>
      </c>
      <c r="M30" s="24">
        <v>833.55789799999911</v>
      </c>
      <c r="N30" s="24">
        <v>4.302635588378001E-2</v>
      </c>
      <c r="O30" s="24">
        <v>4752.8229999999967</v>
      </c>
      <c r="P30" s="24">
        <v>9.694392724133194E-2</v>
      </c>
    </row>
    <row r="31" spans="1:16">
      <c r="A31" s="11" t="s">
        <v>438</v>
      </c>
      <c r="B31" s="18">
        <v>37427.435447169999</v>
      </c>
      <c r="C31" s="63">
        <f t="shared" ref="C31:E46" si="6">B31/60609.22</f>
        <v>0.61752049353497696</v>
      </c>
      <c r="D31" s="18">
        <v>12390.67297</v>
      </c>
      <c r="E31" s="63">
        <f t="shared" ref="E31:E47" si="7">D31/20206.75</f>
        <v>0.61319474779467253</v>
      </c>
      <c r="F31" s="18">
        <v>36143.936999999998</v>
      </c>
      <c r="G31" s="63">
        <f t="shared" ref="G31:G47" si="8">F31/53779.34</f>
        <v>0.67207847846403468</v>
      </c>
      <c r="H31" s="18">
        <v>38375.578127730005</v>
      </c>
      <c r="I31" s="18">
        <v>12378.231642000001</v>
      </c>
      <c r="J31" s="18">
        <v>33651.042000000001</v>
      </c>
      <c r="K31" s="24">
        <v>-948.14268056000583</v>
      </c>
      <c r="L31" s="24">
        <v>-2.4706928906821669E-2</v>
      </c>
      <c r="M31" s="24">
        <v>12.441327999998975</v>
      </c>
      <c r="N31" s="24">
        <v>1.005097364455912E-3</v>
      </c>
      <c r="O31" s="24">
        <v>2492.8949999999968</v>
      </c>
      <c r="P31" s="24">
        <v>7.4080766949207594E-2</v>
      </c>
    </row>
    <row r="32" spans="1:16">
      <c r="A32" s="11" t="s">
        <v>439</v>
      </c>
      <c r="B32" s="18">
        <v>420.07242322000002</v>
      </c>
      <c r="C32" s="63">
        <f t="shared" si="6"/>
        <v>6.9308336787703255E-3</v>
      </c>
      <c r="D32" s="18">
        <v>118.688068</v>
      </c>
      <c r="E32" s="63">
        <f t="shared" si="7"/>
        <v>5.8736841896890888E-3</v>
      </c>
      <c r="F32" s="18"/>
      <c r="G32" s="63">
        <f t="shared" si="8"/>
        <v>0</v>
      </c>
      <c r="H32" s="18">
        <v>251.03962128000001</v>
      </c>
      <c r="I32" s="18">
        <v>95.725133999999997</v>
      </c>
      <c r="J32" s="18"/>
      <c r="K32" s="24">
        <v>169.03280194000001</v>
      </c>
      <c r="L32" s="24">
        <v>0.67333117010827259</v>
      </c>
      <c r="M32" s="24">
        <v>22.962934000000004</v>
      </c>
      <c r="N32" s="24">
        <v>0.23988406221505007</v>
      </c>
      <c r="O32" s="24"/>
      <c r="P32" s="24"/>
    </row>
    <row r="33" spans="1:16">
      <c r="A33" s="11" t="s">
        <v>440</v>
      </c>
      <c r="B33" s="18">
        <v>14114.31649965</v>
      </c>
      <c r="C33" s="63">
        <f t="shared" si="6"/>
        <v>0.23287408251830333</v>
      </c>
      <c r="D33" s="18">
        <v>5619.2450200000003</v>
      </c>
      <c r="E33" s="63">
        <f t="shared" si="7"/>
        <v>0.27808752124908759</v>
      </c>
      <c r="F33" s="18">
        <v>13435.206</v>
      </c>
      <c r="G33" s="63">
        <f t="shared" si="8"/>
        <v>0.24982095354833289</v>
      </c>
      <c r="H33" s="18">
        <v>13258.33424939</v>
      </c>
      <c r="I33" s="18">
        <v>5391.6970780000001</v>
      </c>
      <c r="J33" s="18">
        <v>10985.039000000001</v>
      </c>
      <c r="K33" s="24">
        <v>855.98225026</v>
      </c>
      <c r="L33" s="24">
        <v>6.4561824597187442E-2</v>
      </c>
      <c r="M33" s="24">
        <v>227.54794200000015</v>
      </c>
      <c r="N33" s="24">
        <v>4.2203398801552654E-2</v>
      </c>
      <c r="O33" s="24">
        <v>2450.1669999999995</v>
      </c>
      <c r="P33" s="24">
        <v>0.22304581713364871</v>
      </c>
    </row>
    <row r="34" spans="1:16">
      <c r="A34" s="11" t="s">
        <v>441</v>
      </c>
      <c r="B34" s="18">
        <v>3456.6660284099999</v>
      </c>
      <c r="C34" s="63">
        <f t="shared" si="6"/>
        <v>5.7032016389750598E-2</v>
      </c>
      <c r="D34" s="18">
        <v>771.68583699999999</v>
      </c>
      <c r="E34" s="63">
        <f t="shared" si="7"/>
        <v>3.8189507812983282E-2</v>
      </c>
      <c r="F34" s="18">
        <v>2471.3649999999998</v>
      </c>
      <c r="G34" s="63">
        <f t="shared" si="8"/>
        <v>4.5953799358638463E-2</v>
      </c>
      <c r="H34" s="18">
        <v>3456.1638697399999</v>
      </c>
      <c r="I34" s="18">
        <v>682.52172599999994</v>
      </c>
      <c r="J34" s="18">
        <v>1871.25</v>
      </c>
      <c r="K34" s="24">
        <v>0.50215866999997161</v>
      </c>
      <c r="L34" s="24">
        <v>1.4529365184230919E-4</v>
      </c>
      <c r="M34" s="24">
        <v>89.164111000000048</v>
      </c>
      <c r="N34" s="24">
        <v>0.13063922744636564</v>
      </c>
      <c r="O34" s="24">
        <v>600.11499999999978</v>
      </c>
      <c r="P34" s="24">
        <v>0.32070273881095512</v>
      </c>
    </row>
    <row r="35" spans="1:16">
      <c r="A35" s="11" t="s">
        <v>442</v>
      </c>
      <c r="B35" s="18">
        <v>23.879679280000001</v>
      </c>
      <c r="C35" s="63">
        <f t="shared" si="6"/>
        <v>3.9399416920395943E-4</v>
      </c>
      <c r="D35" s="18">
        <v>290.11800599999998</v>
      </c>
      <c r="E35" s="63">
        <f t="shared" si="7"/>
        <v>1.4357479852029642E-2</v>
      </c>
      <c r="F35" s="18">
        <v>-184.14400000000001</v>
      </c>
      <c r="G35" s="63">
        <f t="shared" si="8"/>
        <v>-3.4240658215589858E-3</v>
      </c>
      <c r="H35" s="18">
        <v>297.16278702999995</v>
      </c>
      <c r="I35" s="18">
        <v>139.634613</v>
      </c>
      <c r="J35" s="18">
        <v>-244.63900000000001</v>
      </c>
      <c r="K35" s="24">
        <v>-273.28310774999994</v>
      </c>
      <c r="L35" s="24">
        <v>-0.919641084542698</v>
      </c>
      <c r="M35" s="24">
        <v>150.48339299999998</v>
      </c>
      <c r="N35" s="24">
        <v>1.0776940599964278</v>
      </c>
      <c r="O35" s="24">
        <v>60.495000000000005</v>
      </c>
      <c r="P35" s="24">
        <v>-0.24728273088101244</v>
      </c>
    </row>
    <row r="36" spans="1:16">
      <c r="A36" s="11" t="s">
        <v>443</v>
      </c>
      <c r="B36" s="18">
        <v>45.700243619999995</v>
      </c>
      <c r="C36" s="63">
        <f t="shared" si="6"/>
        <v>7.540147129430142E-4</v>
      </c>
      <c r="D36" s="18">
        <v>53.749904000000001</v>
      </c>
      <c r="E36" s="63">
        <f t="shared" si="7"/>
        <v>2.6599974760909101E-3</v>
      </c>
      <c r="F36" s="18"/>
      <c r="G36" s="63">
        <f t="shared" si="8"/>
        <v>0</v>
      </c>
      <c r="H36" s="18">
        <v>13.620769429999999</v>
      </c>
      <c r="I36" s="18">
        <v>25.836783</v>
      </c>
      <c r="J36" s="18"/>
      <c r="K36" s="24">
        <v>32.079474189999999</v>
      </c>
      <c r="L36" s="24">
        <v>2.3551881084885231</v>
      </c>
      <c r="M36" s="24">
        <v>27.913121</v>
      </c>
      <c r="N36" s="24">
        <v>1.080363642795622</v>
      </c>
      <c r="O36" s="24"/>
      <c r="P36" s="24"/>
    </row>
    <row r="37" spans="1:16">
      <c r="A37" s="11" t="s">
        <v>444</v>
      </c>
      <c r="B37" s="18">
        <v>0</v>
      </c>
      <c r="C37" s="63">
        <f t="shared" si="6"/>
        <v>0</v>
      </c>
      <c r="D37" s="18">
        <v>12.790570000000001</v>
      </c>
      <c r="E37" s="63">
        <f t="shared" si="7"/>
        <v>6.3298501738280524E-4</v>
      </c>
      <c r="F37" s="18">
        <v>0</v>
      </c>
      <c r="G37" s="63">
        <f t="shared" si="8"/>
        <v>0</v>
      </c>
      <c r="H37" s="18">
        <v>0</v>
      </c>
      <c r="I37" s="18">
        <v>9.4739050000000002</v>
      </c>
      <c r="J37" s="18">
        <v>0</v>
      </c>
      <c r="K37" s="24"/>
      <c r="L37" s="24" t="s">
        <v>445</v>
      </c>
      <c r="M37" s="24"/>
      <c r="N37" s="24" t="s">
        <v>445</v>
      </c>
      <c r="O37" s="24"/>
      <c r="P37" s="24" t="s">
        <v>445</v>
      </c>
    </row>
    <row r="38" spans="1:16">
      <c r="A38" s="11" t="s">
        <v>446</v>
      </c>
      <c r="B38" s="18">
        <v>399.26100793000001</v>
      </c>
      <c r="C38" s="63">
        <f t="shared" si="6"/>
        <v>6.5874632263870081E-3</v>
      </c>
      <c r="D38" s="18">
        <v>0.13145499999999999</v>
      </c>
      <c r="E38" s="63">
        <f t="shared" si="7"/>
        <v>6.5054993999529856E-6</v>
      </c>
      <c r="F38" s="18"/>
      <c r="G38" s="63">
        <f t="shared" si="8"/>
        <v>0</v>
      </c>
      <c r="H38" s="18">
        <v>186.34754736000002</v>
      </c>
      <c r="I38" s="18">
        <v>-0.31408599999999998</v>
      </c>
      <c r="J38" s="18"/>
      <c r="K38" s="24">
        <v>212.91346056999998</v>
      </c>
      <c r="L38" s="24">
        <v>1.1425611100675126</v>
      </c>
      <c r="M38" s="24">
        <v>0.44554099999999996</v>
      </c>
      <c r="N38" s="24">
        <v>-1.4185318670682552</v>
      </c>
      <c r="O38" s="24"/>
      <c r="P38" s="24"/>
    </row>
    <row r="39" spans="1:16">
      <c r="A39" s="11" t="s">
        <v>447</v>
      </c>
      <c r="B39" s="18">
        <v>5520.4122118400001</v>
      </c>
      <c r="C39" s="63">
        <f t="shared" si="6"/>
        <v>9.1082053387916889E-2</v>
      </c>
      <c r="D39" s="18">
        <v>975.51315</v>
      </c>
      <c r="E39" s="63">
        <f t="shared" si="7"/>
        <v>4.8276598166454278E-2</v>
      </c>
      <c r="F39" s="18">
        <v>-235.90899999999999</v>
      </c>
      <c r="G39" s="63">
        <f t="shared" si="8"/>
        <v>-4.3866101740928764E-3</v>
      </c>
      <c r="H39" s="18">
        <v>4894.3219693800002</v>
      </c>
      <c r="I39" s="18">
        <v>668.70587499999999</v>
      </c>
      <c r="J39" s="18">
        <v>2892.5010000000002</v>
      </c>
      <c r="K39" s="24">
        <v>626.0902424599999</v>
      </c>
      <c r="L39" s="24">
        <v>0.12792175226251234</v>
      </c>
      <c r="M39" s="24">
        <v>306.807275</v>
      </c>
      <c r="N39" s="24">
        <v>0.45880750636443862</v>
      </c>
      <c r="O39" s="24">
        <v>-3128.4100000000003</v>
      </c>
      <c r="P39" s="24">
        <v>-1.0815588309217525</v>
      </c>
    </row>
    <row r="40" spans="1:16">
      <c r="A40" s="11" t="s">
        <v>448</v>
      </c>
      <c r="B40" s="18">
        <v>1178.78154053</v>
      </c>
      <c r="C40" s="63">
        <f t="shared" si="6"/>
        <v>1.9448881548549873E-2</v>
      </c>
      <c r="D40" s="18">
        <v>144.52142699999999</v>
      </c>
      <c r="E40" s="63">
        <f t="shared" si="7"/>
        <v>7.1521361426256074E-3</v>
      </c>
      <c r="F40" s="18"/>
      <c r="G40" s="63">
        <f t="shared" si="8"/>
        <v>0</v>
      </c>
      <c r="H40" s="18">
        <v>712.27153261000001</v>
      </c>
      <c r="I40" s="18">
        <v>86.518749999999997</v>
      </c>
      <c r="J40" s="18"/>
      <c r="K40" s="24">
        <v>466.51000792000002</v>
      </c>
      <c r="L40" s="24">
        <v>0.65496090544367547</v>
      </c>
      <c r="M40" s="24">
        <v>58.002676999999991</v>
      </c>
      <c r="N40" s="24">
        <v>0.67040586000144464</v>
      </c>
      <c r="O40" s="24"/>
      <c r="P40" s="24"/>
    </row>
    <row r="41" spans="1:16">
      <c r="A41" s="11" t="s">
        <v>449</v>
      </c>
      <c r="B41" s="18">
        <v>67.121748459999992</v>
      </c>
      <c r="C41" s="63">
        <f t="shared" si="6"/>
        <v>1.1074511181632101E-3</v>
      </c>
      <c r="D41" s="18">
        <v>103.053781</v>
      </c>
      <c r="E41" s="63">
        <f t="shared" si="7"/>
        <v>5.0999681294616895E-3</v>
      </c>
      <c r="F41" s="18">
        <v>-225.477</v>
      </c>
      <c r="G41" s="63">
        <f t="shared" si="8"/>
        <v>-4.1926323379944796E-3</v>
      </c>
      <c r="H41" s="18">
        <v>83.060037719999997</v>
      </c>
      <c r="I41" s="18">
        <v>50.315752000000003</v>
      </c>
      <c r="J41" s="18">
        <v>137.66900000000001</v>
      </c>
      <c r="K41" s="24">
        <v>-15.938289260000005</v>
      </c>
      <c r="L41" s="24">
        <v>-0.19188877946009203</v>
      </c>
      <c r="M41" s="24">
        <v>52.738028999999997</v>
      </c>
      <c r="N41" s="24">
        <v>1.0481415243480807</v>
      </c>
      <c r="O41" s="24">
        <v>-363.14600000000002</v>
      </c>
      <c r="P41" s="24">
        <v>-2.6378196979712207</v>
      </c>
    </row>
    <row r="42" spans="1:16">
      <c r="A42" s="11" t="s">
        <v>450</v>
      </c>
      <c r="B42" s="18">
        <v>43.50549633</v>
      </c>
      <c r="C42" s="63">
        <f t="shared" si="6"/>
        <v>7.1780327036051613E-4</v>
      </c>
      <c r="D42" s="18">
        <v>90.757262999999995</v>
      </c>
      <c r="E42" s="63">
        <f t="shared" si="7"/>
        <v>4.491432961757828E-3</v>
      </c>
      <c r="F42" s="18"/>
      <c r="G42" s="63">
        <f t="shared" si="8"/>
        <v>0</v>
      </c>
      <c r="H42" s="18">
        <v>27.138519500000001</v>
      </c>
      <c r="I42" s="18">
        <v>41.147646999999999</v>
      </c>
      <c r="J42" s="18"/>
      <c r="K42" s="24">
        <v>16.366976829999999</v>
      </c>
      <c r="L42" s="24">
        <v>0.6030902617956001</v>
      </c>
      <c r="M42" s="24">
        <v>49.609615999999995</v>
      </c>
      <c r="N42" s="24">
        <v>1.20564891596353</v>
      </c>
      <c r="O42" s="24"/>
      <c r="P42" s="24"/>
    </row>
    <row r="43" spans="1:16">
      <c r="A43" s="11" t="s">
        <v>451</v>
      </c>
      <c r="B43" s="18">
        <v>6632.0720039099997</v>
      </c>
      <c r="C43" s="63">
        <f t="shared" si="6"/>
        <v>0.10942348381830354</v>
      </c>
      <c r="D43" s="18">
        <v>1016.9807960000001</v>
      </c>
      <c r="E43" s="63">
        <f t="shared" si="7"/>
        <v>5.0328766179618199E-2</v>
      </c>
      <c r="F43" s="18">
        <v>-461.38600000000002</v>
      </c>
      <c r="G43" s="63">
        <f t="shared" si="8"/>
        <v>-8.579242512087356E-3</v>
      </c>
      <c r="H43" s="18">
        <v>5523.5334642700009</v>
      </c>
      <c r="I43" s="18">
        <v>704.90887299999997</v>
      </c>
      <c r="J43" s="18">
        <v>3030.17</v>
      </c>
      <c r="K43" s="24">
        <v>1108.5385396399988</v>
      </c>
      <c r="L43" s="24">
        <v>0.20069373107102287</v>
      </c>
      <c r="M43" s="24">
        <v>312.07192300000008</v>
      </c>
      <c r="N43" s="24">
        <v>0.44271243412196359</v>
      </c>
      <c r="O43" s="24">
        <v>-3491.556</v>
      </c>
      <c r="P43" s="24">
        <v>-1.1522640643924269</v>
      </c>
    </row>
    <row r="44" spans="1:16">
      <c r="A44" s="11" t="s">
        <v>452</v>
      </c>
      <c r="B44" s="18">
        <v>963.03676703999997</v>
      </c>
      <c r="C44" s="63">
        <f t="shared" si="6"/>
        <v>1.5889278348079714E-2</v>
      </c>
      <c r="D44" s="18">
        <v>341.71931999999998</v>
      </c>
      <c r="E44" s="63">
        <f t="shared" si="7"/>
        <v>1.6911147017704478E-2</v>
      </c>
      <c r="F44" s="18">
        <v>351.37900000000002</v>
      </c>
      <c r="G44" s="63">
        <f t="shared" si="8"/>
        <v>6.5337172230079442E-3</v>
      </c>
      <c r="H44" s="18">
        <v>869.10838322000006</v>
      </c>
      <c r="I44" s="18">
        <v>208.809213</v>
      </c>
      <c r="J44" s="18">
        <v>510.03800000000001</v>
      </c>
      <c r="K44" s="24">
        <v>93.928383819999908</v>
      </c>
      <c r="L44" s="24">
        <v>0.10807441929394383</v>
      </c>
      <c r="M44" s="24">
        <v>132.91010699999998</v>
      </c>
      <c r="N44" s="24">
        <v>0.63651457275498657</v>
      </c>
      <c r="O44" s="24">
        <v>-158.65899999999999</v>
      </c>
      <c r="P44" s="24">
        <v>-0.31107290045055463</v>
      </c>
    </row>
    <row r="45" spans="1:16">
      <c r="A45" s="11" t="s">
        <v>453</v>
      </c>
      <c r="B45" s="18">
        <v>5669.0352368699996</v>
      </c>
      <c r="C45" s="63">
        <f t="shared" si="6"/>
        <v>9.3534205470223827E-2</v>
      </c>
      <c r="D45" s="18">
        <v>675.26147600000002</v>
      </c>
      <c r="E45" s="63">
        <f t="shared" si="7"/>
        <v>3.3417619161913721E-2</v>
      </c>
      <c r="F45" s="18">
        <v>-812.76499999999999</v>
      </c>
      <c r="G45" s="63">
        <f t="shared" si="8"/>
        <v>-1.5112959735095299E-2</v>
      </c>
      <c r="H45" s="18">
        <v>4654.4250810499998</v>
      </c>
      <c r="I45" s="18">
        <v>496.09965999999997</v>
      </c>
      <c r="J45" s="18">
        <v>2520.2539999999999</v>
      </c>
      <c r="K45" s="24">
        <v>1014.6101558199998</v>
      </c>
      <c r="L45" s="24">
        <v>0.21798828816707738</v>
      </c>
      <c r="M45" s="24">
        <v>179.16181600000004</v>
      </c>
      <c r="N45" s="24">
        <v>0.36114077562560726</v>
      </c>
      <c r="O45" s="24">
        <v>-3333.0189999999998</v>
      </c>
      <c r="P45" s="24">
        <v>-1.3224932883749019</v>
      </c>
    </row>
    <row r="46" spans="1:16">
      <c r="A46" s="11" t="s">
        <v>454</v>
      </c>
      <c r="B46" s="18">
        <v>5661.8077471400002</v>
      </c>
      <c r="C46" s="63">
        <f t="shared" si="6"/>
        <v>9.341495810604393E-2</v>
      </c>
      <c r="D46" s="18">
        <v>563.18536500000005</v>
      </c>
      <c r="E46" s="63">
        <f t="shared" si="7"/>
        <v>2.7871150234451362E-2</v>
      </c>
      <c r="F46" s="18">
        <v>-751.15499999999997</v>
      </c>
      <c r="G46" s="63">
        <f t="shared" si="8"/>
        <v>-1.3967352518643778E-2</v>
      </c>
      <c r="H46" s="18">
        <v>4631.7918230499999</v>
      </c>
      <c r="I46" s="18">
        <v>418.32995</v>
      </c>
      <c r="J46" s="18">
        <v>2367.2910000000002</v>
      </c>
      <c r="K46" s="24">
        <v>1030.0159240900002</v>
      </c>
      <c r="L46" s="24">
        <v>0.22237958082747825</v>
      </c>
      <c r="M46" s="24">
        <v>144.85541500000005</v>
      </c>
      <c r="N46" s="24">
        <v>0.34627072481900961</v>
      </c>
      <c r="O46" s="24">
        <v>-3118.4459999999999</v>
      </c>
      <c r="P46" s="24">
        <v>-1.3173057304742002</v>
      </c>
    </row>
    <row r="47" spans="1:16">
      <c r="A47" s="11" t="s">
        <v>362</v>
      </c>
      <c r="B47" s="18">
        <v>7.2274897300000003</v>
      </c>
      <c r="C47" s="63">
        <f>B47/60609.22</f>
        <v>1.192473641799053E-4</v>
      </c>
      <c r="D47" s="18">
        <v>112.076111</v>
      </c>
      <c r="E47" s="63">
        <f t="shared" si="7"/>
        <v>5.5464689274623575E-3</v>
      </c>
      <c r="F47" s="18">
        <v>-61.61</v>
      </c>
      <c r="G47" s="63">
        <f t="shared" si="8"/>
        <v>-1.1456072164515222E-3</v>
      </c>
      <c r="H47" s="18">
        <v>22.633258000000001</v>
      </c>
      <c r="I47" s="18">
        <v>77.769710000000003</v>
      </c>
      <c r="J47" s="18">
        <v>152.96299999999999</v>
      </c>
      <c r="K47" s="24">
        <v>-15.405768270000001</v>
      </c>
      <c r="L47" s="24">
        <v>-0.68066949398093723</v>
      </c>
      <c r="M47" s="24">
        <v>34.306400999999994</v>
      </c>
      <c r="N47" s="24">
        <v>0.44112805615451045</v>
      </c>
      <c r="O47" s="24">
        <v>-214.57299999999998</v>
      </c>
      <c r="P47" s="24">
        <v>-1.4027771421847113</v>
      </c>
    </row>
    <row r="48" spans="1:16">
      <c r="A48" s="11" t="s">
        <v>455</v>
      </c>
      <c r="K48" s="24"/>
      <c r="L48" s="24"/>
      <c r="M48" s="24"/>
      <c r="N48" s="24"/>
      <c r="O48" s="24"/>
      <c r="P48" s="24"/>
    </row>
    <row r="49" spans="1:16">
      <c r="A49" s="11" t="s">
        <v>456</v>
      </c>
      <c r="B49">
        <v>0.93</v>
      </c>
      <c r="D49">
        <v>0.46</v>
      </c>
      <c r="F49">
        <v>-0.193</v>
      </c>
      <c r="H49">
        <v>0.76</v>
      </c>
      <c r="I49">
        <v>0.34</v>
      </c>
      <c r="J49">
        <v>0.60899999999999999</v>
      </c>
      <c r="K49" s="24">
        <v>0.17000000000000004</v>
      </c>
      <c r="L49" s="24">
        <v>0.22368421052631585</v>
      </c>
      <c r="M49" s="24">
        <v>0.12</v>
      </c>
      <c r="N49" s="24">
        <v>0.3529411764705882</v>
      </c>
      <c r="O49" s="24">
        <v>-0.80200000000000005</v>
      </c>
      <c r="P49" s="24">
        <v>-1.316912972085386</v>
      </c>
    </row>
    <row r="50" spans="1:16">
      <c r="A50" s="11" t="s">
        <v>457</v>
      </c>
      <c r="B50">
        <v>0.93</v>
      </c>
      <c r="D50">
        <v>0.46</v>
      </c>
      <c r="F50">
        <v>-0.193</v>
      </c>
      <c r="H50">
        <v>0.76</v>
      </c>
      <c r="I50">
        <v>0.34</v>
      </c>
      <c r="J50">
        <v>0.60699999999999998</v>
      </c>
      <c r="K50" s="24">
        <v>0.17000000000000004</v>
      </c>
      <c r="L50" s="24">
        <v>0.22368421052631585</v>
      </c>
      <c r="M50" s="24">
        <v>0.12</v>
      </c>
      <c r="N50" s="24">
        <v>0.3529411764705882</v>
      </c>
      <c r="O50" s="24">
        <v>-0.8</v>
      </c>
      <c r="P50" s="24">
        <v>-1.3179571663920924</v>
      </c>
    </row>
  </sheetData>
  <mergeCells count="3">
    <mergeCell ref="K1:L2"/>
    <mergeCell ref="M1:N2"/>
    <mergeCell ref="O1:P2"/>
  </mergeCells>
  <phoneticPr fontId="2" type="noConversion"/>
  <conditionalFormatting sqref="B3:C3 H3:I3 F3:G5 F7:G9 F17:G21 F23:G24 F11:G11 F13:G13">
    <cfRule type="cellIs" dxfId="61" priority="55" stopIfTrue="1" operator="lessThan">
      <formula>0</formula>
    </cfRule>
  </conditionalFormatting>
  <conditionalFormatting sqref="D3:E3">
    <cfRule type="cellIs" dxfId="60" priority="54" stopIfTrue="1" operator="lessThan">
      <formula>0</formula>
    </cfRule>
  </conditionalFormatting>
  <conditionalFormatting sqref="B4:E4 H4:I4">
    <cfRule type="cellIs" dxfId="59" priority="53" stopIfTrue="1" operator="lessThan">
      <formula>0</formula>
    </cfRule>
  </conditionalFormatting>
  <conditionalFormatting sqref="B5:E5 H5:I5">
    <cfRule type="cellIs" dxfId="58" priority="51" stopIfTrue="1" operator="lessThan">
      <formula>0</formula>
    </cfRule>
  </conditionalFormatting>
  <conditionalFormatting sqref="B6:E9 H6:I9">
    <cfRule type="cellIs" dxfId="57" priority="50" stopIfTrue="1" operator="lessThan">
      <formula>0</formula>
    </cfRule>
  </conditionalFormatting>
  <conditionalFormatting sqref="B10:E10 H10:I10">
    <cfRule type="cellIs" dxfId="56" priority="49" stopIfTrue="1" operator="lessThan">
      <formula>0</formula>
    </cfRule>
  </conditionalFormatting>
  <conditionalFormatting sqref="B11:E11 H11:I11">
    <cfRule type="cellIs" dxfId="55" priority="48" stopIfTrue="1" operator="lessThan">
      <formula>0</formula>
    </cfRule>
  </conditionalFormatting>
  <conditionalFormatting sqref="B12:E12 H12:I12">
    <cfRule type="cellIs" dxfId="54" priority="47" stopIfTrue="1" operator="lessThan">
      <formula>0</formula>
    </cfRule>
  </conditionalFormatting>
  <conditionalFormatting sqref="B13:E15 H13:I15">
    <cfRule type="cellIs" dxfId="53" priority="46" stopIfTrue="1" operator="lessThan">
      <formula>0</formula>
    </cfRule>
  </conditionalFormatting>
  <conditionalFormatting sqref="B16:E16 H16:I16">
    <cfRule type="cellIs" dxfId="52" priority="45" stopIfTrue="1" operator="lessThan">
      <formula>0</formula>
    </cfRule>
  </conditionalFormatting>
  <conditionalFormatting sqref="B17:E18 H17:I18">
    <cfRule type="cellIs" dxfId="51" priority="44" stopIfTrue="1" operator="lessThan">
      <formula>0</formula>
    </cfRule>
  </conditionalFormatting>
  <conditionalFormatting sqref="B19:E20 H19:I20">
    <cfRule type="cellIs" dxfId="50" priority="43" stopIfTrue="1" operator="lessThan">
      <formula>0</formula>
    </cfRule>
  </conditionalFormatting>
  <conditionalFormatting sqref="B21:E21 H21:I21">
    <cfRule type="cellIs" dxfId="49" priority="42" stopIfTrue="1" operator="lessThan">
      <formula>0</formula>
    </cfRule>
  </conditionalFormatting>
  <conditionalFormatting sqref="B23:E24 H23:I24">
    <cfRule type="cellIs" dxfId="48" priority="41" stopIfTrue="1" operator="lessThan">
      <formula>0</formula>
    </cfRule>
  </conditionalFormatting>
  <conditionalFormatting sqref="F15:G15">
    <cfRule type="cellIs" dxfId="47" priority="32" stopIfTrue="1" operator="lessThan">
      <formula>0</formula>
    </cfRule>
  </conditionalFormatting>
  <conditionalFormatting sqref="J3">
    <cfRule type="cellIs" dxfId="46" priority="30" stopIfTrue="1" operator="lessThan">
      <formula>0</formula>
    </cfRule>
  </conditionalFormatting>
  <conditionalFormatting sqref="J4">
    <cfRule type="cellIs" dxfId="45" priority="29" stopIfTrue="1" operator="lessThan">
      <formula>0</formula>
    </cfRule>
  </conditionalFormatting>
  <conditionalFormatting sqref="J5">
    <cfRule type="cellIs" dxfId="44" priority="28" stopIfTrue="1" operator="lessThan">
      <formula>0</formula>
    </cfRule>
  </conditionalFormatting>
  <conditionalFormatting sqref="J6:J9">
    <cfRule type="cellIs" dxfId="43" priority="27" stopIfTrue="1" operator="lessThan">
      <formula>0</formula>
    </cfRule>
  </conditionalFormatting>
  <conditionalFormatting sqref="J10">
    <cfRule type="cellIs" dxfId="42" priority="26" stopIfTrue="1" operator="lessThan">
      <formula>0</formula>
    </cfRule>
  </conditionalFormatting>
  <conditionalFormatting sqref="J11">
    <cfRule type="cellIs" dxfId="41" priority="25" stopIfTrue="1" operator="lessThan">
      <formula>0</formula>
    </cfRule>
  </conditionalFormatting>
  <conditionalFormatting sqref="J12">
    <cfRule type="cellIs" dxfId="40" priority="24" stopIfTrue="1" operator="lessThan">
      <formula>0</formula>
    </cfRule>
  </conditionalFormatting>
  <conditionalFormatting sqref="J13:J15">
    <cfRule type="cellIs" dxfId="39" priority="23" stopIfTrue="1" operator="lessThan">
      <formula>0</formula>
    </cfRule>
  </conditionalFormatting>
  <conditionalFormatting sqref="J16">
    <cfRule type="cellIs" dxfId="38" priority="22" stopIfTrue="1" operator="lessThan">
      <formula>0</formula>
    </cfRule>
  </conditionalFormatting>
  <conditionalFormatting sqref="J17:J18">
    <cfRule type="cellIs" dxfId="37" priority="21" stopIfTrue="1" operator="lessThan">
      <formula>0</formula>
    </cfRule>
  </conditionalFormatting>
  <conditionalFormatting sqref="J19:J20">
    <cfRule type="cellIs" dxfId="36" priority="20" stopIfTrue="1" operator="lessThan">
      <formula>0</formula>
    </cfRule>
  </conditionalFormatting>
  <conditionalFormatting sqref="J21">
    <cfRule type="cellIs" dxfId="35" priority="19" stopIfTrue="1" operator="lessThan">
      <formula>0</formula>
    </cfRule>
  </conditionalFormatting>
  <conditionalFormatting sqref="J23:J24">
    <cfRule type="cellIs" dxfId="34" priority="18" stopIfTrue="1" operator="lessThan">
      <formula>0</formula>
    </cfRule>
  </conditionalFormatting>
  <conditionalFormatting sqref="B30:C47">
    <cfRule type="cellIs" dxfId="33" priority="17" stopIfTrue="1" operator="lessThan">
      <formula>0</formula>
    </cfRule>
  </conditionalFormatting>
  <conditionalFormatting sqref="B29:C29 F29:I29">
    <cfRule type="cellIs" dxfId="32" priority="16" stopIfTrue="1" operator="lessThan">
      <formula>0</formula>
    </cfRule>
  </conditionalFormatting>
  <conditionalFormatting sqref="D29:E29">
    <cfRule type="cellIs" dxfId="31" priority="15" stopIfTrue="1" operator="lessThan">
      <formula>0</formula>
    </cfRule>
  </conditionalFormatting>
  <conditionalFormatting sqref="J29">
    <cfRule type="cellIs" dxfId="30" priority="14" stopIfTrue="1" operator="lessThan">
      <formula>0</formula>
    </cfRule>
  </conditionalFormatting>
  <conditionalFormatting sqref="D30 F30 H30:J30">
    <cfRule type="cellIs" dxfId="29" priority="13" stopIfTrue="1" operator="lessThan">
      <formula>0</formula>
    </cfRule>
  </conditionalFormatting>
  <conditionalFormatting sqref="D31 F31 H31:J31">
    <cfRule type="cellIs" dxfId="28" priority="12" stopIfTrue="1" operator="lessThan">
      <formula>0</formula>
    </cfRule>
  </conditionalFormatting>
  <conditionalFormatting sqref="D32:D35 F32:F35 H32:J35">
    <cfRule type="cellIs" dxfId="27" priority="11" stopIfTrue="1" operator="lessThan">
      <formula>0</formula>
    </cfRule>
  </conditionalFormatting>
  <conditionalFormatting sqref="D36 F36 H36:J36">
    <cfRule type="cellIs" dxfId="26" priority="10" stopIfTrue="1" operator="lessThan">
      <formula>0</formula>
    </cfRule>
  </conditionalFormatting>
  <conditionalFormatting sqref="D37 F37 H37:J37">
    <cfRule type="cellIs" dxfId="25" priority="9" stopIfTrue="1" operator="lessThan">
      <formula>0</formula>
    </cfRule>
  </conditionalFormatting>
  <conditionalFormatting sqref="D38 F38 H38:J38">
    <cfRule type="cellIs" dxfId="24" priority="8" stopIfTrue="1" operator="lessThan">
      <formula>0</formula>
    </cfRule>
  </conditionalFormatting>
  <conditionalFormatting sqref="D39:D41 F39:F41 H39:J41">
    <cfRule type="cellIs" dxfId="23" priority="7" stopIfTrue="1" operator="lessThan">
      <formula>0</formula>
    </cfRule>
  </conditionalFormatting>
  <conditionalFormatting sqref="D42 F42 H42:J42">
    <cfRule type="cellIs" dxfId="22" priority="6" stopIfTrue="1" operator="lessThan">
      <formula>0</formula>
    </cfRule>
  </conditionalFormatting>
  <conditionalFormatting sqref="D43:D44 F43:F44 H43:J44">
    <cfRule type="cellIs" dxfId="21" priority="5" stopIfTrue="1" operator="lessThan">
      <formula>0</formula>
    </cfRule>
  </conditionalFormatting>
  <conditionalFormatting sqref="D45:D46 F45:F46 H45:J46">
    <cfRule type="cellIs" dxfId="20" priority="4" stopIfTrue="1" operator="lessThan">
      <formula>0</formula>
    </cfRule>
  </conditionalFormatting>
  <conditionalFormatting sqref="D47 F47 H47:J47">
    <cfRule type="cellIs" dxfId="19" priority="3" stopIfTrue="1" operator="lessThan">
      <formula>0</formula>
    </cfRule>
  </conditionalFormatting>
  <conditionalFormatting sqref="E30:E47">
    <cfRule type="cellIs" dxfId="5" priority="2" stopIfTrue="1" operator="lessThan">
      <formula>0</formula>
    </cfRule>
  </conditionalFormatting>
  <conditionalFormatting sqref="G30:G47">
    <cfRule type="cellIs" dxfId="3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topLeftCell="B88" zoomScale="90" zoomScaleNormal="90" workbookViewId="0">
      <selection activeCell="J73" sqref="J73"/>
    </sheetView>
  </sheetViews>
  <sheetFormatPr defaultColWidth="9" defaultRowHeight="14"/>
  <cols>
    <col min="1" max="1" width="29.54296875" style="11" bestFit="1" customWidth="1"/>
    <col min="2" max="7" width="13.26953125" style="11" bestFit="1" customWidth="1"/>
    <col min="8" max="8" width="11.54296875" style="12" bestFit="1" customWidth="1"/>
    <col min="9" max="9" width="11.54296875" style="25" bestFit="1" customWidth="1"/>
    <col min="10" max="10" width="9" style="12"/>
    <col min="11" max="11" width="9.453125" style="25" bestFit="1" customWidth="1"/>
    <col min="12" max="12" width="11.54296875" style="12" bestFit="1" customWidth="1"/>
    <col min="13" max="13" width="9" style="25"/>
    <col min="14" max="16384" width="9" style="11"/>
  </cols>
  <sheetData>
    <row r="1" spans="1:13">
      <c r="A1" s="40"/>
      <c r="B1" s="27" t="s">
        <v>4</v>
      </c>
      <c r="C1" s="27" t="s">
        <v>6</v>
      </c>
      <c r="D1" s="27" t="s">
        <v>252</v>
      </c>
      <c r="E1" s="34" t="s">
        <v>4</v>
      </c>
      <c r="F1" s="34" t="s">
        <v>6</v>
      </c>
      <c r="G1" s="42" t="s">
        <v>337</v>
      </c>
      <c r="H1" s="59" t="s">
        <v>369</v>
      </c>
      <c r="I1" s="59"/>
      <c r="J1" s="59" t="s">
        <v>370</v>
      </c>
      <c r="K1" s="59"/>
      <c r="L1" s="59" t="s">
        <v>371</v>
      </c>
      <c r="M1" s="59"/>
    </row>
    <row r="2" spans="1:13">
      <c r="A2" s="40"/>
      <c r="B2" s="28" t="e">
        <f ca="1">[1]!thsiFinD("ths_gpjc_stock",B1)</f>
        <v>#NAME?</v>
      </c>
      <c r="C2" s="28" t="e">
        <f ca="1">[1]!thsiFinD("ths_gpjc_stock",C1)</f>
        <v>#NAME?</v>
      </c>
      <c r="D2" s="28" t="e">
        <f ca="1">[1]!thsiFinD("ths_gpjc_stock",D1)</f>
        <v>#NAME?</v>
      </c>
      <c r="E2" s="35" t="e">
        <f ca="1">[1]!thsiFinD("ths_gpjc_stock",E1)</f>
        <v>#NAME?</v>
      </c>
      <c r="F2" s="35" t="e">
        <f ca="1">[1]!thsiFinD("ths_gpjc_stock",F1)</f>
        <v>#NAME?</v>
      </c>
      <c r="G2" s="43" t="e">
        <f ca="1">[1]!thsiFinD("ths_gpjc_stock",G1)</f>
        <v>#NAME?</v>
      </c>
      <c r="H2" s="59"/>
      <c r="I2" s="59"/>
      <c r="J2" s="59"/>
      <c r="K2" s="59"/>
      <c r="L2" s="59"/>
      <c r="M2" s="59"/>
    </row>
    <row r="3" spans="1:13">
      <c r="A3" s="40"/>
      <c r="B3" s="36">
        <v>42735</v>
      </c>
      <c r="C3" s="36">
        <v>42735</v>
      </c>
      <c r="D3" s="36" t="e">
        <f ca="1">[1]!thsiFinD("ths_yjbgjzrq_hk",D1,2016,4)</f>
        <v>#NAME?</v>
      </c>
      <c r="E3" s="36">
        <v>42369</v>
      </c>
      <c r="F3" s="36">
        <v>42369</v>
      </c>
      <c r="G3" s="44" t="e">
        <f ca="1">[1]!thsiFinD("ths_yjbgjzrq_hk",G1,2015,4)</f>
        <v>#NAME?</v>
      </c>
      <c r="H3" s="23" t="s">
        <v>372</v>
      </c>
      <c r="I3" s="41" t="s">
        <v>373</v>
      </c>
      <c r="J3" s="23" t="s">
        <v>372</v>
      </c>
      <c r="K3" s="41" t="s">
        <v>373</v>
      </c>
      <c r="L3" s="23" t="s">
        <v>372</v>
      </c>
      <c r="M3" s="41" t="s">
        <v>373</v>
      </c>
    </row>
    <row r="4" spans="1:13">
      <c r="A4" s="37" t="s">
        <v>54</v>
      </c>
      <c r="B4" s="26"/>
      <c r="C4" s="26"/>
      <c r="D4" s="12"/>
      <c r="E4" s="26"/>
      <c r="F4" s="26"/>
      <c r="G4" s="45"/>
    </row>
    <row r="5" spans="1:13">
      <c r="A5" s="38" t="s">
        <v>376</v>
      </c>
      <c r="B5" s="18" t="e">
        <f ca="1">[1]!thsiFinD("THS_ZCFZB_STOCK","600887.SH",2041,B$3,1)/1000000</f>
        <v>#NAME?</v>
      </c>
      <c r="C5" s="18" t="e">
        <f ca="1">[1]!thsiFinD("THS_ZCFZB_STOCK","600597.SH",2041,C$3,1)/1000000</f>
        <v>#NAME?</v>
      </c>
      <c r="D5" s="18" t="e">
        <f ca="1">[1]!thsiFinD("THS_ZCFZB_HK","2319.HK",2044,D$3,1,"CNY")/1000000</f>
        <v>#NAME?</v>
      </c>
      <c r="E5" s="19" t="e">
        <f ca="1">[1]!thsiFinD("THS_ZCFZB_STOCK","600887.SH",2041,E$3,1)/1000000</f>
        <v>#NAME?</v>
      </c>
      <c r="F5" s="19" t="e">
        <f ca="1">[1]!thsiFinD("THS_ZCFZB_STOCK","600597.SH",2041,F$3,1)/1000000</f>
        <v>#NAME?</v>
      </c>
      <c r="G5" s="46" t="e">
        <f ca="1">[1]!thsiFinD("THS_ZCFZB_HK","2319.HK",2044,G$3,1,"CNY")/1000000</f>
        <v>#NAME?</v>
      </c>
      <c r="H5" s="24" t="e">
        <f ca="1">B5-E5</f>
        <v>#NAME?</v>
      </c>
      <c r="I5" s="25" t="e">
        <f ca="1">H5/F5</f>
        <v>#NAME?</v>
      </c>
      <c r="J5" s="24" t="e">
        <f ca="1">C5-F5</f>
        <v>#NAME?</v>
      </c>
      <c r="K5" s="25" t="e">
        <f ca="1">J5/F5</f>
        <v>#NAME?</v>
      </c>
      <c r="L5" s="24" t="e">
        <f ca="1">D5-G5</f>
        <v>#NAME?</v>
      </c>
      <c r="M5" s="25" t="e">
        <f ca="1">L5/G5</f>
        <v>#NAME?</v>
      </c>
    </row>
    <row r="6" spans="1:13">
      <c r="A6" s="38" t="s">
        <v>386</v>
      </c>
      <c r="B6" s="18" t="e">
        <f ca="1">[1]!thsiFinD("THS_ZCFZB_STOCK","600887.SH",2044,B$3,1)/1000000</f>
        <v>#NAME?</v>
      </c>
      <c r="C6" s="18" t="e">
        <f ca="1">[1]!thsiFinD("THS_ZCFZB_STOCK","600597.SH",2044,C$3,1)/1000000</f>
        <v>#NAME?</v>
      </c>
      <c r="D6" s="18" t="e">
        <f ca="1">[1]!thsiFinD("THS_ZCFZB_HK","2319.HK",2023,D$3,1,"CNY")/1000000</f>
        <v>#NAME?</v>
      </c>
      <c r="E6" s="19" t="e">
        <f ca="1">[1]!thsiFinD("THS_ZCFZB_STOCK","600887.SH",2044,E$3,1)/1000000</f>
        <v>#NAME?</v>
      </c>
      <c r="F6" s="19" t="e">
        <f ca="1">[1]!thsiFinD("THS_ZCFZB_STOCK","600597.SH",2044,F$3,1)/1000000</f>
        <v>#NAME?</v>
      </c>
      <c r="G6" s="46" t="e">
        <f ca="1">[1]!thsiFinD("THS_ZCFZB_HK","2319.HK",2023,G$3,1,"CNY")/1000000</f>
        <v>#NAME?</v>
      </c>
      <c r="H6" s="24" t="e">
        <f t="shared" ref="H6:H64" ca="1" si="0">B6-E6</f>
        <v>#NAME?</v>
      </c>
      <c r="I6" s="25" t="e">
        <f t="shared" ref="I6:I64" ca="1" si="1">H6/F6</f>
        <v>#NAME?</v>
      </c>
      <c r="J6" s="24" t="e">
        <f t="shared" ref="J6:J64" ca="1" si="2">C6-F6</f>
        <v>#NAME?</v>
      </c>
      <c r="K6" s="25" t="e">
        <f t="shared" ref="K6:K64" ca="1" si="3">J6/F6</f>
        <v>#NAME?</v>
      </c>
      <c r="L6" s="24" t="e">
        <f t="shared" ref="L6:L64" ca="1" si="4">D6-G6</f>
        <v>#NAME?</v>
      </c>
    </row>
    <row r="7" spans="1:13">
      <c r="A7" s="38" t="s">
        <v>387</v>
      </c>
      <c r="B7" s="18" t="e">
        <f ca="1">[1]!thsiFinD("THS_ZCFZB_STOCK","600887.SH",2113,B$3,1)/1000000</f>
        <v>#NAME?</v>
      </c>
      <c r="C7" s="18" t="e">
        <f ca="1">[1]!thsiFinD("THS_ZCFZB_STOCK","600597.SH",2113,C$3,1)/1000000</f>
        <v>#NAME?</v>
      </c>
      <c r="D7" s="14"/>
      <c r="E7" s="19" t="e">
        <f ca="1">[1]!thsiFinD("THS_ZCFZB_STOCK","600887.SH",2113,E$3,1)/1000000</f>
        <v>#NAME?</v>
      </c>
      <c r="F7" s="19" t="e">
        <f ca="1">[1]!thsiFinD("THS_ZCFZB_STOCK","600597.SH",2113,F$3,1)/1000000</f>
        <v>#NAME?</v>
      </c>
      <c r="G7" s="47"/>
      <c r="H7" s="24" t="e">
        <f t="shared" ca="1" si="0"/>
        <v>#NAME?</v>
      </c>
      <c r="I7" s="25" t="e">
        <f t="shared" ca="1" si="1"/>
        <v>#NAME?</v>
      </c>
      <c r="J7" s="24" t="e">
        <f t="shared" ca="1" si="2"/>
        <v>#NAME?</v>
      </c>
      <c r="K7" s="25" t="e">
        <f t="shared" ca="1" si="3"/>
        <v>#NAME?</v>
      </c>
      <c r="L7" s="24">
        <f t="shared" si="4"/>
        <v>0</v>
      </c>
    </row>
    <row r="8" spans="1:13">
      <c r="A8" s="38" t="s">
        <v>388</v>
      </c>
      <c r="B8" s="18" t="e">
        <f ca="1">[1]!thsiFinD("THS_ZCFZB_STOCK","600887.SH",2114,B$3,1)/1000000</f>
        <v>#NAME?</v>
      </c>
      <c r="C8" s="18" t="e">
        <f ca="1">[1]!thsiFinD("THS_ZCFZB_STOCK","600597.SH",2114,C$3,1)/1000000</f>
        <v>#NAME?</v>
      </c>
      <c r="D8" s="18" t="e">
        <f ca="1">[1]!thsiFinD("THS_ZCFZB_HK","2319.HK",2064,D$3,1,"CNY")/1000000</f>
        <v>#NAME?</v>
      </c>
      <c r="E8" s="19" t="e">
        <f ca="1">[1]!thsiFinD("THS_ZCFZB_STOCK","600887.SH",2114,E$3,1)/1000000</f>
        <v>#NAME?</v>
      </c>
      <c r="F8" s="19" t="e">
        <f ca="1">[1]!thsiFinD("THS_ZCFZB_STOCK","600597.SH",2114,F$3,1)/1000000</f>
        <v>#NAME?</v>
      </c>
      <c r="G8" s="46" t="e">
        <f ca="1">[1]!thsiFinD("THS_ZCFZB_HK","2319.HK",2064,G$3,1,"CNY")/1000000</f>
        <v>#NAME?</v>
      </c>
      <c r="H8" s="24" t="e">
        <f t="shared" ca="1" si="0"/>
        <v>#NAME?</v>
      </c>
      <c r="I8" s="25" t="e">
        <f t="shared" ca="1" si="1"/>
        <v>#NAME?</v>
      </c>
      <c r="J8" s="24" t="e">
        <f t="shared" ca="1" si="2"/>
        <v>#NAME?</v>
      </c>
      <c r="K8" s="25" t="e">
        <f t="shared" ca="1" si="3"/>
        <v>#NAME?</v>
      </c>
      <c r="L8" s="24" t="e">
        <f t="shared" ca="1" si="4"/>
        <v>#NAME?</v>
      </c>
      <c r="M8" s="25" t="e">
        <f t="shared" ref="M8:M64" ca="1" si="5">L8/G8</f>
        <v>#NAME?</v>
      </c>
    </row>
    <row r="9" spans="1:13">
      <c r="A9" s="38" t="s">
        <v>377</v>
      </c>
      <c r="B9" s="18" t="e">
        <f ca="1">[1]!thsiFinD("THS_ZCFZB_STOCK","600887.SH",2116,B$3,1)/1000000</f>
        <v>#NAME?</v>
      </c>
      <c r="C9" s="18" t="e">
        <f ca="1">[1]!thsiFinD("THS_ZCFZB_STOCK","600597.SH",2116,C$3,1)/1000000</f>
        <v>#NAME?</v>
      </c>
      <c r="D9" s="18" t="e">
        <f ca="1">[1]!thsiFinD("THS_ZCFZB_HK","2319.HK",2065,D$3,1,"CNY")/1000000</f>
        <v>#NAME?</v>
      </c>
      <c r="E9" s="19" t="e">
        <f ca="1">[1]!thsiFinD("THS_ZCFZB_STOCK","600887.SH",2116,E$3,1)/1000000</f>
        <v>#NAME?</v>
      </c>
      <c r="F9" s="19" t="e">
        <f ca="1">[1]!thsiFinD("THS_ZCFZB_STOCK","600597.SH",2116,F$3,1)/1000000</f>
        <v>#NAME?</v>
      </c>
      <c r="G9" s="46" t="e">
        <f ca="1">[1]!thsiFinD("THS_ZCFZB_HK","2319.HK",2065,G$3,1,"CNY")/1000000</f>
        <v>#NAME?</v>
      </c>
      <c r="H9" s="24" t="e">
        <f t="shared" ca="1" si="0"/>
        <v>#NAME?</v>
      </c>
      <c r="I9" s="25" t="e">
        <f t="shared" ca="1" si="1"/>
        <v>#NAME?</v>
      </c>
      <c r="J9" s="24" t="e">
        <f t="shared" ca="1" si="2"/>
        <v>#NAME?</v>
      </c>
      <c r="K9" s="25" t="e">
        <f t="shared" ca="1" si="3"/>
        <v>#NAME?</v>
      </c>
      <c r="L9" s="24" t="e">
        <f t="shared" ca="1" si="4"/>
        <v>#NAME?</v>
      </c>
      <c r="M9" s="25" t="e">
        <f t="shared" ca="1" si="5"/>
        <v>#NAME?</v>
      </c>
    </row>
    <row r="10" spans="1:13">
      <c r="A10" s="38" t="s">
        <v>378</v>
      </c>
      <c r="B10" s="18" t="e">
        <f ca="1">[1]!thsiFinD("THS_ZCFZB_STOCK","600887.SH",2112,B$3,1)/1000000</f>
        <v>#NAME?</v>
      </c>
      <c r="C10" s="18" t="e">
        <f ca="1">[1]!thsiFinD("THS_ZCFZB_STOCK","600597.SH",2112,C$3,1)/1000000</f>
        <v>#NAME?</v>
      </c>
      <c r="D10" s="14"/>
      <c r="E10" s="19" t="e">
        <f ca="1">[1]!thsiFinD("THS_ZCFZB_STOCK","600887.SH",2112,E$3,1)/1000000</f>
        <v>#NAME?</v>
      </c>
      <c r="F10" s="19" t="e">
        <f ca="1">[1]!thsiFinD("THS_ZCFZB_STOCK","600597.SH",2112,F$3,1)/1000000</f>
        <v>#NAME?</v>
      </c>
      <c r="G10" s="47"/>
      <c r="H10" s="24" t="e">
        <f t="shared" ca="1" si="0"/>
        <v>#NAME?</v>
      </c>
      <c r="J10" s="24" t="e">
        <f t="shared" ca="1" si="2"/>
        <v>#NAME?</v>
      </c>
      <c r="L10" s="24">
        <f t="shared" si="4"/>
        <v>0</v>
      </c>
    </row>
    <row r="11" spans="1:13">
      <c r="A11" s="38" t="s">
        <v>379</v>
      </c>
      <c r="B11" s="18" t="e">
        <f ca="1">[1]!thsiFinD("THS_ZCFZB_STOCK","600887.SH",2065,B$3,1)/1000000</f>
        <v>#NAME?</v>
      </c>
      <c r="C11" s="18" t="e">
        <f ca="1">[1]!thsiFinD("THS_ZCFZB_STOCK","600597.SH",2065,C$3,1)/1000000</f>
        <v>#NAME?</v>
      </c>
      <c r="D11" s="14"/>
      <c r="E11" s="19" t="e">
        <f ca="1">[1]!thsiFinD("THS_ZCFZB_STOCK","600887.SH",2065,E$3,1)/1000000</f>
        <v>#NAME?</v>
      </c>
      <c r="F11" s="19" t="e">
        <f ca="1">[1]!thsiFinD("THS_ZCFZB_STOCK","600597.SH",2065,F$3,1)/1000000</f>
        <v>#NAME?</v>
      </c>
      <c r="G11" s="47"/>
      <c r="H11" s="24" t="e">
        <f t="shared" ca="1" si="0"/>
        <v>#NAME?</v>
      </c>
      <c r="I11" s="25" t="e">
        <f t="shared" ca="1" si="1"/>
        <v>#NAME?</v>
      </c>
      <c r="J11" s="24" t="e">
        <f t="shared" ca="1" si="2"/>
        <v>#NAME?</v>
      </c>
      <c r="K11" s="25" t="e">
        <f t="shared" ca="1" si="3"/>
        <v>#NAME?</v>
      </c>
      <c r="L11" s="24">
        <f t="shared" si="4"/>
        <v>0</v>
      </c>
    </row>
    <row r="12" spans="1:13">
      <c r="A12" s="38" t="s">
        <v>380</v>
      </c>
      <c r="B12" s="18" t="e">
        <f ca="1">[1]!thsiFinD("THS_ZCFZB_STOCK","600887.SH",2009,B$3,1)/1000000</f>
        <v>#NAME?</v>
      </c>
      <c r="C12" s="18" t="e">
        <f ca="1">[1]!thsiFinD("THS_ZCFZB_STOCK","600597.SH",2009,C$3,1)/1000000</f>
        <v>#NAME?</v>
      </c>
      <c r="D12" s="18" t="e">
        <f ca="1">[1]!thsiFinD("THS_ZCFZB_HK","2319.HK",2004,D$3,1,"CNY")/1000000</f>
        <v>#NAME?</v>
      </c>
      <c r="E12" s="19" t="e">
        <f ca="1">[1]!thsiFinD("THS_ZCFZB_STOCK","600887.SH",2009,E$3,1)/1000000</f>
        <v>#NAME?</v>
      </c>
      <c r="F12" s="19" t="e">
        <f ca="1">[1]!thsiFinD("THS_ZCFZB_STOCK","600597.SH",2009,F$3,1)/1000000</f>
        <v>#NAME?</v>
      </c>
      <c r="G12" s="46" t="e">
        <f ca="1">[1]!thsiFinD("THS_ZCFZB_HK","2319.HK",2004,G$3,1,"CNY")/1000000</f>
        <v>#NAME?</v>
      </c>
      <c r="H12" s="24" t="e">
        <f t="shared" ca="1" si="0"/>
        <v>#NAME?</v>
      </c>
      <c r="I12" s="25" t="e">
        <f t="shared" ca="1" si="1"/>
        <v>#NAME?</v>
      </c>
      <c r="J12" s="24" t="e">
        <f t="shared" ca="1" si="2"/>
        <v>#NAME?</v>
      </c>
      <c r="K12" s="25" t="e">
        <f t="shared" ca="1" si="3"/>
        <v>#NAME?</v>
      </c>
      <c r="L12" s="24" t="e">
        <f t="shared" ca="1" si="4"/>
        <v>#NAME?</v>
      </c>
      <c r="M12" s="25" t="e">
        <f t="shared" ca="1" si="5"/>
        <v>#NAME?</v>
      </c>
    </row>
    <row r="13" spans="1:13">
      <c r="A13" s="38" t="s">
        <v>381</v>
      </c>
      <c r="B13" s="18" t="e">
        <f ca="1">[1]!thsiFinD("THS_ZCFZB_STOCK","600887.SH",2088,B$3,1)/1000000</f>
        <v>#NAME?</v>
      </c>
      <c r="C13" s="18" t="e">
        <f ca="1">[1]!thsiFinD("THS_ZCFZB_STOCK","600597.SH",2088,C$3,1)/1000000</f>
        <v>#NAME?</v>
      </c>
      <c r="D13" s="14"/>
      <c r="E13" s="19" t="e">
        <f ca="1">[1]!thsiFinD("THS_ZCFZB_STOCK","600887.SH",2088,E$3,1)/1000000</f>
        <v>#NAME?</v>
      </c>
      <c r="F13" s="19" t="e">
        <f ca="1">[1]!thsiFinD("THS_ZCFZB_STOCK","600597.SH",2088,F$3,1)/1000000</f>
        <v>#NAME?</v>
      </c>
      <c r="G13" s="47"/>
      <c r="H13" s="24" t="e">
        <f t="shared" ca="1" si="0"/>
        <v>#NAME?</v>
      </c>
      <c r="J13" s="24" t="e">
        <f t="shared" ca="1" si="2"/>
        <v>#NAME?</v>
      </c>
      <c r="L13" s="24">
        <f t="shared" si="4"/>
        <v>0</v>
      </c>
    </row>
    <row r="14" spans="1:13">
      <c r="A14" s="38" t="s">
        <v>382</v>
      </c>
      <c r="B14" s="18" t="e">
        <f ca="1">[1]!thsiFinD("THS_ZCFZB_STOCK","600887.SH",2063,B$3,1)/1000000</f>
        <v>#NAME?</v>
      </c>
      <c r="C14" s="18" t="e">
        <f ca="1">[1]!thsiFinD("THS_ZCFZB_STOCK","600597.SH",2063,C$3,1)/1000000</f>
        <v>#NAME?</v>
      </c>
      <c r="D14" s="18"/>
      <c r="E14" s="19" t="e">
        <f ca="1">[1]!thsiFinD("THS_ZCFZB_STOCK","600887.SH",2063,E$3,1)/1000000</f>
        <v>#NAME?</v>
      </c>
      <c r="F14" s="19" t="e">
        <f ca="1">[1]!thsiFinD("THS_ZCFZB_STOCK","600597.SH",2063,F$3,1)/1000000</f>
        <v>#NAME?</v>
      </c>
      <c r="G14" s="46"/>
      <c r="H14" s="24" t="e">
        <f t="shared" ca="1" si="0"/>
        <v>#NAME?</v>
      </c>
      <c r="I14" s="25" t="e">
        <f t="shared" ca="1" si="1"/>
        <v>#NAME?</v>
      </c>
      <c r="J14" s="24" t="e">
        <f t="shared" ca="1" si="2"/>
        <v>#NAME?</v>
      </c>
      <c r="K14" s="25" t="e">
        <f t="shared" ca="1" si="3"/>
        <v>#NAME?</v>
      </c>
      <c r="L14" s="24">
        <f t="shared" si="4"/>
        <v>0</v>
      </c>
    </row>
    <row r="15" spans="1:13">
      <c r="A15" s="37" t="s">
        <v>383</v>
      </c>
      <c r="B15" s="18" t="e">
        <f ca="1">[1]!thsiFinD("THS_ZCFZB_STOCK","600887.SH",2056,B$3,1)/1000000</f>
        <v>#NAME?</v>
      </c>
      <c r="C15" s="18" t="e">
        <f ca="1">[1]!thsiFinD("THS_ZCFZB_STOCK","600597.SH",2056,C$3,1)/1000000</f>
        <v>#NAME?</v>
      </c>
      <c r="D15" s="18" t="e">
        <f ca="1">[1]!thsiFinD("THS_ZCFZB_HK","2319.HK",2032,D$3,1,"CNY")/1000000</f>
        <v>#NAME?</v>
      </c>
      <c r="E15" s="19" t="e">
        <f ca="1">[1]!thsiFinD("THS_ZCFZB_STOCK","600887.SH",2056,E$3,1)/1000000</f>
        <v>#NAME?</v>
      </c>
      <c r="F15" s="19" t="e">
        <f ca="1">[1]!thsiFinD("THS_ZCFZB_STOCK","600597.SH",2056,F$3,1)/1000000</f>
        <v>#NAME?</v>
      </c>
      <c r="G15" s="46" t="e">
        <f ca="1">[1]!thsiFinD("THS_ZCFZB_HK","2319.HK",2032,G$3,1,"CNY")/1000000</f>
        <v>#NAME?</v>
      </c>
      <c r="H15" s="24" t="e">
        <f t="shared" ca="1" si="0"/>
        <v>#NAME?</v>
      </c>
      <c r="I15" s="25" t="e">
        <f t="shared" ca="1" si="1"/>
        <v>#NAME?</v>
      </c>
      <c r="J15" s="24" t="e">
        <f t="shared" ca="1" si="2"/>
        <v>#NAME?</v>
      </c>
      <c r="K15" s="25" t="e">
        <f t="shared" ca="1" si="3"/>
        <v>#NAME?</v>
      </c>
      <c r="L15" s="24" t="e">
        <f t="shared" ca="1" si="4"/>
        <v>#NAME?</v>
      </c>
      <c r="M15" s="25" t="e">
        <f t="shared" ca="1" si="5"/>
        <v>#NAME?</v>
      </c>
    </row>
    <row r="16" spans="1:13">
      <c r="A16" s="37" t="s">
        <v>77</v>
      </c>
      <c r="B16" s="18"/>
      <c r="C16" s="18"/>
      <c r="D16" s="14"/>
      <c r="E16" s="19"/>
      <c r="F16" s="19"/>
      <c r="G16" s="47"/>
      <c r="H16" s="24"/>
      <c r="J16" s="24"/>
      <c r="L16" s="24"/>
    </row>
    <row r="17" spans="1:13">
      <c r="A17" s="38" t="s">
        <v>384</v>
      </c>
      <c r="B17" s="18" t="e">
        <f ca="1">[1]!thsiFinD("THS_ZCFZB_STOCK","600887.SH",2047,B$3,1)/1000000</f>
        <v>#NAME?</v>
      </c>
      <c r="C17" s="18" t="e">
        <f ca="1">[1]!thsiFinD("THS_ZCFZB_STOCK","600597.SH",2047,C$3,1)/1000000</f>
        <v>#NAME?</v>
      </c>
      <c r="D17" s="18" t="e">
        <f ca="1">[1]!thsiFinD("THS_ZCFZB_HK","2319.HK",2025,D$3,1,"CNY")/1000000</f>
        <v>#NAME?</v>
      </c>
      <c r="E17" s="19" t="e">
        <f ca="1">[1]!thsiFinD("THS_ZCFZB_STOCK","600887.SH",2047,E$3,1)/1000000</f>
        <v>#NAME?</v>
      </c>
      <c r="F17" s="19" t="e">
        <f ca="1">[1]!thsiFinD("THS_ZCFZB_STOCK","600597.SH",2047,F$3,1)/1000000</f>
        <v>#NAME?</v>
      </c>
      <c r="G17" s="46" t="e">
        <f ca="1">[1]!thsiFinD("THS_ZCFZB_HK","2319.HK",2025,G$3,1,"CNY")/1000000</f>
        <v>#NAME?</v>
      </c>
      <c r="H17" s="24" t="e">
        <f t="shared" ca="1" si="0"/>
        <v>#NAME?</v>
      </c>
      <c r="I17" s="25" t="e">
        <f t="shared" ca="1" si="1"/>
        <v>#NAME?</v>
      </c>
      <c r="J17" s="24" t="e">
        <f t="shared" ca="1" si="2"/>
        <v>#NAME?</v>
      </c>
      <c r="K17" s="25" t="e">
        <f t="shared" ca="1" si="3"/>
        <v>#NAME?</v>
      </c>
      <c r="L17" s="24" t="e">
        <f t="shared" ca="1" si="4"/>
        <v>#NAME?</v>
      </c>
    </row>
    <row r="18" spans="1:13">
      <c r="A18" s="38" t="s">
        <v>385</v>
      </c>
      <c r="B18" s="18" t="e">
        <f ca="1">[1]!thsiFinD("THS_ZCFZB_STOCK","600887.SH",2126,B$3,1)/1000000</f>
        <v>#NAME?</v>
      </c>
      <c r="C18" s="18" t="e">
        <f ca="1">[1]!thsiFinD("THS_ZCFZB_STOCK","600597.SH",2126,C$3,1)/1000000</f>
        <v>#NAME?</v>
      </c>
      <c r="D18" s="14"/>
      <c r="E18" s="19" t="e">
        <f ca="1">[1]!thsiFinD("THS_ZCFZB_STOCK","600887.SH",2126,E$3,1)/1000000</f>
        <v>#NAME?</v>
      </c>
      <c r="F18" s="19" t="e">
        <f ca="1">[1]!thsiFinD("THS_ZCFZB_STOCK","600597.SH",2126,F$3,1)/1000000</f>
        <v>#NAME?</v>
      </c>
      <c r="G18" s="47"/>
      <c r="H18" s="24" t="e">
        <f t="shared" ca="1" si="0"/>
        <v>#NAME?</v>
      </c>
      <c r="I18" s="25" t="e">
        <f t="shared" ca="1" si="1"/>
        <v>#NAME?</v>
      </c>
      <c r="J18" s="24" t="e">
        <f t="shared" ca="1" si="2"/>
        <v>#NAME?</v>
      </c>
      <c r="K18" s="25" t="e">
        <f t="shared" ca="1" si="3"/>
        <v>#NAME?</v>
      </c>
      <c r="L18" s="24">
        <f t="shared" si="4"/>
        <v>0</v>
      </c>
    </row>
    <row r="19" spans="1:13">
      <c r="A19" s="38" t="s">
        <v>389</v>
      </c>
      <c r="B19" s="18" t="e">
        <f ca="1">[1]!thsiFinD("THS_ZCFZB_STOCK","600887.SH",2122,B$3,1)/1000000</f>
        <v>#NAME?</v>
      </c>
      <c r="C19" s="18" t="e">
        <f ca="1">[1]!thsiFinD("THS_ZCFZB_STOCK","600597.SH",2122,C$3,1)/1000000</f>
        <v>#NAME?</v>
      </c>
      <c r="D19" s="14"/>
      <c r="E19" s="19" t="e">
        <f ca="1">[1]!thsiFinD("THS_ZCFZB_STOCK","600887.SH",2122,E$3,1)/1000000</f>
        <v>#NAME?</v>
      </c>
      <c r="F19" s="19" t="e">
        <f ca="1">[1]!thsiFinD("THS_ZCFZB_STOCK","600597.SH",2122,F$3,1)/1000000</f>
        <v>#NAME?</v>
      </c>
      <c r="G19" s="47"/>
      <c r="H19" s="24" t="e">
        <f t="shared" ca="1" si="0"/>
        <v>#NAME?</v>
      </c>
      <c r="I19" s="25" t="e">
        <f t="shared" ca="1" si="1"/>
        <v>#NAME?</v>
      </c>
      <c r="J19" s="24" t="e">
        <f t="shared" ca="1" si="2"/>
        <v>#NAME?</v>
      </c>
      <c r="K19" s="25" t="e">
        <f t="shared" ca="1" si="3"/>
        <v>#NAME?</v>
      </c>
      <c r="L19" s="24">
        <f t="shared" si="4"/>
        <v>0</v>
      </c>
    </row>
    <row r="20" spans="1:13">
      <c r="A20" s="38" t="s">
        <v>390</v>
      </c>
      <c r="B20" s="18" t="e">
        <f ca="1">[1]!thsiFinD("THS_ZCFZB_STOCK","600887.SH",2037,B$3,1)/1000000</f>
        <v>#NAME?</v>
      </c>
      <c r="C20" s="18" t="e">
        <f ca="1">[1]!thsiFinD("THS_ZCFZB_STOCK","600597.SH",2037,C$3,1)/1000000</f>
        <v>#NAME?</v>
      </c>
      <c r="D20" s="18" t="e">
        <f ca="1">[1]!thsiFinD("THS_ZCFZB_HK","2319.HK",2001,D$3,1,"CNY")/1000000</f>
        <v>#NAME?</v>
      </c>
      <c r="E20" s="19" t="e">
        <f ca="1">[1]!thsiFinD("THS_ZCFZB_STOCK","600887.SH",2037,E$3,1)/1000000</f>
        <v>#NAME?</v>
      </c>
      <c r="F20" s="19" t="e">
        <f ca="1">[1]!thsiFinD("THS_ZCFZB_STOCK","600597.SH",2037,F$3,1)/1000000</f>
        <v>#NAME?</v>
      </c>
      <c r="G20" s="46" t="e">
        <f ca="1">[1]!thsiFinD("THS_ZCFZB_HK","2319.HK",2001,G$3,1,"CNY")/1000000</f>
        <v>#NAME?</v>
      </c>
      <c r="H20" s="24" t="e">
        <f t="shared" ca="1" si="0"/>
        <v>#NAME?</v>
      </c>
      <c r="I20" s="25" t="e">
        <f t="shared" ca="1" si="1"/>
        <v>#NAME?</v>
      </c>
      <c r="J20" s="24" t="e">
        <f t="shared" ca="1" si="2"/>
        <v>#NAME?</v>
      </c>
      <c r="K20" s="25" t="e">
        <f t="shared" ca="1" si="3"/>
        <v>#NAME?</v>
      </c>
      <c r="L20" s="24" t="e">
        <f t="shared" ca="1" si="4"/>
        <v>#NAME?</v>
      </c>
      <c r="M20" s="25" t="e">
        <f t="shared" ca="1" si="5"/>
        <v>#NAME?</v>
      </c>
    </row>
    <row r="21" spans="1:13">
      <c r="A21" s="38" t="s">
        <v>391</v>
      </c>
      <c r="B21" s="18" t="e">
        <f ca="1">[1]!thsiFinD("THS_ZCFZB_STOCK","600887.SH",2120,B$3,1)/1000000</f>
        <v>#NAME?</v>
      </c>
      <c r="C21" s="18" t="e">
        <f ca="1">[1]!thsiFinD("THS_ZCFZB_STOCK","600597.SH",2120,C$3,1)/1000000</f>
        <v>#NAME?</v>
      </c>
      <c r="D21" s="14"/>
      <c r="E21" s="19" t="e">
        <f ca="1">[1]!thsiFinD("THS_ZCFZB_STOCK","600887.SH",2120,E$3,1)/1000000</f>
        <v>#NAME?</v>
      </c>
      <c r="F21" s="19" t="e">
        <f ca="1">[1]!thsiFinD("THS_ZCFZB_STOCK","600597.SH",2120,F$3,1)/1000000</f>
        <v>#NAME?</v>
      </c>
      <c r="G21" s="47"/>
      <c r="H21" s="24" t="e">
        <f t="shared" ca="1" si="0"/>
        <v>#NAME?</v>
      </c>
      <c r="I21" s="25" t="e">
        <f t="shared" ca="1" si="1"/>
        <v>#NAME?</v>
      </c>
      <c r="J21" s="24" t="e">
        <f t="shared" ca="1" si="2"/>
        <v>#NAME?</v>
      </c>
      <c r="K21" s="25" t="e">
        <f t="shared" ca="1" si="3"/>
        <v>#NAME?</v>
      </c>
      <c r="L21" s="24">
        <f t="shared" si="4"/>
        <v>0</v>
      </c>
    </row>
    <row r="22" spans="1:13">
      <c r="A22" s="38" t="s">
        <v>392</v>
      </c>
      <c r="B22" s="18" t="e">
        <f ca="1">[1]!thsiFinD("THS_ZCFZB_STOCK","600887.SH",2034,B$3,1)/1000000</f>
        <v>#NAME?</v>
      </c>
      <c r="C22" s="18" t="e">
        <f ca="1">[1]!thsiFinD("THS_ZCFZB_STOCK","600597.SH",2034,C$3,1)/1000000</f>
        <v>#NAME?</v>
      </c>
      <c r="D22" s="14"/>
      <c r="E22" s="19" t="e">
        <f ca="1">[1]!thsiFinD("THS_ZCFZB_STOCK","600887.SH",2034,E$3,1)/1000000</f>
        <v>#NAME?</v>
      </c>
      <c r="F22" s="19" t="e">
        <f ca="1">[1]!thsiFinD("THS_ZCFZB_STOCK","600597.SH",2034,F$3,1)/1000000</f>
        <v>#NAME?</v>
      </c>
      <c r="G22" s="47"/>
      <c r="H22" s="24" t="e">
        <f t="shared" ca="1" si="0"/>
        <v>#NAME?</v>
      </c>
      <c r="J22" s="24" t="e">
        <f t="shared" ca="1" si="2"/>
        <v>#NAME?</v>
      </c>
      <c r="L22" s="24">
        <f t="shared" si="4"/>
        <v>0</v>
      </c>
    </row>
    <row r="23" spans="1:13">
      <c r="A23" s="38" t="s">
        <v>393</v>
      </c>
      <c r="B23" s="18" t="e">
        <f ca="1">[1]!thsiFinD("THS_ZCFZB_STOCK","600887.SH",2069,B$3,1)/1000000</f>
        <v>#NAME?</v>
      </c>
      <c r="C23" s="18" t="e">
        <f ca="1">[1]!thsiFinD("THS_ZCFZB_STOCK","600597.SH",2069,C$3,1)/1000000</f>
        <v>#NAME?</v>
      </c>
      <c r="D23" s="14"/>
      <c r="E23" s="19" t="e">
        <f ca="1">[1]!thsiFinD("THS_ZCFZB_STOCK","600887.SH",2069,E$3,1)/1000000</f>
        <v>#NAME?</v>
      </c>
      <c r="F23" s="19" t="e">
        <f ca="1">[1]!thsiFinD("THS_ZCFZB_STOCK","600597.SH",2069,F$3,1)/1000000</f>
        <v>#NAME?</v>
      </c>
      <c r="G23" s="47"/>
      <c r="H23" s="24" t="e">
        <f t="shared" ca="1" si="0"/>
        <v>#NAME?</v>
      </c>
      <c r="I23" s="25" t="e">
        <f t="shared" ca="1" si="1"/>
        <v>#NAME?</v>
      </c>
      <c r="J23" s="24" t="e">
        <f t="shared" ca="1" si="2"/>
        <v>#NAME?</v>
      </c>
      <c r="K23" s="25" t="e">
        <f t="shared" ca="1" si="3"/>
        <v>#NAME?</v>
      </c>
      <c r="L23" s="24">
        <f t="shared" si="4"/>
        <v>0</v>
      </c>
    </row>
    <row r="24" spans="1:13">
      <c r="A24" s="38" t="s">
        <v>394</v>
      </c>
      <c r="B24" s="18" t="e">
        <f ca="1">[1]!thsiFinD("THS_ZCFZB_STOCK","600887.SH",2079,B$3,1)/1000000</f>
        <v>#NAME?</v>
      </c>
      <c r="C24" s="18" t="e">
        <f ca="1">[1]!thsiFinD("THS_ZCFZB_STOCK","600597.SH",2079,C$3,1)/1000000</f>
        <v>#NAME?</v>
      </c>
      <c r="D24" s="18" t="e">
        <f ca="1">[1]!thsiFinD("THS_ZCFZB_HK","2319.HK",2043,D$3,1,"CNY")/1000000</f>
        <v>#NAME?</v>
      </c>
      <c r="E24" s="19" t="e">
        <f ca="1">[1]!thsiFinD("THS_ZCFZB_STOCK","600887.SH",2079,E$3,1)/1000000</f>
        <v>#NAME?</v>
      </c>
      <c r="F24" s="19" t="e">
        <f ca="1">[1]!thsiFinD("THS_ZCFZB_STOCK","600597.SH",2079,F$3,1)/1000000</f>
        <v>#NAME?</v>
      </c>
      <c r="G24" s="46" t="e">
        <f ca="1">[1]!thsiFinD("THS_ZCFZB_HK","2319.HK",2043,G$3,1,"CNY")/1000000</f>
        <v>#NAME?</v>
      </c>
      <c r="H24" s="24" t="e">
        <f t="shared" ca="1" si="0"/>
        <v>#NAME?</v>
      </c>
      <c r="I24" s="25" t="e">
        <f t="shared" ca="1" si="1"/>
        <v>#NAME?</v>
      </c>
      <c r="J24" s="24" t="e">
        <f t="shared" ca="1" si="2"/>
        <v>#NAME?</v>
      </c>
      <c r="K24" s="25" t="e">
        <f t="shared" ca="1" si="3"/>
        <v>#NAME?</v>
      </c>
      <c r="L24" s="24" t="e">
        <f t="shared" ca="1" si="4"/>
        <v>#NAME?</v>
      </c>
      <c r="M24" s="25" t="e">
        <f t="shared" ca="1" si="5"/>
        <v>#NAME?</v>
      </c>
    </row>
    <row r="25" spans="1:13">
      <c r="A25" s="38" t="s">
        <v>395</v>
      </c>
      <c r="B25" s="18" t="e">
        <f ca="1">[1]!thsiFinD("THS_ZCFZB_STOCK","600887.SH",2067,B$3,1)/1000000</f>
        <v>#NAME?</v>
      </c>
      <c r="C25" s="18" t="e">
        <f ca="1">[1]!thsiFinD("THS_ZCFZB_STOCK","600597.SH",2067,C$3,1)/1000000</f>
        <v>#NAME?</v>
      </c>
      <c r="D25" s="18" t="e">
        <f ca="1">[1]!thsiFinD("THS_ZCFZB_HK","2319.HK",2040,D$3,1,"CNY")/1000000</f>
        <v>#NAME?</v>
      </c>
      <c r="E25" s="19" t="e">
        <f ca="1">[1]!thsiFinD("THS_ZCFZB_STOCK","600887.SH",2067,E$3,1)/1000000</f>
        <v>#NAME?</v>
      </c>
      <c r="F25" s="19" t="e">
        <f ca="1">[1]!thsiFinD("THS_ZCFZB_STOCK","600597.SH",2067,F$3,1)/1000000</f>
        <v>#NAME?</v>
      </c>
      <c r="G25" s="46" t="e">
        <f ca="1">[1]!thsiFinD("THS_ZCFZB_HK","2319.HK",2040,G$3,1,"CNY")/1000000</f>
        <v>#NAME?</v>
      </c>
      <c r="H25" s="24" t="e">
        <f t="shared" ca="1" si="0"/>
        <v>#NAME?</v>
      </c>
      <c r="I25" s="25" t="e">
        <f t="shared" ca="1" si="1"/>
        <v>#NAME?</v>
      </c>
      <c r="J25" s="24" t="e">
        <f t="shared" ca="1" si="2"/>
        <v>#NAME?</v>
      </c>
      <c r="K25" s="25" t="e">
        <f t="shared" ca="1" si="3"/>
        <v>#NAME?</v>
      </c>
      <c r="L25" s="24" t="e">
        <f t="shared" ca="1" si="4"/>
        <v>#NAME?</v>
      </c>
      <c r="M25" s="25" t="e">
        <f t="shared" ca="1" si="5"/>
        <v>#NAME?</v>
      </c>
    </row>
    <row r="26" spans="1:13">
      <c r="A26" s="38" t="s">
        <v>396</v>
      </c>
      <c r="B26" s="18" t="e">
        <f ca="1">[1]!thsiFinD("THS_ZCFZB_STOCK","600887.SH",2121,B$3,1)/1000000</f>
        <v>#NAME?</v>
      </c>
      <c r="C26" s="18" t="e">
        <f ca="1">[1]!thsiFinD("THS_ZCFZB_STOCK","600597.SH",2121,C$3,1)/1000000</f>
        <v>#NAME?</v>
      </c>
      <c r="D26" s="14"/>
      <c r="E26" s="19" t="e">
        <f ca="1">[1]!thsiFinD("THS_ZCFZB_STOCK","600887.SH",2121,E$3,1)/1000000</f>
        <v>#NAME?</v>
      </c>
      <c r="F26" s="19" t="e">
        <f ca="1">[1]!thsiFinD("THS_ZCFZB_STOCK","600597.SH",2121,F$3,1)/1000000</f>
        <v>#NAME?</v>
      </c>
      <c r="G26" s="47"/>
      <c r="H26" s="24" t="e">
        <f t="shared" ca="1" si="0"/>
        <v>#NAME?</v>
      </c>
      <c r="I26" s="25" t="e">
        <f t="shared" ca="1" si="1"/>
        <v>#NAME?</v>
      </c>
      <c r="J26" s="24" t="e">
        <f t="shared" ca="1" si="2"/>
        <v>#NAME?</v>
      </c>
      <c r="K26" s="25" t="e">
        <f t="shared" ca="1" si="3"/>
        <v>#NAME?</v>
      </c>
      <c r="L26" s="24">
        <f t="shared" si="4"/>
        <v>0</v>
      </c>
    </row>
    <row r="27" spans="1:13">
      <c r="A27" s="38" t="s">
        <v>397</v>
      </c>
      <c r="B27" s="18" t="e">
        <f ca="1">[1]!thsiFinD("THS_ZCFZB_STOCK","600887.SH",2016,B$3,1)/1000000</f>
        <v>#NAME?</v>
      </c>
      <c r="C27" s="18" t="e">
        <f ca="1">[1]!thsiFinD("THS_ZCFZB_STOCK","600597.SH",2016,C$3,1)/1000000</f>
        <v>#NAME?</v>
      </c>
      <c r="D27" s="18" t="e">
        <f ca="1">[1]!thsiFinD("THS_ZCFZB_HK","2319.HK",2007,D$3,1,"CNY")/1000000</f>
        <v>#NAME?</v>
      </c>
      <c r="E27" s="19" t="e">
        <f ca="1">[1]!thsiFinD("THS_ZCFZB_STOCK","600887.SH",2016,E$3,1)/1000000</f>
        <v>#NAME?</v>
      </c>
      <c r="F27" s="19" t="e">
        <f ca="1">[1]!thsiFinD("THS_ZCFZB_STOCK","600597.SH",2016,F$3,1)/1000000</f>
        <v>#NAME?</v>
      </c>
      <c r="G27" s="46" t="e">
        <f ca="1">[1]!thsiFinD("THS_ZCFZB_HK","2319.HK",2007,G$3,1,"CNY")/1000000</f>
        <v>#NAME?</v>
      </c>
      <c r="H27" s="24" t="e">
        <f t="shared" ca="1" si="0"/>
        <v>#NAME?</v>
      </c>
      <c r="I27" s="25" t="e">
        <f t="shared" ca="1" si="1"/>
        <v>#NAME?</v>
      </c>
      <c r="J27" s="24" t="e">
        <f t="shared" ca="1" si="2"/>
        <v>#NAME?</v>
      </c>
      <c r="K27" s="25" t="e">
        <f t="shared" ca="1" si="3"/>
        <v>#NAME?</v>
      </c>
      <c r="L27" s="24" t="e">
        <f t="shared" ca="1" si="4"/>
        <v>#NAME?</v>
      </c>
      <c r="M27" s="25" t="e">
        <f t="shared" ca="1" si="5"/>
        <v>#NAME?</v>
      </c>
    </row>
    <row r="28" spans="1:13">
      <c r="A28" s="38" t="s">
        <v>398</v>
      </c>
      <c r="B28" s="18" t="e">
        <f ca="1">[1]!thsiFinD("THS_ZCFZB_STOCK","600887.SH",2060,B$3,1)/1000000</f>
        <v>#NAME?</v>
      </c>
      <c r="C28" s="18" t="e">
        <f ca="1">[1]!thsiFinD("THS_ZCFZB_STOCK","600597.SH",2060,C$3,1)/1000000</f>
        <v>#NAME?</v>
      </c>
      <c r="D28" s="18" t="e">
        <f ca="1">[1]!thsiFinD("THS_ZCFZB_HK","2319.HK",2012,D$3,1,"CNY")/1000000</f>
        <v>#NAME?</v>
      </c>
      <c r="E28" s="19" t="e">
        <f ca="1">[1]!thsiFinD("THS_ZCFZB_STOCK","600887.SH",2060,E$3,1)/1000000</f>
        <v>#NAME?</v>
      </c>
      <c r="F28" s="19" t="e">
        <f ca="1">[1]!thsiFinD("THS_ZCFZB_STOCK","600597.SH",2060,F$3,1)/1000000</f>
        <v>#NAME?</v>
      </c>
      <c r="G28" s="46" t="e">
        <f ca="1">[1]!thsiFinD("THS_ZCFZB_HK","2319.HK",2012,G$3,1,"CNY")/1000000</f>
        <v>#NAME?</v>
      </c>
      <c r="H28" s="24" t="e">
        <f t="shared" ca="1" si="0"/>
        <v>#NAME?</v>
      </c>
      <c r="I28" s="25" t="e">
        <f t="shared" ca="1" si="1"/>
        <v>#NAME?</v>
      </c>
      <c r="J28" s="24" t="e">
        <f t="shared" ca="1" si="2"/>
        <v>#NAME?</v>
      </c>
      <c r="K28" s="25" t="e">
        <f t="shared" ca="1" si="3"/>
        <v>#NAME?</v>
      </c>
      <c r="L28" s="24" t="e">
        <f t="shared" ca="1" si="4"/>
        <v>#NAME?</v>
      </c>
      <c r="M28" s="25" t="e">
        <f t="shared" ca="1" si="5"/>
        <v>#NAME?</v>
      </c>
    </row>
    <row r="29" spans="1:13">
      <c r="A29" s="37" t="s">
        <v>399</v>
      </c>
      <c r="B29" s="18" t="e">
        <f ca="1">[1]!thsiFinD("THS_ZCFZB_STOCK","600887.SH",2027,B$3,1)/1000000</f>
        <v>#NAME?</v>
      </c>
      <c r="C29" s="18" t="e">
        <f ca="1">[1]!thsiFinD("THS_ZCFZB_STOCK","600597.SH",2027,C$3,1)/1000000</f>
        <v>#NAME?</v>
      </c>
      <c r="D29" s="18" t="e">
        <f ca="1">[1]!thsiFinD("THS_ZCFZB_HK","2319.HK",2011,D$3,1,"CNY")/1000000</f>
        <v>#NAME?</v>
      </c>
      <c r="E29" s="19" t="e">
        <f ca="1">[1]!thsiFinD("THS_ZCFZB_STOCK","600887.SH",2027,E$3,1)/1000000</f>
        <v>#NAME?</v>
      </c>
      <c r="F29" s="19" t="e">
        <f ca="1">[1]!thsiFinD("THS_ZCFZB_STOCK","600597.SH",2027,F$3,1)/1000000</f>
        <v>#NAME?</v>
      </c>
      <c r="G29" s="46" t="e">
        <f ca="1">[1]!thsiFinD("THS_ZCFZB_HK","2319.HK",2011,G$3,1,"CNY")/1000000</f>
        <v>#NAME?</v>
      </c>
      <c r="H29" s="24" t="e">
        <f t="shared" ca="1" si="0"/>
        <v>#NAME?</v>
      </c>
      <c r="I29" s="25" t="e">
        <f t="shared" ca="1" si="1"/>
        <v>#NAME?</v>
      </c>
      <c r="J29" s="24" t="e">
        <f t="shared" ca="1" si="2"/>
        <v>#NAME?</v>
      </c>
      <c r="K29" s="25" t="e">
        <f t="shared" ca="1" si="3"/>
        <v>#NAME?</v>
      </c>
      <c r="L29" s="24" t="e">
        <f t="shared" ca="1" si="4"/>
        <v>#NAME?</v>
      </c>
      <c r="M29" s="25" t="e">
        <f t="shared" ca="1" si="5"/>
        <v>#NAME?</v>
      </c>
    </row>
    <row r="30" spans="1:13">
      <c r="A30" s="37" t="s">
        <v>400</v>
      </c>
      <c r="B30" s="18" t="e">
        <f ca="1">[1]!thsiFinD("THS_ZCFZB_STOCK","600887.SH",2132,B$3,1)/1000000</f>
        <v>#NAME?</v>
      </c>
      <c r="C30" s="18" t="e">
        <f ca="1">[1]!thsiFinD("THS_ZCFZB_STOCK","600597.SH",2132,C$3,1)/1000000</f>
        <v>#NAME?</v>
      </c>
      <c r="D30" s="18" t="e">
        <f ca="1">[1]!thsiFinD("THS_ZCFZB_HK","2319.HK",2073,D$3,1,"CNY")/1000000</f>
        <v>#NAME?</v>
      </c>
      <c r="E30" s="19" t="e">
        <f ca="1">[1]!thsiFinD("THS_ZCFZB_STOCK","600887.SH",2132,E$3,1)/1000000</f>
        <v>#NAME?</v>
      </c>
      <c r="F30" s="19" t="e">
        <f ca="1">[1]!thsiFinD("THS_ZCFZB_STOCK","600597.SH",2132,F$3,1)/1000000</f>
        <v>#NAME?</v>
      </c>
      <c r="G30" s="46" t="e">
        <f ca="1">[1]!thsiFinD("THS_ZCFZB_HK","2319.HK",2073,G$3,1,"CNY")/1000000</f>
        <v>#NAME?</v>
      </c>
      <c r="H30" s="24" t="e">
        <f t="shared" ca="1" si="0"/>
        <v>#NAME?</v>
      </c>
      <c r="I30" s="25" t="e">
        <f t="shared" ca="1" si="1"/>
        <v>#NAME?</v>
      </c>
      <c r="J30" s="24" t="e">
        <f t="shared" ca="1" si="2"/>
        <v>#NAME?</v>
      </c>
      <c r="K30" s="25" t="e">
        <f t="shared" ca="1" si="3"/>
        <v>#NAME?</v>
      </c>
      <c r="L30" s="24" t="e">
        <f t="shared" ca="1" si="4"/>
        <v>#NAME?</v>
      </c>
      <c r="M30" s="25" t="e">
        <f t="shared" ca="1" si="5"/>
        <v>#NAME?</v>
      </c>
    </row>
    <row r="31" spans="1:13">
      <c r="A31" s="39"/>
      <c r="B31" s="29"/>
      <c r="C31" s="29"/>
      <c r="D31" s="30"/>
      <c r="E31" s="32"/>
      <c r="F31" s="32"/>
      <c r="G31" s="33"/>
      <c r="H31" s="24"/>
      <c r="J31" s="24"/>
      <c r="L31" s="24"/>
    </row>
    <row r="32" spans="1:13">
      <c r="A32" s="37" t="s">
        <v>102</v>
      </c>
      <c r="B32" s="18"/>
      <c r="C32" s="18"/>
      <c r="D32" s="14"/>
      <c r="E32" s="19"/>
      <c r="F32" s="19"/>
      <c r="G32" s="47"/>
      <c r="H32" s="24"/>
      <c r="J32" s="24"/>
      <c r="L32" s="24"/>
    </row>
    <row r="33" spans="1:13">
      <c r="A33" s="38" t="s">
        <v>401</v>
      </c>
      <c r="B33" s="18" t="e">
        <f ca="1">[1]!thsiFinD("THS_ZCFZB_STOCK","600887.SH",2020,B$3,1)/1000000</f>
        <v>#NAME?</v>
      </c>
      <c r="C33" s="18" t="e">
        <f ca="1">[1]!thsiFinD("THS_ZCFZB_STOCK","600597.SH",2020,C$3,1)/1000000</f>
        <v>#NAME?</v>
      </c>
      <c r="D33" s="18" t="e">
        <f ca="1">[1]!thsiFinD("THS_ZCFZB_HK","2319.HK",2008,D$3,1,"CNY")/1000000</f>
        <v>#NAME?</v>
      </c>
      <c r="E33" s="19" t="e">
        <f ca="1">[1]!thsiFinD("THS_ZCFZB_STOCK","600887.SH",2020,E$3,1)/1000000</f>
        <v>#NAME?</v>
      </c>
      <c r="F33" s="19" t="e">
        <f ca="1">[1]!thsiFinD("THS_ZCFZB_STOCK","600597.SH",2020,F$3,1)/1000000</f>
        <v>#NAME?</v>
      </c>
      <c r="G33" s="46" t="e">
        <f ca="1">[1]!thsiFinD("THS_ZCFZB_HK","2319.HK",2008,G$3,1,"CNY")/1000000</f>
        <v>#NAME?</v>
      </c>
      <c r="H33" s="24" t="e">
        <f t="shared" ca="1" si="0"/>
        <v>#NAME?</v>
      </c>
      <c r="I33" s="25" t="e">
        <f t="shared" ca="1" si="1"/>
        <v>#NAME?</v>
      </c>
      <c r="J33" s="24" t="e">
        <f t="shared" ca="1" si="2"/>
        <v>#NAME?</v>
      </c>
      <c r="K33" s="25" t="e">
        <f t="shared" ca="1" si="3"/>
        <v>#NAME?</v>
      </c>
      <c r="L33" s="24" t="e">
        <f t="shared" ca="1" si="4"/>
        <v>#NAME?</v>
      </c>
      <c r="M33" s="25" t="e">
        <f t="shared" ca="1" si="5"/>
        <v>#NAME?</v>
      </c>
    </row>
    <row r="34" spans="1:13">
      <c r="A34" s="38" t="s">
        <v>402</v>
      </c>
      <c r="B34" s="18" t="e">
        <f ca="1">[1]!thsiFinD("THS_ZCFZB_STOCK","600887.SH",2043,B$3,1)/1000000</f>
        <v>#NAME?</v>
      </c>
      <c r="C34" s="18" t="e">
        <f ca="1">[1]!thsiFinD("THS_ZCFZB_STOCK","600597.SH",2043,C$3,1)/1000000</f>
        <v>#NAME?</v>
      </c>
      <c r="D34" s="14"/>
      <c r="E34" s="19" t="e">
        <f ca="1">[1]!thsiFinD("THS_ZCFZB_STOCK","600887.SH",2043,E$3,1)/1000000</f>
        <v>#NAME?</v>
      </c>
      <c r="F34" s="19" t="e">
        <f ca="1">[1]!thsiFinD("THS_ZCFZB_STOCK","600597.SH",2043,F$3,1)/1000000</f>
        <v>#NAME?</v>
      </c>
      <c r="G34" s="47"/>
      <c r="H34" s="24" t="e">
        <f t="shared" ca="1" si="0"/>
        <v>#NAME?</v>
      </c>
      <c r="I34" s="25" t="e">
        <f t="shared" ca="1" si="1"/>
        <v>#NAME?</v>
      </c>
      <c r="J34" s="24" t="e">
        <f t="shared" ca="1" si="2"/>
        <v>#NAME?</v>
      </c>
      <c r="K34" s="25" t="e">
        <f t="shared" ca="1" si="3"/>
        <v>#NAME?</v>
      </c>
      <c r="L34" s="24">
        <f t="shared" si="4"/>
        <v>0</v>
      </c>
    </row>
    <row r="35" spans="1:13">
      <c r="A35" s="38" t="s">
        <v>403</v>
      </c>
      <c r="B35" s="18" t="e">
        <f ca="1">[1]!thsiFinD("THS_ZCFZB_STOCK","600887.SH",2096,B$3,1)/1000000</f>
        <v>#NAME?</v>
      </c>
      <c r="C35" s="18" t="e">
        <f ca="1">[1]!thsiFinD("THS_ZCFZB_STOCK","600597.SH",2096,C$3,1)/1000000</f>
        <v>#NAME?</v>
      </c>
      <c r="D35" s="14"/>
      <c r="E35" s="19" t="e">
        <f ca="1">[1]!thsiFinD("THS_ZCFZB_STOCK","600887.SH",2096,E$3,1)/1000000</f>
        <v>#NAME?</v>
      </c>
      <c r="F35" s="19" t="e">
        <f ca="1">[1]!thsiFinD("THS_ZCFZB_STOCK","600597.SH",2096,F$3,1)/1000000</f>
        <v>#NAME?</v>
      </c>
      <c r="G35" s="47"/>
      <c r="H35" s="24" t="e">
        <f t="shared" ca="1" si="0"/>
        <v>#NAME?</v>
      </c>
      <c r="J35" s="24" t="e">
        <f t="shared" ca="1" si="2"/>
        <v>#NAME?</v>
      </c>
      <c r="L35" s="24">
        <f t="shared" si="4"/>
        <v>0</v>
      </c>
    </row>
    <row r="36" spans="1:13">
      <c r="A36" s="38" t="s">
        <v>404</v>
      </c>
      <c r="B36" s="18" t="e">
        <f ca="1">[1]!thsiFinD("THS_ZCFZB_STOCK","600887.SH",2099,B$3,1)/1000000</f>
        <v>#NAME?</v>
      </c>
      <c r="C36" s="18" t="e">
        <f ca="1">[1]!thsiFinD("THS_ZCFZB_STOCK","600597.SH",2099,C$3,1)/1000000</f>
        <v>#NAME?</v>
      </c>
      <c r="D36" s="18" t="e">
        <f ca="1">[1]!thsiFinD("THS_ZCFZB_HK","2319.HK",2057,D$3,1,"CNY")/1000000</f>
        <v>#NAME?</v>
      </c>
      <c r="E36" s="19" t="e">
        <f ca="1">[1]!thsiFinD("THS_ZCFZB_STOCK","600887.SH",2099,E$3,1)/1000000</f>
        <v>#NAME?</v>
      </c>
      <c r="F36" s="19" t="e">
        <f ca="1">[1]!thsiFinD("THS_ZCFZB_STOCK","600597.SH",2099,F$3,1)/1000000</f>
        <v>#NAME?</v>
      </c>
      <c r="G36" s="46" t="e">
        <f ca="1">[1]!thsiFinD("THS_ZCFZB_HK","2319.HK",2057,G$3,1,"CNY")/1000000</f>
        <v>#NAME?</v>
      </c>
      <c r="H36" s="24" t="e">
        <f t="shared" ca="1" si="0"/>
        <v>#NAME?</v>
      </c>
      <c r="I36" s="25" t="e">
        <f t="shared" ca="1" si="1"/>
        <v>#NAME?</v>
      </c>
      <c r="J36" s="24" t="e">
        <f t="shared" ca="1" si="2"/>
        <v>#NAME?</v>
      </c>
      <c r="K36" s="25" t="e">
        <f t="shared" ca="1" si="3"/>
        <v>#NAME?</v>
      </c>
      <c r="L36" s="24" t="e">
        <f t="shared" ca="1" si="4"/>
        <v>#NAME?</v>
      </c>
      <c r="M36" s="25" t="e">
        <f t="shared" ca="1" si="5"/>
        <v>#NAME?</v>
      </c>
    </row>
    <row r="37" spans="1:13">
      <c r="A37" s="38" t="s">
        <v>405</v>
      </c>
      <c r="B37" s="18" t="e">
        <f ca="1">[1]!thsiFinD("THS_ZCFZB_STOCK","600887.SH",2119,B$3,1)/1000000</f>
        <v>#NAME?</v>
      </c>
      <c r="C37" s="18" t="e">
        <f ca="1">[1]!thsiFinD("THS_ZCFZB_STOCK","600597.SH",2119,C$3,1)/1000000</f>
        <v>#NAME?</v>
      </c>
      <c r="D37" s="14"/>
      <c r="E37" s="19" t="e">
        <f ca="1">[1]!thsiFinD("THS_ZCFZB_STOCK","600887.SH",2119,E$3,1)/1000000</f>
        <v>#NAME?</v>
      </c>
      <c r="F37" s="19" t="e">
        <f ca="1">[1]!thsiFinD("THS_ZCFZB_STOCK","600597.SH",2119,F$3,1)/1000000</f>
        <v>#NAME?</v>
      </c>
      <c r="G37" s="47"/>
      <c r="H37" s="24" t="e">
        <f t="shared" ca="1" si="0"/>
        <v>#NAME?</v>
      </c>
      <c r="I37" s="25" t="e">
        <f t="shared" ca="1" si="1"/>
        <v>#NAME?</v>
      </c>
      <c r="J37" s="24" t="e">
        <f t="shared" ca="1" si="2"/>
        <v>#NAME?</v>
      </c>
      <c r="K37" s="25" t="e">
        <f t="shared" ca="1" si="3"/>
        <v>#NAME?</v>
      </c>
      <c r="L37" s="24">
        <f t="shared" si="4"/>
        <v>0</v>
      </c>
    </row>
    <row r="38" spans="1:13">
      <c r="A38" s="38" t="s">
        <v>406</v>
      </c>
      <c r="B38" s="18" t="e">
        <f ca="1">[1]!thsiFinD("THS_ZCFZB_STOCK","600887.SH",2100,B$3,1)/1000000</f>
        <v>#NAME?</v>
      </c>
      <c r="C38" s="18" t="e">
        <f ca="1">[1]!thsiFinD("THS_ZCFZB_STOCK","600597.SH",2100,C$3,1)/1000000</f>
        <v>#NAME?</v>
      </c>
      <c r="D38" s="14"/>
      <c r="E38" s="19" t="e">
        <f ca="1">[1]!thsiFinD("THS_ZCFZB_STOCK","600887.SH",2100,E$3,1)/1000000</f>
        <v>#NAME?</v>
      </c>
      <c r="F38" s="19" t="e">
        <f ca="1">[1]!thsiFinD("THS_ZCFZB_STOCK","600597.SH",2100,F$3,1)/1000000</f>
        <v>#NAME?</v>
      </c>
      <c r="G38" s="47"/>
      <c r="H38" s="24" t="e">
        <f t="shared" ca="1" si="0"/>
        <v>#NAME?</v>
      </c>
      <c r="I38" s="25" t="e">
        <f t="shared" ca="1" si="1"/>
        <v>#NAME?</v>
      </c>
      <c r="J38" s="24" t="e">
        <f t="shared" ca="1" si="2"/>
        <v>#NAME?</v>
      </c>
      <c r="K38" s="25" t="e">
        <f t="shared" ca="1" si="3"/>
        <v>#NAME?</v>
      </c>
      <c r="L38" s="24">
        <f t="shared" si="4"/>
        <v>0</v>
      </c>
    </row>
    <row r="39" spans="1:13">
      <c r="A39" s="38" t="s">
        <v>407</v>
      </c>
      <c r="B39" s="18" t="e">
        <f ca="1">[1]!thsiFinD("THS_ZCFZB_STOCK","600887.SH",2101,B$3,1)/1000000</f>
        <v>#NAME?</v>
      </c>
      <c r="C39" s="18" t="e">
        <f ca="1">[1]!thsiFinD("THS_ZCFZB_STOCK","600597.SH",2101,C$3,1)/1000000</f>
        <v>#NAME?</v>
      </c>
      <c r="D39" s="18" t="e">
        <f ca="1">[1]!thsiFinD("THS_ZCFZB_HK","2319.HK",2059,D$3,1,"CNY")/1000000</f>
        <v>#NAME?</v>
      </c>
      <c r="E39" s="19" t="e">
        <f ca="1">[1]!thsiFinD("THS_ZCFZB_STOCK","600887.SH",2101,E$3,1)/1000000</f>
        <v>#NAME?</v>
      </c>
      <c r="F39" s="19" t="e">
        <f ca="1">[1]!thsiFinD("THS_ZCFZB_STOCK","600597.SH",2101,F$3,1)/1000000</f>
        <v>#NAME?</v>
      </c>
      <c r="G39" s="46" t="e">
        <f ca="1">[1]!thsiFinD("THS_ZCFZB_HK","2319.HK",2059,G$3,1,"CNY")/1000000</f>
        <v>#NAME?</v>
      </c>
      <c r="H39" s="24" t="e">
        <f t="shared" ca="1" si="0"/>
        <v>#NAME?</v>
      </c>
      <c r="I39" s="25" t="e">
        <f t="shared" ca="1" si="1"/>
        <v>#NAME?</v>
      </c>
      <c r="J39" s="24" t="e">
        <f t="shared" ca="1" si="2"/>
        <v>#NAME?</v>
      </c>
      <c r="K39" s="25" t="e">
        <f t="shared" ca="1" si="3"/>
        <v>#NAME?</v>
      </c>
      <c r="L39" s="24" t="e">
        <f t="shared" ca="1" si="4"/>
        <v>#NAME?</v>
      </c>
      <c r="M39" s="25" t="e">
        <f t="shared" ca="1" si="5"/>
        <v>#NAME?</v>
      </c>
    </row>
    <row r="40" spans="1:13">
      <c r="A40" s="38" t="s">
        <v>408</v>
      </c>
      <c r="B40" s="18" t="e">
        <f ca="1">[1]!thsiFinD("THS_ZCFZB_STOCK","600887.SH",2094,B$3,1)/1000000</f>
        <v>#NAME?</v>
      </c>
      <c r="C40" s="18" t="e">
        <f ca="1">[1]!thsiFinD("THS_ZCFZB_STOCK","600597.SH",2094,C$3,1)/1000000</f>
        <v>#NAME?</v>
      </c>
      <c r="D40" s="14"/>
      <c r="E40" s="19" t="e">
        <f ca="1">[1]!thsiFinD("THS_ZCFZB_STOCK","600887.SH",2094,E$3,1)/1000000</f>
        <v>#NAME?</v>
      </c>
      <c r="F40" s="19" t="e">
        <f ca="1">[1]!thsiFinD("THS_ZCFZB_STOCK","600597.SH",2094,F$3,1)/1000000</f>
        <v>#NAME?</v>
      </c>
      <c r="G40" s="47"/>
      <c r="H40" s="24" t="e">
        <f t="shared" ca="1" si="0"/>
        <v>#NAME?</v>
      </c>
      <c r="I40" s="25" t="e">
        <f t="shared" ca="1" si="1"/>
        <v>#NAME?</v>
      </c>
      <c r="J40" s="24" t="e">
        <f t="shared" ca="1" si="2"/>
        <v>#NAME?</v>
      </c>
      <c r="K40" s="25" t="e">
        <f t="shared" ca="1" si="3"/>
        <v>#NAME?</v>
      </c>
      <c r="L40" s="24">
        <f t="shared" si="4"/>
        <v>0</v>
      </c>
    </row>
    <row r="41" spans="1:13">
      <c r="A41" s="38" t="s">
        <v>409</v>
      </c>
      <c r="B41" s="18" t="e">
        <f ca="1">[1]!thsiFinD("THS_ZCFZB_STOCK","600887.SH",2064,B$3,1)/1000000</f>
        <v>#NAME?</v>
      </c>
      <c r="C41" s="18" t="e">
        <f ca="1">[1]!thsiFinD("THS_ZCFZB_STOCK","600597.SH",2064,C$3,1)/1000000</f>
        <v>#NAME?</v>
      </c>
      <c r="D41" s="18" t="e">
        <f ca="1">[1]!thsiFinD("THS_ZCFZB_HK","2319.HK",2058,D$3,1,"CNY")/1000000</f>
        <v>#NAME?</v>
      </c>
      <c r="E41" s="19" t="e">
        <f ca="1">[1]!thsiFinD("THS_ZCFZB_STOCK","600887.SH",2064,E$3,1)/1000000</f>
        <v>#NAME?</v>
      </c>
      <c r="F41" s="19" t="e">
        <f ca="1">[1]!thsiFinD("THS_ZCFZB_STOCK","600597.SH",2064,F$3,1)/1000000</f>
        <v>#NAME?</v>
      </c>
      <c r="G41" s="46" t="e">
        <f ca="1">[1]!thsiFinD("THS_ZCFZB_HK","2319.HK",2058,G$3,1,"CNY")/1000000</f>
        <v>#NAME?</v>
      </c>
      <c r="H41" s="24" t="e">
        <f t="shared" ca="1" si="0"/>
        <v>#NAME?</v>
      </c>
      <c r="I41" s="25" t="e">
        <f t="shared" ca="1" si="1"/>
        <v>#NAME?</v>
      </c>
      <c r="J41" s="24" t="e">
        <f t="shared" ca="1" si="2"/>
        <v>#NAME?</v>
      </c>
      <c r="K41" s="25" t="e">
        <f t="shared" ca="1" si="3"/>
        <v>#NAME?</v>
      </c>
      <c r="L41" s="24" t="e">
        <f t="shared" ca="1" si="4"/>
        <v>#NAME?</v>
      </c>
      <c r="M41" s="25" t="e">
        <f t="shared" ca="1" si="5"/>
        <v>#NAME?</v>
      </c>
    </row>
    <row r="42" spans="1:13">
      <c r="A42" s="38" t="s">
        <v>410</v>
      </c>
      <c r="B42" s="18" t="e">
        <f ca="1">[1]!thsiFinD("THS_ZCFZB_STOCK","600887.SH",2087,B$3,1)/1000000</f>
        <v>#NAME?</v>
      </c>
      <c r="C42" s="18" t="e">
        <f ca="1">[1]!thsiFinD("THS_ZCFZB_STOCK","600597.SH",2087,C$3,1)/1000000</f>
        <v>#NAME?</v>
      </c>
      <c r="D42" s="14"/>
      <c r="E42" s="19" t="e">
        <f ca="1">[1]!thsiFinD("THS_ZCFZB_STOCK","600887.SH",2087,E$3,1)/1000000</f>
        <v>#NAME?</v>
      </c>
      <c r="F42" s="19" t="e">
        <f ca="1">[1]!thsiFinD("THS_ZCFZB_STOCK","600597.SH",2087,F$3,1)/1000000</f>
        <v>#NAME?</v>
      </c>
      <c r="G42" s="47"/>
      <c r="H42" s="24" t="e">
        <f t="shared" ca="1" si="0"/>
        <v>#NAME?</v>
      </c>
      <c r="I42" s="25" t="e">
        <f t="shared" ca="1" si="1"/>
        <v>#NAME?</v>
      </c>
      <c r="J42" s="24" t="e">
        <f t="shared" ca="1" si="2"/>
        <v>#NAME?</v>
      </c>
      <c r="K42" s="25" t="e">
        <f t="shared" ca="1" si="3"/>
        <v>#NAME?</v>
      </c>
      <c r="L42" s="24">
        <f t="shared" si="4"/>
        <v>0</v>
      </c>
    </row>
    <row r="43" spans="1:13">
      <c r="A43" s="38" t="s">
        <v>411</v>
      </c>
      <c r="B43" s="18" t="e">
        <f ca="1">[1]!thsiFinD("THS_ZCFZB_STOCK","600887.SH",2093,B$3,1)/1000000</f>
        <v>#NAME?</v>
      </c>
      <c r="C43" s="18" t="e">
        <f ca="1">[1]!thsiFinD("THS_ZCFZB_STOCK","600597.SH",2093,C$3,1)/1000000</f>
        <v>#NAME?</v>
      </c>
      <c r="D43" s="14"/>
      <c r="E43" s="19" t="e">
        <f ca="1">[1]!thsiFinD("THS_ZCFZB_STOCK","600887.SH",2093,E$3,1)/1000000</f>
        <v>#NAME?</v>
      </c>
      <c r="F43" s="19" t="e">
        <f ca="1">[1]!thsiFinD("THS_ZCFZB_STOCK","600597.SH",2093,F$3,1)/1000000</f>
        <v>#NAME?</v>
      </c>
      <c r="G43" s="47"/>
      <c r="H43" s="24" t="e">
        <f t="shared" ca="1" si="0"/>
        <v>#NAME?</v>
      </c>
      <c r="J43" s="24" t="e">
        <f t="shared" ca="1" si="2"/>
        <v>#NAME?</v>
      </c>
      <c r="L43" s="24">
        <f t="shared" si="4"/>
        <v>0</v>
      </c>
    </row>
    <row r="44" spans="1:13">
      <c r="A44" s="38" t="s">
        <v>412</v>
      </c>
      <c r="B44" s="18" t="e">
        <f ca="1">[1]!thsiFinD("THS_ZCFZB_STOCK","600887.SH",2062,B$3,1)/1000000</f>
        <v>#NAME?</v>
      </c>
      <c r="C44" s="18" t="e">
        <f ca="1">[1]!thsiFinD("THS_ZCFZB_STOCK","600597.SH",2062,C$3,1)/1000000</f>
        <v>#NAME?</v>
      </c>
      <c r="D44" s="18" t="e">
        <f ca="1">[1]!thsiFinD("THS_ZCFZB_HK","2319.HK",2031,D$3,1,"CNY")/1000000</f>
        <v>#NAME?</v>
      </c>
      <c r="E44" s="19" t="e">
        <f ca="1">[1]!thsiFinD("THS_ZCFZB_STOCK","600887.SH",2062,E$3,1)/1000000</f>
        <v>#NAME?</v>
      </c>
      <c r="F44" s="19" t="e">
        <f ca="1">[1]!thsiFinD("THS_ZCFZB_STOCK","600597.SH",2062,F$3,1)/1000000</f>
        <v>#NAME?</v>
      </c>
      <c r="G44" s="46" t="e">
        <f ca="1">[1]!thsiFinD("THS_ZCFZB_HK","2319.HK",2031,G$3,1,"CNY")/1000000</f>
        <v>#NAME?</v>
      </c>
      <c r="H44" s="24" t="e">
        <f t="shared" ca="1" si="0"/>
        <v>#NAME?</v>
      </c>
      <c r="J44" s="24" t="e">
        <f t="shared" ca="1" si="2"/>
        <v>#NAME?</v>
      </c>
      <c r="L44" s="24" t="e">
        <f t="shared" ca="1" si="4"/>
        <v>#NAME?</v>
      </c>
      <c r="M44" s="25" t="e">
        <f t="shared" ca="1" si="5"/>
        <v>#NAME?</v>
      </c>
    </row>
    <row r="45" spans="1:13">
      <c r="A45" s="37" t="s">
        <v>413</v>
      </c>
      <c r="B45" s="18" t="e">
        <f ca="1">[1]!thsiFinD("THS_ZCFZB_STOCK","600887.SH",2053,B$3,1)/1000000</f>
        <v>#NAME?</v>
      </c>
      <c r="C45" s="18" t="e">
        <f ca="1">[1]!thsiFinD("THS_ZCFZB_STOCK","600597.SH",2053,C$3,1)/1000000</f>
        <v>#NAME?</v>
      </c>
      <c r="D45" s="18" t="e">
        <f ca="1">[1]!thsiFinD("THS_ZCFZB_HK","2319.HK",2030,D$3,1,"CNY")/1000000</f>
        <v>#NAME?</v>
      </c>
      <c r="E45" s="19" t="e">
        <f ca="1">[1]!thsiFinD("THS_ZCFZB_STOCK","600887.SH",2053,E$3,1)/1000000</f>
        <v>#NAME?</v>
      </c>
      <c r="F45" s="19" t="e">
        <f ca="1">[1]!thsiFinD("THS_ZCFZB_STOCK","600597.SH",2053,F$3,1)/1000000</f>
        <v>#NAME?</v>
      </c>
      <c r="G45" s="46" t="e">
        <f ca="1">[1]!thsiFinD("THS_ZCFZB_HK","2319.HK",2030,G$3,1,"CNY")/1000000</f>
        <v>#NAME?</v>
      </c>
      <c r="H45" s="24" t="e">
        <f t="shared" ca="1" si="0"/>
        <v>#NAME?</v>
      </c>
      <c r="I45" s="25" t="e">
        <f t="shared" ca="1" si="1"/>
        <v>#NAME?</v>
      </c>
      <c r="J45" s="24" t="e">
        <f t="shared" ca="1" si="2"/>
        <v>#NAME?</v>
      </c>
      <c r="K45" s="25" t="e">
        <f t="shared" ca="1" si="3"/>
        <v>#NAME?</v>
      </c>
      <c r="L45" s="24" t="e">
        <f t="shared" ca="1" si="4"/>
        <v>#NAME?</v>
      </c>
      <c r="M45" s="25" t="e">
        <f t="shared" ca="1" si="5"/>
        <v>#NAME?</v>
      </c>
    </row>
    <row r="46" spans="1:13">
      <c r="A46" s="37" t="s">
        <v>130</v>
      </c>
      <c r="B46" s="18"/>
      <c r="C46" s="18"/>
      <c r="D46" s="14"/>
      <c r="E46" s="19"/>
      <c r="F46" s="19"/>
      <c r="G46" s="47"/>
      <c r="H46" s="24"/>
      <c r="J46" s="24"/>
      <c r="L46" s="24"/>
    </row>
    <row r="47" spans="1:13">
      <c r="A47" s="38" t="s">
        <v>414</v>
      </c>
      <c r="B47" s="18" t="e">
        <f ca="1">[1]!thsiFinD("THS_ZCFZB_STOCK","600887.SH",2124,B$3,1)/1000000</f>
        <v>#NAME?</v>
      </c>
      <c r="C47" s="18" t="e">
        <f ca="1">[1]!thsiFinD("THS_ZCFZB_STOCK","600597.SH",2124,C$3,1)/1000000</f>
        <v>#NAME?</v>
      </c>
      <c r="D47" s="18" t="e">
        <f ca="1">[1]!thsiFinD("THS_ZCFZB_HK","2319.HK",2070,D$3,1,"CNY")/1000000</f>
        <v>#NAME?</v>
      </c>
      <c r="E47" s="19" t="e">
        <f ca="1">[1]!thsiFinD("THS_ZCFZB_STOCK","600887.SH",2124,E$3,1)/1000000</f>
        <v>#NAME?</v>
      </c>
      <c r="F47" s="19" t="e">
        <f ca="1">[1]!thsiFinD("THS_ZCFZB_STOCK","600597.SH",2124,F$3,1)/1000000</f>
        <v>#NAME?</v>
      </c>
      <c r="G47" s="46" t="e">
        <f ca="1">[1]!thsiFinD("THS_ZCFZB_HK","2319.HK",2070,G$3,1,"CNY")/1000000</f>
        <v>#NAME?</v>
      </c>
      <c r="H47" s="24" t="e">
        <f t="shared" ca="1" si="0"/>
        <v>#NAME?</v>
      </c>
      <c r="I47" s="25" t="e">
        <f t="shared" ca="1" si="1"/>
        <v>#NAME?</v>
      </c>
      <c r="J47" s="24" t="e">
        <f t="shared" ca="1" si="2"/>
        <v>#NAME?</v>
      </c>
      <c r="K47" s="25" t="e">
        <f t="shared" ca="1" si="3"/>
        <v>#NAME?</v>
      </c>
      <c r="L47" s="24" t="e">
        <f t="shared" ca="1" si="4"/>
        <v>#NAME?</v>
      </c>
      <c r="M47" s="25" t="e">
        <f t="shared" ca="1" si="5"/>
        <v>#NAME?</v>
      </c>
    </row>
    <row r="48" spans="1:13">
      <c r="A48" s="38" t="s">
        <v>415</v>
      </c>
      <c r="B48" s="18" t="e">
        <f ca="1">[1]!thsiFinD("THS_ZCFZB_STOCK","600887.SH",2125,B$3,1)/1000000</f>
        <v>#NAME?</v>
      </c>
      <c r="C48" s="18" t="e">
        <f ca="1">[1]!thsiFinD("THS_ZCFZB_STOCK","600597.SH",2125,C$3,1)/1000000</f>
        <v>#NAME?</v>
      </c>
      <c r="D48" s="14"/>
      <c r="E48" s="19" t="e">
        <f ca="1">[1]!thsiFinD("THS_ZCFZB_STOCK","600887.SH",2125,E$3,1)/1000000</f>
        <v>#NAME?</v>
      </c>
      <c r="F48" s="19" t="e">
        <f ca="1">[1]!thsiFinD("THS_ZCFZB_STOCK","600597.SH",2125,F$3,1)/1000000</f>
        <v>#NAME?</v>
      </c>
      <c r="G48" s="47"/>
      <c r="H48" s="24" t="e">
        <f t="shared" ca="1" si="0"/>
        <v>#NAME?</v>
      </c>
      <c r="I48" s="25" t="e">
        <f t="shared" ca="1" si="1"/>
        <v>#NAME?</v>
      </c>
      <c r="J48" s="24" t="e">
        <f t="shared" ca="1" si="2"/>
        <v>#NAME?</v>
      </c>
      <c r="K48" s="25" t="e">
        <f t="shared" ca="1" si="3"/>
        <v>#NAME?</v>
      </c>
      <c r="L48" s="24">
        <f t="shared" si="4"/>
        <v>0</v>
      </c>
    </row>
    <row r="49" spans="1:13">
      <c r="A49" s="38" t="s">
        <v>416</v>
      </c>
      <c r="B49" s="18" t="e">
        <f ca="1">[1]!thsiFinD("THS_ZCFZB_STOCK","600887.SH",2128,B$3,1)/1000000</f>
        <v>#NAME?</v>
      </c>
      <c r="C49" s="18" t="e">
        <f ca="1">[1]!thsiFinD("THS_ZCFZB_STOCK","600597.SH",2128,C$3,1)/1000000</f>
        <v>#NAME?</v>
      </c>
      <c r="D49" s="14"/>
      <c r="E49" s="19" t="e">
        <f ca="1">[1]!thsiFinD("THS_ZCFZB_STOCK","600887.SH",2128,E$3,1)/1000000</f>
        <v>#NAME?</v>
      </c>
      <c r="F49" s="19" t="e">
        <f ca="1">[1]!thsiFinD("THS_ZCFZB_STOCK","600597.SH",2128,F$3,1)/1000000</f>
        <v>#NAME?</v>
      </c>
      <c r="G49" s="47"/>
      <c r="H49" s="24" t="e">
        <f t="shared" ca="1" si="0"/>
        <v>#NAME?</v>
      </c>
      <c r="I49" s="25" t="e">
        <f t="shared" ca="1" si="1"/>
        <v>#NAME?</v>
      </c>
      <c r="J49" s="24" t="e">
        <f t="shared" ca="1" si="2"/>
        <v>#NAME?</v>
      </c>
      <c r="K49" s="25" t="e">
        <f t="shared" ca="1" si="3"/>
        <v>#NAME?</v>
      </c>
      <c r="L49" s="24">
        <f t="shared" si="4"/>
        <v>0</v>
      </c>
    </row>
    <row r="50" spans="1:13">
      <c r="A50" s="38" t="s">
        <v>417</v>
      </c>
      <c r="B50" s="18" t="e">
        <f ca="1">[1]!thsiFinD("THS_ZCFZB_STOCK","600887.SH",2015,B$3,1)/1000000</f>
        <v>#NAME?</v>
      </c>
      <c r="C50" s="18" t="e">
        <f ca="1">[1]!thsiFinD("THS_ZCFZB_STOCK","600597.SH",2015,C$3,1)/1000000</f>
        <v>#NAME?</v>
      </c>
      <c r="D50" s="18" t="e">
        <f ca="1">[1]!thsiFinD("THS_ZCFZB_HK","2319.HK",2006,D$3,1,"CNY")/1000000</f>
        <v>#NAME?</v>
      </c>
      <c r="E50" s="19" t="e">
        <f ca="1">[1]!thsiFinD("THS_ZCFZB_STOCK","600887.SH",2015,E$3,1)/1000000</f>
        <v>#NAME?</v>
      </c>
      <c r="F50" s="19" t="e">
        <f ca="1">[1]!thsiFinD("THS_ZCFZB_STOCK","600597.SH",2015,F$3,1)/1000000</f>
        <v>#NAME?</v>
      </c>
      <c r="G50" s="46" t="e">
        <f ca="1">[1]!thsiFinD("THS_ZCFZB_HK","2319.HK",2006,G$3,1,"CNY")/1000000</f>
        <v>#NAME?</v>
      </c>
      <c r="H50" s="24" t="e">
        <f t="shared" ca="1" si="0"/>
        <v>#NAME?</v>
      </c>
      <c r="I50" s="25" t="e">
        <f t="shared" ca="1" si="1"/>
        <v>#NAME?</v>
      </c>
      <c r="J50" s="24" t="e">
        <f t="shared" ca="1" si="2"/>
        <v>#NAME?</v>
      </c>
      <c r="K50" s="25" t="e">
        <f t="shared" ca="1" si="3"/>
        <v>#NAME?</v>
      </c>
      <c r="L50" s="24" t="e">
        <f t="shared" ca="1" si="4"/>
        <v>#NAME?</v>
      </c>
      <c r="M50" s="25" t="e">
        <f t="shared" ca="1" si="5"/>
        <v>#NAME?</v>
      </c>
    </row>
    <row r="51" spans="1:13">
      <c r="A51" s="38" t="s">
        <v>418</v>
      </c>
      <c r="B51" s="18" t="e">
        <f ca="1">[1]!thsiFinD("THS_ZCFZB_STOCK","600887.SH",2013,B$3,1)/1000000</f>
        <v>#NAME?</v>
      </c>
      <c r="C51" s="18" t="e">
        <f ca="1">[1]!thsiFinD("THS_ZCFZB_STOCK","600597.SH",2013,C$3,1)/1000000</f>
        <v>#NAME?</v>
      </c>
      <c r="D51" s="14"/>
      <c r="E51" s="19" t="e">
        <f ca="1">[1]!thsiFinD("THS_ZCFZB_STOCK","600887.SH",2013,E$3,1)/1000000</f>
        <v>#NAME?</v>
      </c>
      <c r="F51" s="19" t="e">
        <f ca="1">[1]!thsiFinD("THS_ZCFZB_STOCK","600597.SH",2013,F$3,1)/1000000</f>
        <v>#NAME?</v>
      </c>
      <c r="G51" s="47"/>
      <c r="H51" s="24" t="e">
        <f t="shared" ca="1" si="0"/>
        <v>#NAME?</v>
      </c>
      <c r="I51" s="25" t="e">
        <f t="shared" ca="1" si="1"/>
        <v>#NAME?</v>
      </c>
      <c r="J51" s="24" t="e">
        <f t="shared" ca="1" si="2"/>
        <v>#NAME?</v>
      </c>
      <c r="K51" s="25" t="e">
        <f t="shared" ca="1" si="3"/>
        <v>#NAME?</v>
      </c>
      <c r="L51" s="24">
        <f t="shared" si="4"/>
        <v>0</v>
      </c>
    </row>
    <row r="52" spans="1:13">
      <c r="A52" s="38" t="s">
        <v>419</v>
      </c>
      <c r="B52" s="18" t="e">
        <f ca="1">[1]!thsiFinD("THS_ZCFZB_STOCK","600887.SH",2059,B$3,1)/1000000</f>
        <v>#NAME?</v>
      </c>
      <c r="C52" s="18" t="e">
        <f ca="1">[1]!thsiFinD("THS_ZCFZB_STOCK","600597.SH",2059,C$3,1)/1000000</f>
        <v>#NAME?</v>
      </c>
      <c r="D52" s="18" t="e">
        <f ca="1">[1]!thsiFinD("THS_ZCFZB_HK","2319.HK",2010,D$3,1,"CNY")/1000000</f>
        <v>#NAME?</v>
      </c>
      <c r="E52" s="19" t="e">
        <f ca="1">[1]!thsiFinD("THS_ZCFZB_STOCK","600887.SH",2059,E$3,1)/1000000</f>
        <v>#NAME?</v>
      </c>
      <c r="F52" s="19" t="e">
        <f ca="1">[1]!thsiFinD("THS_ZCFZB_STOCK","600597.SH",2059,F$3,1)/1000000</f>
        <v>#NAME?</v>
      </c>
      <c r="G52" s="46" t="e">
        <f ca="1">[1]!thsiFinD("THS_ZCFZB_HK","2319.HK",2010,G$3,1,"CNY")/1000000</f>
        <v>#NAME?</v>
      </c>
      <c r="H52" s="24" t="e">
        <f t="shared" ca="1" si="0"/>
        <v>#NAME?</v>
      </c>
      <c r="I52" s="25" t="e">
        <f t="shared" ca="1" si="1"/>
        <v>#NAME?</v>
      </c>
      <c r="J52" s="24" t="e">
        <f t="shared" ca="1" si="2"/>
        <v>#NAME?</v>
      </c>
      <c r="K52" s="25" t="e">
        <f t="shared" ca="1" si="3"/>
        <v>#NAME?</v>
      </c>
      <c r="L52" s="24" t="e">
        <f t="shared" ca="1" si="4"/>
        <v>#NAME?</v>
      </c>
      <c r="M52" s="25" t="e">
        <f t="shared" ca="1" si="5"/>
        <v>#NAME?</v>
      </c>
    </row>
    <row r="53" spans="1:13">
      <c r="A53" s="37" t="s">
        <v>420</v>
      </c>
      <c r="B53" s="18" t="e">
        <f ca="1">[1]!thsiFinD("THS_ZCFZB_STOCK","600887.SH",2024,B$3,1)/1000000</f>
        <v>#NAME?</v>
      </c>
      <c r="C53" s="18" t="e">
        <f ca="1">[1]!thsiFinD("THS_ZCFZB_STOCK","600597.SH",2024,C$3,1)/1000000</f>
        <v>#NAME?</v>
      </c>
      <c r="D53" s="18" t="e">
        <f ca="1">[1]!thsiFinD("THS_ZCFZB_HK","2319.HK",2009,D$3,1,"CNY")/1000000</f>
        <v>#NAME?</v>
      </c>
      <c r="E53" s="19" t="e">
        <f ca="1">[1]!thsiFinD("THS_ZCFZB_STOCK","600887.SH",2024,E$3,1)/1000000</f>
        <v>#NAME?</v>
      </c>
      <c r="F53" s="19" t="e">
        <f ca="1">[1]!thsiFinD("THS_ZCFZB_STOCK","600597.SH",2024,F$3,1)/1000000</f>
        <v>#NAME?</v>
      </c>
      <c r="G53" s="46" t="e">
        <f ca="1">[1]!thsiFinD("THS_ZCFZB_HK","2319.HK",2009,G$3,1,"CNY")/1000000</f>
        <v>#NAME?</v>
      </c>
      <c r="H53" s="24" t="e">
        <f t="shared" ca="1" si="0"/>
        <v>#NAME?</v>
      </c>
      <c r="I53" s="25" t="e">
        <f t="shared" ca="1" si="1"/>
        <v>#NAME?</v>
      </c>
      <c r="J53" s="24" t="e">
        <f t="shared" ca="1" si="2"/>
        <v>#NAME?</v>
      </c>
      <c r="K53" s="25" t="e">
        <f t="shared" ca="1" si="3"/>
        <v>#NAME?</v>
      </c>
      <c r="L53" s="24" t="e">
        <f t="shared" ca="1" si="4"/>
        <v>#NAME?</v>
      </c>
      <c r="M53" s="25" t="e">
        <f t="shared" ca="1" si="5"/>
        <v>#NAME?</v>
      </c>
    </row>
    <row r="54" spans="1:13">
      <c r="A54" s="37" t="s">
        <v>321</v>
      </c>
      <c r="B54" s="18" t="e">
        <f ca="1">[1]!thsiFinD("THS_ZCFZB_STOCK","600887.SH",2030,B$3,1)/1000000</f>
        <v>#NAME?</v>
      </c>
      <c r="C54" s="18" t="e">
        <f ca="1">[1]!thsiFinD("THS_ZCFZB_STOCK","600597.SH",2030,C$3,1)/1000000</f>
        <v>#NAME?</v>
      </c>
      <c r="D54" s="18" t="e">
        <f ca="1">[1]!thsiFinD("THS_ZCFZB_HK","2319.HK",2013,D$3,1,"CNY")/1000000</f>
        <v>#NAME?</v>
      </c>
      <c r="E54" s="19" t="e">
        <f ca="1">[1]!thsiFinD("THS_ZCFZB_STOCK","600887.SH",2030,E$3,1)/1000000</f>
        <v>#NAME?</v>
      </c>
      <c r="F54" s="19" t="e">
        <f ca="1">[1]!thsiFinD("THS_ZCFZB_STOCK","600597.SH",2030,F$3,1)/1000000</f>
        <v>#NAME?</v>
      </c>
      <c r="G54" s="46" t="e">
        <f ca="1">[1]!thsiFinD("THS_ZCFZB_HK","2319.HK",2013,G$3,1,"CNY")/1000000</f>
        <v>#NAME?</v>
      </c>
      <c r="H54" s="24" t="e">
        <f t="shared" ca="1" si="0"/>
        <v>#NAME?</v>
      </c>
      <c r="I54" s="25" t="e">
        <f t="shared" ca="1" si="1"/>
        <v>#NAME?</v>
      </c>
      <c r="J54" s="24" t="e">
        <f t="shared" ca="1" si="2"/>
        <v>#NAME?</v>
      </c>
      <c r="K54" s="25" t="e">
        <f t="shared" ca="1" si="3"/>
        <v>#NAME?</v>
      </c>
      <c r="L54" s="24" t="e">
        <f t="shared" ca="1" si="4"/>
        <v>#NAME?</v>
      </c>
      <c r="M54" s="25" t="e">
        <f t="shared" ca="1" si="5"/>
        <v>#NAME?</v>
      </c>
    </row>
    <row r="55" spans="1:13">
      <c r="A55" s="37" t="s">
        <v>145</v>
      </c>
      <c r="B55" s="18"/>
      <c r="C55" s="18"/>
      <c r="D55" s="14"/>
      <c r="E55" s="19"/>
      <c r="F55" s="19"/>
      <c r="G55" s="47"/>
      <c r="H55" s="24"/>
      <c r="J55" s="24"/>
      <c r="L55" s="24"/>
    </row>
    <row r="56" spans="1:13">
      <c r="A56" s="38" t="s">
        <v>421</v>
      </c>
      <c r="B56" s="18" t="e">
        <f ca="1">[1]!thsiFinD("THS_ZCFZB_STOCK","600887.SH",2070,B$3,1)/1000000</f>
        <v>#NAME?</v>
      </c>
      <c r="C56" s="18" t="e">
        <f ca="1">[1]!thsiFinD("THS_ZCFZB_STOCK","600597.SH",2070,C$3,1)/1000000</f>
        <v>#NAME?</v>
      </c>
      <c r="D56" s="18" t="e">
        <f ca="1">[1]!thsiFinD("THS_ZCFZB_HK","2319.HK",2017,D$3,1,"CNY")/1000000</f>
        <v>#NAME?</v>
      </c>
      <c r="E56" s="19" t="e">
        <f ca="1">[1]!thsiFinD("THS_ZCFZB_STOCK","600887.SH",2070,E$3,1)/1000000</f>
        <v>#NAME?</v>
      </c>
      <c r="F56" s="19" t="e">
        <f ca="1">[1]!thsiFinD("THS_ZCFZB_STOCK","600597.SH",2070,F$3,1)/1000000</f>
        <v>#NAME?</v>
      </c>
      <c r="G56" s="46" t="e">
        <f ca="1">[1]!thsiFinD("THS_ZCFZB_HK","2319.HK",2017,G$3,1,"CNY")/1000000</f>
        <v>#NAME?</v>
      </c>
      <c r="H56" s="24" t="e">
        <f t="shared" ca="1" si="0"/>
        <v>#NAME?</v>
      </c>
      <c r="I56" s="25" t="e">
        <f t="shared" ca="1" si="1"/>
        <v>#NAME?</v>
      </c>
      <c r="J56" s="24" t="e">
        <f t="shared" ca="1" si="2"/>
        <v>#NAME?</v>
      </c>
      <c r="K56" s="25" t="e">
        <f t="shared" ca="1" si="3"/>
        <v>#NAME?</v>
      </c>
      <c r="L56" s="24" t="e">
        <f t="shared" ca="1" si="4"/>
        <v>#NAME?</v>
      </c>
      <c r="M56" s="25" t="e">
        <f t="shared" ca="1" si="5"/>
        <v>#NAME?</v>
      </c>
    </row>
    <row r="57" spans="1:13">
      <c r="A57" s="38" t="s">
        <v>422</v>
      </c>
      <c r="B57" s="18" t="e">
        <f ca="1">[1]!thsiFinD("THS_ZCFZB_STOCK","600887.SH",2129,B$3,1)/1000000</f>
        <v>#NAME?</v>
      </c>
      <c r="C57" s="18" t="e">
        <f ca="1">[1]!thsiFinD("THS_ZCFZB_STOCK","600597.SH",2129,C$3,1)/1000000</f>
        <v>#NAME?</v>
      </c>
      <c r="D57" s="14"/>
      <c r="E57" s="19" t="e">
        <f ca="1">[1]!thsiFinD("THS_ZCFZB_STOCK","600887.SH",2129,E$3,1)/1000000</f>
        <v>#NAME?</v>
      </c>
      <c r="F57" s="19" t="e">
        <f ca="1">[1]!thsiFinD("THS_ZCFZB_STOCK","600597.SH",2129,F$3,1)/1000000</f>
        <v>#NAME?</v>
      </c>
      <c r="G57" s="47"/>
      <c r="H57" s="24" t="e">
        <f t="shared" ca="1" si="0"/>
        <v>#NAME?</v>
      </c>
      <c r="I57" s="25" t="e">
        <f t="shared" ca="1" si="1"/>
        <v>#NAME?</v>
      </c>
      <c r="J57" s="24" t="e">
        <f t="shared" ca="1" si="2"/>
        <v>#NAME?</v>
      </c>
      <c r="K57" s="25" t="e">
        <f t="shared" ca="1" si="3"/>
        <v>#NAME?</v>
      </c>
      <c r="L57" s="24">
        <f t="shared" si="4"/>
        <v>0</v>
      </c>
    </row>
    <row r="58" spans="1:13">
      <c r="A58" s="38" t="s">
        <v>423</v>
      </c>
      <c r="B58" s="18" t="e">
        <f ca="1">[1]!thsiFinD("THS_ZCFZB_STOCK","600887.SH",2050,B$3,1)/1000000</f>
        <v>#NAME?</v>
      </c>
      <c r="C58" s="18" t="e">
        <f ca="1">[1]!thsiFinD("THS_ZCFZB_STOCK","600597.SH",2050,C$3,1)/1000000</f>
        <v>#NAME?</v>
      </c>
      <c r="D58" s="31">
        <v>-354.41</v>
      </c>
      <c r="E58" s="19" t="e">
        <f ca="1">[1]!thsiFinD("THS_ZCFZB_STOCK","600887.SH",2050,E$3,1)/1000000</f>
        <v>#NAME?</v>
      </c>
      <c r="F58" s="19" t="e">
        <f ca="1">[1]!thsiFinD("THS_ZCFZB_STOCK","600597.SH",2050,F$3,1)/1000000</f>
        <v>#NAME?</v>
      </c>
      <c r="G58" s="48">
        <v>-415.76</v>
      </c>
      <c r="H58" s="24" t="e">
        <f t="shared" ca="1" si="0"/>
        <v>#NAME?</v>
      </c>
      <c r="I58" s="25" t="e">
        <f t="shared" ca="1" si="1"/>
        <v>#NAME?</v>
      </c>
      <c r="J58" s="24" t="e">
        <f t="shared" ca="1" si="2"/>
        <v>#NAME?</v>
      </c>
      <c r="K58" s="25" t="e">
        <f t="shared" ca="1" si="3"/>
        <v>#NAME?</v>
      </c>
      <c r="L58" s="24">
        <f t="shared" si="4"/>
        <v>61.349999999999966</v>
      </c>
      <c r="M58" s="25">
        <f t="shared" si="5"/>
        <v>-0.14756109293823352</v>
      </c>
    </row>
    <row r="59" spans="1:13">
      <c r="A59" s="38" t="s">
        <v>424</v>
      </c>
      <c r="B59" s="18" t="e">
        <f ca="1">[1]!thsiFinD("THS_ZCFZB_STOCK","600887.SH",2089,B$3,1)/1000000</f>
        <v>#NAME?</v>
      </c>
      <c r="C59" s="18" t="e">
        <f ca="1">[1]!thsiFinD("THS_ZCFZB_STOCK","600597.SH",2089,C$3,1)/1000000</f>
        <v>#NAME?</v>
      </c>
      <c r="D59" s="14"/>
      <c r="E59" s="19" t="e">
        <f ca="1">[1]!thsiFinD("THS_ZCFZB_STOCK","600887.SH",2089,E$3,1)/1000000</f>
        <v>#NAME?</v>
      </c>
      <c r="F59" s="19" t="e">
        <f ca="1">[1]!thsiFinD("THS_ZCFZB_STOCK","600597.SH",2089,F$3,1)/1000000</f>
        <v>#NAME?</v>
      </c>
      <c r="G59" s="47"/>
      <c r="H59" s="24" t="e">
        <f t="shared" ca="1" si="0"/>
        <v>#NAME?</v>
      </c>
      <c r="I59" s="25" t="e">
        <f t="shared" ca="1" si="1"/>
        <v>#NAME?</v>
      </c>
      <c r="J59" s="24" t="e">
        <f t="shared" ca="1" si="2"/>
        <v>#NAME?</v>
      </c>
      <c r="K59" s="25" t="e">
        <f t="shared" ca="1" si="3"/>
        <v>#NAME?</v>
      </c>
      <c r="L59" s="24">
        <f t="shared" si="4"/>
        <v>0</v>
      </c>
    </row>
    <row r="60" spans="1:13">
      <c r="A60" s="38" t="s">
        <v>425</v>
      </c>
      <c r="B60" s="18" t="e">
        <f ca="1">[1]!thsiFinD("THS_ZCFZB_STOCK","600887.SH",2077,B$3,1)/1000000</f>
        <v>#NAME?</v>
      </c>
      <c r="C60" s="18" t="e">
        <f ca="1">[1]!thsiFinD("THS_ZCFZB_STOCK","600597.SH",2077,C$3,1)/1000000</f>
        <v>#NAME?</v>
      </c>
      <c r="D60" s="14"/>
      <c r="E60" s="19" t="e">
        <f ca="1">[1]!thsiFinD("THS_ZCFZB_STOCK","600887.SH",2077,E$3,1)/1000000</f>
        <v>#NAME?</v>
      </c>
      <c r="F60" s="19" t="e">
        <f ca="1">[1]!thsiFinD("THS_ZCFZB_STOCK","600597.SH",2077,F$3,1)/1000000</f>
        <v>#NAME?</v>
      </c>
      <c r="G60" s="47"/>
      <c r="H60" s="24" t="e">
        <f t="shared" ca="1" si="0"/>
        <v>#NAME?</v>
      </c>
      <c r="I60" s="25" t="e">
        <f t="shared" ca="1" si="1"/>
        <v>#NAME?</v>
      </c>
      <c r="J60" s="24" t="e">
        <f t="shared" ca="1" si="2"/>
        <v>#NAME?</v>
      </c>
      <c r="K60" s="25" t="e">
        <f t="shared" ca="1" si="3"/>
        <v>#NAME?</v>
      </c>
      <c r="L60" s="24">
        <f t="shared" si="4"/>
        <v>0</v>
      </c>
    </row>
    <row r="61" spans="1:13">
      <c r="A61" s="38" t="s">
        <v>426</v>
      </c>
      <c r="B61" s="18" t="e">
        <f ca="1">[1]!thsiFinD("THS_ZCFZB_STOCK","600887.SH",2068,B$3,1)/1000000</f>
        <v>#NAME?</v>
      </c>
      <c r="C61" s="18" t="e">
        <f ca="1">[1]!thsiFinD("THS_ZCFZB_STOCK","600597.SH",2068,C$3,1)/1000000</f>
        <v>#NAME?</v>
      </c>
      <c r="D61" s="31">
        <v>4658.8100000000004</v>
      </c>
      <c r="E61" s="19" t="e">
        <f ca="1">[1]!thsiFinD("THS_ZCFZB_STOCK","600887.SH",2068,E$3,1)/1000000</f>
        <v>#NAME?</v>
      </c>
      <c r="F61" s="19" t="e">
        <f ca="1">[1]!thsiFinD("THS_ZCFZB_STOCK","600597.SH",2068,F$3,1)/1000000</f>
        <v>#NAME?</v>
      </c>
      <c r="G61" s="48">
        <v>4478.92</v>
      </c>
      <c r="H61" s="24" t="e">
        <f t="shared" ca="1" si="0"/>
        <v>#NAME?</v>
      </c>
      <c r="I61" s="25" t="e">
        <f t="shared" ca="1" si="1"/>
        <v>#NAME?</v>
      </c>
      <c r="J61" s="24" t="e">
        <f t="shared" ca="1" si="2"/>
        <v>#NAME?</v>
      </c>
      <c r="K61" s="25" t="e">
        <f t="shared" ca="1" si="3"/>
        <v>#NAME?</v>
      </c>
      <c r="L61" s="24">
        <f t="shared" si="4"/>
        <v>179.89000000000033</v>
      </c>
      <c r="M61" s="25">
        <f t="shared" si="5"/>
        <v>4.0163700177721487E-2</v>
      </c>
    </row>
    <row r="62" spans="1:13">
      <c r="A62" s="37" t="s">
        <v>427</v>
      </c>
      <c r="B62" s="18" t="e">
        <f ca="1">[1]!thsiFinD("THS_ZCFZB_STOCK","600887.SH",2039,B$3,1)/1000000</f>
        <v>#NAME?</v>
      </c>
      <c r="C62" s="18" t="e">
        <f ca="1">[1]!thsiFinD("THS_ZCFZB_STOCK","600597.SH",2039,C$3,1)/1000000</f>
        <v>#NAME?</v>
      </c>
      <c r="D62" s="18" t="e">
        <f ca="1">[1]!thsiFinD("THS_ZCFZB_HK","2319.HK",2019,D$3,1,"CNY")/1000000</f>
        <v>#NAME?</v>
      </c>
      <c r="E62" s="19" t="e">
        <f ca="1">[1]!thsiFinD("THS_ZCFZB_STOCK","600887.SH",2039,E$3,1)/1000000</f>
        <v>#NAME?</v>
      </c>
      <c r="F62" s="19" t="e">
        <f ca="1">[1]!thsiFinD("THS_ZCFZB_STOCK","600597.SH",2039,F$3,1)/1000000</f>
        <v>#NAME?</v>
      </c>
      <c r="G62" s="46" t="e">
        <f ca="1">[1]!thsiFinD("THS_ZCFZB_HK","2319.HK",2019,G$3,1,"CNY")/1000000</f>
        <v>#NAME?</v>
      </c>
      <c r="H62" s="24" t="e">
        <f t="shared" ca="1" si="0"/>
        <v>#NAME?</v>
      </c>
      <c r="I62" s="25" t="e">
        <f t="shared" ca="1" si="1"/>
        <v>#NAME?</v>
      </c>
      <c r="J62" s="24" t="e">
        <f t="shared" ca="1" si="2"/>
        <v>#NAME?</v>
      </c>
      <c r="K62" s="25" t="e">
        <f t="shared" ca="1" si="3"/>
        <v>#NAME?</v>
      </c>
      <c r="L62" s="24" t="e">
        <f t="shared" ca="1" si="4"/>
        <v>#NAME?</v>
      </c>
      <c r="M62" s="25" t="e">
        <f t="shared" ca="1" si="5"/>
        <v>#NAME?</v>
      </c>
    </row>
    <row r="63" spans="1:13">
      <c r="A63" s="37" t="s">
        <v>428</v>
      </c>
      <c r="B63" s="18" t="e">
        <f ca="1">[1]!thsiFinD("THS_ZCFZB_STOCK","600887.SH",2072,B$3,1)/1000000</f>
        <v>#NAME?</v>
      </c>
      <c r="C63" s="18" t="e">
        <f ca="1">[1]!thsiFinD("THS_ZCFZB_STOCK","600597.SH",2072,C$3,1)/1000000</f>
        <v>#NAME?</v>
      </c>
      <c r="D63" s="18" t="e">
        <f ca="1">[1]!thsiFinD("THS_ZCFZB_HK","2319.HK",2038,D$3,1,"CNY")/1000000</f>
        <v>#NAME?</v>
      </c>
      <c r="E63" s="19" t="e">
        <f ca="1">[1]!thsiFinD("THS_ZCFZB_STOCK","600887.SH",2072,E$3,1)/1000000</f>
        <v>#NAME?</v>
      </c>
      <c r="F63" s="19" t="e">
        <f ca="1">[1]!thsiFinD("THS_ZCFZB_STOCK","600597.SH",2072,F$3,1)/1000000</f>
        <v>#NAME?</v>
      </c>
      <c r="G63" s="46" t="e">
        <f ca="1">[1]!thsiFinD("THS_ZCFZB_HK","2319.HK",2038,G$3,1,"CNY")/1000000</f>
        <v>#NAME?</v>
      </c>
      <c r="H63" s="24" t="e">
        <f t="shared" ca="1" si="0"/>
        <v>#NAME?</v>
      </c>
      <c r="I63" s="25" t="e">
        <f t="shared" ca="1" si="1"/>
        <v>#NAME?</v>
      </c>
      <c r="J63" s="24" t="e">
        <f t="shared" ca="1" si="2"/>
        <v>#NAME?</v>
      </c>
      <c r="K63" s="25" t="e">
        <f t="shared" ca="1" si="3"/>
        <v>#NAME?</v>
      </c>
      <c r="L63" s="24" t="e">
        <f t="shared" ca="1" si="4"/>
        <v>#NAME?</v>
      </c>
      <c r="M63" s="25" t="e">
        <f t="shared" ca="1" si="5"/>
        <v>#NAME?</v>
      </c>
    </row>
    <row r="64" spans="1:13">
      <c r="A64" s="37" t="s">
        <v>429</v>
      </c>
      <c r="B64" s="18" t="e">
        <f ca="1">[1]!thsiFinD("THS_ZCFZB_STOCK","600887.SH",2033,B$3,1)/1000000</f>
        <v>#NAME?</v>
      </c>
      <c r="C64" s="18" t="e">
        <f ca="1">[1]!thsiFinD("THS_ZCFZB_STOCK","600597.SH",2033,C$3,1)/1000000</f>
        <v>#NAME?</v>
      </c>
      <c r="D64" s="18" t="e">
        <f ca="1">[1]!thsiFinD("THS_ZCFZB_HK","2319.HK",2073,D$3,1,"CNY")/1000000</f>
        <v>#NAME?</v>
      </c>
      <c r="E64" s="19" t="e">
        <f ca="1">[1]!thsiFinD("THS_ZCFZB_STOCK","600887.SH",2033,E$3,1)/1000000</f>
        <v>#NAME?</v>
      </c>
      <c r="F64" s="19" t="e">
        <f ca="1">[1]!thsiFinD("THS_ZCFZB_STOCK","600597.SH",2033,F$3,1)/1000000</f>
        <v>#NAME?</v>
      </c>
      <c r="G64" s="46" t="e">
        <f ca="1">[1]!thsiFinD("THS_ZCFZB_HK","2319.HK",2073,G$3,1,"CNY")/1000000</f>
        <v>#NAME?</v>
      </c>
      <c r="H64" s="24" t="e">
        <f t="shared" ca="1" si="0"/>
        <v>#NAME?</v>
      </c>
      <c r="I64" s="25" t="e">
        <f t="shared" ca="1" si="1"/>
        <v>#NAME?</v>
      </c>
      <c r="J64" s="24" t="e">
        <f t="shared" ca="1" si="2"/>
        <v>#NAME?</v>
      </c>
      <c r="K64" s="25" t="e">
        <f t="shared" ca="1" si="3"/>
        <v>#NAME?</v>
      </c>
      <c r="L64" s="24" t="e">
        <f t="shared" ca="1" si="4"/>
        <v>#NAME?</v>
      </c>
      <c r="M64" s="25" t="e">
        <f t="shared" ca="1" si="5"/>
        <v>#NAME?</v>
      </c>
    </row>
    <row r="66" spans="1:13">
      <c r="B66" s="27" t="s">
        <v>4</v>
      </c>
      <c r="C66" s="27" t="s">
        <v>6</v>
      </c>
      <c r="D66" s="27" t="s">
        <v>252</v>
      </c>
      <c r="E66" s="34" t="s">
        <v>4</v>
      </c>
      <c r="F66" s="34" t="s">
        <v>6</v>
      </c>
      <c r="G66" s="42" t="s">
        <v>337</v>
      </c>
      <c r="H66" s="12" t="s">
        <v>433</v>
      </c>
      <c r="J66" s="12" t="s">
        <v>434</v>
      </c>
      <c r="L66" s="12" t="s">
        <v>435</v>
      </c>
    </row>
    <row r="67" spans="1:13">
      <c r="B67" s="28" t="e">
        <f ca="1">[1]!thsiFinD("ths_gpjc_stock",B66)</f>
        <v>#NAME?</v>
      </c>
      <c r="C67" s="28" t="e">
        <f ca="1">[1]!thsiFinD("ths_gpjc_stock",C66)</f>
        <v>#NAME?</v>
      </c>
      <c r="D67" s="28" t="e">
        <f ca="1">[1]!thsiFinD("ths_gpjc_stock",D66)</f>
        <v>#NAME?</v>
      </c>
      <c r="E67" s="35" t="e">
        <f ca="1">[1]!thsiFinD("ths_gpjc_stock",E66)</f>
        <v>#NAME?</v>
      </c>
      <c r="F67" s="35" t="e">
        <f ca="1">[1]!thsiFinD("ths_gpjc_stock",F66)</f>
        <v>#NAME?</v>
      </c>
      <c r="G67" s="43" t="e">
        <f ca="1">[1]!thsiFinD("ths_gpjc_stock",G66)</f>
        <v>#NAME?</v>
      </c>
    </row>
    <row r="68" spans="1:13">
      <c r="B68" s="36">
        <v>42735</v>
      </c>
      <c r="C68" s="36">
        <v>42735</v>
      </c>
      <c r="D68" s="36" t="e">
        <f ca="1">[1]!thsiFinD("ths_yjbgjzrq_hk",D66,2016,4)</f>
        <v>#NAME?</v>
      </c>
      <c r="E68" s="36">
        <v>42369</v>
      </c>
      <c r="F68" s="36">
        <v>42369</v>
      </c>
      <c r="G68" s="44" t="e">
        <f ca="1">[1]!thsiFinD("ths_yjbgjzrq_hk",G66,2015,4)</f>
        <v>#NAME?</v>
      </c>
      <c r="H68" s="12" t="s">
        <v>372</v>
      </c>
      <c r="I68" s="25" t="s">
        <v>373</v>
      </c>
      <c r="J68" s="12" t="s">
        <v>372</v>
      </c>
      <c r="K68" s="25" t="s">
        <v>373</v>
      </c>
      <c r="L68" s="12" t="s">
        <v>372</v>
      </c>
      <c r="M68" s="25" t="s">
        <v>373</v>
      </c>
    </row>
    <row r="69" spans="1:13">
      <c r="A69" s="11" t="s">
        <v>54</v>
      </c>
    </row>
    <row r="70" spans="1:13">
      <c r="A70" s="11" t="s">
        <v>458</v>
      </c>
      <c r="B70" s="18">
        <v>13823.65426784</v>
      </c>
      <c r="C70" s="18">
        <v>3366.3640610000002</v>
      </c>
      <c r="D70" s="18">
        <v>6070.0780000000004</v>
      </c>
      <c r="E70" s="19">
        <v>13083.66695314</v>
      </c>
      <c r="F70" s="19">
        <v>3319.5196839999999</v>
      </c>
      <c r="G70" s="19">
        <v>7931.2370000000001</v>
      </c>
      <c r="H70" s="24">
        <v>739.98731469999984</v>
      </c>
      <c r="I70" s="24">
        <v>0.22291999600626555</v>
      </c>
      <c r="J70" s="24">
        <v>46.84437700000035</v>
      </c>
      <c r="K70" s="24">
        <v>1.4111793710936269E-2</v>
      </c>
      <c r="L70" s="24">
        <v>-1861.1589999999997</v>
      </c>
      <c r="M70" s="24">
        <v>-0.23466188187290327</v>
      </c>
    </row>
    <row r="71" spans="1:13">
      <c r="A71" s="11" t="s">
        <v>386</v>
      </c>
      <c r="B71" s="18">
        <v>0</v>
      </c>
      <c r="C71" s="18">
        <v>32.752338999999999</v>
      </c>
      <c r="D71" s="18">
        <v>0</v>
      </c>
      <c r="E71" s="19">
        <v>0</v>
      </c>
      <c r="F71" s="19">
        <v>4.8055640000000004</v>
      </c>
      <c r="G71" s="19">
        <v>0</v>
      </c>
      <c r="H71" s="24">
        <v>0</v>
      </c>
      <c r="I71" s="24">
        <v>0</v>
      </c>
      <c r="J71" s="24">
        <v>27.946774999999999</v>
      </c>
      <c r="K71" s="24">
        <v>5.8155036536814402</v>
      </c>
      <c r="L71" s="24">
        <v>0</v>
      </c>
      <c r="M71" s="24"/>
    </row>
    <row r="72" spans="1:13">
      <c r="A72" s="11" t="s">
        <v>387</v>
      </c>
      <c r="B72" s="18">
        <v>114.36</v>
      </c>
      <c r="C72" s="18">
        <v>0</v>
      </c>
      <c r="D72" s="18"/>
      <c r="E72" s="19">
        <v>147.17351255</v>
      </c>
      <c r="F72" s="19">
        <v>0.65466299999999999</v>
      </c>
      <c r="G72" s="19"/>
      <c r="H72" s="24">
        <v>-32.813512549999999</v>
      </c>
      <c r="I72" s="24">
        <v>-50.122754073469856</v>
      </c>
      <c r="J72" s="24">
        <v>-0.65466299999999999</v>
      </c>
      <c r="K72" s="24">
        <v>-1</v>
      </c>
      <c r="L72" s="24">
        <v>0</v>
      </c>
      <c r="M72" s="24"/>
    </row>
    <row r="73" spans="1:13">
      <c r="A73" s="11" t="s">
        <v>388</v>
      </c>
      <c r="B73" s="18">
        <v>572.13739750000002</v>
      </c>
      <c r="C73" s="18">
        <v>1646.914344</v>
      </c>
      <c r="D73" s="18">
        <v>2340.0990000000002</v>
      </c>
      <c r="E73" s="19">
        <v>572.17704187000004</v>
      </c>
      <c r="F73" s="19">
        <v>1629.2899870000001</v>
      </c>
      <c r="G73" s="19">
        <v>1617.7570000000001</v>
      </c>
      <c r="H73" s="24">
        <v>-3.964437000001908E-2</v>
      </c>
      <c r="I73" s="24">
        <v>-2.4332298311742509E-5</v>
      </c>
      <c r="J73" s="24">
        <v>17.624356999999918</v>
      </c>
      <c r="K73" s="24">
        <v>1.0817200830192003E-2</v>
      </c>
      <c r="L73" s="24">
        <v>722.3420000000001</v>
      </c>
      <c r="M73" s="24">
        <v>0.44650834457832672</v>
      </c>
    </row>
    <row r="74" spans="1:13">
      <c r="A74" s="11" t="s">
        <v>377</v>
      </c>
      <c r="B74" s="18">
        <v>558.39040257000011</v>
      </c>
      <c r="C74" s="18">
        <v>348.99563599999999</v>
      </c>
      <c r="D74" s="18">
        <v>2320.009</v>
      </c>
      <c r="E74" s="19">
        <v>614.52434158000005</v>
      </c>
      <c r="F74" s="19">
        <v>452.66259100000002</v>
      </c>
      <c r="G74" s="19">
        <v>1761.0940000000001</v>
      </c>
      <c r="H74" s="24">
        <v>-56.133939009999949</v>
      </c>
      <c r="I74" s="24">
        <v>-0.12400834556704056</v>
      </c>
      <c r="J74" s="24">
        <v>-103.66695500000003</v>
      </c>
      <c r="K74" s="24">
        <v>-0.22901595373937148</v>
      </c>
      <c r="L74" s="24">
        <v>558.91499999999996</v>
      </c>
      <c r="M74" s="24">
        <v>0.31736806780330862</v>
      </c>
    </row>
    <row r="75" spans="1:13">
      <c r="A75" s="11" t="s">
        <v>378</v>
      </c>
      <c r="B75" s="18">
        <v>35.138313959999998</v>
      </c>
      <c r="C75" s="18">
        <v>0</v>
      </c>
      <c r="D75" s="18"/>
      <c r="E75" s="19">
        <v>71.193654780000003</v>
      </c>
      <c r="F75" s="19">
        <v>0</v>
      </c>
      <c r="G75" s="19"/>
      <c r="H75" s="24">
        <v>-36.055340820000005</v>
      </c>
      <c r="I75" s="24"/>
      <c r="J75" s="24">
        <v>0</v>
      </c>
      <c r="K75" s="24"/>
      <c r="L75" s="24">
        <v>0</v>
      </c>
      <c r="M75" s="24"/>
    </row>
    <row r="76" spans="1:13">
      <c r="A76" s="11" t="s">
        <v>379</v>
      </c>
      <c r="B76" s="18">
        <v>38.931444069999998</v>
      </c>
      <c r="C76" s="18">
        <v>182.798778</v>
      </c>
      <c r="D76" s="18"/>
      <c r="E76" s="19">
        <v>49.871200049999999</v>
      </c>
      <c r="F76" s="19">
        <v>124.221391</v>
      </c>
      <c r="G76" s="19"/>
      <c r="H76" s="24">
        <v>-10.939755980000001</v>
      </c>
      <c r="I76" s="24">
        <v>-8.8066603440304425E-2</v>
      </c>
      <c r="J76" s="24">
        <v>58.577387000000002</v>
      </c>
      <c r="K76" s="24">
        <v>0.47155636020852482</v>
      </c>
      <c r="L76" s="24">
        <v>0</v>
      </c>
      <c r="M76" s="24"/>
    </row>
    <row r="77" spans="1:13">
      <c r="A77" s="11" t="s">
        <v>380</v>
      </c>
      <c r="B77" s="18">
        <v>4325.7808676200002</v>
      </c>
      <c r="C77" s="18">
        <v>1848.6927499999999</v>
      </c>
      <c r="D77" s="18">
        <v>3314.2820000000002</v>
      </c>
      <c r="E77" s="19">
        <v>4663.1287473000002</v>
      </c>
      <c r="F77" s="19">
        <v>1852.7976510000001</v>
      </c>
      <c r="G77" s="19">
        <v>4339.5060000000003</v>
      </c>
      <c r="H77" s="24">
        <v>-337.34787968000001</v>
      </c>
      <c r="I77" s="24">
        <v>-0.18207486365169187</v>
      </c>
      <c r="J77" s="24">
        <v>-4.1049010000001545</v>
      </c>
      <c r="K77" s="24">
        <v>-2.2155150066088649E-3</v>
      </c>
      <c r="L77" s="24">
        <v>-1025.2240000000002</v>
      </c>
      <c r="M77" s="24">
        <v>-0.2362536196516378</v>
      </c>
    </row>
    <row r="78" spans="1:13">
      <c r="A78" s="11" t="s">
        <v>381</v>
      </c>
      <c r="B78" s="18">
        <v>33.809934640000002</v>
      </c>
      <c r="C78" s="18">
        <v>0</v>
      </c>
      <c r="D78" s="18"/>
      <c r="E78" s="19">
        <v>0</v>
      </c>
      <c r="F78" s="19">
        <v>0</v>
      </c>
      <c r="G78" s="19"/>
      <c r="H78" s="24">
        <v>33.809934640000002</v>
      </c>
      <c r="I78" s="24"/>
      <c r="J78" s="24">
        <v>0</v>
      </c>
      <c r="K78" s="24"/>
      <c r="L78" s="24">
        <v>0</v>
      </c>
      <c r="M78" s="24"/>
    </row>
    <row r="79" spans="1:13">
      <c r="A79" s="11" t="s">
        <v>382</v>
      </c>
      <c r="B79" s="18">
        <v>690.49600723000003</v>
      </c>
      <c r="C79" s="18">
        <v>173.34888699999999</v>
      </c>
      <c r="D79" s="18"/>
      <c r="E79" s="19">
        <v>584.41695575000006</v>
      </c>
      <c r="F79" s="19">
        <v>170.74139400000001</v>
      </c>
      <c r="G79" s="19"/>
      <c r="H79" s="24">
        <v>106.07905147999998</v>
      </c>
      <c r="I79" s="24">
        <v>0.62128490927044888</v>
      </c>
      <c r="J79" s="24">
        <v>2.6074929999999767</v>
      </c>
      <c r="K79" s="24">
        <v>1.5271592546561829E-2</v>
      </c>
      <c r="L79" s="24">
        <v>0</v>
      </c>
      <c r="M79" s="24"/>
    </row>
    <row r="80" spans="1:13">
      <c r="A80" s="11" t="s">
        <v>383</v>
      </c>
      <c r="B80" s="18">
        <v>20192.698635429999</v>
      </c>
      <c r="C80" s="18">
        <v>7599.8667949999999</v>
      </c>
      <c r="D80" s="18">
        <v>19837.309000000001</v>
      </c>
      <c r="E80" s="19">
        <v>19786.152407019999</v>
      </c>
      <c r="F80" s="19">
        <v>7554.6929250000003</v>
      </c>
      <c r="G80" s="19">
        <v>22420.356</v>
      </c>
      <c r="H80" s="24">
        <v>406.54622840999946</v>
      </c>
      <c r="I80" s="24">
        <v>5.381373305917652E-2</v>
      </c>
      <c r="J80" s="24">
        <v>45.173869999999624</v>
      </c>
      <c r="K80" s="24">
        <v>5.9795772572714626E-3</v>
      </c>
      <c r="L80" s="24">
        <v>-2583.0469999999987</v>
      </c>
      <c r="M80" s="24">
        <v>-0.11520990121655511</v>
      </c>
    </row>
    <row r="81" spans="1:13">
      <c r="A81" s="11" t="s">
        <v>77</v>
      </c>
      <c r="B81" s="18"/>
      <c r="C81" s="18"/>
      <c r="D81" s="18"/>
      <c r="E81" s="19"/>
      <c r="F81" s="19"/>
      <c r="G81" s="19"/>
      <c r="H81" s="24"/>
      <c r="I81" s="24"/>
      <c r="J81" s="24"/>
      <c r="K81" s="24"/>
      <c r="L81" s="24"/>
      <c r="M81" s="24"/>
    </row>
    <row r="82" spans="1:13">
      <c r="A82" s="11" t="s">
        <v>384</v>
      </c>
      <c r="B82" s="18">
        <v>612.36431629999993</v>
      </c>
      <c r="C82" s="18">
        <v>2.4813879999999999</v>
      </c>
      <c r="D82" s="18">
        <v>0</v>
      </c>
      <c r="E82" s="19">
        <v>985.42395271000009</v>
      </c>
      <c r="F82" s="19">
        <v>2.4386860000000001</v>
      </c>
      <c r="G82" s="19">
        <v>0</v>
      </c>
      <c r="H82" s="24">
        <v>-373.05963641000017</v>
      </c>
      <c r="I82" s="24">
        <v>-152.97567477321809</v>
      </c>
      <c r="J82" s="24">
        <v>4.2701999999999796E-2</v>
      </c>
      <c r="K82" s="24">
        <v>1.7510249371997785E-2</v>
      </c>
      <c r="L82" s="24">
        <v>0</v>
      </c>
      <c r="M82" s="24"/>
    </row>
    <row r="83" spans="1:13">
      <c r="A83" s="11" t="s">
        <v>385</v>
      </c>
      <c r="B83" s="18">
        <v>0</v>
      </c>
      <c r="C83" s="18">
        <v>0.95</v>
      </c>
      <c r="D83" s="18"/>
      <c r="E83" s="19">
        <v>2.6400922200000001</v>
      </c>
      <c r="F83" s="19">
        <v>0.64893900000000004</v>
      </c>
      <c r="G83" s="19"/>
      <c r="H83" s="24">
        <v>-2.6400922200000001</v>
      </c>
      <c r="I83" s="24">
        <v>-4.0683210902719669</v>
      </c>
      <c r="J83" s="24">
        <v>0.30106099999999991</v>
      </c>
      <c r="K83" s="24">
        <v>0.46392804254328973</v>
      </c>
      <c r="L83" s="24">
        <v>0</v>
      </c>
      <c r="M83" s="24"/>
    </row>
    <row r="84" spans="1:13">
      <c r="A84" s="11" t="s">
        <v>389</v>
      </c>
      <c r="B84" s="18">
        <v>1631.1003501300002</v>
      </c>
      <c r="C84" s="18">
        <v>67.089648999999994</v>
      </c>
      <c r="D84" s="18"/>
      <c r="E84" s="19">
        <v>121.87920733</v>
      </c>
      <c r="F84" s="19">
        <v>66.958194000000006</v>
      </c>
      <c r="G84" s="19"/>
      <c r="H84" s="24">
        <v>1509.2211428000001</v>
      </c>
      <c r="I84" s="24">
        <v>22.539752831445842</v>
      </c>
      <c r="J84" s="24">
        <v>0.13145499999998833</v>
      </c>
      <c r="K84" s="24">
        <v>1.963239928484157E-3</v>
      </c>
      <c r="L84" s="24">
        <v>0</v>
      </c>
      <c r="M84" s="24"/>
    </row>
    <row r="85" spans="1:13">
      <c r="A85" s="11" t="s">
        <v>390</v>
      </c>
      <c r="B85" s="18">
        <v>13137.46202567</v>
      </c>
      <c r="C85" s="18">
        <v>6035.9306020000004</v>
      </c>
      <c r="D85" s="18">
        <v>12698.374</v>
      </c>
      <c r="E85" s="19">
        <v>14558.600146770001</v>
      </c>
      <c r="F85" s="19">
        <v>5364.4534789999998</v>
      </c>
      <c r="G85" s="19">
        <v>11637.977000000001</v>
      </c>
      <c r="H85" s="24">
        <v>-1421.1381211000007</v>
      </c>
      <c r="I85" s="24">
        <v>-0.26491759629629941</v>
      </c>
      <c r="J85" s="24">
        <v>671.47712300000057</v>
      </c>
      <c r="K85" s="24">
        <v>0.12517158096879838</v>
      </c>
      <c r="L85" s="24">
        <v>1060.396999999999</v>
      </c>
      <c r="M85" s="24">
        <v>9.1115234202645265E-2</v>
      </c>
    </row>
    <row r="86" spans="1:13">
      <c r="A86" s="11" t="s">
        <v>391</v>
      </c>
      <c r="B86" s="18">
        <v>1343.5968125699999</v>
      </c>
      <c r="C86" s="18">
        <v>288.81455399999999</v>
      </c>
      <c r="D86" s="18"/>
      <c r="E86" s="19">
        <v>776.26919723000003</v>
      </c>
      <c r="F86" s="19">
        <v>560.62228100000004</v>
      </c>
      <c r="G86" s="19"/>
      <c r="H86" s="24">
        <v>567.32761533999985</v>
      </c>
      <c r="I86" s="24">
        <v>1.0119605205987163</v>
      </c>
      <c r="J86" s="24">
        <v>-271.80772700000006</v>
      </c>
      <c r="K86" s="24">
        <v>-0.48483218775245224</v>
      </c>
      <c r="L86" s="24">
        <v>0</v>
      </c>
      <c r="M86" s="24"/>
    </row>
    <row r="87" spans="1:13">
      <c r="A87" s="11" t="s">
        <v>392</v>
      </c>
      <c r="B87" s="18">
        <v>51.897322770000002</v>
      </c>
      <c r="C87" s="18">
        <v>0</v>
      </c>
      <c r="D87" s="18"/>
      <c r="E87" s="19">
        <v>6.6852642199999996</v>
      </c>
      <c r="F87" s="19">
        <v>0</v>
      </c>
      <c r="G87" s="19"/>
      <c r="H87" s="24">
        <v>45.212058550000002</v>
      </c>
      <c r="I87" s="24"/>
      <c r="J87" s="24">
        <v>0</v>
      </c>
      <c r="K87" s="24"/>
      <c r="L87" s="24">
        <v>0</v>
      </c>
      <c r="M87" s="24"/>
    </row>
    <row r="88" spans="1:13">
      <c r="A88" s="11" t="s">
        <v>393</v>
      </c>
      <c r="B88" s="18">
        <v>0</v>
      </c>
      <c r="C88" s="18">
        <v>1051.4139230000001</v>
      </c>
      <c r="D88" s="18"/>
      <c r="E88" s="19">
        <v>1298.5389667699999</v>
      </c>
      <c r="F88" s="19">
        <v>1019.288649</v>
      </c>
      <c r="G88" s="19"/>
      <c r="H88" s="24">
        <v>-1298.5389667699999</v>
      </c>
      <c r="I88" s="24">
        <v>-1.2739658859577863</v>
      </c>
      <c r="J88" s="24">
        <v>32.125274000000104</v>
      </c>
      <c r="K88" s="24">
        <v>3.1517346957132757E-2</v>
      </c>
      <c r="L88" s="24">
        <v>0</v>
      </c>
      <c r="M88" s="24"/>
    </row>
    <row r="89" spans="1:13">
      <c r="A89" s="11" t="s">
        <v>394</v>
      </c>
      <c r="B89" s="18">
        <v>990.88212086999999</v>
      </c>
      <c r="C89" s="18">
        <v>343.73265199999997</v>
      </c>
      <c r="D89" s="18">
        <v>2086.2469999999998</v>
      </c>
      <c r="E89" s="19">
        <v>956.42597864000004</v>
      </c>
      <c r="F89" s="19">
        <v>301.11477200000002</v>
      </c>
      <c r="G89" s="19">
        <v>1731.018</v>
      </c>
      <c r="H89" s="24">
        <v>34.456142229999955</v>
      </c>
      <c r="I89" s="24">
        <v>0.11442860143042054</v>
      </c>
      <c r="J89" s="24">
        <v>42.617879999999957</v>
      </c>
      <c r="K89" s="24">
        <v>0.14153367407693951</v>
      </c>
      <c r="L89" s="24">
        <v>355.22899999999981</v>
      </c>
      <c r="M89" s="24">
        <v>0.20521392614057152</v>
      </c>
    </row>
    <row r="90" spans="1:13">
      <c r="A90" s="11" t="s">
        <v>395</v>
      </c>
      <c r="B90" s="18">
        <v>10.67861025</v>
      </c>
      <c r="C90" s="18">
        <v>247.08923300000001</v>
      </c>
      <c r="D90" s="18">
        <v>4527.518</v>
      </c>
      <c r="E90" s="19">
        <v>10.67861025</v>
      </c>
      <c r="F90" s="19">
        <v>231.60399100000001</v>
      </c>
      <c r="G90" s="19">
        <v>5850.5990000000002</v>
      </c>
      <c r="H90" s="24">
        <v>0</v>
      </c>
      <c r="I90" s="24">
        <v>0</v>
      </c>
      <c r="J90" s="24">
        <v>15.485242</v>
      </c>
      <c r="K90" s="24">
        <v>6.6860859923609864E-2</v>
      </c>
      <c r="L90" s="24">
        <v>-1323.0810000000001</v>
      </c>
      <c r="M90" s="24">
        <v>-0.22614453665342643</v>
      </c>
    </row>
    <row r="91" spans="1:13">
      <c r="A91" s="11" t="s">
        <v>396</v>
      </c>
      <c r="B91" s="18">
        <v>109.84314065000001</v>
      </c>
      <c r="C91" s="18">
        <v>1.2136070000000001</v>
      </c>
      <c r="D91" s="18"/>
      <c r="E91" s="19">
        <v>216.37672269999999</v>
      </c>
      <c r="F91" s="19">
        <v>1.703468</v>
      </c>
      <c r="G91" s="19"/>
      <c r="H91" s="24">
        <v>-106.53358204999998</v>
      </c>
      <c r="I91" s="24">
        <v>-62.539232935400008</v>
      </c>
      <c r="J91" s="24">
        <v>-0.48986099999999988</v>
      </c>
      <c r="K91" s="24">
        <v>-0.28756689295014631</v>
      </c>
      <c r="L91" s="24">
        <v>0</v>
      </c>
      <c r="M91" s="24"/>
    </row>
    <row r="92" spans="1:13">
      <c r="A92" s="11" t="s">
        <v>397</v>
      </c>
      <c r="B92" s="18">
        <v>518.57645294999998</v>
      </c>
      <c r="C92" s="18">
        <v>429.564796</v>
      </c>
      <c r="D92" s="18">
        <v>529.12300000000005</v>
      </c>
      <c r="E92" s="19">
        <v>411.67128695999997</v>
      </c>
      <c r="F92" s="19">
        <v>309.51387899999997</v>
      </c>
      <c r="G92" s="19">
        <v>307.53399999999999</v>
      </c>
      <c r="H92" s="24">
        <v>106.90516599</v>
      </c>
      <c r="I92" s="24">
        <v>0.34539700234250242</v>
      </c>
      <c r="J92" s="24">
        <v>120.05091700000003</v>
      </c>
      <c r="K92" s="24">
        <v>0.38786925286797896</v>
      </c>
      <c r="L92" s="24">
        <v>221.58900000000006</v>
      </c>
      <c r="M92" s="24">
        <v>0.72053496523961602</v>
      </c>
    </row>
    <row r="93" spans="1:13">
      <c r="A93" s="11" t="s">
        <v>398</v>
      </c>
      <c r="B93" s="18">
        <v>663.17309814999999</v>
      </c>
      <c r="C93" s="18">
        <v>11.662815999999999</v>
      </c>
      <c r="D93" s="18">
        <v>4262.4769999999999</v>
      </c>
      <c r="E93" s="19">
        <v>499.62641567999998</v>
      </c>
      <c r="F93" s="19">
        <v>33.773148999999997</v>
      </c>
      <c r="G93" s="19">
        <v>3610.4160000000002</v>
      </c>
      <c r="H93" s="24">
        <v>163.54668247000001</v>
      </c>
      <c r="I93" s="24">
        <v>4.8425061716927855</v>
      </c>
      <c r="J93" s="24">
        <v>-22.110332999999997</v>
      </c>
      <c r="K93" s="24">
        <v>-0.65467194071834989</v>
      </c>
      <c r="L93" s="24">
        <v>652.06099999999969</v>
      </c>
      <c r="M93" s="24">
        <v>0.18060550363171438</v>
      </c>
    </row>
    <row r="94" spans="1:13">
      <c r="A94" s="11" t="s">
        <v>399</v>
      </c>
      <c r="B94" s="18">
        <v>19069.574250310001</v>
      </c>
      <c r="C94" s="18">
        <v>8479.9432199999992</v>
      </c>
      <c r="D94" s="18">
        <v>29287.117999999999</v>
      </c>
      <c r="E94" s="19">
        <v>19844.815841479998</v>
      </c>
      <c r="F94" s="19">
        <v>7892.1194869999999</v>
      </c>
      <c r="G94" s="19">
        <v>28232.185000000001</v>
      </c>
      <c r="H94" s="24">
        <v>-775.24159116999726</v>
      </c>
      <c r="I94" s="24">
        <v>-9.8229834513654427E-2</v>
      </c>
      <c r="J94" s="24">
        <v>587.82373299999927</v>
      </c>
      <c r="K94" s="24">
        <v>7.4482366108150039E-2</v>
      </c>
      <c r="L94" s="24">
        <v>1054.9329999999973</v>
      </c>
      <c r="M94" s="24">
        <v>3.7366324993973979E-2</v>
      </c>
    </row>
    <row r="95" spans="1:13">
      <c r="A95" s="11" t="s">
        <v>400</v>
      </c>
      <c r="B95" s="18">
        <v>39262.27288574</v>
      </c>
      <c r="C95" s="18">
        <v>16079.810014999999</v>
      </c>
      <c r="D95" s="18">
        <v>49124.427000000003</v>
      </c>
      <c r="E95" s="19">
        <v>39630.968248500001</v>
      </c>
      <c r="F95" s="19">
        <v>15446.812411999999</v>
      </c>
      <c r="G95" s="19">
        <v>50652.540999999997</v>
      </c>
      <c r="H95" s="24">
        <v>-368.69536276000144</v>
      </c>
      <c r="I95" s="24">
        <v>-2.3868702029007424E-2</v>
      </c>
      <c r="J95" s="24">
        <v>632.9976029999998</v>
      </c>
      <c r="K95" s="24">
        <v>4.0979173315282169E-2</v>
      </c>
      <c r="L95" s="24">
        <v>-1528.1139999999941</v>
      </c>
      <c r="M95" s="24">
        <v>-3.0168555611059949E-2</v>
      </c>
    </row>
    <row r="96" spans="1:13">
      <c r="B96" s="18"/>
      <c r="C96" s="18"/>
      <c r="D96" s="18"/>
      <c r="E96" s="19"/>
      <c r="F96" s="19"/>
      <c r="G96" s="19"/>
      <c r="H96" s="24"/>
      <c r="I96" s="24"/>
      <c r="J96" s="24"/>
      <c r="K96" s="24"/>
      <c r="L96" s="24"/>
      <c r="M96" s="24"/>
    </row>
    <row r="97" spans="1:13">
      <c r="A97" s="11" t="s">
        <v>102</v>
      </c>
      <c r="B97" s="18"/>
      <c r="C97" s="18"/>
      <c r="D97" s="18"/>
      <c r="E97" s="19"/>
      <c r="F97" s="19"/>
      <c r="G97" s="19"/>
      <c r="H97" s="24"/>
      <c r="I97" s="24"/>
      <c r="J97" s="24"/>
      <c r="K97" s="24"/>
      <c r="L97" s="24"/>
      <c r="M97" s="24"/>
    </row>
    <row r="98" spans="1:13">
      <c r="A98" s="11" t="s">
        <v>401</v>
      </c>
      <c r="B98" s="18">
        <v>150</v>
      </c>
      <c r="C98" s="18">
        <v>1153.017083</v>
      </c>
      <c r="D98" s="18">
        <v>3097.9760000000001</v>
      </c>
      <c r="E98" s="19">
        <v>6190</v>
      </c>
      <c r="F98" s="19">
        <v>1441.437692</v>
      </c>
      <c r="G98" s="19">
        <v>6124.6660000000002</v>
      </c>
      <c r="H98" s="24">
        <v>-6040</v>
      </c>
      <c r="I98" s="24">
        <v>-4.1902608996018955</v>
      </c>
      <c r="J98" s="24">
        <v>-288.42060900000001</v>
      </c>
      <c r="K98" s="24">
        <v>-0.20009231796888521</v>
      </c>
      <c r="L98" s="24">
        <v>-3026.69</v>
      </c>
      <c r="M98" s="24">
        <v>-0.49418041734847257</v>
      </c>
    </row>
    <row r="99" spans="1:13">
      <c r="A99" s="11" t="s">
        <v>402</v>
      </c>
      <c r="B99" s="18">
        <v>0</v>
      </c>
      <c r="C99" s="18">
        <v>24.651395000000001</v>
      </c>
      <c r="D99" s="18"/>
      <c r="E99" s="19">
        <v>0</v>
      </c>
      <c r="F99" s="19">
        <v>29.944749000000002</v>
      </c>
      <c r="G99" s="19"/>
      <c r="H99" s="24">
        <v>0</v>
      </c>
      <c r="I99" s="24">
        <v>0</v>
      </c>
      <c r="J99" s="24">
        <v>-5.2933540000000008</v>
      </c>
      <c r="K99" s="24">
        <v>-0.17677069191663622</v>
      </c>
      <c r="L99" s="24">
        <v>0</v>
      </c>
      <c r="M99" s="24"/>
    </row>
    <row r="100" spans="1:13">
      <c r="A100" s="11" t="s">
        <v>403</v>
      </c>
      <c r="B100" s="18">
        <v>337.61987905000001</v>
      </c>
      <c r="C100" s="18">
        <v>0</v>
      </c>
      <c r="D100" s="18"/>
      <c r="E100" s="19">
        <v>563.10967786000003</v>
      </c>
      <c r="F100" s="19">
        <v>0</v>
      </c>
      <c r="G100" s="19"/>
      <c r="H100" s="24">
        <v>-225.48979881000002</v>
      </c>
      <c r="I100" s="24"/>
      <c r="J100" s="24">
        <v>0</v>
      </c>
      <c r="K100" s="24"/>
      <c r="L100" s="24">
        <v>0</v>
      </c>
      <c r="M100" s="24"/>
    </row>
    <row r="101" spans="1:13">
      <c r="A101" s="11" t="s">
        <v>404</v>
      </c>
      <c r="B101" s="18">
        <v>6752.9115910800001</v>
      </c>
      <c r="C101" s="18">
        <v>1853.205346</v>
      </c>
      <c r="D101" s="18">
        <v>5405.62</v>
      </c>
      <c r="E101" s="19">
        <v>6078.8482815799998</v>
      </c>
      <c r="F101" s="19">
        <v>2272.7319640000001</v>
      </c>
      <c r="G101" s="19">
        <v>4644.2979999999998</v>
      </c>
      <c r="H101" s="24">
        <v>674.06330950000029</v>
      </c>
      <c r="I101" s="24">
        <v>0.29658724397647457</v>
      </c>
      <c r="J101" s="24">
        <v>-419.5266180000001</v>
      </c>
      <c r="K101" s="24">
        <v>-0.18459133089395846</v>
      </c>
      <c r="L101" s="24">
        <v>761.32200000000012</v>
      </c>
      <c r="M101" s="24">
        <v>0.16392617355733852</v>
      </c>
    </row>
    <row r="102" spans="1:13">
      <c r="A102" s="11" t="s">
        <v>405</v>
      </c>
      <c r="B102" s="18">
        <v>3591.6682621999998</v>
      </c>
      <c r="C102" s="18">
        <v>1117.6845029999999</v>
      </c>
      <c r="D102" s="18"/>
      <c r="E102" s="19">
        <v>2035.5342625399999</v>
      </c>
      <c r="F102" s="19">
        <v>578.55276900000001</v>
      </c>
      <c r="G102" s="19"/>
      <c r="H102" s="24">
        <v>1556.13399966</v>
      </c>
      <c r="I102" s="24">
        <v>2.689701066247943</v>
      </c>
      <c r="J102" s="24">
        <v>539.13173399999994</v>
      </c>
      <c r="K102" s="24">
        <v>0.93186268027350838</v>
      </c>
      <c r="L102" s="24">
        <v>0</v>
      </c>
      <c r="M102" s="24"/>
    </row>
    <row r="103" spans="1:13">
      <c r="A103" s="11" t="s">
        <v>406</v>
      </c>
      <c r="B103" s="18">
        <v>2315.1744840599999</v>
      </c>
      <c r="C103" s="18">
        <v>249.75198800000001</v>
      </c>
      <c r="D103" s="18"/>
      <c r="E103" s="19">
        <v>1692.0103684600001</v>
      </c>
      <c r="F103" s="19">
        <v>203.62570299999999</v>
      </c>
      <c r="G103" s="19"/>
      <c r="H103" s="24">
        <v>623.16411559999983</v>
      </c>
      <c r="I103" s="24">
        <v>3.060341137778662</v>
      </c>
      <c r="J103" s="24">
        <v>46.126285000000024</v>
      </c>
      <c r="K103" s="24">
        <v>0.22652486557652315</v>
      </c>
      <c r="L103" s="24">
        <v>0</v>
      </c>
      <c r="M103" s="24"/>
    </row>
    <row r="104" spans="1:13">
      <c r="A104" s="11" t="s">
        <v>407</v>
      </c>
      <c r="B104" s="18">
        <v>490.22820995000001</v>
      </c>
      <c r="C104" s="18">
        <v>484.61765100000002</v>
      </c>
      <c r="D104" s="18">
        <v>145.24199999999999</v>
      </c>
      <c r="E104" s="19">
        <v>368.01907123000001</v>
      </c>
      <c r="F104" s="19">
        <v>206.94701599999999</v>
      </c>
      <c r="G104" s="19">
        <v>153.36699999999999</v>
      </c>
      <c r="H104" s="24">
        <v>122.20913872</v>
      </c>
      <c r="I104" s="24">
        <v>0.59053346640185433</v>
      </c>
      <c r="J104" s="24">
        <v>277.67063500000006</v>
      </c>
      <c r="K104" s="24">
        <v>1.3417474693135951</v>
      </c>
      <c r="L104" s="24">
        <v>-8.125</v>
      </c>
      <c r="M104" s="24">
        <v>-5.2977498418825437E-2</v>
      </c>
    </row>
    <row r="105" spans="1:13">
      <c r="A105" s="11" t="s">
        <v>408</v>
      </c>
      <c r="B105" s="18">
        <v>6.7375000000000004E-2</v>
      </c>
      <c r="C105" s="18">
        <v>2.0442429999999998</v>
      </c>
      <c r="D105" s="18"/>
      <c r="E105" s="19">
        <v>2.93174717</v>
      </c>
      <c r="F105" s="19">
        <v>3.6992080000000001</v>
      </c>
      <c r="G105" s="19"/>
      <c r="H105" s="24">
        <v>-2.8643721699999998</v>
      </c>
      <c r="I105" s="24">
        <v>-0.77432038695850569</v>
      </c>
      <c r="J105" s="24">
        <v>-1.6549650000000002</v>
      </c>
      <c r="K105" s="24">
        <v>-0.44738360211158718</v>
      </c>
      <c r="L105" s="24">
        <v>0</v>
      </c>
      <c r="M105" s="24"/>
    </row>
    <row r="106" spans="1:13">
      <c r="A106" s="11" t="s">
        <v>409</v>
      </c>
      <c r="B106" s="18">
        <v>1155.1540217699999</v>
      </c>
      <c r="C106" s="18">
        <v>2321.2356840000002</v>
      </c>
      <c r="D106" s="18">
        <v>6510.8860000000004</v>
      </c>
      <c r="E106" s="19">
        <v>1147.75909856</v>
      </c>
      <c r="F106" s="19">
        <v>2078.607305</v>
      </c>
      <c r="G106" s="19">
        <v>4989.5240000000003</v>
      </c>
      <c r="H106" s="24">
        <v>7.3949232099998881</v>
      </c>
      <c r="I106" s="24">
        <v>3.5576336098750929E-3</v>
      </c>
      <c r="J106" s="24">
        <v>242.62837900000022</v>
      </c>
      <c r="K106" s="24">
        <v>0.11672641504548173</v>
      </c>
      <c r="L106" s="24">
        <v>1521.3620000000001</v>
      </c>
      <c r="M106" s="24">
        <v>0.30491125005110709</v>
      </c>
    </row>
    <row r="107" spans="1:13">
      <c r="A107" s="11" t="s">
        <v>410</v>
      </c>
      <c r="B107" s="18">
        <v>0</v>
      </c>
      <c r="C107" s="18">
        <v>46.600155999999998</v>
      </c>
      <c r="D107" s="18"/>
      <c r="E107" s="19">
        <v>0</v>
      </c>
      <c r="F107" s="19">
        <v>254.321246</v>
      </c>
      <c r="G107" s="19"/>
      <c r="H107" s="24">
        <v>0</v>
      </c>
      <c r="I107" s="24">
        <v>0</v>
      </c>
      <c r="J107" s="24">
        <v>-207.72109</v>
      </c>
      <c r="K107" s="24">
        <v>-0.81676656302635453</v>
      </c>
      <c r="L107" s="24">
        <v>0</v>
      </c>
      <c r="M107" s="24"/>
    </row>
    <row r="108" spans="1:13">
      <c r="A108" s="11" t="s">
        <v>411</v>
      </c>
      <c r="B108" s="18">
        <v>49.93041178</v>
      </c>
      <c r="C108" s="18">
        <v>0</v>
      </c>
      <c r="D108" s="18"/>
      <c r="E108" s="19">
        <v>39.647713909999993</v>
      </c>
      <c r="F108" s="19">
        <v>0</v>
      </c>
      <c r="G108" s="19"/>
      <c r="H108" s="24">
        <v>10.282697870000007</v>
      </c>
      <c r="I108" s="24"/>
      <c r="J108" s="24">
        <v>0</v>
      </c>
      <c r="K108" s="24"/>
      <c r="L108" s="24">
        <v>0</v>
      </c>
      <c r="M108" s="24"/>
    </row>
    <row r="109" spans="1:13">
      <c r="A109" s="11" t="s">
        <v>412</v>
      </c>
      <c r="B109" s="18">
        <v>64.700478790000005</v>
      </c>
      <c r="C109" s="18">
        <v>0</v>
      </c>
      <c r="D109" s="18">
        <v>142.94499999999999</v>
      </c>
      <c r="E109" s="19">
        <v>84.163127430000003</v>
      </c>
      <c r="F109" s="19">
        <v>0</v>
      </c>
      <c r="G109" s="19">
        <v>64.52</v>
      </c>
      <c r="H109" s="24">
        <v>-19.462648639999998</v>
      </c>
      <c r="I109" s="24"/>
      <c r="J109" s="24">
        <v>0</v>
      </c>
      <c r="K109" s="24"/>
      <c r="L109" s="24">
        <v>78.424999999999997</v>
      </c>
      <c r="M109" s="24">
        <v>1.2155145691258524</v>
      </c>
    </row>
    <row r="110" spans="1:13">
      <c r="A110" s="11" t="s">
        <v>413</v>
      </c>
      <c r="B110" s="18">
        <v>14907.454713680001</v>
      </c>
      <c r="C110" s="18">
        <v>7252.8080490000002</v>
      </c>
      <c r="D110" s="18">
        <v>15302.669</v>
      </c>
      <c r="E110" s="19">
        <v>18202.02334874</v>
      </c>
      <c r="F110" s="19">
        <v>7069.8676519999999</v>
      </c>
      <c r="G110" s="19">
        <v>15976.375</v>
      </c>
      <c r="H110" s="24">
        <v>-3294.568635059999</v>
      </c>
      <c r="I110" s="24">
        <v>-0.46600145819250183</v>
      </c>
      <c r="J110" s="24">
        <v>182.9403970000003</v>
      </c>
      <c r="K110" s="24">
        <v>2.5876070954206357E-2</v>
      </c>
      <c r="L110" s="24">
        <v>-673.70600000000013</v>
      </c>
      <c r="M110" s="24">
        <v>-4.2168890001643061E-2</v>
      </c>
    </row>
    <row r="111" spans="1:13">
      <c r="A111" s="11" t="s">
        <v>130</v>
      </c>
      <c r="B111" s="18"/>
      <c r="C111" s="18"/>
      <c r="D111" s="18"/>
      <c r="E111" s="19"/>
      <c r="F111" s="19"/>
      <c r="G111" s="19"/>
      <c r="H111" s="24"/>
      <c r="I111" s="24"/>
      <c r="J111" s="24"/>
      <c r="K111" s="24"/>
      <c r="L111" s="24"/>
      <c r="M111" s="24"/>
    </row>
    <row r="112" spans="1:13">
      <c r="A112" s="11" t="s">
        <v>414</v>
      </c>
      <c r="B112" s="18">
        <v>0.28899999999999998</v>
      </c>
      <c r="C112" s="18">
        <v>414.86266000000001</v>
      </c>
      <c r="D112" s="18">
        <v>5542.1629999999996</v>
      </c>
      <c r="E112" s="19">
        <v>0.28899999999999998</v>
      </c>
      <c r="F112" s="19">
        <v>1088.750477</v>
      </c>
      <c r="G112" s="19">
        <v>4969.5110000000004</v>
      </c>
      <c r="H112" s="24">
        <v>0</v>
      </c>
      <c r="I112" s="24">
        <v>0</v>
      </c>
      <c r="J112" s="24">
        <v>-673.88781700000004</v>
      </c>
      <c r="K112" s="24">
        <v>-0.6189552438653031</v>
      </c>
      <c r="L112" s="24">
        <v>572.65199999999913</v>
      </c>
      <c r="M112" s="24">
        <v>0.11523306820328984</v>
      </c>
    </row>
    <row r="113" spans="1:13">
      <c r="A113" s="11" t="s">
        <v>415</v>
      </c>
      <c r="B113" s="18">
        <v>0</v>
      </c>
      <c r="C113" s="18">
        <v>21.774063999999999</v>
      </c>
      <c r="D113" s="18"/>
      <c r="E113" s="19">
        <v>0</v>
      </c>
      <c r="F113" s="19">
        <v>39.878568999999999</v>
      </c>
      <c r="G113" s="19"/>
      <c r="H113" s="24">
        <v>0</v>
      </c>
      <c r="I113" s="24">
        <v>0</v>
      </c>
      <c r="J113" s="24">
        <v>-18.104505</v>
      </c>
      <c r="K113" s="24">
        <v>-0.45399083903938481</v>
      </c>
      <c r="L113" s="24">
        <v>0</v>
      </c>
      <c r="M113" s="24"/>
    </row>
    <row r="114" spans="1:13">
      <c r="A114" s="11" t="s">
        <v>416</v>
      </c>
      <c r="B114" s="18">
        <v>0</v>
      </c>
      <c r="C114" s="18">
        <v>2.122811</v>
      </c>
      <c r="D114" s="18"/>
      <c r="E114" s="19">
        <v>143.30082440999999</v>
      </c>
      <c r="F114" s="19">
        <v>2.122811</v>
      </c>
      <c r="G114" s="19"/>
      <c r="H114" s="24">
        <v>-143.30082440999999</v>
      </c>
      <c r="I114" s="24">
        <v>-67.505220394090657</v>
      </c>
      <c r="J114" s="24">
        <v>0</v>
      </c>
      <c r="K114" s="24">
        <v>0</v>
      </c>
      <c r="L114" s="24">
        <v>0</v>
      </c>
      <c r="M114" s="24"/>
    </row>
    <row r="115" spans="1:13">
      <c r="A115" s="11" t="s">
        <v>417</v>
      </c>
      <c r="B115" s="18">
        <v>0</v>
      </c>
      <c r="C115" s="18">
        <v>118.524146</v>
      </c>
      <c r="D115" s="18">
        <v>62.19</v>
      </c>
      <c r="E115" s="19">
        <v>0</v>
      </c>
      <c r="F115" s="19">
        <v>95.139889999999994</v>
      </c>
      <c r="G115" s="19">
        <v>76.05</v>
      </c>
      <c r="H115" s="24">
        <v>0</v>
      </c>
      <c r="I115" s="24">
        <v>0</v>
      </c>
      <c r="J115" s="24">
        <v>23.384256000000008</v>
      </c>
      <c r="K115" s="24">
        <v>0.24578813366296734</v>
      </c>
      <c r="L115" s="24">
        <v>-13.86</v>
      </c>
      <c r="M115" s="24">
        <v>-0.18224852071005918</v>
      </c>
    </row>
    <row r="116" spans="1:13">
      <c r="A116" s="11" t="s">
        <v>418</v>
      </c>
      <c r="B116" s="18">
        <v>1118.64129555</v>
      </c>
      <c r="C116" s="18">
        <v>282.76212099999998</v>
      </c>
      <c r="D116" s="18"/>
      <c r="E116" s="19">
        <v>1139.4387683</v>
      </c>
      <c r="F116" s="19">
        <v>284.00791099999998</v>
      </c>
      <c r="G116" s="19"/>
      <c r="H116" s="24">
        <v>-20.797472749999997</v>
      </c>
      <c r="I116" s="24">
        <v>-7.3228498025887725E-2</v>
      </c>
      <c r="J116" s="24">
        <v>-1.2457899999999995</v>
      </c>
      <c r="K116" s="24">
        <v>-4.386462319354194E-3</v>
      </c>
      <c r="L116" s="24">
        <v>0</v>
      </c>
      <c r="M116" s="24"/>
    </row>
    <row r="117" spans="1:13">
      <c r="A117" s="11" t="s">
        <v>419</v>
      </c>
      <c r="B117" s="18">
        <v>0</v>
      </c>
      <c r="C117" s="18">
        <v>1827.010886</v>
      </c>
      <c r="D117" s="18">
        <v>2713.6770000000001</v>
      </c>
      <c r="E117" s="19">
        <v>0</v>
      </c>
      <c r="F117" s="19">
        <v>1603.898054</v>
      </c>
      <c r="G117" s="19">
        <v>3015.451</v>
      </c>
      <c r="H117" s="24">
        <v>0</v>
      </c>
      <c r="I117" s="24">
        <v>0</v>
      </c>
      <c r="J117" s="24">
        <v>223.11283200000003</v>
      </c>
      <c r="K117" s="24">
        <v>0.13910661680994846</v>
      </c>
      <c r="L117" s="24">
        <v>-301.77399999999989</v>
      </c>
      <c r="M117" s="24">
        <v>-0.10007590904312486</v>
      </c>
    </row>
    <row r="118" spans="1:13">
      <c r="A118" s="11" t="s">
        <v>420</v>
      </c>
      <c r="B118" s="18">
        <v>1118.93029555</v>
      </c>
      <c r="C118" s="18">
        <v>2667.0566880000001</v>
      </c>
      <c r="D118" s="18">
        <v>8318.0300000000007</v>
      </c>
      <c r="E118" s="19">
        <v>1283.0285927100001</v>
      </c>
      <c r="F118" s="19">
        <v>3113.797712</v>
      </c>
      <c r="G118" s="19">
        <v>8061.0119999999997</v>
      </c>
      <c r="H118" s="24">
        <v>-164.09829716000013</v>
      </c>
      <c r="I118" s="24">
        <v>-5.2700371808867247E-2</v>
      </c>
      <c r="J118" s="24">
        <v>-446.74102399999992</v>
      </c>
      <c r="K118" s="24">
        <v>-0.14347143434473689</v>
      </c>
      <c r="L118" s="24">
        <v>257.01800000000094</v>
      </c>
      <c r="M118" s="24">
        <v>3.1884086017983961E-2</v>
      </c>
    </row>
    <row r="119" spans="1:13">
      <c r="A119" s="11" t="s">
        <v>321</v>
      </c>
      <c r="B119" s="18">
        <v>16026.38500923</v>
      </c>
      <c r="C119" s="18">
        <v>9919.8647369999999</v>
      </c>
      <c r="D119" s="18">
        <v>23620.699000000001</v>
      </c>
      <c r="E119" s="19">
        <v>19485.051941450001</v>
      </c>
      <c r="F119" s="19">
        <v>10183.665364</v>
      </c>
      <c r="G119" s="19">
        <v>24037.386999999999</v>
      </c>
      <c r="H119" s="24">
        <v>-3458.6669322200014</v>
      </c>
      <c r="I119" s="24">
        <v>-0.33962888690811083</v>
      </c>
      <c r="J119" s="24">
        <v>-263.80062700000053</v>
      </c>
      <c r="K119" s="24">
        <v>-2.5904290603710821E-2</v>
      </c>
      <c r="L119" s="24">
        <v>-416.68799999999828</v>
      </c>
      <c r="M119" s="24">
        <v>-1.7334995688175186E-2</v>
      </c>
    </row>
    <row r="120" spans="1:13">
      <c r="A120" s="11" t="s">
        <v>145</v>
      </c>
      <c r="B120" s="18"/>
      <c r="C120" s="18"/>
      <c r="D120" s="18"/>
      <c r="E120" s="19"/>
      <c r="F120" s="19"/>
      <c r="G120" s="19"/>
      <c r="H120" s="24"/>
      <c r="I120" s="24"/>
      <c r="J120" s="24"/>
      <c r="K120" s="24"/>
      <c r="L120" s="24"/>
      <c r="M120" s="24"/>
    </row>
    <row r="121" spans="1:13">
      <c r="A121" s="11" t="s">
        <v>421</v>
      </c>
      <c r="B121" s="18">
        <v>6064.8001080000004</v>
      </c>
      <c r="C121" s="18">
        <v>1230.636739</v>
      </c>
      <c r="D121" s="18">
        <v>357.37400000000002</v>
      </c>
      <c r="E121" s="19">
        <v>6064.8001080000004</v>
      </c>
      <c r="F121" s="19">
        <v>1230.636739</v>
      </c>
      <c r="G121" s="19">
        <v>357.262</v>
      </c>
      <c r="H121" s="24">
        <v>0</v>
      </c>
      <c r="I121" s="24">
        <v>0</v>
      </c>
      <c r="J121" s="24">
        <v>0</v>
      </c>
      <c r="K121" s="24">
        <v>0</v>
      </c>
      <c r="L121" s="24">
        <v>0.11200000000002319</v>
      </c>
      <c r="M121" s="24">
        <v>3.1349541792864396E-4</v>
      </c>
    </row>
    <row r="122" spans="1:13">
      <c r="A122" s="11" t="s">
        <v>422</v>
      </c>
      <c r="B122" s="18">
        <v>2476.36007655</v>
      </c>
      <c r="C122" s="18">
        <v>1774.954581</v>
      </c>
      <c r="D122" s="18"/>
      <c r="E122" s="19">
        <v>2476.7079197399999</v>
      </c>
      <c r="F122" s="19">
        <v>1769.02782</v>
      </c>
      <c r="G122" s="19"/>
      <c r="H122" s="24">
        <v>-0.34784318999982133</v>
      </c>
      <c r="I122" s="24">
        <v>-1.966295758988241E-4</v>
      </c>
      <c r="J122" s="24">
        <v>5.9267609999999422</v>
      </c>
      <c r="K122" s="24">
        <v>3.3502927048371361E-3</v>
      </c>
      <c r="L122" s="24">
        <v>0</v>
      </c>
      <c r="M122" s="24"/>
    </row>
    <row r="123" spans="1:13">
      <c r="A123" s="11" t="s">
        <v>423</v>
      </c>
      <c r="B123" s="18">
        <v>0</v>
      </c>
      <c r="C123" s="18">
        <v>64.760114999999999</v>
      </c>
      <c r="D123" s="18">
        <v>-354.41</v>
      </c>
      <c r="E123" s="19">
        <v>0</v>
      </c>
      <c r="F123" s="19">
        <v>64.760114999999999</v>
      </c>
      <c r="G123" s="19">
        <v>-415.76</v>
      </c>
      <c r="H123" s="24">
        <v>0</v>
      </c>
      <c r="I123" s="24">
        <v>0</v>
      </c>
      <c r="J123" s="24">
        <v>0</v>
      </c>
      <c r="K123" s="24">
        <v>0</v>
      </c>
      <c r="L123" s="24">
        <v>61.349999999999966</v>
      </c>
      <c r="M123" s="24">
        <v>-0.14756109293823352</v>
      </c>
    </row>
    <row r="124" spans="1:13">
      <c r="A124" s="11" t="s">
        <v>424</v>
      </c>
      <c r="B124" s="18">
        <v>1885.90179954</v>
      </c>
      <c r="C124" s="18">
        <v>448.13327600000002</v>
      </c>
      <c r="D124" s="18"/>
      <c r="E124" s="19">
        <v>1454.8977866600001</v>
      </c>
      <c r="F124" s="19">
        <v>425.53746699999999</v>
      </c>
      <c r="G124" s="19"/>
      <c r="H124" s="24">
        <v>431.00401287999989</v>
      </c>
      <c r="I124" s="24">
        <v>1.0128462152076492</v>
      </c>
      <c r="J124" s="24">
        <v>22.595809000000031</v>
      </c>
      <c r="K124" s="24">
        <v>5.3099458337472386E-2</v>
      </c>
      <c r="L124" s="24">
        <v>0</v>
      </c>
      <c r="M124" s="24"/>
    </row>
    <row r="125" spans="1:13">
      <c r="A125" s="11" t="s">
        <v>425</v>
      </c>
      <c r="B125" s="18">
        <v>12292.75471415</v>
      </c>
      <c r="C125" s="18">
        <v>1652.8853959999999</v>
      </c>
      <c r="D125" s="18"/>
      <c r="E125" s="19">
        <v>9791.1110284900005</v>
      </c>
      <c r="F125" s="19">
        <v>1259.9722489999999</v>
      </c>
      <c r="G125" s="19"/>
      <c r="H125" s="24">
        <v>2501.6436856599994</v>
      </c>
      <c r="I125" s="24">
        <v>1.9854752258595179</v>
      </c>
      <c r="J125" s="24">
        <v>392.91314699999998</v>
      </c>
      <c r="K125" s="24">
        <v>0.31184269916408297</v>
      </c>
      <c r="L125" s="24">
        <v>0</v>
      </c>
      <c r="M125" s="24"/>
    </row>
    <row r="126" spans="1:13">
      <c r="A126" s="11" t="s">
        <v>426</v>
      </c>
      <c r="B126" s="18">
        <v>154.12116563000001</v>
      </c>
      <c r="C126" s="18">
        <v>1166.8857660000001</v>
      </c>
      <c r="D126" s="18">
        <v>4658.8100000000004</v>
      </c>
      <c r="E126" s="19">
        <v>161.51887249999999</v>
      </c>
      <c r="F126" s="19">
        <v>724.57981700000005</v>
      </c>
      <c r="G126" s="19">
        <v>4478.92</v>
      </c>
      <c r="H126" s="24">
        <v>-7.3977068699999791</v>
      </c>
      <c r="I126" s="24">
        <v>-1.0209650747144642E-2</v>
      </c>
      <c r="J126" s="24">
        <v>442.30594900000006</v>
      </c>
      <c r="K126" s="24">
        <v>0.61043095408217807</v>
      </c>
      <c r="L126" s="24">
        <v>179.89000000000033</v>
      </c>
      <c r="M126" s="24">
        <v>4.0163700177721487E-2</v>
      </c>
    </row>
    <row r="127" spans="1:13">
      <c r="A127" s="11" t="s">
        <v>427</v>
      </c>
      <c r="B127" s="18">
        <v>23081.766710880001</v>
      </c>
      <c r="C127" s="18">
        <v>4993.0595119999998</v>
      </c>
      <c r="D127" s="18">
        <v>20844.913</v>
      </c>
      <c r="E127" s="19">
        <v>19984.397434549999</v>
      </c>
      <c r="F127" s="19">
        <v>4538.567231</v>
      </c>
      <c r="G127" s="19">
        <v>22136.239000000001</v>
      </c>
      <c r="H127" s="24">
        <v>3097.3692763300023</v>
      </c>
      <c r="I127" s="24">
        <v>0.68245530333315063</v>
      </c>
      <c r="J127" s="24">
        <v>454.49228099999982</v>
      </c>
      <c r="K127" s="24">
        <v>0.10014003492019656</v>
      </c>
      <c r="L127" s="24">
        <v>-1291.3260000000009</v>
      </c>
      <c r="M127" s="24">
        <v>-5.833538389244898E-2</v>
      </c>
    </row>
    <row r="128" spans="1:13">
      <c r="A128" s="11" t="s">
        <v>428</v>
      </c>
      <c r="B128" s="18">
        <v>23235.887876509998</v>
      </c>
      <c r="C128" s="18">
        <v>6159.9452780000001</v>
      </c>
      <c r="D128" s="18">
        <v>25503.727999999999</v>
      </c>
      <c r="E128" s="19">
        <v>20145.91630705</v>
      </c>
      <c r="F128" s="19">
        <v>5263.1470479999998</v>
      </c>
      <c r="G128" s="19">
        <v>26615.153999999999</v>
      </c>
      <c r="H128" s="24">
        <v>3089.9715694599981</v>
      </c>
      <c r="I128" s="24">
        <v>0.58709580813140871</v>
      </c>
      <c r="J128" s="24">
        <v>896.79823000000033</v>
      </c>
      <c r="K128" s="24">
        <v>0.17039201485749564</v>
      </c>
      <c r="L128" s="24">
        <v>-1111.4259999999995</v>
      </c>
      <c r="M128" s="24">
        <v>-4.1759142178925568E-2</v>
      </c>
    </row>
    <row r="129" spans="1:13">
      <c r="A129" s="11" t="s">
        <v>429</v>
      </c>
      <c r="B129" s="18">
        <v>39262.27288574</v>
      </c>
      <c r="C129" s="18">
        <v>16079.810014999999</v>
      </c>
      <c r="D129" s="18">
        <v>49124.427000000003</v>
      </c>
      <c r="E129" s="19">
        <v>39630.968248500001</v>
      </c>
      <c r="F129" s="19">
        <v>15446.812411999999</v>
      </c>
      <c r="G129" s="19">
        <v>50652.540999999997</v>
      </c>
      <c r="H129" s="24">
        <v>-368.69536276000144</v>
      </c>
      <c r="I129" s="24">
        <v>-2.3868702029007424E-2</v>
      </c>
      <c r="J129" s="24">
        <v>632.9976029999998</v>
      </c>
      <c r="K129" s="24">
        <v>4.0979173315282169E-2</v>
      </c>
      <c r="L129" s="24">
        <v>-1528.1139999999941</v>
      </c>
      <c r="M129" s="24">
        <v>-3.0168555611059949E-2</v>
      </c>
    </row>
  </sheetData>
  <mergeCells count="3">
    <mergeCell ref="H1:I2"/>
    <mergeCell ref="J1:K2"/>
    <mergeCell ref="L1:M2"/>
  </mergeCells>
  <phoneticPr fontId="2" type="noConversion"/>
  <conditionalFormatting sqref="A1:C64 E1:F64 G1:G3 D1:D3 G5:G6 D5:D6 G8:G9 D8:D9 G12 D12 G14:G15 D14:D15 G17 D17 G24:G25 D24:D25 G27:G30 D27:D30 G20 D20 G33 D33 G36 D36 G41 D41 G39 D39 G44:G45 D44:D45 G47 D47 G50 D50 G52:G54 D52:D54 G62:G64 D62:D64 G56 D56">
    <cfRule type="cellIs" dxfId="18" priority="33" stopIfTrue="1" operator="lessThan">
      <formula>0</formula>
    </cfRule>
  </conditionalFormatting>
  <conditionalFormatting sqref="B70:G129">
    <cfRule type="cellIs" dxfId="17" priority="2" stopIfTrue="1" operator="lessThan">
      <formula>0</formula>
    </cfRule>
  </conditionalFormatting>
  <conditionalFormatting sqref="B66:G68">
    <cfRule type="cellIs" dxfId="16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78" zoomScale="90" zoomScaleNormal="90" workbookViewId="0">
      <selection activeCell="F103" sqref="F103"/>
    </sheetView>
  </sheetViews>
  <sheetFormatPr defaultRowHeight="14"/>
  <cols>
    <col min="1" max="1" width="48.81640625" bestFit="1" customWidth="1"/>
    <col min="2" max="6" width="13.26953125" bestFit="1" customWidth="1"/>
    <col min="7" max="7" width="12" bestFit="1" customWidth="1"/>
  </cols>
  <sheetData>
    <row r="1" spans="1:7">
      <c r="A1" s="60"/>
      <c r="B1" s="27" t="s">
        <v>4</v>
      </c>
      <c r="C1" s="27" t="s">
        <v>6</v>
      </c>
      <c r="D1" s="27" t="s">
        <v>252</v>
      </c>
      <c r="E1" s="34" t="s">
        <v>4</v>
      </c>
      <c r="F1" s="34" t="s">
        <v>6</v>
      </c>
      <c r="G1" s="34" t="s">
        <v>337</v>
      </c>
    </row>
    <row r="2" spans="1:7">
      <c r="A2" s="61"/>
      <c r="B2" s="28" t="e">
        <f ca="1">[1]!thsiFinD("ths_gpjc_stock",B1)</f>
        <v>#NAME?</v>
      </c>
      <c r="C2" s="28" t="e">
        <f ca="1">[1]!thsiFinD("ths_gpjc_stock",C1)</f>
        <v>#NAME?</v>
      </c>
      <c r="D2" s="28" t="e">
        <f ca="1">[1]!thsiFinD("ths_gpjc_stock",D1)</f>
        <v>#NAME?</v>
      </c>
      <c r="E2" s="35" t="e">
        <f ca="1">[1]!thsiFinD("ths_gpjc_stock",E1)</f>
        <v>#NAME?</v>
      </c>
      <c r="F2" s="35" t="e">
        <f ca="1">[1]!thsiFinD("ths_gpjc_stock",F1)</f>
        <v>#NAME?</v>
      </c>
      <c r="G2" s="35" t="e">
        <f ca="1">[1]!thsiFinD("ths_gpjc_stock",G1)</f>
        <v>#NAME?</v>
      </c>
    </row>
    <row r="3" spans="1:7">
      <c r="A3" s="62"/>
      <c r="B3" s="36">
        <v>42735</v>
      </c>
      <c r="C3" s="36">
        <v>42735</v>
      </c>
      <c r="D3" s="36" t="e">
        <f ca="1">[1]!thsiFinD("ths_yjbgjzrq_hk",D1,2016,4)</f>
        <v>#NAME?</v>
      </c>
      <c r="E3" s="36">
        <v>42369</v>
      </c>
      <c r="F3" s="36">
        <v>42369</v>
      </c>
      <c r="G3" s="36" t="e">
        <f ca="1">[1]!thsiFinD("ths_yjbgjzrq_hk",G1,2015,4)</f>
        <v>#NAME?</v>
      </c>
    </row>
    <row r="4" spans="1:7">
      <c r="A4" s="37" t="s">
        <v>163</v>
      </c>
      <c r="B4" s="26"/>
      <c r="C4" s="26"/>
      <c r="D4" s="12"/>
      <c r="E4" s="26"/>
      <c r="F4" s="26"/>
      <c r="G4" s="12"/>
    </row>
    <row r="5" spans="1:7">
      <c r="A5" s="38" t="s">
        <v>164</v>
      </c>
      <c r="B5" s="18" t="e">
        <f ca="1">[1]!thsiFinD("THS_XJLLB_STOCK","600887.SH",2086,B$3,1)/1000000</f>
        <v>#NAME?</v>
      </c>
      <c r="C5" s="18" t="e">
        <f ca="1">[1]!thsiFinD("THS_XJLLB_STOCK","600597.SH",2086,C$3,1)/1000000</f>
        <v>#NAME?</v>
      </c>
      <c r="D5" s="14"/>
      <c r="E5" s="19" t="e">
        <f ca="1">[1]!thsiFinD("THS_XJLLB_STOCK","600887.SH",2086,E$3,1)/1000000</f>
        <v>#NAME?</v>
      </c>
      <c r="F5" s="19" t="e">
        <f ca="1">[1]!thsiFinD("THS_XJLLB_STOCK","600597.SH",2086,F$3,1)/1000000</f>
        <v>#NAME?</v>
      </c>
      <c r="G5" s="15"/>
    </row>
    <row r="6" spans="1:7">
      <c r="A6" s="38" t="s">
        <v>165</v>
      </c>
      <c r="B6" s="18" t="e">
        <f ca="1">[1]!thsiFinD("THS_XJLLB_STOCK","600887.SH",2058,B$3,1)/1000000</f>
        <v>#NAME?</v>
      </c>
      <c r="C6" s="18" t="e">
        <f ca="1">[1]!thsiFinD("THS_XJLLB_STOCK","600597.SH",2058,C$3,1)/1000000</f>
        <v>#NAME?</v>
      </c>
      <c r="D6" s="14"/>
      <c r="E6" s="19" t="e">
        <f ca="1">[1]!thsiFinD("THS_XJLLB_STOCK","600887.SH",2058,E$3,1)/1000000</f>
        <v>#NAME?</v>
      </c>
      <c r="F6" s="19" t="e">
        <f ca="1">[1]!thsiFinD("THS_XJLLB_STOCK","600597.SH",2058,F$3,1)/1000000</f>
        <v>#NAME?</v>
      </c>
      <c r="G6" s="15"/>
    </row>
    <row r="7" spans="1:7">
      <c r="A7" s="38" t="s">
        <v>166</v>
      </c>
      <c r="B7" s="18" t="e">
        <f ca="1">[1]!thsiFinD("THS_XJLLB_STOCK","600887.SH",2060,B$3,1)/1000000</f>
        <v>#NAME?</v>
      </c>
      <c r="C7" s="18" t="e">
        <f ca="1">[1]!thsiFinD("THS_XJLLB_STOCK","600597.SH",2060,C$3,1)/1000000</f>
        <v>#NAME?</v>
      </c>
      <c r="D7" s="14"/>
      <c r="E7" s="19" t="e">
        <f ca="1">[1]!thsiFinD("THS_XJLLB_STOCK","600887.SH",2060,E$3,1)/1000000</f>
        <v>#NAME?</v>
      </c>
      <c r="F7" s="19" t="e">
        <f ca="1">[1]!thsiFinD("THS_XJLLB_STOCK","600597.SH",2060,F$3,1)/1000000</f>
        <v>#NAME?</v>
      </c>
      <c r="G7" s="15"/>
    </row>
    <row r="8" spans="1:7">
      <c r="A8" s="38" t="s">
        <v>169</v>
      </c>
      <c r="B8" s="18" t="e">
        <f ca="1">[1]!thsiFinD("THS_XJLLB_STOCK","600887.SH",2045,B$3,1)/1000000</f>
        <v>#NAME?</v>
      </c>
      <c r="C8" s="18" t="e">
        <f ca="1">[1]!thsiFinD("THS_XJLLB_STOCK","600597.SH",2045,C$3,1)/1000000</f>
        <v>#NAME?</v>
      </c>
      <c r="D8" s="14"/>
      <c r="E8" s="19" t="e">
        <f ca="1">[1]!thsiFinD("THS_XJLLB_STOCK","600887.SH",2045,E$3,1)/1000000</f>
        <v>#NAME?</v>
      </c>
      <c r="F8" s="19" t="e">
        <f ca="1">[1]!thsiFinD("THS_XJLLB_STOCK","600597.SH",2045,F$3,1)/1000000</f>
        <v>#NAME?</v>
      </c>
      <c r="G8" s="15"/>
    </row>
    <row r="9" spans="1:7">
      <c r="A9" s="38" t="s">
        <v>170</v>
      </c>
      <c r="B9" s="18" t="e">
        <f ca="1">[1]!thsiFinD("THS_XJLLB_STOCK","600887.SH",2026,B$3,1)/1000000</f>
        <v>#NAME?</v>
      </c>
      <c r="C9" s="18" t="e">
        <f ca="1">[1]!thsiFinD("THS_XJLLB_STOCK","600597.SH",2026,C$3,1)/1000000</f>
        <v>#NAME?</v>
      </c>
      <c r="D9" s="14"/>
      <c r="E9" s="19" t="e">
        <f ca="1">[1]!thsiFinD("THS_XJLLB_STOCK","600887.SH",2026,E$3,1)/1000000</f>
        <v>#NAME?</v>
      </c>
      <c r="F9" s="19" t="e">
        <f ca="1">[1]!thsiFinD("THS_XJLLB_STOCK","600597.SH",2026,F$3,1)/1000000</f>
        <v>#NAME?</v>
      </c>
      <c r="G9" s="15"/>
    </row>
    <row r="10" spans="1:7">
      <c r="A10" s="38" t="s">
        <v>171</v>
      </c>
      <c r="B10" s="18" t="e">
        <f ca="1">[1]!thsiFinD("THS_XJLLB_STOCK","600887.SH",2093,B$3,1)/1000000</f>
        <v>#NAME?</v>
      </c>
      <c r="C10" s="18" t="e">
        <f ca="1">[1]!thsiFinD("THS_XJLLB_STOCK","600597.SH",2093,C$3,1)/1000000</f>
        <v>#NAME?</v>
      </c>
      <c r="D10" s="14"/>
      <c r="E10" s="19" t="e">
        <f ca="1">[1]!thsiFinD("THS_XJLLB_STOCK","600887.SH",2093,E$3,1)/1000000</f>
        <v>#NAME?</v>
      </c>
      <c r="F10" s="19" t="e">
        <f ca="1">[1]!thsiFinD("THS_XJLLB_STOCK","600597.SH",2093,F$3,1)/1000000</f>
        <v>#NAME?</v>
      </c>
      <c r="G10" s="15"/>
    </row>
    <row r="11" spans="1:7">
      <c r="A11" s="38" t="s">
        <v>172</v>
      </c>
      <c r="B11" s="18" t="e">
        <f ca="1">[1]!thsiFinD("THS_XJLLB_STOCK","600887.SH",2092,B$3,1)/1000000</f>
        <v>#NAME?</v>
      </c>
      <c r="C11" s="18" t="e">
        <f ca="1">[1]!thsiFinD("THS_XJLLB_STOCK","600597.SH",2092,C$3,1)/1000000</f>
        <v>#NAME?</v>
      </c>
      <c r="D11" s="14"/>
      <c r="E11" s="19" t="e">
        <f ca="1">[1]!thsiFinD("THS_XJLLB_STOCK","600887.SH",2092,E$3,1)/1000000</f>
        <v>#NAME?</v>
      </c>
      <c r="F11" s="19" t="e">
        <f ca="1">[1]!thsiFinD("THS_XJLLB_STOCK","600597.SH",2092,F$3,1)/1000000</f>
        <v>#NAME?</v>
      </c>
      <c r="G11" s="15"/>
    </row>
    <row r="12" spans="1:7">
      <c r="A12" s="38" t="s">
        <v>173</v>
      </c>
      <c r="B12" s="18" t="e">
        <f ca="1">[1]!thsiFinD("THS_XJLLB_STOCK","600887.SH",2096,B$3,1)/1000000</f>
        <v>#NAME?</v>
      </c>
      <c r="C12" s="18" t="e">
        <f ca="1">[1]!thsiFinD("THS_XJLLB_STOCK","600597.SH",2096,C$3,1)/1000000</f>
        <v>#NAME?</v>
      </c>
      <c r="D12" s="14"/>
      <c r="E12" s="19" t="e">
        <f ca="1">[1]!thsiFinD("THS_XJLLB_STOCK","600887.SH",2096,E$3,1)/1000000</f>
        <v>#NAME?</v>
      </c>
      <c r="F12" s="19" t="e">
        <f ca="1">[1]!thsiFinD("THS_XJLLB_STOCK","600597.SH",2096,F$3,1)/1000000</f>
        <v>#NAME?</v>
      </c>
      <c r="G12" s="15"/>
    </row>
    <row r="13" spans="1:7">
      <c r="A13" s="38" t="s">
        <v>176</v>
      </c>
      <c r="B13" s="18" t="e">
        <f ca="1">[1]!thsiFinD("THS_XJLLB_STOCK","600887.SH",2042,B$3,1)/1000000</f>
        <v>#NAME?</v>
      </c>
      <c r="C13" s="18" t="e">
        <f ca="1">[1]!thsiFinD("THS_XJLLB_STOCK","600597.SH",2042,C$3,1)/1000000</f>
        <v>#NAME?</v>
      </c>
      <c r="D13" s="14"/>
      <c r="E13" s="19" t="e">
        <f ca="1">[1]!thsiFinD("THS_XJLLB_STOCK","600887.SH",2042,E$3,1)/1000000</f>
        <v>#NAME?</v>
      </c>
      <c r="F13" s="19" t="e">
        <f ca="1">[1]!thsiFinD("THS_XJLLB_STOCK","600597.SH",2042,F$3,1)/1000000</f>
        <v>#NAME?</v>
      </c>
      <c r="G13" s="15"/>
    </row>
    <row r="14" spans="1:7">
      <c r="A14" s="37" t="s">
        <v>178</v>
      </c>
      <c r="B14" s="18" t="e">
        <f ca="1">[1]!thsiFinD("THS_XJLLB_STOCK","600887.SH",2037,B$3,1)/1000000</f>
        <v>#NAME?</v>
      </c>
      <c r="C14" s="18" t="e">
        <f ca="1">[1]!thsiFinD("THS_XJLLB_STOCK","600597.SH",2037,C$3,1)/1000000</f>
        <v>#NAME?</v>
      </c>
      <c r="D14" s="18" t="e">
        <f ca="1">[1]!thsiFinD("THS_XJLLB_HK","2319.HK",2001,D$3,1,"CNY")/1000000</f>
        <v>#NAME?</v>
      </c>
      <c r="E14" s="19" t="e">
        <f ca="1">[1]!thsiFinD("THS_XJLLB_STOCK","600887.SH",2037,E$3,1)/1000000</f>
        <v>#NAME?</v>
      </c>
      <c r="F14" s="19" t="e">
        <f ca="1">[1]!thsiFinD("THS_XJLLB_STOCK","600597.SH",2037,F$3,1)/1000000</f>
        <v>#NAME?</v>
      </c>
      <c r="G14" s="19" t="e">
        <f ca="1">[1]!thsiFinD("THS_XJLLB_HK","2319.HK",2001,G$3,1,"CNY")/1000000</f>
        <v>#NAME?</v>
      </c>
    </row>
    <row r="15" spans="1:7">
      <c r="A15" s="37" t="s">
        <v>179</v>
      </c>
      <c r="B15" s="18"/>
      <c r="C15" s="18"/>
      <c r="D15" s="14"/>
      <c r="E15" s="19"/>
      <c r="F15" s="19"/>
      <c r="G15" s="15"/>
    </row>
    <row r="16" spans="1:7">
      <c r="A16" s="38" t="s">
        <v>180</v>
      </c>
      <c r="B16" s="18" t="e">
        <f ca="1">[1]!thsiFinD("THS_XJLLB_STOCK","600887.SH",2064,B$3,1)/1000000</f>
        <v>#NAME?</v>
      </c>
      <c r="C16" s="18" t="e">
        <f ca="1">[1]!thsiFinD("THS_XJLLB_STOCK","600597.SH",2064,C$3,1)/1000000</f>
        <v>#NAME?</v>
      </c>
      <c r="D16" s="14"/>
      <c r="E16" s="19" t="e">
        <f ca="1">[1]!thsiFinD("THS_XJLLB_STOCK","600887.SH",2064,E$3,1)/1000000</f>
        <v>#NAME?</v>
      </c>
      <c r="F16" s="19" t="e">
        <f ca="1">[1]!thsiFinD("THS_XJLLB_STOCK","600597.SH",2064,F$3,1)/1000000</f>
        <v>#NAME?</v>
      </c>
      <c r="G16" s="15"/>
    </row>
    <row r="17" spans="1:7">
      <c r="A17" s="38" t="s">
        <v>181</v>
      </c>
      <c r="B17" s="18" t="e">
        <f ca="1">[1]!thsiFinD("THS_XJLLB_STOCK","600887.SH",2055,B$3,1)/1000000</f>
        <v>#NAME?</v>
      </c>
      <c r="C17" s="18" t="e">
        <f ca="1">[1]!thsiFinD("THS_XJLLB_STOCK","600597.SH",2055,C$3,1)/1000000</f>
        <v>#NAME?</v>
      </c>
      <c r="D17" s="14"/>
      <c r="E17" s="19" t="e">
        <f ca="1">[1]!thsiFinD("THS_XJLLB_STOCK","600887.SH",2055,E$3,1)/1000000</f>
        <v>#NAME?</v>
      </c>
      <c r="F17" s="19" t="e">
        <f ca="1">[1]!thsiFinD("THS_XJLLB_STOCK","600597.SH",2055,F$3,1)/1000000</f>
        <v>#NAME?</v>
      </c>
      <c r="G17" s="15"/>
    </row>
    <row r="18" spans="1:7">
      <c r="A18" s="38" t="s">
        <v>182</v>
      </c>
      <c r="B18" s="18" t="e">
        <f ca="1">[1]!thsiFinD("THS_XJLLB_STOCK","600887.SH",2014,B$3,1)/1000000</f>
        <v>#NAME?</v>
      </c>
      <c r="C18" s="18" t="e">
        <f ca="1">[1]!thsiFinD("THS_XJLLB_STOCK","600597.SH",2014,C$3,1)/1000000</f>
        <v>#NAME?</v>
      </c>
      <c r="D18" s="49">
        <v>100.226</v>
      </c>
      <c r="E18" s="19" t="e">
        <f ca="1">[1]!thsiFinD("THS_XJLLB_STOCK","600887.SH",2014,E$3,1)/1000000</f>
        <v>#NAME?</v>
      </c>
      <c r="F18" s="19" t="e">
        <f ca="1">[1]!thsiFinD("THS_XJLLB_STOCK","600597.SH",2014,F$3,1)/1000000</f>
        <v>#NAME?</v>
      </c>
      <c r="G18" s="50">
        <v>110.328</v>
      </c>
    </row>
    <row r="19" spans="1:7">
      <c r="A19" s="38" t="s">
        <v>183</v>
      </c>
      <c r="B19" s="18" t="e">
        <f ca="1">[1]!thsiFinD("THS_XJLLB_STOCK","600887.SH",2016,B$3,1)/1000000</f>
        <v>#NAME?</v>
      </c>
      <c r="C19" s="18" t="e">
        <f ca="1">[1]!thsiFinD("THS_XJLLB_STOCK","600597.SH",2016,C$3,1)/1000000</f>
        <v>#NAME?</v>
      </c>
      <c r="D19" s="14"/>
      <c r="E19" s="19" t="e">
        <f ca="1">[1]!thsiFinD("THS_XJLLB_STOCK","600887.SH",2016,E$3,1)/1000000</f>
        <v>#NAME?</v>
      </c>
      <c r="F19" s="19" t="e">
        <f ca="1">[1]!thsiFinD("THS_XJLLB_STOCK","600597.SH",2016,F$3,1)/1000000</f>
        <v>#NAME?</v>
      </c>
      <c r="G19" s="15"/>
    </row>
    <row r="20" spans="1:7">
      <c r="A20" s="38" t="s">
        <v>184</v>
      </c>
      <c r="B20" s="18" t="e">
        <f ca="1">[1]!thsiFinD("THS_XJLLB_STOCK","600887.SH",2061,B$3,1)/1000000</f>
        <v>#NAME?</v>
      </c>
      <c r="C20" s="18" t="e">
        <f ca="1">[1]!thsiFinD("THS_XJLLB_STOCK","600597.SH",2061,C$3,1)/1000000</f>
        <v>#NAME?</v>
      </c>
      <c r="D20" s="14"/>
      <c r="E20" s="19" t="e">
        <f ca="1">[1]!thsiFinD("THS_XJLLB_STOCK","600887.SH",2061,E$3,1)/1000000</f>
        <v>#NAME?</v>
      </c>
      <c r="F20" s="19" t="e">
        <f ca="1">[1]!thsiFinD("THS_XJLLB_STOCK","600597.SH",2061,F$3,1)/1000000</f>
        <v>#NAME?</v>
      </c>
      <c r="G20" s="15"/>
    </row>
    <row r="21" spans="1:7">
      <c r="A21" s="38" t="s">
        <v>187</v>
      </c>
      <c r="B21" s="18" t="e">
        <f ca="1">[1]!thsiFinD("THS_XJLLB_STOCK","600887.SH",2074,B$3,1)/1000000</f>
        <v>#NAME?</v>
      </c>
      <c r="C21" s="18" t="e">
        <f ca="1">[1]!thsiFinD("THS_XJLLB_STOCK","600597.SH",2074,C$3,1)/1000000</f>
        <v>#NAME?</v>
      </c>
      <c r="D21" s="14"/>
      <c r="E21" s="19" t="e">
        <f ca="1">[1]!thsiFinD("THS_XJLLB_STOCK","600887.SH",2074,E$3,1)/1000000</f>
        <v>#NAME?</v>
      </c>
      <c r="F21" s="19" t="e">
        <f ca="1">[1]!thsiFinD("THS_XJLLB_STOCK","600597.SH",2074,F$3,1)/1000000</f>
        <v>#NAME?</v>
      </c>
      <c r="G21" s="15"/>
    </row>
    <row r="22" spans="1:7">
      <c r="A22" s="38" t="s">
        <v>188</v>
      </c>
      <c r="B22" s="18" t="e">
        <f ca="1">[1]!thsiFinD("THS_XJLLB_STOCK","600887.SH",2025,B$3,1)/1000000</f>
        <v>#NAME?</v>
      </c>
      <c r="C22" s="18" t="e">
        <f ca="1">[1]!thsiFinD("THS_XJLLB_STOCK","600597.SH",2025,C$3,1)/1000000</f>
        <v>#NAME?</v>
      </c>
      <c r="D22" s="18" t="e">
        <f ca="1">[1]!thsiFinD("THS_XJLLB_HK","2319.HK",2002,D$3,1,"CNY")/1000000</f>
        <v>#NAME?</v>
      </c>
      <c r="E22" s="19" t="e">
        <f ca="1">[1]!thsiFinD("THS_XJLLB_STOCK","600887.SH",2025,E$3,1)/1000000</f>
        <v>#NAME?</v>
      </c>
      <c r="F22" s="19" t="e">
        <f ca="1">[1]!thsiFinD("THS_XJLLB_STOCK","600597.SH",2025,F$3,1)/1000000</f>
        <v>#NAME?</v>
      </c>
      <c r="G22" s="19" t="e">
        <f ca="1">[1]!thsiFinD("THS_XJLLB_HK","2319.HK",2002,G$3,1,"CNY")/1000000</f>
        <v>#NAME?</v>
      </c>
    </row>
    <row r="23" spans="1:7">
      <c r="A23" s="38" t="s">
        <v>189</v>
      </c>
      <c r="B23" s="18" t="e">
        <f ca="1">[1]!thsiFinD("THS_XJLLB_STOCK","600887.SH",2076,B$3,1)/1000000</f>
        <v>#NAME?</v>
      </c>
      <c r="C23" s="18" t="e">
        <f ca="1">[1]!thsiFinD("THS_XJLLB_STOCK","600597.SH",2076,C$3,1)/1000000</f>
        <v>#NAME?</v>
      </c>
      <c r="D23" s="14"/>
      <c r="E23" s="19" t="e">
        <f ca="1">[1]!thsiFinD("THS_XJLLB_STOCK","600887.SH",2076,E$3,1)/1000000</f>
        <v>#NAME?</v>
      </c>
      <c r="F23" s="19" t="e">
        <f ca="1">[1]!thsiFinD("THS_XJLLB_STOCK","600597.SH",2076,F$3,1)/1000000</f>
        <v>#NAME?</v>
      </c>
      <c r="G23" s="15"/>
    </row>
    <row r="24" spans="1:7">
      <c r="A24" s="38" t="s">
        <v>190</v>
      </c>
      <c r="B24" s="18" t="e">
        <f ca="1">[1]!thsiFinD("THS_XJLLB_STOCK","600887.SH",2056,B$3,1)/1000000</f>
        <v>#NAME?</v>
      </c>
      <c r="C24" s="18" t="e">
        <f ca="1">[1]!thsiFinD("THS_XJLLB_STOCK","600597.SH",2056,C$3,1)/1000000</f>
        <v>#NAME?</v>
      </c>
      <c r="D24" s="14"/>
      <c r="E24" s="19" t="e">
        <f ca="1">[1]!thsiFinD("THS_XJLLB_STOCK","600887.SH",2056,E$3,1)/1000000</f>
        <v>#NAME?</v>
      </c>
      <c r="F24" s="19" t="e">
        <f ca="1">[1]!thsiFinD("THS_XJLLB_STOCK","600597.SH",2056,F$3,1)/1000000</f>
        <v>#NAME?</v>
      </c>
      <c r="G24" s="15"/>
    </row>
    <row r="25" spans="1:7">
      <c r="A25" s="38" t="s">
        <v>191</v>
      </c>
      <c r="B25" s="18" t="e">
        <f ca="1">[1]!thsiFinD("THS_XJLLB_STOCK","600887.SH",2097,B$3,1)/1000000</f>
        <v>#NAME?</v>
      </c>
      <c r="C25" s="18" t="e">
        <f ca="1">[1]!thsiFinD("THS_XJLLB_STOCK","600597.SH",2097,C$3,1)/1000000</f>
        <v>#NAME?</v>
      </c>
      <c r="D25" s="14"/>
      <c r="E25" s="19" t="e">
        <f ca="1">[1]!thsiFinD("THS_XJLLB_STOCK","600887.SH",2097,E$3,1)/1000000</f>
        <v>#NAME?</v>
      </c>
      <c r="F25" s="19" t="e">
        <f ca="1">[1]!thsiFinD("THS_XJLLB_STOCK","600597.SH",2097,F$3,1)/1000000</f>
        <v>#NAME?</v>
      </c>
      <c r="G25" s="15"/>
    </row>
    <row r="26" spans="1:7">
      <c r="A26" s="38" t="s">
        <v>194</v>
      </c>
      <c r="B26" s="18" t="e">
        <f ca="1">[1]!thsiFinD("THS_XJLLB_STOCK","600887.SH",2071,B$3,1)/1000000</f>
        <v>#NAME?</v>
      </c>
      <c r="C26" s="18" t="e">
        <f ca="1">[1]!thsiFinD("THS_XJLLB_STOCK","600597.SH",2071,C$3,1)/1000000</f>
        <v>#NAME?</v>
      </c>
      <c r="D26" s="14"/>
      <c r="E26" s="19" t="e">
        <f ca="1">[1]!thsiFinD("THS_XJLLB_STOCK","600887.SH",2071,E$3,1)/1000000</f>
        <v>#NAME?</v>
      </c>
      <c r="F26" s="19" t="e">
        <f ca="1">[1]!thsiFinD("THS_XJLLB_STOCK","600597.SH",2071,F$3,1)/1000000</f>
        <v>#NAME?</v>
      </c>
      <c r="G26" s="15"/>
    </row>
    <row r="27" spans="1:7">
      <c r="A27" s="37" t="s">
        <v>196</v>
      </c>
      <c r="B27" s="18" t="e">
        <f ca="1">[1]!thsiFinD("THS_XJLLB_STOCK","600887.SH",2066,B$3,1)/1000000</f>
        <v>#NAME?</v>
      </c>
      <c r="C27" s="18" t="e">
        <f ca="1">[1]!thsiFinD("THS_XJLLB_STOCK","600597.SH",2066,C$3,1)/1000000</f>
        <v>#NAME?</v>
      </c>
      <c r="D27" s="18" t="e">
        <f ca="1">[1]!thsiFinD("THS_XJLLB_HK","2319.HK",2004,D$3,1,"CNY")/1000000</f>
        <v>#NAME?</v>
      </c>
      <c r="E27" s="19" t="e">
        <f ca="1">[1]!thsiFinD("THS_XJLLB_STOCK","600887.SH",2066,E$3,1)/1000000</f>
        <v>#NAME?</v>
      </c>
      <c r="F27" s="19" t="e">
        <f ca="1">[1]!thsiFinD("THS_XJLLB_STOCK","600597.SH",2066,F$3,1)/1000000</f>
        <v>#NAME?</v>
      </c>
      <c r="G27" s="19" t="e">
        <f ca="1">[1]!thsiFinD("THS_XJLLB_HK","2319.HK",2004,G$3,1,"CNY")/1000000</f>
        <v>#NAME?</v>
      </c>
    </row>
    <row r="28" spans="1:7">
      <c r="A28" s="37" t="s">
        <v>197</v>
      </c>
      <c r="B28" s="18"/>
      <c r="C28" s="18"/>
      <c r="D28" s="14"/>
      <c r="E28" s="19"/>
      <c r="F28" s="19"/>
      <c r="G28" s="15"/>
    </row>
    <row r="29" spans="1:7">
      <c r="A29" s="38" t="s">
        <v>198</v>
      </c>
      <c r="B29" s="18" t="e">
        <f ca="1">[1]!thsiFinD("THS_XJLLB_STOCK","600887.SH",2078,B$3,1)/1000000</f>
        <v>#NAME?</v>
      </c>
      <c r="C29" s="18" t="e">
        <f ca="1">[1]!thsiFinD("THS_XJLLB_STOCK","600597.SH",2078,C$3,1)/1000000</f>
        <v>#NAME?</v>
      </c>
      <c r="D29" s="14"/>
      <c r="E29" s="19" t="e">
        <f ca="1">[1]!thsiFinD("THS_XJLLB_STOCK","600887.SH",2078,E$3,1)/1000000</f>
        <v>#NAME?</v>
      </c>
      <c r="F29" s="19" t="e">
        <f ca="1">[1]!thsiFinD("THS_XJLLB_STOCK","600597.SH",2078,F$3,1)/1000000</f>
        <v>#NAME?</v>
      </c>
      <c r="G29" s="15"/>
    </row>
    <row r="30" spans="1:7">
      <c r="A30" s="38" t="s">
        <v>199</v>
      </c>
      <c r="B30" s="18" t="e">
        <f ca="1">[1]!thsiFinD("THS_XJLLB_STOCK","600887.SH",2103,B$3,1)/1000000</f>
        <v>#NAME?</v>
      </c>
      <c r="C30" s="18" t="e">
        <f ca="1">[1]!thsiFinD("THS_XJLLB_STOCK","600597.SH",2103,C$3,1)/1000000</f>
        <v>#NAME?</v>
      </c>
      <c r="D30" s="14"/>
      <c r="E30" s="19" t="e">
        <f ca="1">[1]!thsiFinD("THS_XJLLB_STOCK","600887.SH",2103,E$3,1)/1000000</f>
        <v>#NAME?</v>
      </c>
      <c r="F30" s="19" t="e">
        <f ca="1">[1]!thsiFinD("THS_XJLLB_STOCK","600597.SH",2103,F$3,1)/1000000</f>
        <v>#NAME?</v>
      </c>
      <c r="G30" s="15"/>
    </row>
    <row r="31" spans="1:7">
      <c r="A31" s="38" t="s">
        <v>200</v>
      </c>
      <c r="B31" s="18" t="e">
        <f ca="1">[1]!thsiFinD("THS_XJLLB_STOCK","600887.SH",2054,B$3,1)/1000000</f>
        <v>#NAME?</v>
      </c>
      <c r="C31" s="18" t="e">
        <f ca="1">[1]!thsiFinD("THS_XJLLB_STOCK","600597.SH",2054,C$3,1)/1000000</f>
        <v>#NAME?</v>
      </c>
      <c r="D31" s="14"/>
      <c r="E31" s="19" t="e">
        <f ca="1">[1]!thsiFinD("THS_XJLLB_STOCK","600887.SH",2054,E$3,1)/1000000</f>
        <v>#NAME?</v>
      </c>
      <c r="F31" s="19" t="e">
        <f ca="1">[1]!thsiFinD("THS_XJLLB_STOCK","600597.SH",2054,F$3,1)/1000000</f>
        <v>#NAME?</v>
      </c>
      <c r="G31" s="15"/>
    </row>
    <row r="32" spans="1:7">
      <c r="A32" s="38" t="s">
        <v>201</v>
      </c>
      <c r="B32" s="18" t="e">
        <f ca="1">[1]!thsiFinD("THS_XJLLB_STOCK","600887.SH",2059,B$3,1)/1000000</f>
        <v>#NAME?</v>
      </c>
      <c r="C32" s="18" t="e">
        <f ca="1">[1]!thsiFinD("THS_XJLLB_STOCK","600597.SH",2059,C$3,1)/1000000</f>
        <v>#NAME?</v>
      </c>
      <c r="D32" s="14"/>
      <c r="E32" s="19" t="e">
        <f ca="1">[1]!thsiFinD("THS_XJLLB_STOCK","600887.SH",2059,E$3,1)/1000000</f>
        <v>#NAME?</v>
      </c>
      <c r="F32" s="19" t="e">
        <f ca="1">[1]!thsiFinD("THS_XJLLB_STOCK","600597.SH",2059,F$3,1)/1000000</f>
        <v>#NAME?</v>
      </c>
      <c r="G32" s="15"/>
    </row>
    <row r="33" spans="1:7">
      <c r="A33" s="38" t="s">
        <v>205</v>
      </c>
      <c r="B33" s="18" t="e">
        <f ca="1">[1]!thsiFinD("THS_XJLLB_STOCK","600887.SH",2012,B$3,1)/1000000</f>
        <v>#NAME?</v>
      </c>
      <c r="C33" s="18" t="e">
        <f ca="1">[1]!thsiFinD("THS_XJLLB_STOCK","600597.SH",2012,C$3,1)/1000000</f>
        <v>#NAME?</v>
      </c>
      <c r="D33" s="14"/>
      <c r="E33" s="19" t="e">
        <f ca="1">[1]!thsiFinD("THS_XJLLB_STOCK","600887.SH",2012,E$3,1)/1000000</f>
        <v>#NAME?</v>
      </c>
      <c r="F33" s="19" t="e">
        <f ca="1">[1]!thsiFinD("THS_XJLLB_STOCK","600597.SH",2012,F$3,1)/1000000</f>
        <v>#NAME?</v>
      </c>
      <c r="G33" s="15"/>
    </row>
    <row r="34" spans="1:7">
      <c r="A34" s="38" t="s">
        <v>206</v>
      </c>
      <c r="B34" s="18" t="e">
        <f ca="1">[1]!thsiFinD("THS_XJLLB_STOCK","600887.SH",2003,B$3,1)/1000000</f>
        <v>#NAME?</v>
      </c>
      <c r="C34" s="18" t="e">
        <f ca="1">[1]!thsiFinD("THS_XJLLB_STOCK","600597.SH",2003,C$3,1)/1000000</f>
        <v>#NAME?</v>
      </c>
      <c r="D34" s="14"/>
      <c r="E34" s="19" t="e">
        <f ca="1">[1]!thsiFinD("THS_XJLLB_STOCK","600887.SH",2003,E$3,1)/1000000</f>
        <v>#NAME?</v>
      </c>
      <c r="F34" s="19" t="e">
        <f ca="1">[1]!thsiFinD("THS_XJLLB_STOCK","600597.SH",2003,F$3,1)/1000000</f>
        <v>#NAME?</v>
      </c>
      <c r="G34" s="15"/>
    </row>
    <row r="35" spans="1:7">
      <c r="A35" s="38" t="s">
        <v>207</v>
      </c>
      <c r="B35" s="18" t="e">
        <f ca="1">[1]!thsiFinD("THS_XJLLB_STOCK","600887.SH",2023,B$3,1)/1000000</f>
        <v>#NAME?</v>
      </c>
      <c r="C35" s="18" t="e">
        <f ca="1">[1]!thsiFinD("THS_XJLLB_STOCK","600597.SH",2023,C$3,1)/1000000</f>
        <v>#NAME?</v>
      </c>
      <c r="D35" s="14"/>
      <c r="E35" s="19" t="e">
        <f ca="1">[1]!thsiFinD("THS_XJLLB_STOCK","600887.SH",2023,E$3,1)/1000000</f>
        <v>#NAME?</v>
      </c>
      <c r="F35" s="19" t="e">
        <f ca="1">[1]!thsiFinD("THS_XJLLB_STOCK","600597.SH",2023,F$3,1)/1000000</f>
        <v>#NAME?</v>
      </c>
      <c r="G35" s="15"/>
    </row>
    <row r="36" spans="1:7">
      <c r="A36" s="38" t="s">
        <v>208</v>
      </c>
      <c r="B36" s="18" t="e">
        <f ca="1">[1]!thsiFinD("THS_XJLLB_STOCK","600887.SH",2104,B$3,1)/1000000</f>
        <v>#NAME?</v>
      </c>
      <c r="C36" s="18" t="e">
        <f ca="1">[1]!thsiFinD("THS_XJLLB_STOCK","600597.SH",2104,C$3,1)/1000000</f>
        <v>#NAME?</v>
      </c>
      <c r="D36" s="14"/>
      <c r="E36" s="19" t="e">
        <f ca="1">[1]!thsiFinD("THS_XJLLB_STOCK","600887.SH",2104,E$3,1)/1000000</f>
        <v>#NAME?</v>
      </c>
      <c r="F36" s="19" t="e">
        <f ca="1">[1]!thsiFinD("THS_XJLLB_STOCK","600597.SH",2104,F$3,1)/1000000</f>
        <v>#NAME?</v>
      </c>
      <c r="G36" s="15"/>
    </row>
    <row r="37" spans="1:7">
      <c r="A37" s="38" t="s">
        <v>209</v>
      </c>
      <c r="B37" s="18" t="e">
        <f ca="1">[1]!thsiFinD("THS_XJLLB_STOCK","600887.SH",2095,B$3,1)/1000000</f>
        <v>#NAME?</v>
      </c>
      <c r="C37" s="18" t="e">
        <f ca="1">[1]!thsiFinD("THS_XJLLB_STOCK","600597.SH",2095,C$3,1)/1000000</f>
        <v>#NAME?</v>
      </c>
      <c r="D37" s="14"/>
      <c r="E37" s="19" t="e">
        <f ca="1">[1]!thsiFinD("THS_XJLLB_STOCK","600887.SH",2095,E$3,1)/1000000</f>
        <v>#NAME?</v>
      </c>
      <c r="F37" s="19" t="e">
        <f ca="1">[1]!thsiFinD("THS_XJLLB_STOCK","600597.SH",2095,F$3,1)/1000000</f>
        <v>#NAME?</v>
      </c>
      <c r="G37" s="15"/>
    </row>
    <row r="38" spans="1:7">
      <c r="A38" s="38" t="s">
        <v>212</v>
      </c>
      <c r="B38" s="18" t="e">
        <f ca="1">[1]!thsiFinD("THS_XJLLB_STOCK","600887.SH",2009,B$3,1)/1000000</f>
        <v>#NAME?</v>
      </c>
      <c r="C38" s="18" t="e">
        <f ca="1">[1]!thsiFinD("THS_XJLLB_STOCK","600597.SH",2009,C$3,1)/1000000</f>
        <v>#NAME?</v>
      </c>
      <c r="D38" s="14"/>
      <c r="E38" s="19" t="e">
        <f ca="1">[1]!thsiFinD("THS_XJLLB_STOCK","600887.SH",2009,E$3,1)/1000000</f>
        <v>#NAME?</v>
      </c>
      <c r="F38" s="19" t="e">
        <f ca="1">[1]!thsiFinD("THS_XJLLB_STOCK","600597.SH",2009,F$3,1)/1000000</f>
        <v>#NAME?</v>
      </c>
      <c r="G38" s="15"/>
    </row>
    <row r="39" spans="1:7">
      <c r="A39" s="37" t="s">
        <v>214</v>
      </c>
      <c r="B39" s="18" t="e">
        <f ca="1">[1]!thsiFinD("THS_XJLLB_STOCK","600887.SH",2004,B$3,1)/1000000</f>
        <v>#NAME?</v>
      </c>
      <c r="C39" s="18" t="e">
        <f ca="1">[1]!thsiFinD("THS_XJLLB_STOCK","600597.SH",2004,C$3,1)/1000000</f>
        <v>#NAME?</v>
      </c>
      <c r="D39" s="18" t="e">
        <f ca="1">[1]!thsiFinD("THS_XJLLB_HK","2319.HK",2003,D$3,1,"CNY")/1000000</f>
        <v>#NAME?</v>
      </c>
      <c r="E39" s="19" t="e">
        <f ca="1">[1]!thsiFinD("THS_XJLLB_STOCK","600887.SH",2004,E$3,1)/1000000</f>
        <v>#NAME?</v>
      </c>
      <c r="F39" s="19" t="e">
        <f ca="1">[1]!thsiFinD("THS_XJLLB_STOCK","600597.SH",2004,F$3,1)/1000000</f>
        <v>#NAME?</v>
      </c>
      <c r="G39" s="19" t="e">
        <f ca="1">[1]!thsiFinD("THS_XJLLB_HK","2319.HK",2003,G$3,1,"CNY")/1000000</f>
        <v>#NAME?</v>
      </c>
    </row>
    <row r="40" spans="1:7">
      <c r="A40" s="37" t="s">
        <v>215</v>
      </c>
      <c r="B40" s="18"/>
      <c r="C40" s="18"/>
      <c r="D40" s="14"/>
      <c r="E40" s="19"/>
      <c r="F40" s="19"/>
      <c r="G40" s="15"/>
    </row>
    <row r="41" spans="1:7">
      <c r="A41" s="38" t="s">
        <v>216</v>
      </c>
      <c r="B41" s="18" t="e">
        <f ca="1">[1]!thsiFinD("THS_XJLLB_STOCK","600887.SH",2030,B$3,1)/1000000</f>
        <v>#NAME?</v>
      </c>
      <c r="C41" s="18" t="e">
        <f ca="1">[1]!thsiFinD("THS_XJLLB_STOCK","600597.SH",2030,C$3,1)/1000000</f>
        <v>#NAME?</v>
      </c>
      <c r="D41" s="49">
        <v>51.061999999999998</v>
      </c>
      <c r="E41" s="19" t="e">
        <f ca="1">[1]!thsiFinD("THS_XJLLB_STOCK","600887.SH",2030,E$3,1)/1000000</f>
        <v>#NAME?</v>
      </c>
      <c r="F41" s="19" t="e">
        <f ca="1">[1]!thsiFinD("THS_XJLLB_STOCK","600597.SH",2030,F$3,1)/1000000</f>
        <v>#NAME?</v>
      </c>
      <c r="G41" s="50">
        <v>92.658000000000001</v>
      </c>
    </row>
    <row r="42" spans="1:7">
      <c r="A42" s="37" t="s">
        <v>219</v>
      </c>
      <c r="B42" s="18" t="e">
        <f ca="1">[1]!thsiFinD("THS_XJLLB_STOCK","600887.SH",2083,B$3,1)/1000000</f>
        <v>#NAME?</v>
      </c>
      <c r="C42" s="18" t="e">
        <f ca="1">[1]!thsiFinD("THS_XJLLB_STOCK","600597.SH",2083,C$3,1)/1000000</f>
        <v>#NAME?</v>
      </c>
      <c r="D42" s="18" t="e">
        <f ca="1">[1]!thsiFinD("THS_XJLLB_HK","2319.HK",2005,D$3,1,"CNY")/1000000</f>
        <v>#NAME?</v>
      </c>
      <c r="E42" s="19" t="e">
        <f ca="1">[1]!thsiFinD("THS_XJLLB_STOCK","600887.SH",2083,E$3,1)/1000000</f>
        <v>#NAME?</v>
      </c>
      <c r="F42" s="19" t="e">
        <f ca="1">[1]!thsiFinD("THS_XJLLB_STOCK","600597.SH",2083,F$3,1)/1000000</f>
        <v>#NAME?</v>
      </c>
      <c r="G42" s="19" t="e">
        <f ca="1">[1]!thsiFinD("THS_XJLLB_HK","2319.HK",2005,G$3,1,"CNY")/1000000</f>
        <v>#NAME?</v>
      </c>
    </row>
    <row r="43" spans="1:7">
      <c r="A43" s="38" t="s">
        <v>220</v>
      </c>
      <c r="B43" s="18" t="e">
        <f ca="1">[1]!thsiFinD("THS_XJLLB_STOCK","600887.SH",2051,B$3,1)/1000000</f>
        <v>#NAME?</v>
      </c>
      <c r="C43" s="18" t="e">
        <f ca="1">[1]!thsiFinD("THS_XJLLB_STOCK","600597.SH",2051,C$3,1)/1000000</f>
        <v>#NAME?</v>
      </c>
      <c r="D43" s="18" t="e">
        <f ca="1">[1]!thsiFinD("THS_XJLLB_HK","2319.HK",2006,D$3,1,"CNY")/1000000</f>
        <v>#NAME?</v>
      </c>
      <c r="E43" s="19" t="e">
        <f ca="1">[1]!thsiFinD("THS_XJLLB_STOCK","600887.SH",2051,E$3,1)/1000000</f>
        <v>#NAME?</v>
      </c>
      <c r="F43" s="19" t="e">
        <f ca="1">[1]!thsiFinD("THS_XJLLB_STOCK","600597.SH",2051,F$3,1)/1000000</f>
        <v>#NAME?</v>
      </c>
      <c r="G43" s="19" t="e">
        <f ca="1">[1]!thsiFinD("THS_XJLLB_HK","2319.HK",2006,G$3,1,"CNY")/1000000</f>
        <v>#NAME?</v>
      </c>
    </row>
    <row r="44" spans="1:7">
      <c r="A44" s="38" t="s">
        <v>221</v>
      </c>
      <c r="B44" s="18" t="e">
        <f ca="1">[1]!thsiFinD("THS_XJLLB_STOCK","600887.SH",2052,B$3,1)/1000000</f>
        <v>#NAME?</v>
      </c>
      <c r="C44" s="18" t="e">
        <f ca="1">[1]!thsiFinD("THS_XJLLB_STOCK","600597.SH",2052,C$3,1)/1000000</f>
        <v>#NAME?</v>
      </c>
      <c r="D44" s="18" t="e">
        <f ca="1">[1]!thsiFinD("THS_XJLLB_HK","2319.HK",2007,D$3,1,"CNY")/1000000</f>
        <v>#NAME?</v>
      </c>
      <c r="E44" s="19" t="e">
        <f ca="1">[1]!thsiFinD("THS_XJLLB_STOCK","600887.SH",2052,E$3,1)/1000000</f>
        <v>#NAME?</v>
      </c>
      <c r="F44" s="19" t="e">
        <f ca="1">[1]!thsiFinD("THS_XJLLB_STOCK","600597.SH",2052,F$3,1)/1000000</f>
        <v>#NAME?</v>
      </c>
      <c r="G44" s="19" t="e">
        <f ca="1">[1]!thsiFinD("THS_XJLLB_HK","2319.HK",2007,G$3,1,"CNY")/1000000</f>
        <v>#NAME?</v>
      </c>
    </row>
    <row r="45" spans="1:7">
      <c r="D45" s="1"/>
      <c r="G45" s="1"/>
    </row>
    <row r="48" spans="1:7">
      <c r="B48" s="27" t="s">
        <v>4</v>
      </c>
      <c r="C48" s="27" t="s">
        <v>6</v>
      </c>
      <c r="D48" s="27" t="s">
        <v>252</v>
      </c>
      <c r="E48" s="34" t="s">
        <v>4</v>
      </c>
      <c r="F48" s="34" t="s">
        <v>6</v>
      </c>
      <c r="G48" s="34" t="s">
        <v>337</v>
      </c>
    </row>
    <row r="49" spans="1:7">
      <c r="B49" s="28" t="e">
        <f ca="1">[1]!thsiFinD("ths_gpjc_stock",B48)</f>
        <v>#NAME?</v>
      </c>
      <c r="C49" s="28" t="e">
        <f ca="1">[1]!thsiFinD("ths_gpjc_stock",C48)</f>
        <v>#NAME?</v>
      </c>
      <c r="D49" s="28" t="e">
        <f ca="1">[1]!thsiFinD("ths_gpjc_stock",D48)</f>
        <v>#NAME?</v>
      </c>
      <c r="E49" s="35" t="e">
        <f ca="1">[1]!thsiFinD("ths_gpjc_stock",E48)</f>
        <v>#NAME?</v>
      </c>
      <c r="F49" s="35" t="e">
        <f ca="1">[1]!thsiFinD("ths_gpjc_stock",F48)</f>
        <v>#NAME?</v>
      </c>
      <c r="G49" s="35" t="e">
        <f ca="1">[1]!thsiFinD("ths_gpjc_stock",G48)</f>
        <v>#NAME?</v>
      </c>
    </row>
    <row r="50" spans="1:7">
      <c r="B50" s="36">
        <v>42735</v>
      </c>
      <c r="C50" s="36">
        <v>42735</v>
      </c>
      <c r="D50" s="36" t="e">
        <f ca="1">[1]!thsiFinD("ths_yjbgjzrq_hk",D48,2016,4)</f>
        <v>#NAME?</v>
      </c>
      <c r="E50" s="36">
        <v>42369</v>
      </c>
      <c r="F50" s="36">
        <v>42369</v>
      </c>
      <c r="G50" s="36" t="e">
        <f ca="1">[1]!thsiFinD("ths_yjbgjzrq_hk",G48,2015,4)</f>
        <v>#NAME?</v>
      </c>
    </row>
    <row r="51" spans="1:7">
      <c r="A51" t="s">
        <v>163</v>
      </c>
    </row>
    <row r="52" spans="1:7">
      <c r="A52" t="s">
        <v>164</v>
      </c>
      <c r="B52" s="18">
        <v>67615.095171050009</v>
      </c>
      <c r="C52" s="18">
        <v>23905.607272000001</v>
      </c>
      <c r="D52" s="18"/>
      <c r="E52" s="19">
        <v>68921.604513679995</v>
      </c>
      <c r="F52" s="19">
        <v>22731.598044999999</v>
      </c>
      <c r="G52" s="19"/>
    </row>
    <row r="53" spans="1:7">
      <c r="A53" t="s">
        <v>165</v>
      </c>
      <c r="B53" s="18">
        <v>1.7014881599999998</v>
      </c>
      <c r="C53" s="18">
        <v>211.05703500000001</v>
      </c>
      <c r="D53" s="18"/>
      <c r="E53" s="19">
        <v>3.0826539999999999E-2</v>
      </c>
      <c r="F53" s="19">
        <v>290.14939600000002</v>
      </c>
      <c r="G53" s="19"/>
    </row>
    <row r="54" spans="1:7">
      <c r="A54" t="s">
        <v>166</v>
      </c>
      <c r="B54" s="18">
        <v>1452.5379226700002</v>
      </c>
      <c r="C54" s="18">
        <v>132.671378</v>
      </c>
      <c r="D54" s="18"/>
      <c r="E54" s="19">
        <v>1019.483218</v>
      </c>
      <c r="F54" s="19">
        <v>97.968137999999996</v>
      </c>
      <c r="G54" s="19"/>
    </row>
    <row r="55" spans="1:7">
      <c r="A55" t="s">
        <v>169</v>
      </c>
      <c r="B55" s="18">
        <v>69406.452309920001</v>
      </c>
      <c r="C55" s="18">
        <v>24249.335684999998</v>
      </c>
      <c r="D55" s="18"/>
      <c r="E55" s="19">
        <v>70435.579163789997</v>
      </c>
      <c r="F55" s="19">
        <v>23119.715579</v>
      </c>
      <c r="G55" s="19"/>
    </row>
    <row r="56" spans="1:7">
      <c r="A56" t="s">
        <v>170</v>
      </c>
      <c r="B56" s="18">
        <v>45986.710849839998</v>
      </c>
      <c r="C56" s="18">
        <v>15000.870321</v>
      </c>
      <c r="D56" s="18"/>
      <c r="E56" s="19">
        <v>50843.157082830003</v>
      </c>
      <c r="F56" s="19">
        <v>14209.086660000001</v>
      </c>
      <c r="G56" s="19"/>
    </row>
    <row r="57" spans="1:7">
      <c r="A57" t="s">
        <v>171</v>
      </c>
      <c r="B57" s="18">
        <v>6001.5147073999997</v>
      </c>
      <c r="C57" s="18">
        <v>2017.909701</v>
      </c>
      <c r="D57" s="18"/>
      <c r="E57" s="19">
        <v>6336.6232602099999</v>
      </c>
      <c r="F57" s="19">
        <v>1860.966199</v>
      </c>
      <c r="G57" s="19"/>
    </row>
    <row r="58" spans="1:7">
      <c r="A58" t="s">
        <v>172</v>
      </c>
      <c r="B58" s="18">
        <v>3921.7442064299998</v>
      </c>
      <c r="C58" s="18">
        <v>1206.903364</v>
      </c>
      <c r="D58" s="18"/>
      <c r="E58" s="19">
        <v>3654.5102503000003</v>
      </c>
      <c r="F58" s="19">
        <v>1481.531444</v>
      </c>
      <c r="G58" s="19"/>
    </row>
    <row r="59" spans="1:7">
      <c r="A59" t="s">
        <v>173</v>
      </c>
      <c r="B59" s="18">
        <v>1091.0474102200001</v>
      </c>
      <c r="C59" s="18">
        <v>3414.3793110000001</v>
      </c>
      <c r="D59" s="18"/>
      <c r="E59" s="19">
        <v>1027.8188408599999</v>
      </c>
      <c r="F59" s="19">
        <v>3701.7762710000002</v>
      </c>
      <c r="G59" s="19"/>
    </row>
    <row r="60" spans="1:7">
      <c r="A60" t="s">
        <v>176</v>
      </c>
      <c r="B60" s="18">
        <v>56589.126494669996</v>
      </c>
      <c r="C60" s="18">
        <v>21640.062697000001</v>
      </c>
      <c r="D60" s="18"/>
      <c r="E60" s="19">
        <v>60899.080572290004</v>
      </c>
      <c r="F60" s="19">
        <v>21253.360573999998</v>
      </c>
      <c r="G60" s="19"/>
    </row>
    <row r="61" spans="1:7">
      <c r="A61" t="s">
        <v>178</v>
      </c>
      <c r="B61" s="18">
        <v>12817.32581525</v>
      </c>
      <c r="C61" s="18">
        <v>2609.2729880000002</v>
      </c>
      <c r="D61" s="18">
        <v>4512.9440000000004</v>
      </c>
      <c r="E61" s="19">
        <v>9536.4985914999997</v>
      </c>
      <c r="F61" s="19">
        <v>1866.3550049999999</v>
      </c>
      <c r="G61" s="19">
        <v>1909.1890000000001</v>
      </c>
    </row>
    <row r="62" spans="1:7">
      <c r="A62" t="s">
        <v>179</v>
      </c>
      <c r="B62" s="18"/>
      <c r="C62" s="18"/>
      <c r="D62" s="18"/>
      <c r="E62" s="19"/>
      <c r="F62" s="19"/>
      <c r="G62" s="19"/>
    </row>
    <row r="63" spans="1:7">
      <c r="A63" t="s">
        <v>180</v>
      </c>
      <c r="B63" s="18">
        <v>420.64751748999998</v>
      </c>
      <c r="C63" s="18">
        <v>0</v>
      </c>
      <c r="D63" s="18"/>
      <c r="E63" s="19">
        <v>189.94470716999999</v>
      </c>
      <c r="F63" s="19">
        <v>0</v>
      </c>
      <c r="G63" s="19"/>
    </row>
    <row r="64" spans="1:7">
      <c r="A64" t="s">
        <v>181</v>
      </c>
      <c r="B64" s="18">
        <v>133.21069575000001</v>
      </c>
      <c r="C64" s="18">
        <v>0</v>
      </c>
      <c r="D64" s="18"/>
      <c r="E64" s="19">
        <v>63.539196099999998</v>
      </c>
      <c r="F64" s="19">
        <v>0</v>
      </c>
      <c r="G64" s="19"/>
    </row>
    <row r="65" spans="1:7">
      <c r="A65" t="s">
        <v>182</v>
      </c>
      <c r="B65" s="18">
        <v>22.8758473</v>
      </c>
      <c r="C65" s="18">
        <v>189.21311800000001</v>
      </c>
      <c r="D65" s="18">
        <v>100.226</v>
      </c>
      <c r="E65" s="19">
        <v>26.361846789999998</v>
      </c>
      <c r="F65" s="19">
        <v>84.276999000000004</v>
      </c>
      <c r="G65" s="19">
        <v>110.328</v>
      </c>
    </row>
    <row r="66" spans="1:7">
      <c r="A66" t="s">
        <v>183</v>
      </c>
      <c r="B66" s="18">
        <v>1227.9009643099998</v>
      </c>
      <c r="C66" s="18">
        <v>0</v>
      </c>
      <c r="D66" s="18"/>
      <c r="E66" s="19">
        <v>44.795070639999999</v>
      </c>
      <c r="F66" s="19">
        <v>0</v>
      </c>
      <c r="G66" s="19"/>
    </row>
    <row r="67" spans="1:7">
      <c r="A67" t="s">
        <v>184</v>
      </c>
      <c r="B67" s="18">
        <v>0</v>
      </c>
      <c r="C67" s="18">
        <v>35.287999999999997</v>
      </c>
      <c r="D67" s="18"/>
      <c r="E67" s="19">
        <v>0</v>
      </c>
      <c r="F67" s="19">
        <v>127.266695</v>
      </c>
      <c r="G67" s="19"/>
    </row>
    <row r="68" spans="1:7">
      <c r="A68" t="s">
        <v>187</v>
      </c>
      <c r="B68" s="18">
        <v>1804.6350248499998</v>
      </c>
      <c r="C68" s="18">
        <v>224.50111799999999</v>
      </c>
      <c r="D68" s="18"/>
      <c r="E68" s="19">
        <v>324.64082070000001</v>
      </c>
      <c r="F68" s="19">
        <v>211.54369399999999</v>
      </c>
      <c r="G68" s="19"/>
    </row>
    <row r="69" spans="1:7">
      <c r="A69" t="s">
        <v>188</v>
      </c>
      <c r="B69" s="18">
        <v>3419.0071573499999</v>
      </c>
      <c r="C69" s="18">
        <v>1289.9668409999999</v>
      </c>
      <c r="D69" s="18">
        <v>3268.25</v>
      </c>
      <c r="E69" s="19">
        <v>3652.1315786499999</v>
      </c>
      <c r="F69" s="19">
        <v>2165.9825620000001</v>
      </c>
      <c r="G69" s="19">
        <v>3042.828</v>
      </c>
    </row>
    <row r="70" spans="1:7">
      <c r="A70" t="s">
        <v>189</v>
      </c>
      <c r="B70" s="18">
        <v>1489.238057</v>
      </c>
      <c r="C70" s="18">
        <v>0</v>
      </c>
      <c r="D70" s="18"/>
      <c r="E70" s="19">
        <v>159.447991</v>
      </c>
      <c r="F70" s="19">
        <v>50.874403999999998</v>
      </c>
      <c r="G70" s="19"/>
    </row>
    <row r="71" spans="1:7">
      <c r="A71" t="s">
        <v>190</v>
      </c>
      <c r="B71" s="18">
        <v>0</v>
      </c>
      <c r="C71" s="18">
        <v>0</v>
      </c>
      <c r="D71" s="18"/>
      <c r="E71" s="19">
        <v>0</v>
      </c>
      <c r="F71" s="19">
        <v>14.007009</v>
      </c>
      <c r="G71" s="19"/>
    </row>
    <row r="72" spans="1:7">
      <c r="A72" t="s">
        <v>191</v>
      </c>
      <c r="B72" s="18">
        <v>139.60193034</v>
      </c>
      <c r="C72" s="18">
        <v>0</v>
      </c>
      <c r="D72" s="18"/>
      <c r="E72" s="19">
        <v>0</v>
      </c>
      <c r="F72" s="19">
        <v>8.5239580000000004</v>
      </c>
      <c r="G72" s="19"/>
    </row>
    <row r="73" spans="1:7">
      <c r="A73" t="s">
        <v>194</v>
      </c>
      <c r="B73" s="18">
        <v>5047.8471446899994</v>
      </c>
      <c r="C73" s="18">
        <v>1289.9668409999999</v>
      </c>
      <c r="D73" s="18"/>
      <c r="E73" s="19">
        <v>3811.5795696499999</v>
      </c>
      <c r="F73" s="19">
        <v>2239.387933</v>
      </c>
      <c r="G73" s="19"/>
    </row>
    <row r="74" spans="1:7">
      <c r="A74" t="s">
        <v>196</v>
      </c>
      <c r="B74" s="18">
        <v>-3243.21211984</v>
      </c>
      <c r="C74" s="18">
        <v>-1065.465723</v>
      </c>
      <c r="D74" s="18">
        <v>-4005.4630000000002</v>
      </c>
      <c r="E74" s="19">
        <v>-3486.93874895</v>
      </c>
      <c r="F74" s="19">
        <v>-2027.844239</v>
      </c>
      <c r="G74" s="19">
        <v>536.64400000000001</v>
      </c>
    </row>
    <row r="75" spans="1:7">
      <c r="A75" t="s">
        <v>197</v>
      </c>
      <c r="B75" s="18"/>
      <c r="C75" s="18"/>
      <c r="D75" s="18"/>
      <c r="E75" s="19"/>
      <c r="F75" s="19"/>
      <c r="G75" s="19"/>
    </row>
    <row r="76" spans="1:7">
      <c r="A76" t="s">
        <v>198</v>
      </c>
      <c r="B76" s="18">
        <v>0</v>
      </c>
      <c r="C76" s="18">
        <v>277.38111800000001</v>
      </c>
      <c r="D76" s="18"/>
      <c r="E76" s="19">
        <v>0</v>
      </c>
      <c r="F76" s="19">
        <v>2.4500000000000002</v>
      </c>
      <c r="G76" s="19"/>
    </row>
    <row r="77" spans="1:7">
      <c r="A77" t="s">
        <v>199</v>
      </c>
      <c r="B77" s="18">
        <v>0</v>
      </c>
      <c r="C77" s="18">
        <v>277.38111800000001</v>
      </c>
      <c r="D77" s="18"/>
      <c r="E77" s="19">
        <v>0</v>
      </c>
      <c r="F77" s="19">
        <v>2.4500000000000002</v>
      </c>
      <c r="G77" s="19"/>
    </row>
    <row r="78" spans="1:7">
      <c r="A78" t="s">
        <v>200</v>
      </c>
      <c r="B78" s="18">
        <v>550</v>
      </c>
      <c r="C78" s="18">
        <v>1371.8767310000001</v>
      </c>
      <c r="D78" s="18"/>
      <c r="E78" s="19">
        <v>10820.82471128</v>
      </c>
      <c r="F78" s="19">
        <v>3295.9026039999999</v>
      </c>
      <c r="G78" s="19"/>
    </row>
    <row r="79" spans="1:7">
      <c r="A79" t="s">
        <v>201</v>
      </c>
      <c r="B79" s="18">
        <v>0</v>
      </c>
      <c r="C79" s="18">
        <v>0</v>
      </c>
      <c r="D79" s="18"/>
      <c r="E79" s="19">
        <v>0</v>
      </c>
      <c r="F79" s="19">
        <v>1830.4903469999999</v>
      </c>
      <c r="G79" s="19"/>
    </row>
    <row r="80" spans="1:7">
      <c r="A80" t="s">
        <v>205</v>
      </c>
      <c r="B80" s="18">
        <v>550</v>
      </c>
      <c r="C80" s="18">
        <v>1649.2578490000001</v>
      </c>
      <c r="D80" s="18"/>
      <c r="E80" s="19">
        <v>10820.82471128</v>
      </c>
      <c r="F80" s="19">
        <v>5128.8429509999996</v>
      </c>
      <c r="G80" s="19"/>
    </row>
    <row r="81" spans="1:7">
      <c r="A81" t="s">
        <v>206</v>
      </c>
      <c r="B81" s="18">
        <v>6588</v>
      </c>
      <c r="C81" s="18">
        <v>2687.3531640000001</v>
      </c>
      <c r="D81" s="18"/>
      <c r="E81" s="19">
        <v>13406.49385735</v>
      </c>
      <c r="F81" s="19">
        <v>3211.0095310000002</v>
      </c>
      <c r="G81" s="19"/>
    </row>
    <row r="82" spans="1:7">
      <c r="A82" t="s">
        <v>207</v>
      </c>
      <c r="B82" s="18">
        <v>2776.2330664000001</v>
      </c>
      <c r="C82" s="18">
        <v>251.00978799999999</v>
      </c>
      <c r="D82" s="18"/>
      <c r="E82" s="19">
        <v>2658.9692900300001</v>
      </c>
      <c r="F82" s="19">
        <v>501.16159099999999</v>
      </c>
      <c r="G82" s="19"/>
    </row>
    <row r="83" spans="1:7">
      <c r="A83" t="s">
        <v>208</v>
      </c>
      <c r="B83" s="18">
        <v>17.225597910000001</v>
      </c>
      <c r="C83" s="18">
        <v>10.425230000000001</v>
      </c>
      <c r="D83" s="18"/>
      <c r="E83" s="19">
        <v>29.841515699999999</v>
      </c>
      <c r="F83" s="19">
        <v>9.0960000000000001</v>
      </c>
      <c r="G83" s="19"/>
    </row>
    <row r="84" spans="1:7">
      <c r="A84" t="s">
        <v>209</v>
      </c>
      <c r="B84" s="18">
        <v>0.3</v>
      </c>
      <c r="C84" s="18">
        <v>250</v>
      </c>
      <c r="D84" s="18"/>
      <c r="E84" s="19">
        <v>1034.37731411</v>
      </c>
      <c r="F84" s="19">
        <v>0</v>
      </c>
      <c r="G84" s="19"/>
    </row>
    <row r="85" spans="1:7">
      <c r="A85" t="s">
        <v>212</v>
      </c>
      <c r="B85" s="18">
        <v>9364.5330663999994</v>
      </c>
      <c r="C85" s="18">
        <v>3188.362952</v>
      </c>
      <c r="D85" s="18"/>
      <c r="E85" s="19">
        <v>17099.840461489999</v>
      </c>
      <c r="F85" s="19">
        <v>3712.1711220000002</v>
      </c>
      <c r="G85" s="19"/>
    </row>
    <row r="86" spans="1:7">
      <c r="A86" t="s">
        <v>214</v>
      </c>
      <c r="B86" s="18">
        <v>-8814.5330663999994</v>
      </c>
      <c r="C86" s="18">
        <v>-1539.1051030000001</v>
      </c>
      <c r="D86" s="18">
        <v>-4036.4949999999999</v>
      </c>
      <c r="E86" s="19">
        <v>-6279.0157502100001</v>
      </c>
      <c r="F86" s="19">
        <v>1416.6718289999999</v>
      </c>
      <c r="G86" s="19">
        <v>689.04499999999996</v>
      </c>
    </row>
    <row r="87" spans="1:7">
      <c r="A87" t="s">
        <v>215</v>
      </c>
      <c r="B87" s="18"/>
      <c r="C87" s="18"/>
      <c r="D87" s="18"/>
      <c r="E87" s="19"/>
      <c r="F87" s="19"/>
      <c r="G87" s="19"/>
    </row>
    <row r="88" spans="1:7">
      <c r="A88" t="s">
        <v>216</v>
      </c>
      <c r="B88" s="18">
        <v>235.10421486999999</v>
      </c>
      <c r="C88" s="18">
        <v>42.142215</v>
      </c>
      <c r="D88" s="18">
        <v>51.061999999999998</v>
      </c>
      <c r="E88" s="19">
        <v>-14.462951210000002</v>
      </c>
      <c r="F88" s="19">
        <v>27.340876000000002</v>
      </c>
      <c r="G88" s="19">
        <v>92.658000000000001</v>
      </c>
    </row>
    <row r="89" spans="1:7">
      <c r="A89" t="s">
        <v>219</v>
      </c>
      <c r="B89" s="18">
        <v>994.68484388000002</v>
      </c>
      <c r="C89" s="18">
        <v>46.844377000000001</v>
      </c>
      <c r="D89" s="18">
        <v>-3529.0140000000001</v>
      </c>
      <c r="E89" s="19">
        <v>-243.91885887000001</v>
      </c>
      <c r="F89" s="19">
        <v>1282.523471</v>
      </c>
      <c r="G89" s="19">
        <v>3134.8780000000002</v>
      </c>
    </row>
    <row r="90" spans="1:7">
      <c r="A90" t="s">
        <v>220</v>
      </c>
      <c r="B90" s="18">
        <v>12216.720343479999</v>
      </c>
      <c r="C90" s="18">
        <v>3319.5196839999999</v>
      </c>
      <c r="D90" s="18">
        <v>6833.6080000000002</v>
      </c>
      <c r="E90" s="19">
        <v>12460.639202350001</v>
      </c>
      <c r="F90" s="19">
        <v>2036.9962129999999</v>
      </c>
      <c r="G90" s="19">
        <v>3607.0329999999999</v>
      </c>
    </row>
    <row r="91" spans="1:7">
      <c r="A91" t="s">
        <v>221</v>
      </c>
      <c r="B91" s="18">
        <v>13211.40518736</v>
      </c>
      <c r="C91" s="18">
        <v>3366.3640610000002</v>
      </c>
      <c r="D91" s="18">
        <v>3355.5369999999998</v>
      </c>
      <c r="E91" s="19">
        <v>12216.720343479999</v>
      </c>
      <c r="F91" s="19">
        <v>3319.5196839999999</v>
      </c>
      <c r="G91" s="19">
        <v>6833.6080000000002</v>
      </c>
    </row>
    <row r="92" spans="1:7">
      <c r="E92" s="54"/>
      <c r="F92" s="54"/>
      <c r="G92" s="54"/>
    </row>
  </sheetData>
  <mergeCells count="1">
    <mergeCell ref="A1:A3"/>
  </mergeCells>
  <phoneticPr fontId="2" type="noConversion"/>
  <conditionalFormatting sqref="A1:B1 E1:F44 G14 D14 G1:G3 D1:D3 G27 D27 G39 D39 G22 D22 G41:G45 D41:D45 A4:B44 B2:B3">
    <cfRule type="cellIs" dxfId="15" priority="15" stopIfTrue="1" operator="lessThan">
      <formula>0</formula>
    </cfRule>
  </conditionalFormatting>
  <conditionalFormatting sqref="C1:C44">
    <cfRule type="cellIs" dxfId="14" priority="4" stopIfTrue="1" operator="lessThan">
      <formula>0</formula>
    </cfRule>
  </conditionalFormatting>
  <conditionalFormatting sqref="D48:G50 B48:B50">
    <cfRule type="cellIs" dxfId="13" priority="3" stopIfTrue="1" operator="lessThan">
      <formula>0</formula>
    </cfRule>
  </conditionalFormatting>
  <conditionalFormatting sqref="C48:C50">
    <cfRule type="cellIs" dxfId="12" priority="2" stopIfTrue="1" operator="lessThan">
      <formula>0</formula>
    </cfRule>
  </conditionalFormatting>
  <conditionalFormatting sqref="B52:G91">
    <cfRule type="cellIs" dxfId="11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pane xSplit="1" ySplit="4" topLeftCell="B41" activePane="bottomRight" state="frozenSplit"/>
      <selection pane="topRight" activeCell="B1" sqref="B1"/>
      <selection pane="bottomLeft" activeCell="A5" sqref="A5"/>
      <selection pane="bottomRight" activeCell="B18" sqref="B18"/>
    </sheetView>
  </sheetViews>
  <sheetFormatPr defaultColWidth="9" defaultRowHeight="12"/>
  <cols>
    <col min="1" max="1" width="34.81640625" style="1" customWidth="1"/>
    <col min="2" max="5" width="10" style="1" bestFit="1" customWidth="1"/>
    <col min="6" max="6" width="9" style="1"/>
    <col min="7" max="7" width="25.453125" style="1" bestFit="1" customWidth="1"/>
    <col min="8" max="16384" width="9" style="1"/>
  </cols>
  <sheetData>
    <row r="1" spans="1:9" s="4" customFormat="1">
      <c r="A1" s="2" t="s">
        <v>0</v>
      </c>
      <c r="B1" s="3" t="s">
        <v>4</v>
      </c>
      <c r="C1" s="3" t="s">
        <v>6</v>
      </c>
      <c r="D1" s="3" t="s">
        <v>4</v>
      </c>
      <c r="E1" s="3" t="s">
        <v>6</v>
      </c>
      <c r="G1" s="2" t="s">
        <v>0</v>
      </c>
      <c r="H1" s="3" t="s">
        <v>252</v>
      </c>
      <c r="I1" s="3" t="s">
        <v>337</v>
      </c>
    </row>
    <row r="2" spans="1:9" s="4" customFormat="1">
      <c r="A2" s="2" t="s">
        <v>1</v>
      </c>
      <c r="B2" s="4" t="e">
        <f ca="1">[1]!thsiFinD("ths_gpjc_stock",B1)</f>
        <v>#NAME?</v>
      </c>
      <c r="C2" s="4" t="e">
        <f ca="1">[1]!thsiFinD("ths_gpjc_stock",C1)</f>
        <v>#NAME?</v>
      </c>
      <c r="D2" s="4" t="e">
        <f ca="1">[1]!thsiFinD("ths_gpjc_stock",D1)</f>
        <v>#NAME?</v>
      </c>
      <c r="E2" s="4" t="e">
        <f ca="1">[1]!thsiFinD("ths_gpjc_stock",E1)</f>
        <v>#NAME?</v>
      </c>
      <c r="G2" s="2" t="s">
        <v>1</v>
      </c>
      <c r="H2" s="4" t="e">
        <f ca="1">[1]!thsiFinD("ths_gpjc_stock",H1)</f>
        <v>#NAME?</v>
      </c>
      <c r="I2" s="4" t="e">
        <f ca="1">[1]!thsiFinD("ths_gpjc_stock",I1)</f>
        <v>#NAME?</v>
      </c>
    </row>
    <row r="3" spans="1:9" s="4" customFormat="1">
      <c r="A3" s="2" t="s">
        <v>2</v>
      </c>
      <c r="B3" s="5">
        <v>42735</v>
      </c>
      <c r="C3" s="5">
        <v>42735</v>
      </c>
      <c r="D3" s="5">
        <v>42369</v>
      </c>
      <c r="E3" s="5">
        <v>42369</v>
      </c>
      <c r="G3" s="2" t="s">
        <v>2</v>
      </c>
      <c r="H3" s="5" t="e">
        <f ca="1">[1]!thsiFinD("ths_yjbgjzrq_hk",H1,2016,4)</f>
        <v>#NAME?</v>
      </c>
      <c r="I3" s="5" t="e">
        <f ca="1">[1]!thsiFinD("ths_yjbgjzrq_hk",I1,2015,4)</f>
        <v>#NAME?</v>
      </c>
    </row>
    <row r="4" spans="1:9" s="7" customFormat="1" ht="12.5" thickBot="1">
      <c r="A4" s="6" t="s">
        <v>3</v>
      </c>
      <c r="B4" s="7" t="s">
        <v>5</v>
      </c>
      <c r="C4" s="7" t="s">
        <v>5</v>
      </c>
      <c r="D4" s="7" t="s">
        <v>5</v>
      </c>
      <c r="E4" s="7" t="s">
        <v>5</v>
      </c>
      <c r="G4" s="6" t="s">
        <v>3</v>
      </c>
      <c r="H4" s="7" t="s">
        <v>5</v>
      </c>
      <c r="I4" s="7" t="s">
        <v>5</v>
      </c>
    </row>
    <row r="6" spans="1:9" s="8" customFormat="1">
      <c r="A6" s="9" t="s">
        <v>341</v>
      </c>
      <c r="B6" s="9"/>
      <c r="C6" s="9"/>
      <c r="D6" s="9"/>
      <c r="E6" s="9"/>
      <c r="G6" s="9" t="s">
        <v>340</v>
      </c>
      <c r="H6" s="9"/>
      <c r="I6" s="9"/>
    </row>
    <row r="7" spans="1:9" s="8" customFormat="1">
      <c r="A7" s="8" t="s">
        <v>7</v>
      </c>
      <c r="B7" s="8" t="e">
        <f ca="1">[1]!thsiFinD("THS_LRB_STOCK",$B$1,2059,B$3,1)/1000000</f>
        <v>#NAME?</v>
      </c>
      <c r="C7" s="8" t="e">
        <f ca="1">[1]!thsiFinD("THS_LRB_STOCK","600597.SH",2059,C$3,1)/1000000</f>
        <v>#NAME?</v>
      </c>
      <c r="D7" s="8" t="e">
        <f ca="1">[1]!thsiFinD("THS_LRB_STOCK","600887.SH",2059,D$3,1)/1000000</f>
        <v>#NAME?</v>
      </c>
      <c r="E7" s="8" t="e">
        <f ca="1">[1]!thsiFinD("THS_LRB_STOCK","600597.SH",2059,E$3,1)/1000000</f>
        <v>#NAME?</v>
      </c>
      <c r="G7" s="1" t="s">
        <v>253</v>
      </c>
      <c r="H7" s="1" t="e">
        <f ca="1">[1]!thsiFinD("THS_LRB_HK","2319.HK",2047,H$3,1,"CNY")/1000000</f>
        <v>#NAME?</v>
      </c>
      <c r="I7" s="1" t="e">
        <f ca="1">[1]!thsiFinD("THS_LRB_HK","2319.HK",2047,I$3,1,"CNY")/1000000</f>
        <v>#NAME?</v>
      </c>
    </row>
    <row r="8" spans="1:9">
      <c r="A8" s="1" t="s">
        <v>8</v>
      </c>
      <c r="B8" s="1" t="e">
        <f ca="1">[1]!thsiFinD("THS_LRB_STOCK","600887.SH",2051,B$3,1)/1000000</f>
        <v>#NAME?</v>
      </c>
      <c r="C8" s="1" t="e">
        <f ca="1">[1]!thsiFinD("THS_LRB_STOCK","600597.SH",2051,C$3,1)/1000000</f>
        <v>#NAME?</v>
      </c>
      <c r="D8" s="1" t="e">
        <f ca="1">[1]!thsiFinD("THS_LRB_STOCK","600887.SH",2051,D$3,1)/1000000</f>
        <v>#NAME?</v>
      </c>
      <c r="E8" s="1" t="e">
        <f ca="1">[1]!thsiFinD("THS_LRB_STOCK","600597.SH",2051,E$3,1)/1000000</f>
        <v>#NAME?</v>
      </c>
      <c r="G8" s="1" t="s">
        <v>254</v>
      </c>
      <c r="H8" s="1" t="e">
        <f ca="1">[1]!thsiFinD("THS_LRB_HK","2319.HK",2049,H$3,1,"CNY")/1000000</f>
        <v>#NAME?</v>
      </c>
      <c r="I8" s="1" t="e">
        <f ca="1">[1]!thsiFinD("THS_LRB_HK","2319.HK",2049,I$3,1,"CNY")/1000000</f>
        <v>#NAME?</v>
      </c>
    </row>
    <row r="9" spans="1:9">
      <c r="A9" s="1" t="s">
        <v>9</v>
      </c>
      <c r="B9" s="1" t="e">
        <f ca="1">[1]!thsiFinD("THS_LRB_STOCK","600887.SH",2023,B$3,1)/1000000</f>
        <v>#NAME?</v>
      </c>
      <c r="C9" s="1" t="e">
        <f ca="1">[1]!thsiFinD("THS_LRB_STOCK","600597.SH",2023,C$3,1)/1000000</f>
        <v>#NAME?</v>
      </c>
      <c r="D9" s="1" t="e">
        <f ca="1">[1]!thsiFinD("THS_LRB_STOCK","600887.SH",2023,D$3,1)/1000000</f>
        <v>#NAME?</v>
      </c>
      <c r="E9" s="1" t="e">
        <f ca="1">[1]!thsiFinD("THS_LRB_STOCK","600597.SH",2023,E$3,1)/1000000</f>
        <v>#NAME?</v>
      </c>
      <c r="G9" s="1" t="s">
        <v>255</v>
      </c>
      <c r="H9" s="1" t="e">
        <f ca="1">[1]!thsiFinD("THS_LRB_HK","2319.HK",2048,H$3,1,"CNY")/1000000</f>
        <v>#NAME?</v>
      </c>
      <c r="I9" s="1" t="e">
        <f ca="1">[1]!thsiFinD("THS_LRB_HK","2319.HK",2048,I$3,1,"CNY")/1000000</f>
        <v>#NAME?</v>
      </c>
    </row>
    <row r="10" spans="1:9">
      <c r="A10" s="1" t="s">
        <v>10</v>
      </c>
      <c r="B10" s="1" t="e">
        <f ca="1">[1]!thsiFinD("THS_LRB_STOCK","600887.SH",2046,B$3,1)/1000000</f>
        <v>#NAME?</v>
      </c>
      <c r="C10" s="1" t="e">
        <f ca="1">[1]!thsiFinD("THS_LRB_STOCK","600597.SH",2046,C$3,1)/1000000</f>
        <v>#NAME?</v>
      </c>
      <c r="D10" s="1" t="e">
        <f ca="1">[1]!thsiFinD("THS_LRB_STOCK","600887.SH",2046,D$3,1)/1000000</f>
        <v>#NAME?</v>
      </c>
      <c r="E10" s="1" t="e">
        <f ca="1">[1]!thsiFinD("THS_LRB_STOCK","600597.SH",2046,E$3,1)/1000000</f>
        <v>#NAME?</v>
      </c>
      <c r="G10" s="1" t="s">
        <v>256</v>
      </c>
      <c r="H10" s="1" t="e">
        <f ca="1">[1]!thsiFinD("THS_LRB_HK","2319.HK",2044,H$3,1,"CNY")/1000000</f>
        <v>#NAME?</v>
      </c>
      <c r="I10" s="1" t="e">
        <f ca="1">[1]!thsiFinD("THS_LRB_HK","2319.HK",2044,I$3,1,"CNY")/1000000</f>
        <v>#NAME?</v>
      </c>
    </row>
    <row r="11" spans="1:9">
      <c r="A11" s="1" t="s">
        <v>11</v>
      </c>
      <c r="B11" s="1" t="e">
        <f ca="1">[1]!thsiFinD("THS_LRB_STOCK","600887.SH",2032,B$3,1)/1000000</f>
        <v>#NAME?</v>
      </c>
      <c r="C11" s="1" t="e">
        <f ca="1">[1]!thsiFinD("THS_LRB_STOCK","600597.SH",2032,C$3,1)/1000000</f>
        <v>#NAME?</v>
      </c>
      <c r="D11" s="1" t="e">
        <f ca="1">[1]!thsiFinD("THS_LRB_STOCK","600887.SH",2032,D$3,1)/1000000</f>
        <v>#NAME?</v>
      </c>
      <c r="E11" s="1" t="e">
        <f ca="1">[1]!thsiFinD("THS_LRB_STOCK","600597.SH",2032,E$3,1)/1000000</f>
        <v>#NAME?</v>
      </c>
      <c r="G11" s="1" t="s">
        <v>257</v>
      </c>
      <c r="H11" s="1" t="e">
        <f ca="1">[1]!thsiFinD("THS_LRB_HK","2319.HK",2024,H$3,1,"CNY")/1000000</f>
        <v>#NAME?</v>
      </c>
      <c r="I11" s="1" t="e">
        <f ca="1">[1]!thsiFinD("THS_LRB_HK","2319.HK",2024,I$3,1,"CNY")/1000000</f>
        <v>#NAME?</v>
      </c>
    </row>
    <row r="12" spans="1:9">
      <c r="A12" s="1" t="s">
        <v>12</v>
      </c>
      <c r="B12" s="1" t="e">
        <f ca="1">[1]!thsiFinD("THS_LRB_STOCK","600887.SH",2061,B$3,1)/1000000</f>
        <v>#NAME?</v>
      </c>
      <c r="C12" s="1" t="e">
        <f ca="1">[1]!thsiFinD("THS_LRB_STOCK","600597.SH",2061,C$3,1)/1000000</f>
        <v>#NAME?</v>
      </c>
      <c r="D12" s="1" t="e">
        <f ca="1">[1]!thsiFinD("THS_LRB_STOCK","600887.SH",2061,D$3,1)/1000000</f>
        <v>#NAME?</v>
      </c>
      <c r="E12" s="1" t="e">
        <f ca="1">[1]!thsiFinD("THS_LRB_STOCK","600597.SH",2061,E$3,1)/1000000</f>
        <v>#NAME?</v>
      </c>
      <c r="G12" s="1" t="s">
        <v>258</v>
      </c>
      <c r="H12" s="1" t="e">
        <f ca="1">[1]!thsiFinD("THS_LRB_HK","2319.HK",2027,H$3,1,"CNY")/1000000</f>
        <v>#NAME?</v>
      </c>
      <c r="I12" s="1" t="e">
        <f ca="1">[1]!thsiFinD("THS_LRB_HK","2319.HK",2027,I$3,1,"CNY")/1000000</f>
        <v>#NAME?</v>
      </c>
    </row>
    <row r="13" spans="1:9">
      <c r="A13" s="1" t="s">
        <v>13</v>
      </c>
      <c r="B13" s="1" t="e">
        <f ca="1">[1]!thsiFinD("THS_LRB_STOCK","600887.SH",2060,B$3,1)/1000000</f>
        <v>#NAME?</v>
      </c>
      <c r="C13" s="1" t="e">
        <f ca="1">[1]!thsiFinD("THS_LRB_STOCK","600597.SH",2060,C$3,1)/1000000</f>
        <v>#NAME?</v>
      </c>
      <c r="D13" s="1" t="e">
        <f ca="1">[1]!thsiFinD("THS_LRB_STOCK","600887.SH",2060,D$3,1)/1000000</f>
        <v>#NAME?</v>
      </c>
      <c r="E13" s="1" t="e">
        <f ca="1">[1]!thsiFinD("THS_LRB_STOCK","600597.SH",2060,E$3,1)/1000000</f>
        <v>#NAME?</v>
      </c>
      <c r="G13" s="1" t="s">
        <v>259</v>
      </c>
      <c r="H13" s="1" t="e">
        <f ca="1">[1]!thsiFinD("THS_LRB_HK","2319.HK",2045,H$3,1,"CNY")/1000000</f>
        <v>#NAME?</v>
      </c>
      <c r="I13" s="1" t="e">
        <f ca="1">[1]!thsiFinD("THS_LRB_HK","2319.HK",2045,I$3,1,"CNY")/1000000</f>
        <v>#NAME?</v>
      </c>
    </row>
    <row r="14" spans="1:9" s="8" customFormat="1">
      <c r="A14" s="8" t="s">
        <v>14</v>
      </c>
      <c r="B14" s="8" t="e">
        <f ca="1">[1]!thsiFinD("THS_LRB_STOCK","600887.SH",2056,B$3,1)/1000000</f>
        <v>#NAME?</v>
      </c>
      <c r="C14" s="8" t="e">
        <f ca="1">[1]!thsiFinD("THS_LRB_STOCK","600597.SH",2056,C$3,1)/1000000</f>
        <v>#NAME?</v>
      </c>
      <c r="D14" s="8" t="e">
        <f ca="1">[1]!thsiFinD("THS_LRB_STOCK","600887.SH",2056,D$3,1)/1000000</f>
        <v>#NAME?</v>
      </c>
      <c r="E14" s="8" t="e">
        <f ca="1">[1]!thsiFinD("THS_LRB_STOCK","600597.SH",2056,E$3,1)/1000000</f>
        <v>#NAME?</v>
      </c>
      <c r="G14" s="1" t="s">
        <v>260</v>
      </c>
      <c r="H14" s="1" t="e">
        <f ca="1">[1]!thsiFinD("THS_LRB_HK","2319.HK",2006,H$3,1,"CNY")/1000000</f>
        <v>#NAME?</v>
      </c>
      <c r="I14" s="1" t="e">
        <f ca="1">[1]!thsiFinD("THS_LRB_HK","2319.HK",2006,I$3,1,"CNY")/1000000</f>
        <v>#NAME?</v>
      </c>
    </row>
    <row r="15" spans="1:9">
      <c r="A15" s="1" t="s">
        <v>15</v>
      </c>
      <c r="B15" s="1" t="e">
        <f ca="1">[1]!thsiFinD("THS_LRB_STOCK","600887.SH",2047,B$3,1)/1000000</f>
        <v>#NAME?</v>
      </c>
      <c r="C15" s="1" t="e">
        <f ca="1">[1]!thsiFinD("THS_LRB_STOCK","600597.SH",2047,C$3,1)/1000000</f>
        <v>#NAME?</v>
      </c>
      <c r="D15" s="1" t="e">
        <f ca="1">[1]!thsiFinD("THS_LRB_STOCK","600887.SH",2047,D$3,1)/1000000</f>
        <v>#NAME?</v>
      </c>
      <c r="E15" s="1" t="e">
        <f ca="1">[1]!thsiFinD("THS_LRB_STOCK","600597.SH",2047,E$3,1)/1000000</f>
        <v>#NAME?</v>
      </c>
      <c r="G15" s="1" t="s">
        <v>261</v>
      </c>
      <c r="H15" s="1" t="e">
        <f ca="1">[1]!thsiFinD("THS_LRB_HK","2319.HK",2004,H$3,1,"CNY")/1000000</f>
        <v>#NAME?</v>
      </c>
      <c r="I15" s="1" t="e">
        <f ca="1">[1]!thsiFinD("THS_LRB_HK","2319.HK",2004,I$3,1,"CNY")/1000000</f>
        <v>#NAME?</v>
      </c>
    </row>
    <row r="16" spans="1:9">
      <c r="A16" s="1" t="s">
        <v>16</v>
      </c>
      <c r="B16" s="1" t="e">
        <f ca="1">[1]!thsiFinD("THS_LRB_STOCK","600887.SH",2024,B$3,1)/1000000</f>
        <v>#NAME?</v>
      </c>
      <c r="C16" s="1" t="e">
        <f ca="1">[1]!thsiFinD("THS_LRB_STOCK","600597.SH",2024,C$3,1)/1000000</f>
        <v>#NAME?</v>
      </c>
      <c r="D16" s="1" t="e">
        <f ca="1">[1]!thsiFinD("THS_LRB_STOCK","600887.SH",2024,D$3,1)/1000000</f>
        <v>#NAME?</v>
      </c>
      <c r="E16" s="1" t="e">
        <f ca="1">[1]!thsiFinD("THS_LRB_STOCK","600597.SH",2024,E$3,1)/1000000</f>
        <v>#NAME?</v>
      </c>
      <c r="G16" s="1" t="s">
        <v>262</v>
      </c>
      <c r="H16" s="1" t="e">
        <f ca="1">[1]!thsiFinD("THS_LRB_HK","2319.HK",2025,H$3,1,"CNY")/1000000</f>
        <v>#NAME?</v>
      </c>
      <c r="I16" s="1" t="e">
        <f ca="1">[1]!thsiFinD("THS_LRB_HK","2319.HK",2025,I$3,1,"CNY")/1000000</f>
        <v>#NAME?</v>
      </c>
    </row>
    <row r="17" spans="1:9">
      <c r="A17" s="1" t="s">
        <v>17</v>
      </c>
      <c r="B17" s="1" t="e">
        <f ca="1">[1]!thsiFinD("THS_LRB_STOCK","600887.SH",2033,B$3,1)/1000000</f>
        <v>#NAME?</v>
      </c>
      <c r="C17" s="1" t="e">
        <f ca="1">[1]!thsiFinD("THS_LRB_STOCK","600597.SH",2033,C$3,1)/1000000</f>
        <v>#NAME?</v>
      </c>
      <c r="D17" s="1" t="e">
        <f ca="1">[1]!thsiFinD("THS_LRB_STOCK","600887.SH",2033,D$3,1)/1000000</f>
        <v>#NAME?</v>
      </c>
      <c r="E17" s="1" t="e">
        <f ca="1">[1]!thsiFinD("THS_LRB_STOCK","600597.SH",2033,E$3,1)/1000000</f>
        <v>#NAME?</v>
      </c>
      <c r="G17" s="1" t="s">
        <v>263</v>
      </c>
      <c r="H17" s="1" t="e">
        <f ca="1">[1]!thsiFinD("THS_LRB_HK","2319.HK",2041,H$3,1,"CNY")/1000000</f>
        <v>#NAME?</v>
      </c>
      <c r="I17" s="1" t="e">
        <f ca="1">[1]!thsiFinD("THS_LRB_HK","2319.HK",2041,I$3,1,"CNY")/1000000</f>
        <v>#NAME?</v>
      </c>
    </row>
    <row r="18" spans="1:9">
      <c r="A18" s="1" t="s">
        <v>18</v>
      </c>
      <c r="B18" s="1" t="e">
        <f ca="1">[1]!thsiFinD("THS_LRB_STOCK","600887.SH",2042,B$3,1)/1000000</f>
        <v>#NAME?</v>
      </c>
      <c r="C18" s="1" t="e">
        <f ca="1">[1]!thsiFinD("THS_LRB_STOCK","600597.SH",2042,C$3,1)/1000000</f>
        <v>#NAME?</v>
      </c>
      <c r="D18" s="1" t="e">
        <f ca="1">[1]!thsiFinD("THS_LRB_STOCK","600887.SH",2042,D$3,1)/1000000</f>
        <v>#NAME?</v>
      </c>
      <c r="E18" s="1" t="e">
        <f ca="1">[1]!thsiFinD("THS_LRB_STOCK","600597.SH",2042,E$3,1)/1000000</f>
        <v>#NAME?</v>
      </c>
      <c r="G18" s="1" t="s">
        <v>264</v>
      </c>
      <c r="H18" s="1" t="e">
        <f ca="1">[1]!thsiFinD("THS_LRB_HK","2319.HK",2018,H$3,1,"CNY")/1000000</f>
        <v>#NAME?</v>
      </c>
      <c r="I18" s="1" t="e">
        <f ca="1">[1]!thsiFinD("THS_LRB_HK","2319.HK",2018,I$3,1,"CNY")/1000000</f>
        <v>#NAME?</v>
      </c>
    </row>
    <row r="19" spans="1:9">
      <c r="A19" s="1" t="s">
        <v>19</v>
      </c>
      <c r="B19" s="1" t="e">
        <f ca="1">[1]!thsiFinD("THS_LRB_STOCK","600887.SH",2025,B$3,1)/1000000</f>
        <v>#NAME?</v>
      </c>
      <c r="C19" s="1" t="e">
        <f ca="1">[1]!thsiFinD("THS_LRB_STOCK","600597.SH",2025,C$3,1)/1000000</f>
        <v>#NAME?</v>
      </c>
      <c r="D19" s="1" t="e">
        <f ca="1">[1]!thsiFinD("THS_LRB_STOCK","600887.SH",2025,D$3,1)/1000000</f>
        <v>#NAME?</v>
      </c>
      <c r="E19" s="1" t="e">
        <f ca="1">[1]!thsiFinD("THS_LRB_STOCK","600597.SH",2025,E$3,1)/1000000</f>
        <v>#NAME?</v>
      </c>
      <c r="G19" s="1" t="s">
        <v>265</v>
      </c>
      <c r="H19" s="1" t="e">
        <f ca="1">[1]!thsiFinD("THS_LRB_HK","2319.HK",2017,H$3,1,"CNY")/1000000</f>
        <v>#NAME?</v>
      </c>
      <c r="I19" s="1" t="e">
        <f ca="1">[1]!thsiFinD("THS_LRB_HK","2319.HK",2017,I$3,1,"CNY")/1000000</f>
        <v>#NAME?</v>
      </c>
    </row>
    <row r="20" spans="1:9">
      <c r="A20" s="1" t="s">
        <v>20</v>
      </c>
      <c r="B20" s="1" t="e">
        <f ca="1">[1]!thsiFinD("THS_LRB_STOCK","600887.SH",2039,B$3,1)/1000000</f>
        <v>#NAME?</v>
      </c>
      <c r="C20" s="1" t="e">
        <f ca="1">[1]!thsiFinD("THS_LRB_STOCK","600597.SH",2039,C$3,1)/1000000</f>
        <v>#NAME?</v>
      </c>
      <c r="D20" s="1" t="e">
        <f ca="1">[1]!thsiFinD("THS_LRB_STOCK","600887.SH",2039,D$3,1)/1000000</f>
        <v>#NAME?</v>
      </c>
      <c r="E20" s="1" t="e">
        <f ca="1">[1]!thsiFinD("THS_LRB_STOCK","600597.SH",2039,E$3,1)/1000000</f>
        <v>#NAME?</v>
      </c>
      <c r="G20" s="1" t="s">
        <v>266</v>
      </c>
      <c r="H20" s="1" t="e">
        <f ca="1">[1]!thsiFinD("THS_LRB_HK","2319.HK",2053,H$3,1,"CNY")/1000000</f>
        <v>#NAME?</v>
      </c>
      <c r="I20" s="1" t="e">
        <f ca="1">[1]!thsiFinD("THS_LRB_HK","2319.HK",2053,I$3,1,"CNY")/1000000</f>
        <v>#NAME?</v>
      </c>
    </row>
    <row r="21" spans="1:9">
      <c r="A21" s="1" t="s">
        <v>21</v>
      </c>
      <c r="B21" s="1" t="e">
        <f ca="1">[1]!thsiFinD("THS_LRB_STOCK","600887.SH",2000,B$3,1)/1000000</f>
        <v>#NAME?</v>
      </c>
      <c r="C21" s="1" t="e">
        <f ca="1">[1]!thsiFinD("THS_LRB_STOCK","600597.SH",2000,C$3,1)/1000000</f>
        <v>#NAME?</v>
      </c>
      <c r="D21" s="1" t="e">
        <f ca="1">[1]!thsiFinD("THS_LRB_STOCK","600887.SH",2000,D$3,1)/1000000</f>
        <v>#NAME?</v>
      </c>
      <c r="E21" s="1" t="e">
        <f ca="1">[1]!thsiFinD("THS_LRB_STOCK","600597.SH",2000,E$3,1)/1000000</f>
        <v>#NAME?</v>
      </c>
      <c r="G21" s="1" t="s">
        <v>267</v>
      </c>
      <c r="H21" s="1" t="e">
        <f ca="1">[1]!thsiFinD("THS_LRB_HK","2319.HK",2052,H$3,1,"CNY")/1000000</f>
        <v>#NAME?</v>
      </c>
      <c r="I21" s="1" t="e">
        <f ca="1">[1]!thsiFinD("THS_LRB_HK","2319.HK",2052,I$3,1,"CNY")/1000000</f>
        <v>#NAME?</v>
      </c>
    </row>
    <row r="22" spans="1:9">
      <c r="A22" s="1" t="s">
        <v>22</v>
      </c>
      <c r="B22" s="1" t="e">
        <f ca="1">[1]!thsiFinD("THS_LRB_STOCK","600887.SH",2007,B$3,1)/1000000</f>
        <v>#NAME?</v>
      </c>
      <c r="C22" s="1" t="e">
        <f ca="1">[1]!thsiFinD("THS_LRB_STOCK","600597.SH",2007,C$3,1)/1000000</f>
        <v>#NAME?</v>
      </c>
      <c r="D22" s="1" t="e">
        <f ca="1">[1]!thsiFinD("THS_LRB_STOCK","600887.SH",2007,D$3,1)/1000000</f>
        <v>#NAME?</v>
      </c>
      <c r="E22" s="1" t="e">
        <f ca="1">[1]!thsiFinD("THS_LRB_STOCK","600597.SH",2007,E$3,1)/1000000</f>
        <v>#NAME?</v>
      </c>
      <c r="G22" s="1" t="s">
        <v>268</v>
      </c>
      <c r="H22" s="1" t="e">
        <f ca="1">[1]!thsiFinD("THS_LRB_HK","2319.HK",2038,H$3,1,"CNY")/1000000</f>
        <v>#NAME?</v>
      </c>
      <c r="I22" s="1" t="e">
        <f ca="1">[1]!thsiFinD("THS_LRB_HK","2319.HK",2038,I$3,1,"CNY")/1000000</f>
        <v>#NAME?</v>
      </c>
    </row>
    <row r="23" spans="1:9">
      <c r="A23" s="1" t="s">
        <v>23</v>
      </c>
      <c r="B23" s="1" t="e">
        <f ca="1">[1]!thsiFinD("THS_LRB_STOCK","600887.SH",2052,B$3,1)/1000000</f>
        <v>#NAME?</v>
      </c>
      <c r="C23" s="1" t="e">
        <f ca="1">[1]!thsiFinD("THS_LRB_STOCK","600597.SH",2052,C$3,1)/1000000</f>
        <v>#NAME?</v>
      </c>
      <c r="D23" s="1" t="e">
        <f ca="1">[1]!thsiFinD("THS_LRB_STOCK","600887.SH",2052,D$3,1)/1000000</f>
        <v>#NAME?</v>
      </c>
      <c r="E23" s="1" t="e">
        <f ca="1">[1]!thsiFinD("THS_LRB_STOCK","600597.SH",2052,E$3,1)/1000000</f>
        <v>#NAME?</v>
      </c>
      <c r="G23" s="1" t="s">
        <v>269</v>
      </c>
      <c r="H23" s="1" t="e">
        <f ca="1">[1]!thsiFinD("THS_LRB_HK","2319.HK",2037,H$3,1,"CNY")/1000000</f>
        <v>#NAME?</v>
      </c>
      <c r="I23" s="1" t="e">
        <f ca="1">[1]!thsiFinD("THS_LRB_HK","2319.HK",2037,I$3,1,"CNY")/1000000</f>
        <v>#NAME?</v>
      </c>
    </row>
    <row r="24" spans="1:9">
      <c r="A24" s="1" t="s">
        <v>24</v>
      </c>
      <c r="B24" s="1" t="e">
        <f ca="1">[1]!thsiFinD("THS_LRB_STOCK","600887.SH",2044,B$3,1)/1000000</f>
        <v>#NAME?</v>
      </c>
      <c r="C24" s="1" t="e">
        <f ca="1">[1]!thsiFinD("THS_LRB_STOCK","600597.SH",2044,C$3,1)/1000000</f>
        <v>#NAME?</v>
      </c>
      <c r="D24" s="1" t="e">
        <f ca="1">[1]!thsiFinD("THS_LRB_STOCK","600887.SH",2044,D$3,1)/1000000</f>
        <v>#NAME?</v>
      </c>
      <c r="E24" s="1" t="e">
        <f ca="1">[1]!thsiFinD("THS_LRB_STOCK","600597.SH",2044,E$3,1)/1000000</f>
        <v>#NAME?</v>
      </c>
      <c r="G24" s="1" t="s">
        <v>270</v>
      </c>
      <c r="H24" s="1" t="e">
        <f ca="1">[1]!thsiFinD("THS_LRB_HK","2319.HK",2039,H$3,1,"CNY")/1000000</f>
        <v>#NAME?</v>
      </c>
      <c r="I24" s="1" t="e">
        <f ca="1">[1]!thsiFinD("THS_LRB_HK","2319.HK",2039,I$3,1,"CNY")/1000000</f>
        <v>#NAME?</v>
      </c>
    </row>
    <row r="25" spans="1:9">
      <c r="A25" s="1" t="s">
        <v>25</v>
      </c>
      <c r="B25" s="1" t="e">
        <f ca="1">[1]!thsiFinD("THS_LRB_STOCK","600887.SH",2010,B$3,1)/1000000</f>
        <v>#NAME?</v>
      </c>
      <c r="C25" s="1" t="e">
        <f ca="1">[1]!thsiFinD("THS_LRB_STOCK","600597.SH",2010,C$3,1)/1000000</f>
        <v>#NAME?</v>
      </c>
      <c r="D25" s="1" t="e">
        <f ca="1">[1]!thsiFinD("THS_LRB_STOCK","600887.SH",2010,D$3,1)/1000000</f>
        <v>#NAME?</v>
      </c>
      <c r="E25" s="1" t="e">
        <f ca="1">[1]!thsiFinD("THS_LRB_STOCK","600597.SH",2010,E$3,1)/1000000</f>
        <v>#NAME?</v>
      </c>
      <c r="G25" s="1" t="s">
        <v>271</v>
      </c>
      <c r="H25" s="1" t="e">
        <f ca="1">[1]!thsiFinD("THS_LRB_HK","2319.HK",2036,H$3,1,"CNY")/1000000</f>
        <v>#NAME?</v>
      </c>
      <c r="I25" s="1" t="e">
        <f ca="1">[1]!thsiFinD("THS_LRB_HK","2319.HK",2036,I$3,1,"CNY")/1000000</f>
        <v>#NAME?</v>
      </c>
    </row>
    <row r="26" spans="1:9">
      <c r="A26" s="1" t="s">
        <v>26</v>
      </c>
      <c r="B26" s="1" t="e">
        <f ca="1">[1]!thsiFinD("THS_LRB_STOCK","600887.SH",2002,B$3,1)/1000000</f>
        <v>#NAME?</v>
      </c>
      <c r="C26" s="1" t="e">
        <f ca="1">[1]!thsiFinD("THS_LRB_STOCK","600597.SH",2002,C$3,1)/1000000</f>
        <v>#NAME?</v>
      </c>
      <c r="D26" s="1" t="e">
        <f ca="1">[1]!thsiFinD("THS_LRB_STOCK","600887.SH",2002,D$3,1)/1000000</f>
        <v>#NAME?</v>
      </c>
      <c r="E26" s="1" t="e">
        <f ca="1">[1]!thsiFinD("THS_LRB_STOCK","600597.SH",2002,E$3,1)/1000000</f>
        <v>#NAME?</v>
      </c>
      <c r="G26" s="1" t="s">
        <v>272</v>
      </c>
      <c r="H26" s="1" t="e">
        <f ca="1">[1]!thsiFinD("THS_LRB_HK","2319.HK",2035,H$3,1,"CNY")/1000000</f>
        <v>#NAME?</v>
      </c>
      <c r="I26" s="1" t="e">
        <f ca="1">[1]!thsiFinD("THS_LRB_HK","2319.HK",2035,I$3,1,"CNY")/1000000</f>
        <v>#NAME?</v>
      </c>
    </row>
    <row r="27" spans="1:9">
      <c r="A27" s="1" t="s">
        <v>27</v>
      </c>
      <c r="B27" s="1" t="e">
        <f ca="1">[1]!thsiFinD("THS_LRB_STOCK","600887.SH",2063,B$3,1)/1000000</f>
        <v>#NAME?</v>
      </c>
      <c r="C27" s="1" t="e">
        <f ca="1">[1]!thsiFinD("THS_LRB_STOCK","600597.SH",2063,C$3,1)/1000000</f>
        <v>#NAME?</v>
      </c>
      <c r="D27" s="1" t="e">
        <f ca="1">[1]!thsiFinD("THS_LRB_STOCK","600887.SH",2063,D$3,1)/1000000</f>
        <v>#NAME?</v>
      </c>
      <c r="E27" s="1" t="e">
        <f ca="1">[1]!thsiFinD("THS_LRB_STOCK","600597.SH",2063,E$3,1)/1000000</f>
        <v>#NAME?</v>
      </c>
      <c r="G27" s="1" t="s">
        <v>273</v>
      </c>
      <c r="H27" s="1" t="e">
        <f ca="1">[1]!thsiFinD("THS_LRB_HK","2319.HK",2009,H$3,1,"CNY")/1000000</f>
        <v>#NAME?</v>
      </c>
      <c r="I27" s="1" t="e">
        <f ca="1">[1]!thsiFinD("THS_LRB_HK","2319.HK",2009,I$3,1,"CNY")/1000000</f>
        <v>#NAME?</v>
      </c>
    </row>
    <row r="28" spans="1:9">
      <c r="A28" s="1" t="s">
        <v>28</v>
      </c>
      <c r="B28" s="1" t="e">
        <f ca="1">[1]!thsiFinD("THS_LRB_STOCK","600887.SH",2058,B$3,1)/1000000</f>
        <v>#NAME?</v>
      </c>
      <c r="C28" s="1" t="e">
        <f ca="1">[1]!thsiFinD("THS_LRB_STOCK","600597.SH",2058,C$3,1)/1000000</f>
        <v>#NAME?</v>
      </c>
      <c r="D28" s="1" t="e">
        <f ca="1">[1]!thsiFinD("THS_LRB_STOCK","600887.SH",2058,D$3,1)/1000000</f>
        <v>#NAME?</v>
      </c>
      <c r="E28" s="1" t="e">
        <f ca="1">[1]!thsiFinD("THS_LRB_STOCK","600597.SH",2058,E$3,1)/1000000</f>
        <v>#NAME?</v>
      </c>
      <c r="G28" s="1" t="s">
        <v>274</v>
      </c>
      <c r="H28" s="1" t="e">
        <f ca="1">[1]!thsiFinD("THS_LRB_HK","2319.HK",2007,H$3,1,"CNY")/1000000</f>
        <v>#NAME?</v>
      </c>
      <c r="I28" s="1" t="e">
        <f ca="1">[1]!thsiFinD("THS_LRB_HK","2319.HK",2007,I$3,1,"CNY")/1000000</f>
        <v>#NAME?</v>
      </c>
    </row>
    <row r="29" spans="1:9">
      <c r="A29" s="1" t="s">
        <v>29</v>
      </c>
      <c r="B29" s="1" t="e">
        <f ca="1">[1]!thsiFinD("THS_LRB_STOCK","600887.SH",2057,B$3,1)/1000000</f>
        <v>#NAME?</v>
      </c>
      <c r="C29" s="1" t="e">
        <f ca="1">[1]!thsiFinD("THS_LRB_STOCK","600597.SH",2057,C$3,1)/1000000</f>
        <v>#NAME?</v>
      </c>
      <c r="D29" s="1" t="e">
        <f ca="1">[1]!thsiFinD("THS_LRB_STOCK","600887.SH",2057,D$3,1)/1000000</f>
        <v>#NAME?</v>
      </c>
      <c r="E29" s="1" t="e">
        <f ca="1">[1]!thsiFinD("THS_LRB_STOCK","600597.SH",2057,E$3,1)/1000000</f>
        <v>#NAME?</v>
      </c>
      <c r="G29" s="1" t="s">
        <v>275</v>
      </c>
      <c r="H29" s="1" t="e">
        <f ca="1">[1]!thsiFinD("THS_LRB_HK","2319.HK",2011,H$3,1,"CNY")/1000000</f>
        <v>#NAME?</v>
      </c>
      <c r="I29" s="1" t="e">
        <f ca="1">[1]!thsiFinD("THS_LRB_HK","2319.HK",2011,I$3,1,"CNY")/1000000</f>
        <v>#NAME?</v>
      </c>
    </row>
    <row r="30" spans="1:9" s="8" customFormat="1">
      <c r="A30" s="8" t="s">
        <v>30</v>
      </c>
      <c r="G30" s="1" t="s">
        <v>276</v>
      </c>
      <c r="H30" s="1" t="e">
        <f ca="1">[1]!thsiFinD("THS_LRB_HK","2319.HK",2043,H$3,1,"CNY")/1000000</f>
        <v>#NAME?</v>
      </c>
      <c r="I30" s="1" t="e">
        <f ca="1">[1]!thsiFinD("THS_LRB_HK","2319.HK",2043,I$3,1,"CNY")/1000000</f>
        <v>#NAME?</v>
      </c>
    </row>
    <row r="31" spans="1:9">
      <c r="A31" s="1" t="s">
        <v>31</v>
      </c>
      <c r="B31" s="1" t="e">
        <f ca="1">[1]!thsiFinD("THS_LRB_STOCK","600887.SH",2009,B$3,1)/1000000</f>
        <v>#NAME?</v>
      </c>
      <c r="C31" s="1" t="e">
        <f ca="1">[1]!thsiFinD("THS_LRB_STOCK","600597.SH",2009,C$3,1)/1000000</f>
        <v>#NAME?</v>
      </c>
      <c r="D31" s="1" t="e">
        <f ca="1">[1]!thsiFinD("THS_LRB_STOCK","600887.SH",2009,D$3,1)/1000000</f>
        <v>#NAME?</v>
      </c>
      <c r="E31" s="1" t="e">
        <f ca="1">[1]!thsiFinD("THS_LRB_STOCK","600597.SH",2009,E$3,1)/1000000</f>
        <v>#NAME?</v>
      </c>
      <c r="G31" s="1" t="s">
        <v>277</v>
      </c>
      <c r="H31" s="1" t="e">
        <f ca="1">[1]!thsiFinD("THS_LRB_HK","2319.HK",2030,H$3,1,"CNY")/1000000</f>
        <v>#NAME?</v>
      </c>
      <c r="I31" s="1" t="e">
        <f ca="1">[1]!thsiFinD("THS_LRB_HK","2319.HK",2030,I$3,1,"CNY")/1000000</f>
        <v>#NAME?</v>
      </c>
    </row>
    <row r="32" spans="1:9">
      <c r="A32" s="1" t="s">
        <v>32</v>
      </c>
      <c r="B32" s="1" t="e">
        <f ca="1">[1]!thsiFinD("THS_LRB_STOCK","600887.SH",2041,B$3,1)/1000000</f>
        <v>#NAME?</v>
      </c>
      <c r="C32" s="1" t="e">
        <f ca="1">[1]!thsiFinD("THS_LRB_STOCK","600597.SH",2041,C$3,1)/1000000</f>
        <v>#NAME?</v>
      </c>
      <c r="D32" s="1" t="e">
        <f ca="1">[1]!thsiFinD("THS_LRB_STOCK","600887.SH",2041,D$3,1)/1000000</f>
        <v>#NAME?</v>
      </c>
      <c r="E32" s="1" t="e">
        <f ca="1">[1]!thsiFinD("THS_LRB_STOCK","600597.SH",2041,E$3,1)/1000000</f>
        <v>#NAME?</v>
      </c>
      <c r="G32" s="8" t="s">
        <v>278</v>
      </c>
      <c r="H32" s="8" t="e">
        <f ca="1">[1]!thsiFinD("THS_LRB_HK","2319.HK",2057,H$3,1,"CNY")/1000000</f>
        <v>#NAME?</v>
      </c>
      <c r="I32" s="8" t="e">
        <f ca="1">[1]!thsiFinD("THS_LRB_HK","2319.HK",2057,I$3,1,"CNY")/1000000</f>
        <v>#NAME?</v>
      </c>
    </row>
    <row r="33" spans="1:9">
      <c r="A33" s="1" t="s">
        <v>33</v>
      </c>
      <c r="B33" s="1" t="e">
        <f ca="1">[1]!thsiFinD("THS_LRB_STOCK","600887.SH",2004,B$3,1)/1000000</f>
        <v>#NAME?</v>
      </c>
      <c r="C33" s="1" t="e">
        <f ca="1">[1]!thsiFinD("THS_LRB_STOCK","600597.SH",2004,C$3,1)/1000000</f>
        <v>#NAME?</v>
      </c>
      <c r="D33" s="1" t="e">
        <f ca="1">[1]!thsiFinD("THS_LRB_STOCK","600887.SH",2004,D$3,1)/1000000</f>
        <v>#NAME?</v>
      </c>
      <c r="E33" s="1" t="e">
        <f ca="1">[1]!thsiFinD("THS_LRB_STOCK","600597.SH",2004,E$3,1)/1000000</f>
        <v>#NAME?</v>
      </c>
      <c r="G33" s="8" t="s">
        <v>279</v>
      </c>
      <c r="H33" s="8" t="e">
        <f ca="1">[1]!thsiFinD("THS_LRB_HK","2319.HK",2010,H$3,1,"CNY")/1000000</f>
        <v>#NAME?</v>
      </c>
      <c r="I33" s="8" t="e">
        <f ca="1">[1]!thsiFinD("THS_LRB_HK","2319.HK",2010,I$3,1,"CNY")/1000000</f>
        <v>#NAME?</v>
      </c>
    </row>
    <row r="34" spans="1:9">
      <c r="A34" s="1" t="s">
        <v>34</v>
      </c>
      <c r="B34" s="1" t="e">
        <f ca="1">[1]!thsiFinD("THS_LRB_STOCK","600887.SH",2014,B$3,1)/1000000</f>
        <v>#NAME?</v>
      </c>
      <c r="C34" s="1" t="e">
        <f ca="1">[1]!thsiFinD("THS_LRB_STOCK","600597.SH",2014,C$3,1)/1000000</f>
        <v>#NAME?</v>
      </c>
      <c r="D34" s="1" t="e">
        <f ca="1">[1]!thsiFinD("THS_LRB_STOCK","600887.SH",2014,D$3,1)/1000000</f>
        <v>#NAME?</v>
      </c>
      <c r="E34" s="1" t="e">
        <f ca="1">[1]!thsiFinD("THS_LRB_STOCK","600597.SH",2014,E$3,1)/1000000</f>
        <v>#NAME?</v>
      </c>
      <c r="G34" s="8" t="s">
        <v>280</v>
      </c>
      <c r="H34" s="8" t="e">
        <f ca="1">[1]!thsiFinD("THS_LRB_HK","2319.HK",2008,H$3,1,"CNY")/1000000</f>
        <v>#NAME?</v>
      </c>
      <c r="I34" s="8" t="e">
        <f ca="1">[1]!thsiFinD("THS_LRB_HK","2319.HK",2008,I$3,1,"CNY")/1000000</f>
        <v>#NAME?</v>
      </c>
    </row>
    <row r="35" spans="1:9">
      <c r="A35" s="1" t="s">
        <v>35</v>
      </c>
      <c r="B35" s="1" t="e">
        <f ca="1">[1]!thsiFinD("THS_LRB_STOCK","600887.SH",2050,B$3,1)/1000000</f>
        <v>#NAME?</v>
      </c>
      <c r="C35" s="1" t="e">
        <f ca="1">[1]!thsiFinD("THS_LRB_STOCK","600597.SH",2050,C$3,1)/1000000</f>
        <v>#NAME?</v>
      </c>
      <c r="D35" s="1" t="e">
        <f ca="1">[1]!thsiFinD("THS_LRB_STOCK","600887.SH",2050,D$3,1)/1000000</f>
        <v>#NAME?</v>
      </c>
      <c r="E35" s="1" t="e">
        <f ca="1">[1]!thsiFinD("THS_LRB_STOCK","600597.SH",2050,E$3,1)/1000000</f>
        <v>#NAME?</v>
      </c>
    </row>
    <row r="36" spans="1:9">
      <c r="A36" s="1" t="s">
        <v>36</v>
      </c>
      <c r="B36" s="1" t="e">
        <f ca="1">[1]!thsiFinD("THS_LRB_STOCK","600887.SH",2049,B$3,1)/1000000</f>
        <v>#NAME?</v>
      </c>
      <c r="C36" s="1" t="e">
        <f ca="1">[1]!thsiFinD("THS_LRB_STOCK","600597.SH",2049,C$3,1)/1000000</f>
        <v>#NAME?</v>
      </c>
      <c r="D36" s="1" t="e">
        <f ca="1">[1]!thsiFinD("THS_LRB_STOCK","600887.SH",2049,D$3,1)/1000000</f>
        <v>#NAME?</v>
      </c>
      <c r="E36" s="1" t="e">
        <f ca="1">[1]!thsiFinD("THS_LRB_STOCK","600597.SH",2049,E$3,1)/1000000</f>
        <v>#NAME?</v>
      </c>
      <c r="G36" s="8"/>
      <c r="H36" s="8"/>
      <c r="I36" s="8"/>
    </row>
    <row r="37" spans="1:9" s="8" customFormat="1">
      <c r="A37" s="8" t="s">
        <v>37</v>
      </c>
      <c r="B37" s="8" t="e">
        <f ca="1">[1]!thsiFinD("THS_LRB_STOCK","600887.SH",2048,B$3,1)/1000000</f>
        <v>#NAME?</v>
      </c>
      <c r="C37" s="8" t="e">
        <f ca="1">[1]!thsiFinD("THS_LRB_STOCK","600597.SH",2048,C$3,1)/1000000</f>
        <v>#NAME?</v>
      </c>
      <c r="D37" s="8" t="e">
        <f ca="1">[1]!thsiFinD("THS_LRB_STOCK","600887.SH",2048,D$3,1)/1000000</f>
        <v>#NAME?</v>
      </c>
      <c r="E37" s="8" t="e">
        <f ca="1">[1]!thsiFinD("THS_LRB_STOCK","600597.SH",2048,E$3,1)/1000000</f>
        <v>#NAME?</v>
      </c>
      <c r="G37" s="1"/>
      <c r="H37" s="1"/>
      <c r="I37" s="1"/>
    </row>
    <row r="38" spans="1:9">
      <c r="A38" s="1" t="s">
        <v>38</v>
      </c>
      <c r="B38" s="1" t="e">
        <f ca="1">[1]!thsiFinD("THS_LRB_STOCK","600887.SH",2053,B$3,1)/1000000</f>
        <v>#NAME?</v>
      </c>
      <c r="C38" s="1" t="e">
        <f ca="1">[1]!thsiFinD("THS_LRB_STOCK","600597.SH",2053,C$3,1)/1000000</f>
        <v>#NAME?</v>
      </c>
      <c r="D38" s="1" t="e">
        <f ca="1">[1]!thsiFinD("THS_LRB_STOCK","600887.SH",2053,D$3,1)/1000000</f>
        <v>#NAME?</v>
      </c>
      <c r="E38" s="1" t="e">
        <f ca="1">[1]!thsiFinD("THS_LRB_STOCK","600597.SH",2053,E$3,1)/1000000</f>
        <v>#NAME?</v>
      </c>
    </row>
    <row r="39" spans="1:9">
      <c r="A39" s="1" t="s">
        <v>39</v>
      </c>
      <c r="B39" s="1" t="e">
        <f ca="1">[1]!thsiFinD("THS_LRB_STOCK","600887.SH",2054,B$3,1)/1000000</f>
        <v>#NAME?</v>
      </c>
      <c r="C39" s="1" t="e">
        <f ca="1">[1]!thsiFinD("THS_LRB_STOCK","600597.SH",2054,C$3,1)/1000000</f>
        <v>#NAME?</v>
      </c>
      <c r="D39" s="1" t="e">
        <f ca="1">[1]!thsiFinD("THS_LRB_STOCK","600887.SH",2054,D$3,1)/1000000</f>
        <v>#NAME?</v>
      </c>
      <c r="E39" s="1" t="e">
        <f ca="1">[1]!thsiFinD("THS_LRB_STOCK","600597.SH",2054,E$3,1)/1000000</f>
        <v>#NAME?</v>
      </c>
    </row>
    <row r="40" spans="1:9">
      <c r="A40" s="1" t="s">
        <v>40</v>
      </c>
      <c r="B40" s="1" t="e">
        <f ca="1">[1]!thsiFinD("THS_LRB_STOCK","600887.SH",2005,B$3,1)/1000000</f>
        <v>#NAME?</v>
      </c>
      <c r="C40" s="1" t="e">
        <f ca="1">[1]!thsiFinD("THS_LRB_STOCK","600597.SH",2005,C$3,1)/1000000</f>
        <v>#NAME?</v>
      </c>
      <c r="D40" s="1" t="e">
        <f ca="1">[1]!thsiFinD("THS_LRB_STOCK","600887.SH",2005,D$3,1)/1000000</f>
        <v>#NAME?</v>
      </c>
      <c r="E40" s="1" t="e">
        <f ca="1">[1]!thsiFinD("THS_LRB_STOCK","600597.SH",2005,E$3,1)/1000000</f>
        <v>#NAME?</v>
      </c>
    </row>
    <row r="41" spans="1:9">
      <c r="A41" s="1" t="s">
        <v>41</v>
      </c>
      <c r="B41" s="1" t="e">
        <f ca="1">[1]!thsiFinD("THS_LRB_STOCK","600887.SH",2021,B$3,1)/1000000</f>
        <v>#NAME?</v>
      </c>
      <c r="C41" s="1" t="e">
        <f ca="1">[1]!thsiFinD("THS_LRB_STOCK","600597.SH",2021,C$3,1)/1000000</f>
        <v>#NAME?</v>
      </c>
      <c r="D41" s="1" t="e">
        <f ca="1">[1]!thsiFinD("THS_LRB_STOCK","600887.SH",2021,D$3,1)/1000000</f>
        <v>#NAME?</v>
      </c>
      <c r="E41" s="1" t="e">
        <f ca="1">[1]!thsiFinD("THS_LRB_STOCK","600597.SH",2021,E$3,1)/1000000</f>
        <v>#NAME?</v>
      </c>
    </row>
    <row r="42" spans="1:9">
      <c r="A42" s="1" t="s">
        <v>42</v>
      </c>
      <c r="B42" s="1" t="e">
        <f ca="1">[1]!thsiFinD("THS_LRB_STOCK","600887.SH",2020,B$3,1)/1000000</f>
        <v>#NAME?</v>
      </c>
      <c r="C42" s="1" t="e">
        <f ca="1">[1]!thsiFinD("THS_LRB_STOCK","600597.SH",2020,C$3,1)/1000000</f>
        <v>#NAME?</v>
      </c>
      <c r="D42" s="1" t="e">
        <f ca="1">[1]!thsiFinD("THS_LRB_STOCK","600887.SH",2020,D$3,1)/1000000</f>
        <v>#NAME?</v>
      </c>
      <c r="E42" s="1" t="e">
        <f ca="1">[1]!thsiFinD("THS_LRB_STOCK","600597.SH",2020,E$3,1)/1000000</f>
        <v>#NAME?</v>
      </c>
      <c r="G42" s="8"/>
      <c r="H42" s="8"/>
      <c r="I42" s="8"/>
    </row>
    <row r="43" spans="1:9" s="8" customFormat="1">
      <c r="A43" s="8" t="s">
        <v>43</v>
      </c>
      <c r="B43" s="8" t="e">
        <f ca="1">[1]!thsiFinD("THS_LRB_STOCK","600887.SH",2019,B$3,1)/1000000</f>
        <v>#NAME?</v>
      </c>
      <c r="C43" s="8" t="e">
        <f ca="1">[1]!thsiFinD("THS_LRB_STOCK","600597.SH",2019,C$3,1)/1000000</f>
        <v>#NAME?</v>
      </c>
      <c r="D43" s="8" t="e">
        <f ca="1">[1]!thsiFinD("THS_LRB_STOCK","600887.SH",2019,D$3,1)/1000000</f>
        <v>#NAME?</v>
      </c>
      <c r="E43" s="8" t="e">
        <f ca="1">[1]!thsiFinD("THS_LRB_STOCK","600597.SH",2019,E$3,1)/1000000</f>
        <v>#NAME?</v>
      </c>
      <c r="G43" s="1"/>
      <c r="H43" s="1"/>
      <c r="I43" s="1"/>
    </row>
    <row r="44" spans="1:9">
      <c r="A44" s="1" t="s">
        <v>44</v>
      </c>
      <c r="B44" s="1" t="e">
        <f ca="1">[1]!thsiFinD("THS_LRB_STOCK","600887.SH",2035,B$3,1)/1000000</f>
        <v>#NAME?</v>
      </c>
      <c r="C44" s="1" t="e">
        <f ca="1">[1]!thsiFinD("THS_LRB_STOCK","600597.SH",2035,C$3,1)/1000000</f>
        <v>#NAME?</v>
      </c>
      <c r="D44" s="1" t="e">
        <f ca="1">[1]!thsiFinD("THS_LRB_STOCK","600887.SH",2035,D$3,1)/1000000</f>
        <v>#NAME?</v>
      </c>
      <c r="E44" s="1" t="e">
        <f ca="1">[1]!thsiFinD("THS_LRB_STOCK","600597.SH",2035,E$3,1)/1000000</f>
        <v>#NAME?</v>
      </c>
    </row>
    <row r="45" spans="1:9">
      <c r="A45" s="1" t="s">
        <v>45</v>
      </c>
    </row>
    <row r="46" spans="1:9">
      <c r="A46" s="1" t="s">
        <v>46</v>
      </c>
      <c r="B46" s="1" t="e">
        <f ca="1">[1]!thsiFinD("THS_LRB_STOCK","600887.SH",2018,B$3,1)/1000000</f>
        <v>#NAME?</v>
      </c>
      <c r="C46" s="1" t="e">
        <f ca="1">[1]!thsiFinD("THS_LRB_STOCK","600597.SH",2018,C$3,1)/1000000</f>
        <v>#NAME?</v>
      </c>
      <c r="D46" s="1" t="e">
        <f ca="1">[1]!thsiFinD("THS_LRB_STOCK","600887.SH",2018,D$3,1)/1000000</f>
        <v>#NAME?</v>
      </c>
      <c r="E46" s="1" t="e">
        <f ca="1">[1]!thsiFinD("THS_LRB_STOCK","600597.SH",2018,E$3,1)/1000000</f>
        <v>#NAME?</v>
      </c>
    </row>
    <row r="47" spans="1:9">
      <c r="A47" s="1" t="s">
        <v>47</v>
      </c>
      <c r="B47" s="1" t="e">
        <f ca="1">[1]!thsiFinD("THS_LRB_STOCK","600887.SH",2017,B$3,1)/1000000</f>
        <v>#NAME?</v>
      </c>
      <c r="C47" s="1" t="e">
        <f ca="1">[1]!thsiFinD("THS_LRB_STOCK","600597.SH",2017,C$3,1)/1000000</f>
        <v>#NAME?</v>
      </c>
      <c r="D47" s="1" t="e">
        <f ca="1">[1]!thsiFinD("THS_LRB_STOCK","600887.SH",2017,D$3,1)/1000000</f>
        <v>#NAME?</v>
      </c>
      <c r="E47" s="1" t="e">
        <f ca="1">[1]!thsiFinD("THS_LRB_STOCK","600597.SH",2017,E$3,1)/1000000</f>
        <v>#NAME?</v>
      </c>
      <c r="G47" s="8"/>
      <c r="H47" s="8"/>
      <c r="I47" s="8"/>
    </row>
    <row r="48" spans="1:9" s="8" customFormat="1">
      <c r="A48" s="8" t="s">
        <v>48</v>
      </c>
      <c r="B48" s="8" t="e">
        <f ca="1">[1]!thsiFinD("THS_LRB_STOCK","600887.SH",2016,B$3,1)/1000000</f>
        <v>#NAME?</v>
      </c>
      <c r="C48" s="8" t="e">
        <f ca="1">[1]!thsiFinD("THS_LRB_STOCK","600597.SH",2016,C$3,1)/1000000</f>
        <v>#NAME?</v>
      </c>
      <c r="D48" s="8" t="e">
        <f ca="1">[1]!thsiFinD("THS_LRB_STOCK","600887.SH",2016,D$3,1)/1000000</f>
        <v>#NAME?</v>
      </c>
      <c r="E48" s="8" t="e">
        <f ca="1">[1]!thsiFinD("THS_LRB_STOCK","600597.SH",2016,E$3,1)/1000000</f>
        <v>#NAME?</v>
      </c>
      <c r="G48" s="1"/>
      <c r="H48" s="1"/>
      <c r="I48" s="1"/>
    </row>
    <row r="49" spans="1:9">
      <c r="A49" s="1" t="s">
        <v>49</v>
      </c>
      <c r="B49" s="1" t="e">
        <f ca="1">[1]!thsiFinD("THS_LRB_STOCK","600887.SH",2030,B$3,1)/1000000</f>
        <v>#NAME?</v>
      </c>
      <c r="C49" s="1" t="e">
        <f ca="1">[1]!thsiFinD("THS_LRB_STOCK","600597.SH",2030,C$3,1)/1000000</f>
        <v>#NAME?</v>
      </c>
      <c r="D49" s="1" t="e">
        <f ca="1">[1]!thsiFinD("THS_LRB_STOCK","600887.SH",2030,D$3,1)/1000000</f>
        <v>#NAME?</v>
      </c>
      <c r="E49" s="1" t="e">
        <f ca="1">[1]!thsiFinD("THS_LRB_STOCK","600597.SH",2030,E$3,1)/1000000</f>
        <v>#NAME?</v>
      </c>
      <c r="G49" s="8"/>
      <c r="H49" s="8"/>
      <c r="I49" s="8"/>
    </row>
    <row r="50" spans="1:9" s="8" customFormat="1">
      <c r="A50" s="8" t="s">
        <v>50</v>
      </c>
      <c r="B50" s="8" t="e">
        <f ca="1">[1]!thsiFinD("THS_LRB_STOCK","600887.SH",2012,B$3,1)/1000000</f>
        <v>#NAME?</v>
      </c>
      <c r="C50" s="8" t="e">
        <f ca="1">[1]!thsiFinD("THS_LRB_STOCK","600597.SH",2012,C$3,1)/1000000</f>
        <v>#NAME?</v>
      </c>
      <c r="D50" s="8" t="e">
        <f ca="1">[1]!thsiFinD("THS_LRB_STOCK","600887.SH",2012,D$3,1)/1000000</f>
        <v>#NAME?</v>
      </c>
      <c r="E50" s="8" t="e">
        <f ca="1">[1]!thsiFinD("THS_LRB_STOCK","600597.SH",2012,E$3,1)/1000000</f>
        <v>#NAME?</v>
      </c>
    </row>
    <row r="51" spans="1:9" s="8" customFormat="1">
      <c r="A51" s="8" t="s">
        <v>51</v>
      </c>
      <c r="G51" s="1"/>
      <c r="H51" s="1"/>
      <c r="I51" s="1"/>
    </row>
    <row r="52" spans="1:9">
      <c r="A52" s="1" t="s">
        <v>52</v>
      </c>
      <c r="B52" s="1" t="e">
        <f ca="1">[1]!thsiFinD("THS_LRB_STOCK","600887.SH",2015,B$3,1)</f>
        <v>#NAME?</v>
      </c>
      <c r="C52" s="1" t="e">
        <f ca="1">[1]!thsiFinD("THS_LRB_STOCK","600597.SH",2015,C$3,1)</f>
        <v>#NAME?</v>
      </c>
      <c r="D52" s="1" t="e">
        <f ca="1">[1]!thsiFinD("THS_LRB_STOCK","600887.SH",2015,D$3,1)</f>
        <v>#NAME?</v>
      </c>
      <c r="E52" s="1" t="e">
        <f ca="1">[1]!thsiFinD("THS_LRB_STOCK","600597.SH",2015,E$3,1)</f>
        <v>#NAME?</v>
      </c>
    </row>
    <row r="53" spans="1:9">
      <c r="A53" s="1" t="s">
        <v>53</v>
      </c>
      <c r="B53" s="1" t="e">
        <f ca="1">[1]!thsiFinD("THS_LRB_STOCK","600887.SH",2043,B$3,1)</f>
        <v>#NAME?</v>
      </c>
      <c r="C53" s="1" t="e">
        <f ca="1">[1]!thsiFinD("THS_LRB_STOCK","600597.SH",2043,C$3,1)</f>
        <v>#NAME?</v>
      </c>
      <c r="D53" s="1" t="e">
        <f ca="1">[1]!thsiFinD("THS_LRB_STOCK","600887.SH",2043,D$3,1)</f>
        <v>#NAME?</v>
      </c>
      <c r="E53" s="1" t="e">
        <f ca="1">[1]!thsiFinD("THS_LRB_STOCK","600597.SH",2043,E$3,1)</f>
        <v>#NAME?</v>
      </c>
    </row>
  </sheetData>
  <phoneticPr fontId="2" type="noConversion"/>
  <conditionalFormatting sqref="A1:XFD1048576">
    <cfRule type="cellIs" dxfId="10" priority="7" stopIfTrue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workbookViewId="0">
      <pane xSplit="1" ySplit="4" topLeftCell="B41" activePane="bottomRight" state="frozenSplit"/>
      <selection pane="topRight" activeCell="B1" sqref="B1"/>
      <selection pane="bottomLeft" activeCell="A5" sqref="A5"/>
      <selection pane="bottomRight" activeCell="G60" sqref="G60"/>
    </sheetView>
  </sheetViews>
  <sheetFormatPr defaultColWidth="9" defaultRowHeight="12"/>
  <cols>
    <col min="1" max="1" width="33.26953125" style="1" bestFit="1" customWidth="1"/>
    <col min="2" max="5" width="10" style="1" bestFit="1" customWidth="1"/>
    <col min="6" max="6" width="2.81640625" style="1" customWidth="1"/>
    <col min="7" max="7" width="26.36328125" style="1" bestFit="1" customWidth="1"/>
    <col min="8" max="16384" width="9" style="1"/>
  </cols>
  <sheetData>
    <row r="1" spans="1:9" s="4" customFormat="1">
      <c r="A1" s="2" t="s">
        <v>0</v>
      </c>
      <c r="B1" s="3" t="s">
        <v>4</v>
      </c>
      <c r="C1" s="3" t="s">
        <v>6</v>
      </c>
      <c r="D1" s="3" t="s">
        <v>4</v>
      </c>
      <c r="E1" s="3" t="s">
        <v>6</v>
      </c>
      <c r="G1" s="2" t="s">
        <v>0</v>
      </c>
      <c r="H1" s="3" t="s">
        <v>252</v>
      </c>
      <c r="I1" s="3" t="s">
        <v>337</v>
      </c>
    </row>
    <row r="2" spans="1:9" s="4" customFormat="1">
      <c r="A2" s="2" t="s">
        <v>1</v>
      </c>
      <c r="B2" s="4" t="e">
        <f ca="1">[1]!thsiFinD("ths_gpjc_stock",B1)</f>
        <v>#NAME?</v>
      </c>
      <c r="C2" s="4" t="e">
        <f ca="1">[1]!thsiFinD("ths_gpjc_stock",C1)</f>
        <v>#NAME?</v>
      </c>
      <c r="D2" s="4" t="e">
        <f ca="1">[1]!thsiFinD("ths_gpjc_stock",D1)</f>
        <v>#NAME?</v>
      </c>
      <c r="E2" s="4" t="e">
        <f ca="1">[1]!thsiFinD("ths_gpjc_stock",E1)</f>
        <v>#NAME?</v>
      </c>
      <c r="G2" s="2" t="s">
        <v>1</v>
      </c>
      <c r="H2" s="4" t="e">
        <f ca="1">[1]!thsiFinD("ths_gpjc_stock",H1)</f>
        <v>#NAME?</v>
      </c>
      <c r="I2" s="4" t="e">
        <f ca="1">[1]!thsiFinD("ths_gpjc_stock",I1)</f>
        <v>#NAME?</v>
      </c>
    </row>
    <row r="3" spans="1:9" s="4" customFormat="1">
      <c r="A3" s="2" t="s">
        <v>2</v>
      </c>
      <c r="B3" s="5">
        <v>42735</v>
      </c>
      <c r="C3" s="5">
        <v>42735</v>
      </c>
      <c r="D3" s="5">
        <v>42369</v>
      </c>
      <c r="E3" s="5">
        <v>42369</v>
      </c>
      <c r="G3" s="2" t="s">
        <v>2</v>
      </c>
      <c r="H3" s="5" t="e">
        <f ca="1">[1]!thsiFinD("ths_yjbgjzrq_hk",H1,2016,4)</f>
        <v>#NAME?</v>
      </c>
      <c r="I3" s="5" t="e">
        <f ca="1">[1]!thsiFinD("ths_yjbgjzrq_hk",I1,2015,4)</f>
        <v>#NAME?</v>
      </c>
    </row>
    <row r="4" spans="1:9" s="7" customFormat="1" ht="12.5" thickBot="1">
      <c r="A4" s="6" t="s">
        <v>3</v>
      </c>
      <c r="B4" s="7" t="s">
        <v>5</v>
      </c>
      <c r="C4" s="7" t="s">
        <v>5</v>
      </c>
      <c r="D4" s="7" t="s">
        <v>5</v>
      </c>
      <c r="E4" s="7" t="s">
        <v>5</v>
      </c>
      <c r="G4" s="2" t="s">
        <v>3</v>
      </c>
      <c r="H4" s="4" t="s">
        <v>5</v>
      </c>
      <c r="I4" s="4" t="s">
        <v>5</v>
      </c>
    </row>
    <row r="6" spans="1:9" s="8" customFormat="1">
      <c r="A6" s="9" t="s">
        <v>338</v>
      </c>
      <c r="B6" s="9"/>
      <c r="C6" s="9"/>
      <c r="D6" s="9"/>
      <c r="E6" s="9"/>
      <c r="G6" s="9" t="s">
        <v>339</v>
      </c>
      <c r="H6" s="9"/>
      <c r="I6" s="9"/>
    </row>
    <row r="7" spans="1:9" s="8" customFormat="1">
      <c r="A7" s="8" t="s">
        <v>54</v>
      </c>
      <c r="G7" s="8" t="s">
        <v>281</v>
      </c>
    </row>
    <row r="8" spans="1:9">
      <c r="A8" s="1" t="s">
        <v>55</v>
      </c>
      <c r="B8" s="1" t="e">
        <f ca="1">[1]!thsiFinD("THS_ZCFZB_STOCK","600887.SH",2041,B$3,1)/1000000</f>
        <v>#NAME?</v>
      </c>
      <c r="C8" s="1" t="e">
        <f ca="1">[1]!thsiFinD("THS_ZCFZB_STOCK","600597.SH",2041,C$3,1)/1000000</f>
        <v>#NAME?</v>
      </c>
      <c r="D8" s="1" t="e">
        <f ca="1">[1]!thsiFinD("THS_ZCFZB_STOCK","600887.SH",2041,D$3,1)/1000000</f>
        <v>#NAME?</v>
      </c>
      <c r="E8" s="1" t="e">
        <f ca="1">[1]!thsiFinD("THS_ZCFZB_STOCK","600597.SH",2041,E$3,1)/1000000</f>
        <v>#NAME?</v>
      </c>
      <c r="G8" s="1" t="s">
        <v>282</v>
      </c>
      <c r="H8" s="1" t="e">
        <f ca="1">[1]!thsiFinD("THS_ZCFZB_HK","2319.HK",2064,H$3,1,"CNY")/1000000</f>
        <v>#NAME?</v>
      </c>
      <c r="I8" s="1" t="e">
        <f ca="1">[1]!thsiFinD("THS_ZCFZB_HK","2319.HK",2064,I$3,1,"CNY")/1000000</f>
        <v>#NAME?</v>
      </c>
    </row>
    <row r="9" spans="1:9">
      <c r="A9" s="1" t="s">
        <v>56</v>
      </c>
      <c r="B9" s="1" t="e">
        <f ca="1">[1]!thsiFinD("THS_ZCFZB_STOCK","600887.SH",2045,B$3,1)/1000000</f>
        <v>#NAME?</v>
      </c>
      <c r="C9" s="1" t="e">
        <f ca="1">[1]!thsiFinD("THS_ZCFZB_STOCK","600597.SH",2045,C$3,1)/1000000</f>
        <v>#NAME?</v>
      </c>
      <c r="D9" s="1" t="e">
        <f ca="1">[1]!thsiFinD("THS_ZCFZB_STOCK","600887.SH",2045,D$3,1)/1000000</f>
        <v>#NAME?</v>
      </c>
      <c r="E9" s="1" t="e">
        <f ca="1">[1]!thsiFinD("THS_ZCFZB_STOCK","600597.SH",2045,E$3,1)/1000000</f>
        <v>#NAME?</v>
      </c>
      <c r="G9" s="1" t="s">
        <v>283</v>
      </c>
      <c r="H9" s="1" t="e">
        <f ca="1">[1]!thsiFinD("THS_ZCFZB_HK","2319.HK",2065,H$3,1,"CNY")/1000000</f>
        <v>#NAME?</v>
      </c>
      <c r="I9" s="1" t="e">
        <f ca="1">[1]!thsiFinD("THS_ZCFZB_HK","2319.HK",2065,I$3,1,"CNY")/1000000</f>
        <v>#NAME?</v>
      </c>
    </row>
    <row r="10" spans="1:9">
      <c r="A10" s="1" t="s">
        <v>57</v>
      </c>
      <c r="B10" s="1" t="e">
        <f ca="1">[1]!thsiFinD("THS_ZCFZB_STOCK","600887.SH",2003,B$3,1)/1000000</f>
        <v>#NAME?</v>
      </c>
      <c r="C10" s="1" t="e">
        <f ca="1">[1]!thsiFinD("THS_ZCFZB_STOCK","600597.SH",2003,C$3,1)/1000000</f>
        <v>#NAME?</v>
      </c>
      <c r="D10" s="1" t="e">
        <f ca="1">[1]!thsiFinD("THS_ZCFZB_STOCK","600887.SH",2003,D$3,1)/1000000</f>
        <v>#NAME?</v>
      </c>
      <c r="E10" s="1" t="e">
        <f ca="1">[1]!thsiFinD("THS_ZCFZB_STOCK","600597.SH",2003,E$3,1)/1000000</f>
        <v>#NAME?</v>
      </c>
      <c r="G10" s="1" t="s">
        <v>284</v>
      </c>
      <c r="H10" s="1" t="e">
        <f ca="1">[1]!thsiFinD("THS_ZCFZB_HK","2319.HK",2023,H$3,1,"CNY")/1000000</f>
        <v>#NAME?</v>
      </c>
      <c r="I10" s="1" t="e">
        <f ca="1">[1]!thsiFinD("THS_ZCFZB_HK","2319.HK",2023,I$3,1,"CNY")/1000000</f>
        <v>#NAME?</v>
      </c>
    </row>
    <row r="11" spans="1:9">
      <c r="A11" s="1" t="s">
        <v>58</v>
      </c>
      <c r="B11" s="1" t="e">
        <f ca="1">[1]!thsiFinD("THS_ZCFZB_STOCK","600887.SH",2044,B$3,1)/1000000</f>
        <v>#NAME?</v>
      </c>
      <c r="C11" s="1" t="e">
        <f ca="1">[1]!thsiFinD("THS_ZCFZB_STOCK","600597.SH",2044,C$3,1)/1000000</f>
        <v>#NAME?</v>
      </c>
      <c r="D11" s="1" t="e">
        <f ca="1">[1]!thsiFinD("THS_ZCFZB_STOCK","600887.SH",2044,D$3,1)/1000000</f>
        <v>#NAME?</v>
      </c>
      <c r="E11" s="1" t="e">
        <f ca="1">[1]!thsiFinD("THS_ZCFZB_STOCK","600597.SH",2044,E$3,1)/1000000</f>
        <v>#NAME?</v>
      </c>
      <c r="G11" s="1" t="s">
        <v>285</v>
      </c>
      <c r="H11" s="1" t="e">
        <f ca="1">[1]!thsiFinD("THS_ZCFZB_HK","2319.HK",2004,H$3,1,"CNY")/1000000</f>
        <v>#NAME?</v>
      </c>
      <c r="I11" s="1" t="e">
        <f ca="1">[1]!thsiFinD("THS_ZCFZB_HK","2319.HK",2004,I$3,1,"CNY")/1000000</f>
        <v>#NAME?</v>
      </c>
    </row>
    <row r="12" spans="1:9">
      <c r="A12" s="1" t="s">
        <v>59</v>
      </c>
      <c r="B12" s="1" t="e">
        <f ca="1">[1]!thsiFinD("THS_ZCFZB_STOCK","600887.SH",2113,B$3,1)/1000000</f>
        <v>#NAME?</v>
      </c>
      <c r="C12" s="1" t="e">
        <f ca="1">[1]!thsiFinD("THS_ZCFZB_STOCK","600597.SH",2113,C$3,1)/1000000</f>
        <v>#NAME?</v>
      </c>
      <c r="D12" s="1" t="e">
        <f ca="1">[1]!thsiFinD("THS_ZCFZB_STOCK","600887.SH",2113,D$3,1)/1000000</f>
        <v>#NAME?</v>
      </c>
      <c r="E12" s="1" t="e">
        <f ca="1">[1]!thsiFinD("THS_ZCFZB_STOCK","600597.SH",2113,E$3,1)/1000000</f>
        <v>#NAME?</v>
      </c>
      <c r="G12" s="1" t="s">
        <v>286</v>
      </c>
      <c r="H12" s="1" t="e">
        <f ca="1">[1]!thsiFinD("THS_ZCFZB_HK","2319.HK",2061,H$3,1,"CNY")/1000000</f>
        <v>#NAME?</v>
      </c>
      <c r="I12" s="1" t="e">
        <f ca="1">[1]!thsiFinD("THS_ZCFZB_HK","2319.HK",2061,I$3,1,"CNY")/1000000</f>
        <v>#NAME?</v>
      </c>
    </row>
    <row r="13" spans="1:9">
      <c r="A13" s="1" t="s">
        <v>60</v>
      </c>
      <c r="B13" s="1" t="e">
        <f ca="1">[1]!thsiFinD("THS_ZCFZB_STOCK","600887.SH",2114,B$3,1)/1000000</f>
        <v>#NAME?</v>
      </c>
      <c r="C13" s="1" t="e">
        <f ca="1">[1]!thsiFinD("THS_ZCFZB_STOCK","600597.SH",2114,C$3,1)/1000000</f>
        <v>#NAME?</v>
      </c>
      <c r="D13" s="1" t="e">
        <f ca="1">[1]!thsiFinD("THS_ZCFZB_STOCK","600887.SH",2114,D$3,1)/1000000</f>
        <v>#NAME?</v>
      </c>
      <c r="E13" s="1" t="e">
        <f ca="1">[1]!thsiFinD("THS_ZCFZB_STOCK","600597.SH",2114,E$3,1)/1000000</f>
        <v>#NAME?</v>
      </c>
      <c r="G13" s="1" t="s">
        <v>287</v>
      </c>
      <c r="H13" s="1" t="e">
        <f ca="1">[1]!thsiFinD("THS_ZCFZB_HK","2319.HK",2063,H$3,1,"CNY")/1000000</f>
        <v>#NAME?</v>
      </c>
      <c r="I13" s="1" t="e">
        <f ca="1">[1]!thsiFinD("THS_ZCFZB_HK","2319.HK",2063,I$3,1,"CNY")/1000000</f>
        <v>#NAME?</v>
      </c>
    </row>
    <row r="14" spans="1:9">
      <c r="A14" s="1" t="s">
        <v>61</v>
      </c>
      <c r="B14" s="1" t="e">
        <f ca="1">[1]!thsiFinD("THS_ZCFZB_STOCK","600887.SH",2116,B$3,1)/1000000</f>
        <v>#NAME?</v>
      </c>
      <c r="C14" s="1" t="e">
        <f ca="1">[1]!thsiFinD("THS_ZCFZB_STOCK","600597.SH",2116,C$3,1)/1000000</f>
        <v>#NAME?</v>
      </c>
      <c r="D14" s="1" t="e">
        <f ca="1">[1]!thsiFinD("THS_ZCFZB_STOCK","600887.SH",2116,D$3,1)/1000000</f>
        <v>#NAME?</v>
      </c>
      <c r="E14" s="1" t="e">
        <f ca="1">[1]!thsiFinD("THS_ZCFZB_STOCK","600597.SH",2116,E$3,1)/1000000</f>
        <v>#NAME?</v>
      </c>
      <c r="G14" s="1" t="s">
        <v>288</v>
      </c>
      <c r="H14" s="1" t="e">
        <f ca="1">[1]!thsiFinD("THS_ZCFZB_HK","2319.HK",2062,H$3,1,"CNY")/1000000</f>
        <v>#NAME?</v>
      </c>
      <c r="I14" s="1" t="e">
        <f ca="1">[1]!thsiFinD("THS_ZCFZB_HK","2319.HK",2062,I$3,1,"CNY")/1000000</f>
        <v>#NAME?</v>
      </c>
    </row>
    <row r="15" spans="1:9">
      <c r="A15" s="1" t="s">
        <v>62</v>
      </c>
      <c r="B15" s="1" t="e">
        <f ca="1">[1]!thsiFinD("THS_ZCFZB_STOCK","600887.SH",2102,B$3,1)/1000000</f>
        <v>#NAME?</v>
      </c>
      <c r="C15" s="1" t="e">
        <f ca="1">[1]!thsiFinD("THS_ZCFZB_STOCK","600597.SH",2102,C$3,1)/1000000</f>
        <v>#NAME?</v>
      </c>
      <c r="D15" s="1" t="e">
        <f ca="1">[1]!thsiFinD("THS_ZCFZB_STOCK","600887.SH",2102,D$3,1)/1000000</f>
        <v>#NAME?</v>
      </c>
      <c r="E15" s="1" t="e">
        <f ca="1">[1]!thsiFinD("THS_ZCFZB_STOCK","600597.SH",2102,E$3,1)/1000000</f>
        <v>#NAME?</v>
      </c>
      <c r="G15" s="1" t="s">
        <v>289</v>
      </c>
      <c r="H15" s="1" t="e">
        <f ca="1">[1]!thsiFinD("THS_ZCFZB_HK","2319.HK",2041,H$3,1,"CNY")/1000000</f>
        <v>#NAME?</v>
      </c>
      <c r="I15" s="1" t="e">
        <f ca="1">[1]!thsiFinD("THS_ZCFZB_HK","2319.HK",2041,I$3,1,"CNY")/1000000</f>
        <v>#NAME?</v>
      </c>
    </row>
    <row r="16" spans="1:9">
      <c r="A16" s="1" t="s">
        <v>63</v>
      </c>
      <c r="B16" s="1" t="e">
        <f ca="1">[1]!thsiFinD("THS_ZCFZB_STOCK","600887.SH",2109,B$3,1)/1000000</f>
        <v>#NAME?</v>
      </c>
      <c r="C16" s="1" t="e">
        <f ca="1">[1]!thsiFinD("THS_ZCFZB_STOCK","600597.SH",2109,C$3,1)/1000000</f>
        <v>#NAME?</v>
      </c>
      <c r="D16" s="1" t="e">
        <f ca="1">[1]!thsiFinD("THS_ZCFZB_STOCK","600887.SH",2109,D$3,1)/1000000</f>
        <v>#NAME?</v>
      </c>
      <c r="E16" s="1" t="e">
        <f ca="1">[1]!thsiFinD("THS_ZCFZB_STOCK","600597.SH",2109,E$3,1)/1000000</f>
        <v>#NAME?</v>
      </c>
      <c r="G16" s="1" t="s">
        <v>290</v>
      </c>
      <c r="H16" s="1" t="e">
        <f ca="1">[1]!thsiFinD("THS_ZCFZB_HK","2319.HK",2044,H$3,1,"CNY")/1000000</f>
        <v>#NAME?</v>
      </c>
      <c r="I16" s="1" t="e">
        <f ca="1">[1]!thsiFinD("THS_ZCFZB_HK","2319.HK",2044,I$3,1,"CNY")/1000000</f>
        <v>#NAME?</v>
      </c>
    </row>
    <row r="17" spans="1:9">
      <c r="A17" s="1" t="s">
        <v>64</v>
      </c>
      <c r="B17" s="1" t="e">
        <f ca="1">[1]!thsiFinD("THS_ZCFZB_STOCK","600887.SH",2104,B$3,1)/1000000</f>
        <v>#NAME?</v>
      </c>
      <c r="C17" s="1" t="e">
        <f ca="1">[1]!thsiFinD("THS_ZCFZB_STOCK","600597.SH",2104,C$3,1)/1000000</f>
        <v>#NAME?</v>
      </c>
      <c r="D17" s="1" t="e">
        <f ca="1">[1]!thsiFinD("THS_ZCFZB_STOCK","600887.SH",2104,D$3,1)/1000000</f>
        <v>#NAME?</v>
      </c>
      <c r="E17" s="1" t="e">
        <f ca="1">[1]!thsiFinD("THS_ZCFZB_STOCK","600597.SH",2104,E$3,1)/1000000</f>
        <v>#NAME?</v>
      </c>
      <c r="G17" s="1" t="s">
        <v>291</v>
      </c>
      <c r="H17" s="1" t="e">
        <f ca="1">[1]!thsiFinD("THS_ZCFZB_HK","2319.HK",2026,H$3,1,"CNY")/1000000</f>
        <v>#NAME?</v>
      </c>
      <c r="I17" s="1" t="e">
        <f ca="1">[1]!thsiFinD("THS_ZCFZB_HK","2319.HK",2026,I$3,1,"CNY")/1000000</f>
        <v>#NAME?</v>
      </c>
    </row>
    <row r="18" spans="1:9">
      <c r="A18" s="1" t="s">
        <v>65</v>
      </c>
      <c r="B18" s="1" t="e">
        <f ca="1">[1]!thsiFinD("THS_ZCFZB_STOCK","600887.SH",2112,B$3,1)/1000000</f>
        <v>#NAME?</v>
      </c>
      <c r="C18" s="1" t="e">
        <f ca="1">[1]!thsiFinD("THS_ZCFZB_STOCK","600597.SH",2112,C$3,1)/1000000</f>
        <v>#NAME?</v>
      </c>
      <c r="D18" s="1" t="e">
        <f ca="1">[1]!thsiFinD("THS_ZCFZB_STOCK","600887.SH",2112,D$3,1)/1000000</f>
        <v>#NAME?</v>
      </c>
      <c r="E18" s="1" t="e">
        <f ca="1">[1]!thsiFinD("THS_ZCFZB_STOCK","600597.SH",2112,E$3,1)/1000000</f>
        <v>#NAME?</v>
      </c>
      <c r="G18" s="1" t="s">
        <v>292</v>
      </c>
      <c r="H18" s="1" t="e">
        <f ca="1">[1]!thsiFinD("THS_ZCFZB_HK","2319.HK",2033,H$3,1,"CNY")/1000000</f>
        <v>#NAME?</v>
      </c>
      <c r="I18" s="1" t="e">
        <f ca="1">[1]!thsiFinD("THS_ZCFZB_HK","2319.HK",2033,I$3,1,"CNY")/1000000</f>
        <v>#NAME?</v>
      </c>
    </row>
    <row r="19" spans="1:9">
      <c r="A19" s="1" t="s">
        <v>66</v>
      </c>
      <c r="B19" s="1" t="e">
        <f ca="1">[1]!thsiFinD("THS_ZCFZB_STOCK","600887.SH",2065,B$3,1)/1000000</f>
        <v>#NAME?</v>
      </c>
      <c r="C19" s="1" t="e">
        <f ca="1">[1]!thsiFinD("THS_ZCFZB_STOCK","600597.SH",2065,C$3,1)/1000000</f>
        <v>#NAME?</v>
      </c>
      <c r="D19" s="1" t="e">
        <f ca="1">[1]!thsiFinD("THS_ZCFZB_STOCK","600887.SH",2065,D$3,1)/1000000</f>
        <v>#NAME?</v>
      </c>
      <c r="E19" s="1" t="e">
        <f ca="1">[1]!thsiFinD("THS_ZCFZB_STOCK","600597.SH",2065,E$3,1)/1000000</f>
        <v>#NAME?</v>
      </c>
      <c r="G19" s="8" t="s">
        <v>293</v>
      </c>
      <c r="H19" s="8" t="e">
        <f ca="1">[1]!thsiFinD("THS_ZCFZB_HK","2319.HK",2032,H$3,1,"CNY")/1000000</f>
        <v>#NAME?</v>
      </c>
      <c r="I19" s="8" t="e">
        <f ca="1">[1]!thsiFinD("THS_ZCFZB_HK","2319.HK",2032,I$3,1,"CNY")/1000000</f>
        <v>#NAME?</v>
      </c>
    </row>
    <row r="20" spans="1:9">
      <c r="A20" s="1" t="s">
        <v>67</v>
      </c>
      <c r="B20" s="1" t="e">
        <f ca="1">[1]!thsiFinD("THS_ZCFZB_STOCK","600887.SH",2110,B$3,1)/1000000</f>
        <v>#NAME?</v>
      </c>
      <c r="C20" s="1" t="e">
        <f ca="1">[1]!thsiFinD("THS_ZCFZB_STOCK","600597.SH",2110,C$3,1)/1000000</f>
        <v>#NAME?</v>
      </c>
      <c r="D20" s="1" t="e">
        <f ca="1">[1]!thsiFinD("THS_ZCFZB_STOCK","600887.SH",2110,D$3,1)/1000000</f>
        <v>#NAME?</v>
      </c>
      <c r="E20" s="1" t="e">
        <f ca="1">[1]!thsiFinD("THS_ZCFZB_STOCK","600597.SH",2110,E$3,1)/1000000</f>
        <v>#NAME?</v>
      </c>
      <c r="G20" s="8" t="s">
        <v>294</v>
      </c>
      <c r="H20" s="8"/>
      <c r="I20" s="8"/>
    </row>
    <row r="21" spans="1:9">
      <c r="A21" s="1" t="s">
        <v>68</v>
      </c>
      <c r="B21" s="1" t="e">
        <f ca="1">[1]!thsiFinD("THS_ZCFZB_STOCK","600887.SH",2057,B$3,1)/1000000</f>
        <v>#NAME?</v>
      </c>
      <c r="C21" s="1" t="e">
        <f ca="1">[1]!thsiFinD("THS_ZCFZB_STOCK","600597.SH",2057,C$3,1)/1000000</f>
        <v>#NAME?</v>
      </c>
      <c r="D21" s="1" t="e">
        <f ca="1">[1]!thsiFinD("THS_ZCFZB_STOCK","600887.SH",2057,D$3,1)/1000000</f>
        <v>#NAME?</v>
      </c>
      <c r="E21" s="1" t="e">
        <f ca="1">[1]!thsiFinD("THS_ZCFZB_STOCK","600597.SH",2057,E$3,1)/1000000</f>
        <v>#NAME?</v>
      </c>
      <c r="G21" s="1" t="s">
        <v>295</v>
      </c>
      <c r="H21" s="1" t="e">
        <f ca="1">[1]!thsiFinD("THS_ZCFZB_HK","2319.HK",2001,H$3,1,"CNY")/1000000</f>
        <v>#NAME?</v>
      </c>
      <c r="I21" s="1" t="e">
        <f ca="1">[1]!thsiFinD("THS_ZCFZB_HK","2319.HK",2001,I$3,1,"CNY")/1000000</f>
        <v>#NAME?</v>
      </c>
    </row>
    <row r="22" spans="1:9">
      <c r="A22" s="1" t="s">
        <v>69</v>
      </c>
      <c r="B22" s="1" t="e">
        <f ca="1">[1]!thsiFinD("THS_ZCFZB_STOCK","600887.SH",2009,B$3,1)/1000000</f>
        <v>#NAME?</v>
      </c>
      <c r="C22" s="1" t="e">
        <f ca="1">[1]!thsiFinD("THS_ZCFZB_STOCK","600597.SH",2009,C$3,1)/1000000</f>
        <v>#NAME?</v>
      </c>
      <c r="D22" s="1" t="e">
        <f ca="1">[1]!thsiFinD("THS_ZCFZB_STOCK","600887.SH",2009,D$3,1)/1000000</f>
        <v>#NAME?</v>
      </c>
      <c r="E22" s="1" t="e">
        <f ca="1">[1]!thsiFinD("THS_ZCFZB_STOCK","600597.SH",2009,E$3,1)/1000000</f>
        <v>#NAME?</v>
      </c>
      <c r="G22" s="1" t="s">
        <v>296</v>
      </c>
      <c r="H22" s="1" t="e">
        <f ca="1">[1]!thsiFinD("THS_ZCFZB_HK","2319.HK",2042,H$3,1,"CNY")/1000000</f>
        <v>#NAME?</v>
      </c>
      <c r="I22" s="1" t="e">
        <f ca="1">[1]!thsiFinD("THS_ZCFZB_HK","2319.HK",2042,I$3,1,"CNY")/1000000</f>
        <v>#NAME?</v>
      </c>
    </row>
    <row r="23" spans="1:9">
      <c r="A23" s="1" t="s">
        <v>70</v>
      </c>
      <c r="G23" s="1" t="s">
        <v>297</v>
      </c>
      <c r="H23" s="1" t="e">
        <f ca="1">[1]!thsiFinD("THS_ZCFZB_HK","2319.HK",2025,H$3,1,"CNY")/1000000</f>
        <v>#NAME?</v>
      </c>
      <c r="I23" s="1" t="e">
        <f ca="1">[1]!thsiFinD("THS_ZCFZB_HK","2319.HK",2025,I$3,1,"CNY")/1000000</f>
        <v>#NAME?</v>
      </c>
    </row>
    <row r="24" spans="1:9">
      <c r="A24" s="1" t="s">
        <v>71</v>
      </c>
      <c r="B24" s="1" t="e">
        <f ca="1">[1]!thsiFinD("THS_ZCFZB_STOCK","600887.SH",2088,B$3,1)/1000000</f>
        <v>#NAME?</v>
      </c>
      <c r="C24" s="1" t="e">
        <f ca="1">[1]!thsiFinD("THS_ZCFZB_STOCK","600597.SH",2088,C$3,1)/1000000</f>
        <v>#NAME?</v>
      </c>
      <c r="D24" s="1" t="e">
        <f ca="1">[1]!thsiFinD("THS_ZCFZB_STOCK","600887.SH",2088,D$3,1)/1000000</f>
        <v>#NAME?</v>
      </c>
      <c r="E24" s="1" t="e">
        <f ca="1">[1]!thsiFinD("THS_ZCFZB_STOCK","600597.SH",2088,E$3,1)/1000000</f>
        <v>#NAME?</v>
      </c>
      <c r="G24" s="1" t="s">
        <v>298</v>
      </c>
      <c r="H24" s="1" t="e">
        <f ca="1">[1]!thsiFinD("THS_ZCFZB_HK","2319.HK",2066,H$3,1,"CNY")/1000000</f>
        <v>#NAME?</v>
      </c>
      <c r="I24" s="1" t="e">
        <f ca="1">[1]!thsiFinD("THS_ZCFZB_HK","2319.HK",2066,I$3,1,"CNY")/1000000</f>
        <v>#NAME?</v>
      </c>
    </row>
    <row r="25" spans="1:9">
      <c r="A25" s="1" t="s">
        <v>72</v>
      </c>
      <c r="G25" s="1" t="s">
        <v>299</v>
      </c>
      <c r="H25" s="1" t="e">
        <f ca="1">[1]!thsiFinD("THS_ZCFZB_HK","2319.HK",2015,H$3,1,"CNY")/1000000</f>
        <v>#NAME?</v>
      </c>
      <c r="I25" s="1" t="e">
        <f ca="1">[1]!thsiFinD("THS_ZCFZB_HK","2319.HK",2015,I$3,1,"CNY")/1000000</f>
        <v>#NAME?</v>
      </c>
    </row>
    <row r="26" spans="1:9">
      <c r="A26" s="1" t="s">
        <v>73</v>
      </c>
      <c r="B26" s="1" t="e">
        <f ca="1">[1]!thsiFinD("THS_ZCFZB_STOCK","600887.SH",2063,B$3,1)/1000000</f>
        <v>#NAME?</v>
      </c>
      <c r="C26" s="1" t="e">
        <f ca="1">[1]!thsiFinD("THS_ZCFZB_STOCK","600597.SH",2063,C$3,1)/1000000</f>
        <v>#NAME?</v>
      </c>
      <c r="D26" s="1" t="e">
        <f ca="1">[1]!thsiFinD("THS_ZCFZB_STOCK","600887.SH",2063,D$3,1)/1000000</f>
        <v>#NAME?</v>
      </c>
      <c r="E26" s="1" t="e">
        <f ca="1">[1]!thsiFinD("THS_ZCFZB_STOCK","600597.SH",2063,E$3,1)/1000000</f>
        <v>#NAME?</v>
      </c>
      <c r="G26" s="1" t="s">
        <v>300</v>
      </c>
      <c r="H26" s="1" t="e">
        <f ca="1">[1]!thsiFinD("THS_ZCFZB_HK","2319.HK",2029,H$3,1,"CNY")/1000000</f>
        <v>#NAME?</v>
      </c>
      <c r="I26" s="1" t="e">
        <f ca="1">[1]!thsiFinD("THS_ZCFZB_HK","2319.HK",2029,I$3,1,"CNY")/1000000</f>
        <v>#NAME?</v>
      </c>
    </row>
    <row r="27" spans="1:9">
      <c r="A27" s="1" t="s">
        <v>74</v>
      </c>
      <c r="B27" s="1" t="e">
        <f ca="1">[1]!thsiFinD("THS_ZCFZB_STOCK","600887.SH",2055,B$3,1)/1000000</f>
        <v>#NAME?</v>
      </c>
      <c r="C27" s="1" t="e">
        <f ca="1">[1]!thsiFinD("THS_ZCFZB_STOCK","600597.SH",2055,C$3,1)/1000000</f>
        <v>#NAME?</v>
      </c>
      <c r="D27" s="1" t="e">
        <f ca="1">[1]!thsiFinD("THS_ZCFZB_STOCK","600887.SH",2055,D$3,1)/1000000</f>
        <v>#NAME?</v>
      </c>
      <c r="E27" s="1" t="e">
        <f ca="1">[1]!thsiFinD("THS_ZCFZB_STOCK","600597.SH",2055,E$3,1)/1000000</f>
        <v>#NAME?</v>
      </c>
      <c r="G27" s="1" t="s">
        <v>301</v>
      </c>
      <c r="H27" s="1" t="e">
        <f ca="1">[1]!thsiFinD("THS_ZCFZB_HK","2319.HK",2016,H$3,1,"CNY")/1000000</f>
        <v>#NAME?</v>
      </c>
      <c r="I27" s="1" t="e">
        <f ca="1">[1]!thsiFinD("THS_ZCFZB_HK","2319.HK",2016,I$3,1,"CNY")/1000000</f>
        <v>#NAME?</v>
      </c>
    </row>
    <row r="28" spans="1:9">
      <c r="A28" s="1" t="s">
        <v>75</v>
      </c>
      <c r="B28" s="1" t="e">
        <f ca="1">[1]!thsiFinD("THS_ZCFZB_STOCK","600887.SH",2054,B$3,1)/1000000</f>
        <v>#NAME?</v>
      </c>
      <c r="C28" s="1" t="e">
        <f ca="1">[1]!thsiFinD("THS_ZCFZB_STOCK","600597.SH",2054,C$3,1)/1000000</f>
        <v>#NAME?</v>
      </c>
      <c r="D28" s="1" t="e">
        <f ca="1">[1]!thsiFinD("THS_ZCFZB_STOCK","600887.SH",2054,D$3,1)/1000000</f>
        <v>#NAME?</v>
      </c>
      <c r="E28" s="1" t="e">
        <f ca="1">[1]!thsiFinD("THS_ZCFZB_STOCK","600597.SH",2054,E$3,1)/1000000</f>
        <v>#NAME?</v>
      </c>
      <c r="G28" s="1" t="s">
        <v>302</v>
      </c>
      <c r="H28" s="1" t="e">
        <f ca="1">[1]!thsiFinD("THS_ZCFZB_HK","2319.HK",2040,H$3,1,"CNY")/1000000</f>
        <v>#NAME?</v>
      </c>
      <c r="I28" s="1" t="e">
        <f ca="1">[1]!thsiFinD("THS_ZCFZB_HK","2319.HK",2040,I$3,1,"CNY")/1000000</f>
        <v>#NAME?</v>
      </c>
    </row>
    <row r="29" spans="1:9" s="8" customFormat="1">
      <c r="A29" s="8" t="s">
        <v>76</v>
      </c>
      <c r="B29" s="8" t="e">
        <f ca="1">[1]!thsiFinD("THS_ZCFZB_STOCK","600887.SH",2056,B$3,1)/1000000</f>
        <v>#NAME?</v>
      </c>
      <c r="C29" s="8" t="e">
        <f ca="1">[1]!thsiFinD("THS_ZCFZB_STOCK","600597.SH",2056,C$3,1)/1000000</f>
        <v>#NAME?</v>
      </c>
      <c r="D29" s="8" t="e">
        <f ca="1">[1]!thsiFinD("THS_ZCFZB_STOCK","600887.SH",2056,D$3,1)/1000000</f>
        <v>#NAME?</v>
      </c>
      <c r="E29" s="8" t="e">
        <f ca="1">[1]!thsiFinD("THS_ZCFZB_STOCK","600597.SH",2056,E$3,1)/1000000</f>
        <v>#NAME?</v>
      </c>
      <c r="G29" s="1" t="s">
        <v>303</v>
      </c>
      <c r="H29" s="1" t="e">
        <f ca="1">[1]!thsiFinD("THS_ZCFZB_HK","2319.HK",2043,H$3,1,"CNY")/1000000</f>
        <v>#NAME?</v>
      </c>
      <c r="I29" s="1" t="e">
        <f ca="1">[1]!thsiFinD("THS_ZCFZB_HK","2319.HK",2043,I$3,1,"CNY")/1000000</f>
        <v>#NAME?</v>
      </c>
    </row>
    <row r="30" spans="1:9" s="8" customFormat="1">
      <c r="A30" s="8" t="s">
        <v>77</v>
      </c>
      <c r="G30" s="1" t="s">
        <v>304</v>
      </c>
      <c r="H30" s="1" t="e">
        <f ca="1">[1]!thsiFinD("THS_ZCFZB_HK","2319.HK",2007,H$3,1,"CNY")/1000000</f>
        <v>#NAME?</v>
      </c>
      <c r="I30" s="1" t="e">
        <f ca="1">[1]!thsiFinD("THS_ZCFZB_HK","2319.HK",2007,I$3,1,"CNY")/1000000</f>
        <v>#NAME?</v>
      </c>
    </row>
    <row r="31" spans="1:9">
      <c r="A31" s="1" t="s">
        <v>78</v>
      </c>
      <c r="B31" s="1" t="e">
        <f ca="1">[1]!thsiFinD("THS_ZCFZB_STOCK","600887.SH",2021,B$3,1)/1000000</f>
        <v>#NAME?</v>
      </c>
      <c r="C31" s="1" t="e">
        <f ca="1">[1]!thsiFinD("THS_ZCFZB_STOCK","600597.SH",2021,C$3,1)/1000000</f>
        <v>#NAME?</v>
      </c>
      <c r="D31" s="1" t="e">
        <f ca="1">[1]!thsiFinD("THS_ZCFZB_STOCK","600887.SH",2021,D$3,1)/1000000</f>
        <v>#NAME?</v>
      </c>
      <c r="E31" s="1" t="e">
        <f ca="1">[1]!thsiFinD("THS_ZCFZB_STOCK","600597.SH",2021,E$3,1)/1000000</f>
        <v>#NAME?</v>
      </c>
      <c r="G31" s="1" t="s">
        <v>305</v>
      </c>
      <c r="H31" s="1" t="e">
        <f ca="1">[1]!thsiFinD("THS_ZCFZB_HK","2319.HK",2012,H$3,1,"CNY")/1000000</f>
        <v>#NAME?</v>
      </c>
      <c r="I31" s="1" t="e">
        <f ca="1">[1]!thsiFinD("THS_ZCFZB_HK","2319.HK",2012,I$3,1,"CNY")/1000000</f>
        <v>#NAME?</v>
      </c>
    </row>
    <row r="32" spans="1:9">
      <c r="A32" s="1" t="s">
        <v>79</v>
      </c>
      <c r="B32" s="1" t="e">
        <f ca="1">[1]!thsiFinD("THS_ZCFZB_STOCK","600887.SH",2047,B$3,1)/1000000</f>
        <v>#NAME?</v>
      </c>
      <c r="C32" s="1" t="e">
        <f ca="1">[1]!thsiFinD("THS_ZCFZB_STOCK","600597.SH",2047,C$3,1)/1000000</f>
        <v>#NAME?</v>
      </c>
      <c r="D32" s="1" t="e">
        <f ca="1">[1]!thsiFinD("THS_ZCFZB_STOCK","600887.SH",2047,D$3,1)/1000000</f>
        <v>#NAME?</v>
      </c>
      <c r="E32" s="1" t="e">
        <f ca="1">[1]!thsiFinD("THS_ZCFZB_STOCK","600597.SH",2047,E$3,1)/1000000</f>
        <v>#NAME?</v>
      </c>
      <c r="G32" s="8" t="s">
        <v>306</v>
      </c>
      <c r="H32" s="8" t="e">
        <f ca="1">[1]!thsiFinD("THS_ZCFZB_HK","2319.HK",2011,H$3,1,"CNY")/1000000</f>
        <v>#NAME?</v>
      </c>
      <c r="I32" s="8" t="e">
        <f ca="1">[1]!thsiFinD("THS_ZCFZB_HK","2319.HK",2011,I$3,1,"CNY")/1000000</f>
        <v>#NAME?</v>
      </c>
    </row>
    <row r="33" spans="1:9">
      <c r="A33" s="1" t="s">
        <v>80</v>
      </c>
      <c r="B33" s="1" t="e">
        <f ca="1">[1]!thsiFinD("THS_ZCFZB_STOCK","600887.SH",2005,B$3,1)/1000000</f>
        <v>#NAME?</v>
      </c>
      <c r="C33" s="1" t="e">
        <f ca="1">[1]!thsiFinD("THS_ZCFZB_STOCK","600597.SH",2005,C$3,1)/1000000</f>
        <v>#NAME?</v>
      </c>
      <c r="D33" s="1" t="e">
        <f ca="1">[1]!thsiFinD("THS_ZCFZB_STOCK","600887.SH",2005,D$3,1)/1000000</f>
        <v>#NAME?</v>
      </c>
      <c r="E33" s="1" t="e">
        <f ca="1">[1]!thsiFinD("THS_ZCFZB_STOCK","600597.SH",2005,E$3,1)/1000000</f>
        <v>#NAME?</v>
      </c>
      <c r="G33" s="8" t="s">
        <v>307</v>
      </c>
      <c r="H33" s="8" t="e">
        <f ca="1">[1]!thsiFinD("THS_ZCFZB_HK","2319.HK",2073,H$3,1,"CNY")/1000000</f>
        <v>#NAME?</v>
      </c>
      <c r="I33" s="8" t="e">
        <f ca="1">[1]!thsiFinD("THS_ZCFZB_HK","2319.HK",2073,I$3,1,"CNY")/1000000</f>
        <v>#NAME?</v>
      </c>
    </row>
    <row r="34" spans="1:9">
      <c r="A34" s="1" t="s">
        <v>81</v>
      </c>
      <c r="B34" s="1" t="e">
        <f ca="1">[1]!thsiFinD("THS_ZCFZB_STOCK","600887.SH",2126,B$3,1)/1000000</f>
        <v>#NAME?</v>
      </c>
      <c r="C34" s="1" t="e">
        <f ca="1">[1]!thsiFinD("THS_ZCFZB_STOCK","600597.SH",2126,C$3,1)/1000000</f>
        <v>#NAME?</v>
      </c>
      <c r="D34" s="1" t="e">
        <f ca="1">[1]!thsiFinD("THS_ZCFZB_STOCK","600887.SH",2126,D$3,1)/1000000</f>
        <v>#NAME?</v>
      </c>
      <c r="E34" s="1" t="e">
        <f ca="1">[1]!thsiFinD("THS_ZCFZB_STOCK","600597.SH",2126,E$3,1)/1000000</f>
        <v>#NAME?</v>
      </c>
      <c r="G34" s="8" t="s">
        <v>308</v>
      </c>
      <c r="H34" s="8"/>
      <c r="I34" s="8"/>
    </row>
    <row r="35" spans="1:9">
      <c r="A35" s="1" t="s">
        <v>82</v>
      </c>
      <c r="B35" s="1" t="e">
        <f ca="1">[1]!thsiFinD("THS_ZCFZB_STOCK","600887.SH",2122,B$3,1)/1000000</f>
        <v>#NAME?</v>
      </c>
      <c r="C35" s="1" t="e">
        <f ca="1">[1]!thsiFinD("THS_ZCFZB_STOCK","600597.SH",2122,C$3,1)/1000000</f>
        <v>#NAME?</v>
      </c>
      <c r="D35" s="1" t="e">
        <f ca="1">[1]!thsiFinD("THS_ZCFZB_STOCK","600887.SH",2122,D$3,1)/1000000</f>
        <v>#NAME?</v>
      </c>
      <c r="E35" s="1" t="e">
        <f ca="1">[1]!thsiFinD("THS_ZCFZB_STOCK","600597.SH",2122,E$3,1)/1000000</f>
        <v>#NAME?</v>
      </c>
      <c r="G35" s="8" t="s">
        <v>309</v>
      </c>
      <c r="H35" s="8"/>
      <c r="I35" s="8"/>
    </row>
    <row r="36" spans="1:9">
      <c r="A36" s="1" t="s">
        <v>83</v>
      </c>
      <c r="B36" s="1" t="e">
        <f ca="1">[1]!thsiFinD("THS_ZCFZB_STOCK","600887.SH",2074,B$3,1)/1000000</f>
        <v>#NAME?</v>
      </c>
      <c r="C36" s="1" t="e">
        <f ca="1">[1]!thsiFinD("THS_ZCFZB_STOCK","600597.SH",2074,C$3,1)/1000000</f>
        <v>#NAME?</v>
      </c>
      <c r="D36" s="1" t="e">
        <f ca="1">[1]!thsiFinD("THS_ZCFZB_STOCK","600887.SH",2074,D$3,1)/1000000</f>
        <v>#NAME?</v>
      </c>
      <c r="E36" s="1" t="e">
        <f ca="1">[1]!thsiFinD("THS_ZCFZB_STOCK","600597.SH",2074,E$3,1)/1000000</f>
        <v>#NAME?</v>
      </c>
      <c r="G36" s="1" t="s">
        <v>310</v>
      </c>
      <c r="H36" s="1" t="e">
        <f ca="1">[1]!thsiFinD("THS_ZCFZB_HK","2319.HK",2057,H$3,1,"CNY")/1000000</f>
        <v>#NAME?</v>
      </c>
      <c r="I36" s="1" t="e">
        <f ca="1">[1]!thsiFinD("THS_ZCFZB_HK","2319.HK",2057,I$3,1,"CNY")/1000000</f>
        <v>#NAME?</v>
      </c>
    </row>
    <row r="37" spans="1:9">
      <c r="A37" s="1" t="s">
        <v>84</v>
      </c>
      <c r="B37" s="1" t="e">
        <f ca="1">[1]!thsiFinD("THS_ZCFZB_STOCK","600887.SH",2037,B$3,1)/1000000</f>
        <v>#NAME?</v>
      </c>
      <c r="C37" s="1" t="e">
        <f ca="1">[1]!thsiFinD("THS_ZCFZB_STOCK","600597.SH",2037,C$3,1)/1000000</f>
        <v>#NAME?</v>
      </c>
      <c r="D37" s="1" t="e">
        <f ca="1">[1]!thsiFinD("THS_ZCFZB_STOCK","600887.SH",2037,D$3,1)/1000000</f>
        <v>#NAME?</v>
      </c>
      <c r="E37" s="1" t="e">
        <f ca="1">[1]!thsiFinD("THS_ZCFZB_STOCK","600597.SH",2037,E$3,1)/1000000</f>
        <v>#NAME?</v>
      </c>
      <c r="G37" s="1" t="s">
        <v>311</v>
      </c>
      <c r="H37" s="1" t="e">
        <f ca="1">[1]!thsiFinD("THS_ZCFZB_HK","2319.HK",2058,H$3,1,"CNY")/1000000</f>
        <v>#NAME?</v>
      </c>
      <c r="I37" s="1" t="e">
        <f ca="1">[1]!thsiFinD("THS_ZCFZB_HK","2319.HK",2058,I$3,1,"CNY")/1000000</f>
        <v>#NAME?</v>
      </c>
    </row>
    <row r="38" spans="1:9">
      <c r="A38" s="1" t="s">
        <v>85</v>
      </c>
      <c r="B38" s="1" t="e">
        <f ca="1">[1]!thsiFinD("THS_ZCFZB_STOCK","600887.SH",2120,B$3,1)/1000000</f>
        <v>#NAME?</v>
      </c>
      <c r="C38" s="1" t="e">
        <f ca="1">[1]!thsiFinD("THS_ZCFZB_STOCK","600597.SH",2120,C$3,1)/1000000</f>
        <v>#NAME?</v>
      </c>
      <c r="D38" s="1" t="e">
        <f ca="1">[1]!thsiFinD("THS_ZCFZB_STOCK","600887.SH",2120,D$3,1)/1000000</f>
        <v>#NAME?</v>
      </c>
      <c r="E38" s="1" t="e">
        <f ca="1">[1]!thsiFinD("THS_ZCFZB_STOCK","600597.SH",2120,E$3,1)/1000000</f>
        <v>#NAME?</v>
      </c>
      <c r="G38" s="1" t="s">
        <v>312</v>
      </c>
      <c r="H38" s="1" t="e">
        <f ca="1">[1]!thsiFinD("THS_ZCFZB_HK","2319.HK",2008,H$3,1,"CNY")/1000000</f>
        <v>#NAME?</v>
      </c>
      <c r="I38" s="1" t="e">
        <f ca="1">[1]!thsiFinD("THS_ZCFZB_HK","2319.HK",2008,I$3,1,"CNY")/1000000</f>
        <v>#NAME?</v>
      </c>
    </row>
    <row r="39" spans="1:9">
      <c r="A39" s="1" t="s">
        <v>86</v>
      </c>
      <c r="B39" s="1" t="e">
        <f ca="1">[1]!thsiFinD("THS_ZCFZB_STOCK","600887.SH",2034,B$3,1)/1000000</f>
        <v>#NAME?</v>
      </c>
      <c r="C39" s="1" t="e">
        <f ca="1">[1]!thsiFinD("THS_ZCFZB_STOCK","600597.SH",2034,C$3,1)/1000000</f>
        <v>#NAME?</v>
      </c>
      <c r="D39" s="1" t="e">
        <f ca="1">[1]!thsiFinD("THS_ZCFZB_STOCK","600887.SH",2034,D$3,1)/1000000</f>
        <v>#NAME?</v>
      </c>
      <c r="E39" s="1" t="e">
        <f ca="1">[1]!thsiFinD("THS_ZCFZB_STOCK","600597.SH",2034,E$3,1)/1000000</f>
        <v>#NAME?</v>
      </c>
      <c r="G39" s="1" t="s">
        <v>313</v>
      </c>
      <c r="H39" s="1" t="e">
        <f ca="1">[1]!thsiFinD("THS_ZCFZB_HK","2319.HK",2059,H$3,1,"CNY")/1000000</f>
        <v>#NAME?</v>
      </c>
      <c r="I39" s="1" t="e">
        <f ca="1">[1]!thsiFinD("THS_ZCFZB_HK","2319.HK",2059,I$3,1,"CNY")/1000000</f>
        <v>#NAME?</v>
      </c>
    </row>
    <row r="40" spans="1:9">
      <c r="A40" s="1" t="s">
        <v>87</v>
      </c>
      <c r="B40" s="1" t="e">
        <f ca="1">[1]!thsiFinD("THS_ZCFZB_STOCK","600887.SH",2038,B$3,1)/1000000</f>
        <v>#NAME?</v>
      </c>
      <c r="C40" s="1" t="e">
        <f ca="1">[1]!thsiFinD("THS_ZCFZB_STOCK","600597.SH",2038,C$3,1)/1000000</f>
        <v>#NAME?</v>
      </c>
      <c r="D40" s="1" t="e">
        <f ca="1">[1]!thsiFinD("THS_ZCFZB_STOCK","600887.SH",2038,D$3,1)/1000000</f>
        <v>#NAME?</v>
      </c>
      <c r="E40" s="1" t="e">
        <f ca="1">[1]!thsiFinD("THS_ZCFZB_STOCK","600597.SH",2038,E$3,1)/1000000</f>
        <v>#NAME?</v>
      </c>
      <c r="G40" s="1" t="s">
        <v>286</v>
      </c>
      <c r="H40" s="1" t="e">
        <f ca="1">[1]!thsiFinD("THS_ZCFZB_HK","2319.HK",2053,H$3,1,"CNY")/1000000</f>
        <v>#NAME?</v>
      </c>
      <c r="I40" s="1" t="e">
        <f ca="1">[1]!thsiFinD("THS_ZCFZB_HK","2319.HK",2053,I$3,1,"CNY")/1000000</f>
        <v>#NAME?</v>
      </c>
    </row>
    <row r="41" spans="1:9">
      <c r="A41" s="1" t="s">
        <v>88</v>
      </c>
      <c r="B41" s="1" t="e">
        <f ca="1">[1]!thsiFinD("THS_ZCFZB_STOCK","600887.SH",2069,B$3,1)/1000000</f>
        <v>#NAME?</v>
      </c>
      <c r="C41" s="1" t="e">
        <f ca="1">[1]!thsiFinD("THS_ZCFZB_STOCK","600597.SH",2069,C$3,1)/1000000</f>
        <v>#NAME?</v>
      </c>
      <c r="D41" s="1" t="e">
        <f ca="1">[1]!thsiFinD("THS_ZCFZB_STOCK","600887.SH",2069,D$3,1)/1000000</f>
        <v>#NAME?</v>
      </c>
      <c r="E41" s="1" t="e">
        <f ca="1">[1]!thsiFinD("THS_ZCFZB_STOCK","600597.SH",2069,E$3,1)/1000000</f>
        <v>#NAME?</v>
      </c>
      <c r="G41" s="1" t="s">
        <v>287</v>
      </c>
      <c r="H41" s="1" t="e">
        <f ca="1">[1]!thsiFinD("THS_ZCFZB_HK","2319.HK",2055,H$3,1,"CNY")/1000000</f>
        <v>#NAME?</v>
      </c>
      <c r="I41" s="1" t="e">
        <f ca="1">[1]!thsiFinD("THS_ZCFZB_HK","2319.HK",2055,I$3,1,"CNY")/1000000</f>
        <v>#NAME?</v>
      </c>
    </row>
    <row r="42" spans="1:9">
      <c r="A42" s="1" t="s">
        <v>89</v>
      </c>
      <c r="B42" s="1" t="e">
        <f ca="1">[1]!thsiFinD("THS_ZCFZB_STOCK","600887.SH",2115,B$3,1)/1000000</f>
        <v>#NAME?</v>
      </c>
      <c r="C42" s="1" t="e">
        <f ca="1">[1]!thsiFinD("THS_ZCFZB_STOCK","600597.SH",2115,C$3,1)/1000000</f>
        <v>#NAME?</v>
      </c>
      <c r="D42" s="1" t="e">
        <f ca="1">[1]!thsiFinD("THS_ZCFZB_STOCK","600887.SH",2115,D$3,1)/1000000</f>
        <v>#NAME?</v>
      </c>
      <c r="E42" s="1" t="e">
        <f ca="1">[1]!thsiFinD("THS_ZCFZB_STOCK","600597.SH",2115,E$3,1)/1000000</f>
        <v>#NAME?</v>
      </c>
      <c r="G42" s="1" t="s">
        <v>288</v>
      </c>
      <c r="H42" s="1" t="e">
        <f ca="1">[1]!thsiFinD("THS_ZCFZB_HK","2319.HK",2054,H$3,1,"CNY")/1000000</f>
        <v>#NAME?</v>
      </c>
      <c r="I42" s="1" t="e">
        <f ca="1">[1]!thsiFinD("THS_ZCFZB_HK","2319.HK",2054,I$3,1,"CNY")/1000000</f>
        <v>#NAME?</v>
      </c>
    </row>
    <row r="43" spans="1:9">
      <c r="A43" s="1" t="s">
        <v>90</v>
      </c>
      <c r="B43" s="1" t="e">
        <f ca="1">[1]!thsiFinD("THS_ZCFZB_STOCK","600887.SH",2079,B$3,1)/1000000</f>
        <v>#NAME?</v>
      </c>
      <c r="C43" s="1" t="e">
        <f ca="1">[1]!thsiFinD("THS_ZCFZB_STOCK","600597.SH",2079,C$3,1)/1000000</f>
        <v>#NAME?</v>
      </c>
      <c r="D43" s="1" t="e">
        <f ca="1">[1]!thsiFinD("THS_ZCFZB_STOCK","600887.SH",2079,D$3,1)/1000000</f>
        <v>#NAME?</v>
      </c>
      <c r="E43" s="1" t="e">
        <f ca="1">[1]!thsiFinD("THS_ZCFZB_STOCK","600597.SH",2079,E$3,1)/1000000</f>
        <v>#NAME?</v>
      </c>
      <c r="G43" s="1" t="s">
        <v>314</v>
      </c>
      <c r="H43" s="1" t="e">
        <f ca="1">[1]!thsiFinD("THS_ZCFZB_HK","2319.HK",2031,H$3,1,"CNY")/1000000</f>
        <v>#NAME?</v>
      </c>
      <c r="I43" s="1" t="e">
        <f ca="1">[1]!thsiFinD("THS_ZCFZB_HK","2319.HK",2031,I$3,1,"CNY")/1000000</f>
        <v>#NAME?</v>
      </c>
    </row>
    <row r="44" spans="1:9">
      <c r="A44" s="1" t="s">
        <v>91</v>
      </c>
      <c r="B44" s="1" t="e">
        <f ca="1">[1]!thsiFinD("THS_ZCFZB_STOCK","600887.SH",2046,B$3,1)/1000000</f>
        <v>#NAME?</v>
      </c>
      <c r="C44" s="1" t="e">
        <f ca="1">[1]!thsiFinD("THS_ZCFZB_STOCK","600597.SH",2046,C$3,1)/1000000</f>
        <v>#NAME?</v>
      </c>
      <c r="D44" s="1" t="e">
        <f ca="1">[1]!thsiFinD("THS_ZCFZB_STOCK","600887.SH",2046,D$3,1)/1000000</f>
        <v>#NAME?</v>
      </c>
      <c r="E44" s="1" t="e">
        <f ca="1">[1]!thsiFinD("THS_ZCFZB_STOCK","600597.SH",2046,E$3,1)/1000000</f>
        <v>#NAME?</v>
      </c>
      <c r="G44" s="8" t="s">
        <v>315</v>
      </c>
      <c r="H44" s="8" t="e">
        <f ca="1">[1]!thsiFinD("THS_ZCFZB_HK","2319.HK",2030,H$3,1,"CNY")/1000000</f>
        <v>#NAME?</v>
      </c>
      <c r="I44" s="8" t="e">
        <f ca="1">[1]!thsiFinD("THS_ZCFZB_HK","2319.HK",2030,I$3,1,"CNY")/1000000</f>
        <v>#NAME?</v>
      </c>
    </row>
    <row r="45" spans="1:9">
      <c r="A45" s="1" t="s">
        <v>92</v>
      </c>
      <c r="B45" s="1" t="e">
        <f ca="1">[1]!thsiFinD("THS_ZCFZB_STOCK","600887.SH",2067,B$3,1)/1000000</f>
        <v>#NAME?</v>
      </c>
      <c r="C45" s="1" t="e">
        <f ca="1">[1]!thsiFinD("THS_ZCFZB_STOCK","600597.SH",2067,C$3,1)/1000000</f>
        <v>#NAME?</v>
      </c>
      <c r="D45" s="1" t="e">
        <f ca="1">[1]!thsiFinD("THS_ZCFZB_STOCK","600887.SH",2067,D$3,1)/1000000</f>
        <v>#NAME?</v>
      </c>
      <c r="E45" s="1" t="e">
        <f ca="1">[1]!thsiFinD("THS_ZCFZB_STOCK","600597.SH",2067,E$3,1)/1000000</f>
        <v>#NAME?</v>
      </c>
      <c r="G45" s="8" t="s">
        <v>316</v>
      </c>
      <c r="H45" s="8"/>
      <c r="I45" s="8"/>
    </row>
    <row r="46" spans="1:9">
      <c r="A46" s="1" t="s">
        <v>93</v>
      </c>
      <c r="B46" s="1" t="e">
        <f ca="1">[1]!thsiFinD("THS_ZCFZB_STOCK","600887.SH",2121,B$3,1)/1000000</f>
        <v>#NAME?</v>
      </c>
      <c r="C46" s="1" t="e">
        <f ca="1">[1]!thsiFinD("THS_ZCFZB_STOCK","600597.SH",2121,C$3,1)/1000000</f>
        <v>#NAME?</v>
      </c>
      <c r="D46" s="1" t="e">
        <f ca="1">[1]!thsiFinD("THS_ZCFZB_STOCK","600887.SH",2121,D$3,1)/1000000</f>
        <v>#NAME?</v>
      </c>
      <c r="E46" s="1" t="e">
        <f ca="1">[1]!thsiFinD("THS_ZCFZB_STOCK","600597.SH",2121,E$3,1)/1000000</f>
        <v>#NAME?</v>
      </c>
      <c r="G46" s="1" t="s">
        <v>317</v>
      </c>
      <c r="H46" s="1" t="e">
        <f ca="1">[1]!thsiFinD("THS_ZCFZB_HK","2319.HK",2070,H$3,1,"CNY")/1000000</f>
        <v>#NAME?</v>
      </c>
      <c r="I46" s="1" t="e">
        <f ca="1">[1]!thsiFinD("THS_ZCFZB_HK","2319.HK",2070,I$3,1,"CNY")/1000000</f>
        <v>#NAME?</v>
      </c>
    </row>
    <row r="47" spans="1:9">
      <c r="A47" s="1" t="s">
        <v>94</v>
      </c>
      <c r="B47" s="1" t="e">
        <f ca="1">[1]!thsiFinD("THS_ZCFZB_STOCK","600887.SH",2016,B$3,1)/1000000</f>
        <v>#NAME?</v>
      </c>
      <c r="C47" s="1" t="e">
        <f ca="1">[1]!thsiFinD("THS_ZCFZB_STOCK","600597.SH",2016,C$3,1)/1000000</f>
        <v>#NAME?</v>
      </c>
      <c r="D47" s="1" t="e">
        <f ca="1">[1]!thsiFinD("THS_ZCFZB_STOCK","600887.SH",2016,D$3,1)/1000000</f>
        <v>#NAME?</v>
      </c>
      <c r="E47" s="1" t="e">
        <f ca="1">[1]!thsiFinD("THS_ZCFZB_STOCK","600597.SH",2016,E$3,1)/1000000</f>
        <v>#NAME?</v>
      </c>
      <c r="G47" s="1" t="s">
        <v>318</v>
      </c>
      <c r="H47" s="1" t="e">
        <f ca="1">[1]!thsiFinD("THS_ZCFZB_HK","2319.HK",2006,H$3,1,"CNY")/1000000</f>
        <v>#NAME?</v>
      </c>
      <c r="I47" s="1" t="e">
        <f ca="1">[1]!thsiFinD("THS_ZCFZB_HK","2319.HK",2006,I$3,1,"CNY")/1000000</f>
        <v>#NAME?</v>
      </c>
    </row>
    <row r="48" spans="1:9">
      <c r="A48" s="1" t="s">
        <v>95</v>
      </c>
      <c r="B48" s="1" t="e">
        <f ca="1">[1]!thsiFinD("THS_ZCFZB_STOCK","600887.SH",2060,B$3,1)/1000000</f>
        <v>#NAME?</v>
      </c>
      <c r="C48" s="1" t="e">
        <f ca="1">[1]!thsiFinD("THS_ZCFZB_STOCK","600597.SH",2060,C$3,1)/1000000</f>
        <v>#NAME?</v>
      </c>
      <c r="D48" s="1" t="e">
        <f ca="1">[1]!thsiFinD("THS_ZCFZB_STOCK","600887.SH",2060,D$3,1)/1000000</f>
        <v>#NAME?</v>
      </c>
      <c r="E48" s="1" t="e">
        <f ca="1">[1]!thsiFinD("THS_ZCFZB_STOCK","600597.SH",2060,E$3,1)/1000000</f>
        <v>#NAME?</v>
      </c>
      <c r="G48" s="1" t="s">
        <v>319</v>
      </c>
      <c r="H48" s="1" t="e">
        <f ca="1">[1]!thsiFinD("THS_ZCFZB_HK","2319.HK",2010,H$3,1,"CNY")/1000000</f>
        <v>#NAME?</v>
      </c>
      <c r="I48" s="1" t="e">
        <f ca="1">[1]!thsiFinD("THS_ZCFZB_HK","2319.HK",2010,I$3,1,"CNY")/1000000</f>
        <v>#NAME?</v>
      </c>
    </row>
    <row r="49" spans="1:9">
      <c r="A49" s="1" t="s">
        <v>96</v>
      </c>
      <c r="B49" s="1" t="e">
        <f ca="1">[1]!thsiFinD("THS_ZCFZB_STOCK","600887.SH",2026,B$3,1)/1000000</f>
        <v>#NAME?</v>
      </c>
      <c r="C49" s="1" t="e">
        <f ca="1">[1]!thsiFinD("THS_ZCFZB_STOCK","600597.SH",2026,C$3,1)/1000000</f>
        <v>#NAME?</v>
      </c>
      <c r="D49" s="1" t="e">
        <f ca="1">[1]!thsiFinD("THS_ZCFZB_STOCK","600887.SH",2026,D$3,1)/1000000</f>
        <v>#NAME?</v>
      </c>
      <c r="E49" s="1" t="e">
        <f ca="1">[1]!thsiFinD("THS_ZCFZB_STOCK","600597.SH",2026,E$3,1)/1000000</f>
        <v>#NAME?</v>
      </c>
      <c r="G49" s="8" t="s">
        <v>320</v>
      </c>
      <c r="H49" s="8" t="e">
        <f ca="1">[1]!thsiFinD("THS_ZCFZB_HK","2319.HK",2009,H$3,1,"CNY")/1000000</f>
        <v>#NAME?</v>
      </c>
      <c r="I49" s="8" t="e">
        <f ca="1">[1]!thsiFinD("THS_ZCFZB_HK","2319.HK",2009,I$3,1,"CNY")/1000000</f>
        <v>#NAME?</v>
      </c>
    </row>
    <row r="50" spans="1:9">
      <c r="A50" s="1" t="s">
        <v>97</v>
      </c>
      <c r="B50" s="1" t="e">
        <f ca="1">[1]!thsiFinD("THS_ZCFZB_STOCK","600887.SH",2025,B$3,1)/1000000</f>
        <v>#NAME?</v>
      </c>
      <c r="C50" s="1" t="e">
        <f ca="1">[1]!thsiFinD("THS_ZCFZB_STOCK","600597.SH",2025,C$3,1)/1000000</f>
        <v>#NAME?</v>
      </c>
      <c r="D50" s="1" t="e">
        <f ca="1">[1]!thsiFinD("THS_ZCFZB_STOCK","600887.SH",2025,D$3,1)/1000000</f>
        <v>#NAME?</v>
      </c>
      <c r="E50" s="1" t="e">
        <f ca="1">[1]!thsiFinD("THS_ZCFZB_STOCK","600597.SH",2025,E$3,1)/1000000</f>
        <v>#NAME?</v>
      </c>
      <c r="G50" s="8" t="s">
        <v>321</v>
      </c>
      <c r="H50" s="8" t="e">
        <f ca="1">[1]!thsiFinD("THS_ZCFZB_HK","2319.HK",2013,H$3,1,"CNY")/1000000</f>
        <v>#NAME?</v>
      </c>
      <c r="I50" s="8" t="e">
        <f ca="1">[1]!thsiFinD("THS_ZCFZB_HK","2319.HK",2013,I$3,1,"CNY")/1000000</f>
        <v>#NAME?</v>
      </c>
    </row>
    <row r="51" spans="1:9" s="8" customFormat="1">
      <c r="A51" s="8" t="s">
        <v>98</v>
      </c>
      <c r="B51" s="8" t="e">
        <f ca="1">[1]!thsiFinD("THS_ZCFZB_STOCK","600887.SH",2027,B$3,1)/1000000</f>
        <v>#NAME?</v>
      </c>
      <c r="C51" s="8" t="e">
        <f ca="1">[1]!thsiFinD("THS_ZCFZB_STOCK","600597.SH",2027,C$3,1)/1000000</f>
        <v>#NAME?</v>
      </c>
      <c r="D51" s="8" t="e">
        <f ca="1">[1]!thsiFinD("THS_ZCFZB_STOCK","600887.SH",2027,D$3,1)/1000000</f>
        <v>#NAME?</v>
      </c>
      <c r="E51" s="8" t="e">
        <f ca="1">[1]!thsiFinD("THS_ZCFZB_STOCK","600597.SH",2027,E$3,1)/1000000</f>
        <v>#NAME?</v>
      </c>
      <c r="G51" s="8" t="s">
        <v>322</v>
      </c>
    </row>
    <row r="52" spans="1:9">
      <c r="A52" s="1" t="s">
        <v>99</v>
      </c>
      <c r="B52" s="1" t="e">
        <f ca="1">[1]!thsiFinD("THS_ZCFZB_STOCK","600887.SH",2131,B$3,1)/1000000</f>
        <v>#NAME?</v>
      </c>
      <c r="C52" s="1" t="e">
        <f ca="1">[1]!thsiFinD("THS_ZCFZB_STOCK","600597.SH",2131,C$3,1)/1000000</f>
        <v>#NAME?</v>
      </c>
      <c r="D52" s="1" t="e">
        <f ca="1">[1]!thsiFinD("THS_ZCFZB_STOCK","600887.SH",2131,D$3,1)/1000000</f>
        <v>#NAME?</v>
      </c>
      <c r="E52" s="1" t="e">
        <f ca="1">[1]!thsiFinD("THS_ZCFZB_STOCK","600597.SH",2131,E$3,1)/1000000</f>
        <v>#NAME?</v>
      </c>
      <c r="G52" s="1" t="s">
        <v>323</v>
      </c>
      <c r="H52" s="1" t="e">
        <f ca="1">[1]!thsiFinD("THS_ZCFZB_HK","2319.HK",2039,H$3,1,"CNY")/1000000</f>
        <v>#NAME?</v>
      </c>
      <c r="I52" s="1" t="e">
        <f ca="1">[1]!thsiFinD("THS_ZCFZB_HK","2319.HK",2039,I$3,1,"CNY")/1000000</f>
        <v>#NAME?</v>
      </c>
    </row>
    <row r="53" spans="1:9">
      <c r="A53" s="1" t="s">
        <v>100</v>
      </c>
      <c r="B53" s="1" t="e">
        <f ca="1">[1]!thsiFinD("THS_ZCFZB_STOCK","600887.SH",2130,B$3,1)/1000000</f>
        <v>#NAME?</v>
      </c>
      <c r="C53" s="1" t="e">
        <f ca="1">[1]!thsiFinD("THS_ZCFZB_STOCK","600597.SH",2130,C$3,1)/1000000</f>
        <v>#NAME?</v>
      </c>
      <c r="D53" s="1" t="e">
        <f ca="1">[1]!thsiFinD("THS_ZCFZB_STOCK","600887.SH",2130,D$3,1)/1000000</f>
        <v>#NAME?</v>
      </c>
      <c r="E53" s="1" t="e">
        <f ca="1">[1]!thsiFinD("THS_ZCFZB_STOCK","600597.SH",2130,E$3,1)/1000000</f>
        <v>#NAME?</v>
      </c>
      <c r="G53" s="8" t="s">
        <v>324</v>
      </c>
      <c r="H53" s="8" t="e">
        <f ca="1">[1]!thsiFinD("THS_ZCFZB_HK","2319.HK",2019,H$3,1,"CNY")/1000000</f>
        <v>#NAME?</v>
      </c>
      <c r="I53" s="8" t="e">
        <f ca="1">[1]!thsiFinD("THS_ZCFZB_HK","2319.HK",2019,I$3,1,"CNY")/1000000</f>
        <v>#NAME?</v>
      </c>
    </row>
    <row r="54" spans="1:9" s="8" customFormat="1">
      <c r="A54" s="8" t="s">
        <v>101</v>
      </c>
      <c r="B54" s="8" t="e">
        <f ca="1">[1]!thsiFinD("THS_ZCFZB_STOCK","600887.SH",2132,B$3,1)/1000000</f>
        <v>#NAME?</v>
      </c>
      <c r="C54" s="8" t="e">
        <f ca="1">[1]!thsiFinD("THS_ZCFZB_STOCK","600597.SH",2132,C$3,1)/1000000</f>
        <v>#NAME?</v>
      </c>
      <c r="D54" s="8" t="e">
        <f ca="1">[1]!thsiFinD("THS_ZCFZB_STOCK","600887.SH",2132,D$3,1)/1000000</f>
        <v>#NAME?</v>
      </c>
      <c r="E54" s="8" t="e">
        <f ca="1">[1]!thsiFinD("THS_ZCFZB_STOCK","600597.SH",2132,E$3,1)/1000000</f>
        <v>#NAME?</v>
      </c>
      <c r="G54" s="8" t="s">
        <v>325</v>
      </c>
      <c r="H54" s="8" t="e">
        <f ca="1">[1]!thsiFinD("THS_ZCFZB_HK","2319.HK",2018,H$3,1,"CNY")/1000000</f>
        <v>#NAME?</v>
      </c>
      <c r="I54" s="8" t="e">
        <f ca="1">[1]!thsiFinD("THS_ZCFZB_HK","2319.HK",2018,I$3,1,"CNY")/1000000</f>
        <v>#NAME?</v>
      </c>
    </row>
    <row r="55" spans="1:9" s="8" customFormat="1">
      <c r="A55" s="8" t="s">
        <v>102</v>
      </c>
      <c r="G55" s="8" t="s">
        <v>326</v>
      </c>
      <c r="H55" s="8" t="e">
        <f ca="1">[1]!thsiFinD("THS_ZCFZB_HK","2319.HK",2038,H$3,1,"CNY")/1000000</f>
        <v>#NAME?</v>
      </c>
      <c r="I55" s="8" t="e">
        <f ca="1">[1]!thsiFinD("THS_ZCFZB_HK","2319.HK",2038,I$3,1,"CNY")/1000000</f>
        <v>#NAME?</v>
      </c>
    </row>
    <row r="56" spans="1:9">
      <c r="A56" s="1" t="s">
        <v>103</v>
      </c>
      <c r="B56" s="1" t="e">
        <f ca="1">[1]!thsiFinD("THS_ZCFZB_STOCK","600887.SH",2020,B$3,1)/1000000</f>
        <v>#NAME?</v>
      </c>
      <c r="C56" s="1" t="e">
        <f ca="1">[1]!thsiFinD("THS_ZCFZB_STOCK","600597.SH",2020,C$3,1)/1000000</f>
        <v>#NAME?</v>
      </c>
      <c r="D56" s="1" t="e">
        <f ca="1">[1]!thsiFinD("THS_ZCFZB_STOCK","600887.SH",2020,D$3,1)/1000000</f>
        <v>#NAME?</v>
      </c>
      <c r="E56" s="1" t="e">
        <f ca="1">[1]!thsiFinD("THS_ZCFZB_STOCK","600597.SH",2020,E$3,1)/1000000</f>
        <v>#NAME?</v>
      </c>
      <c r="G56" s="1" t="s">
        <v>327</v>
      </c>
      <c r="H56" s="1" t="e">
        <f ca="1">[1]!thsiFinD("THS_ZCFZB_HK","2319.HK",2017,H$3,1,"CNY")/1000000</f>
        <v>#NAME?</v>
      </c>
      <c r="I56" s="1" t="e">
        <f ca="1">[1]!thsiFinD("THS_ZCFZB_HK","2319.HK",2017,I$3,1,"CNY")/1000000</f>
        <v>#NAME?</v>
      </c>
    </row>
    <row r="57" spans="1:9">
      <c r="A57" s="1" t="s">
        <v>104</v>
      </c>
      <c r="B57" s="1" t="e">
        <f ca="1">[1]!thsiFinD("THS_ZCFZB_STOCK","600887.SH",2083,B$3,1)/1000000</f>
        <v>#NAME?</v>
      </c>
      <c r="C57" s="1" t="e">
        <f ca="1">[1]!thsiFinD("THS_ZCFZB_STOCK","600597.SH",2083,C$3,1)/1000000</f>
        <v>#NAME?</v>
      </c>
      <c r="D57" s="1" t="e">
        <f ca="1">[1]!thsiFinD("THS_ZCFZB_STOCK","600887.SH",2083,D$3,1)/1000000</f>
        <v>#NAME?</v>
      </c>
      <c r="E57" s="1" t="e">
        <f ca="1">[1]!thsiFinD("THS_ZCFZB_STOCK","600597.SH",2083,E$3,1)/1000000</f>
        <v>#NAME?</v>
      </c>
      <c r="G57" s="1" t="s">
        <v>328</v>
      </c>
      <c r="H57" s="1" t="e">
        <f ca="1">[1]!thsiFinD("THS_ZCFZB_HK","2319.HK",2003,H$3,1,"CNY")/1000000</f>
        <v>#NAME?</v>
      </c>
      <c r="I57" s="1" t="e">
        <f ca="1">[1]!thsiFinD("THS_ZCFZB_HK","2319.HK",2003,I$3,1,"CNY")/1000000</f>
        <v>#NAME?</v>
      </c>
    </row>
    <row r="58" spans="1:9">
      <c r="A58" s="1" t="s">
        <v>105</v>
      </c>
      <c r="B58" s="1" t="e">
        <f ca="1">[1]!thsiFinD("THS_ZCFZB_STOCK","600887.SH",2081,B$3,1)/1000000</f>
        <v>#NAME?</v>
      </c>
      <c r="C58" s="1" t="e">
        <f ca="1">[1]!thsiFinD("THS_ZCFZB_STOCK","600597.SH",2081,C$3,1)/1000000</f>
        <v>#NAME?</v>
      </c>
      <c r="D58" s="1" t="e">
        <f ca="1">[1]!thsiFinD("THS_ZCFZB_STOCK","600887.SH",2081,D$3,1)/1000000</f>
        <v>#NAME?</v>
      </c>
      <c r="E58" s="1" t="e">
        <f ca="1">[1]!thsiFinD("THS_ZCFZB_STOCK","600597.SH",2081,E$3,1)/1000000</f>
        <v>#NAME?</v>
      </c>
    </row>
    <row r="59" spans="1:9">
      <c r="A59" s="1" t="s">
        <v>106</v>
      </c>
      <c r="B59" s="1" t="e">
        <f ca="1">[1]!thsiFinD("THS_ZCFZB_STOCK","600887.SH",2004,B$3,1)/1000000</f>
        <v>#NAME?</v>
      </c>
      <c r="C59" s="1" t="e">
        <f ca="1">[1]!thsiFinD("THS_ZCFZB_STOCK","600597.SH",2004,C$3,1)/1000000</f>
        <v>#NAME?</v>
      </c>
      <c r="D59" s="1" t="e">
        <f ca="1">[1]!thsiFinD("THS_ZCFZB_STOCK","600887.SH",2004,D$3,1)/1000000</f>
        <v>#NAME?</v>
      </c>
      <c r="E59" s="1" t="e">
        <f ca="1">[1]!thsiFinD("THS_ZCFZB_STOCK","600597.SH",2004,E$3,1)/1000000</f>
        <v>#NAME?</v>
      </c>
    </row>
    <row r="60" spans="1:9">
      <c r="A60" s="1" t="s">
        <v>107</v>
      </c>
      <c r="B60" s="1" t="e">
        <f ca="1">[1]!thsiFinD("THS_ZCFZB_STOCK","600887.SH",2043,B$3,1)/1000000</f>
        <v>#NAME?</v>
      </c>
      <c r="C60" s="1" t="e">
        <f ca="1">[1]!thsiFinD("THS_ZCFZB_STOCK","600597.SH",2043,C$3,1)/1000000</f>
        <v>#NAME?</v>
      </c>
      <c r="D60" s="1" t="e">
        <f ca="1">[1]!thsiFinD("THS_ZCFZB_STOCK","600887.SH",2043,D$3,1)/1000000</f>
        <v>#NAME?</v>
      </c>
      <c r="E60" s="1" t="e">
        <f ca="1">[1]!thsiFinD("THS_ZCFZB_STOCK","600597.SH",2043,E$3,1)/1000000</f>
        <v>#NAME?</v>
      </c>
    </row>
    <row r="61" spans="1:9">
      <c r="A61" s="1" t="s">
        <v>108</v>
      </c>
      <c r="B61" s="1" t="e">
        <f ca="1">[1]!thsiFinD("THS_ZCFZB_STOCK","600887.SH",2096,B$3,1)/1000000</f>
        <v>#NAME?</v>
      </c>
      <c r="C61" s="1" t="e">
        <f ca="1">[1]!thsiFinD("THS_ZCFZB_STOCK","600597.SH",2096,C$3,1)/1000000</f>
        <v>#NAME?</v>
      </c>
      <c r="D61" s="1" t="e">
        <f ca="1">[1]!thsiFinD("THS_ZCFZB_STOCK","600887.SH",2096,D$3,1)/1000000</f>
        <v>#NAME?</v>
      </c>
      <c r="E61" s="1" t="e">
        <f ca="1">[1]!thsiFinD("THS_ZCFZB_STOCK","600597.SH",2096,E$3,1)/1000000</f>
        <v>#NAME?</v>
      </c>
    </row>
    <row r="62" spans="1:9">
      <c r="A62" s="1" t="s">
        <v>109</v>
      </c>
      <c r="B62" s="1" t="e">
        <f ca="1">[1]!thsiFinD("THS_ZCFZB_STOCK","600887.SH",2099,B$3,1)/1000000</f>
        <v>#NAME?</v>
      </c>
      <c r="C62" s="1" t="e">
        <f ca="1">[1]!thsiFinD("THS_ZCFZB_STOCK","600597.SH",2099,C$3,1)/1000000</f>
        <v>#NAME?</v>
      </c>
      <c r="D62" s="1" t="e">
        <f ca="1">[1]!thsiFinD("THS_ZCFZB_STOCK","600887.SH",2099,D$3,1)/1000000</f>
        <v>#NAME?</v>
      </c>
      <c r="E62" s="1" t="e">
        <f ca="1">[1]!thsiFinD("THS_ZCFZB_STOCK","600597.SH",2099,E$3,1)/1000000</f>
        <v>#NAME?</v>
      </c>
    </row>
    <row r="63" spans="1:9">
      <c r="A63" s="1" t="s">
        <v>110</v>
      </c>
      <c r="B63" s="1" t="e">
        <f ca="1">[1]!thsiFinD("THS_ZCFZB_STOCK","600887.SH",2119,B$3,1)/1000000</f>
        <v>#NAME?</v>
      </c>
      <c r="C63" s="1" t="e">
        <f ca="1">[1]!thsiFinD("THS_ZCFZB_STOCK","600597.SH",2119,C$3,1)/1000000</f>
        <v>#NAME?</v>
      </c>
      <c r="D63" s="1" t="e">
        <f ca="1">[1]!thsiFinD("THS_ZCFZB_STOCK","600887.SH",2119,D$3,1)/1000000</f>
        <v>#NAME?</v>
      </c>
      <c r="E63" s="1" t="e">
        <f ca="1">[1]!thsiFinD("THS_ZCFZB_STOCK","600597.SH",2119,E$3,1)/1000000</f>
        <v>#NAME?</v>
      </c>
    </row>
    <row r="64" spans="1:9">
      <c r="A64" s="1" t="s">
        <v>111</v>
      </c>
      <c r="B64" s="1" t="e">
        <f ca="1">[1]!thsiFinD("THS_ZCFZB_STOCK","600887.SH",2058,B$3,1)/1000000</f>
        <v>#NAME?</v>
      </c>
      <c r="C64" s="1" t="e">
        <f ca="1">[1]!thsiFinD("THS_ZCFZB_STOCK","600597.SH",2058,C$3,1)/1000000</f>
        <v>#NAME?</v>
      </c>
      <c r="D64" s="1" t="e">
        <f ca="1">[1]!thsiFinD("THS_ZCFZB_STOCK","600887.SH",2058,D$3,1)/1000000</f>
        <v>#NAME?</v>
      </c>
      <c r="E64" s="1" t="e">
        <f ca="1">[1]!thsiFinD("THS_ZCFZB_STOCK","600597.SH",2058,E$3,1)/1000000</f>
        <v>#NAME?</v>
      </c>
    </row>
    <row r="65" spans="1:9">
      <c r="A65" s="1" t="s">
        <v>112</v>
      </c>
      <c r="B65" s="1" t="e">
        <f ca="1">[1]!thsiFinD("THS_ZCFZB_STOCK","600887.SH",2097,B$3,1)/1000000</f>
        <v>#NAME?</v>
      </c>
      <c r="C65" s="1" t="e">
        <f ca="1">[1]!thsiFinD("THS_ZCFZB_STOCK","600597.SH",2097,C$3,1)/1000000</f>
        <v>#NAME?</v>
      </c>
      <c r="D65" s="1" t="e">
        <f ca="1">[1]!thsiFinD("THS_ZCFZB_STOCK","600887.SH",2097,D$3,1)/1000000</f>
        <v>#NAME?</v>
      </c>
      <c r="E65" s="1" t="e">
        <f ca="1">[1]!thsiFinD("THS_ZCFZB_STOCK","600597.SH",2097,E$3,1)/1000000</f>
        <v>#NAME?</v>
      </c>
    </row>
    <row r="66" spans="1:9">
      <c r="A66" s="1" t="s">
        <v>113</v>
      </c>
      <c r="B66" s="1" t="e">
        <f ca="1">[1]!thsiFinD("THS_ZCFZB_STOCK","600887.SH",2100,B$3,1)/1000000</f>
        <v>#NAME?</v>
      </c>
      <c r="C66" s="1" t="e">
        <f ca="1">[1]!thsiFinD("THS_ZCFZB_STOCK","600597.SH",2100,C$3,1)/1000000</f>
        <v>#NAME?</v>
      </c>
      <c r="D66" s="1" t="e">
        <f ca="1">[1]!thsiFinD("THS_ZCFZB_STOCK","600887.SH",2100,D$3,1)/1000000</f>
        <v>#NAME?</v>
      </c>
      <c r="E66" s="1" t="e">
        <f ca="1">[1]!thsiFinD("THS_ZCFZB_STOCK","600597.SH",2100,E$3,1)/1000000</f>
        <v>#NAME?</v>
      </c>
    </row>
    <row r="67" spans="1:9">
      <c r="A67" s="1" t="s">
        <v>114</v>
      </c>
      <c r="B67" s="1" t="e">
        <f ca="1">[1]!thsiFinD("THS_ZCFZB_STOCK","600887.SH",2101,B$3,1)/1000000</f>
        <v>#NAME?</v>
      </c>
      <c r="C67" s="1" t="e">
        <f ca="1">[1]!thsiFinD("THS_ZCFZB_STOCK","600597.SH",2101,C$3,1)/1000000</f>
        <v>#NAME?</v>
      </c>
      <c r="D67" s="1" t="e">
        <f ca="1">[1]!thsiFinD("THS_ZCFZB_STOCK","600887.SH",2101,D$3,1)/1000000</f>
        <v>#NAME?</v>
      </c>
      <c r="E67" s="1" t="e">
        <f ca="1">[1]!thsiFinD("THS_ZCFZB_STOCK","600597.SH",2101,E$3,1)/1000000</f>
        <v>#NAME?</v>
      </c>
    </row>
    <row r="68" spans="1:9">
      <c r="A68" s="1" t="s">
        <v>115</v>
      </c>
      <c r="B68" s="1" t="e">
        <f ca="1">[1]!thsiFinD("THS_ZCFZB_STOCK","600887.SH",2094,B$3,1)/1000000</f>
        <v>#NAME?</v>
      </c>
      <c r="C68" s="1" t="e">
        <f ca="1">[1]!thsiFinD("THS_ZCFZB_STOCK","600597.SH",2094,C$3,1)/1000000</f>
        <v>#NAME?</v>
      </c>
      <c r="D68" s="1" t="e">
        <f ca="1">[1]!thsiFinD("THS_ZCFZB_STOCK","600887.SH",2094,D$3,1)/1000000</f>
        <v>#NAME?</v>
      </c>
      <c r="E68" s="1" t="e">
        <f ca="1">[1]!thsiFinD("THS_ZCFZB_STOCK","600597.SH",2094,E$3,1)/1000000</f>
        <v>#NAME?</v>
      </c>
    </row>
    <row r="69" spans="1:9">
      <c r="A69" s="1" t="s">
        <v>116</v>
      </c>
      <c r="B69" s="1" t="e">
        <f ca="1">[1]!thsiFinD("THS_ZCFZB_STOCK","600887.SH",2064,B$3,1)/1000000</f>
        <v>#NAME?</v>
      </c>
      <c r="C69" s="1" t="e">
        <f ca="1">[1]!thsiFinD("THS_ZCFZB_STOCK","600597.SH",2064,C$3,1)/1000000</f>
        <v>#NAME?</v>
      </c>
      <c r="D69" s="1" t="e">
        <f ca="1">[1]!thsiFinD("THS_ZCFZB_STOCK","600887.SH",2064,D$3,1)/1000000</f>
        <v>#NAME?</v>
      </c>
      <c r="E69" s="1" t="e">
        <f ca="1">[1]!thsiFinD("THS_ZCFZB_STOCK","600597.SH",2064,E$3,1)/1000000</f>
        <v>#NAME?</v>
      </c>
    </row>
    <row r="70" spans="1:9">
      <c r="A70" s="1" t="s">
        <v>117</v>
      </c>
      <c r="B70" s="1" t="e">
        <f ca="1">[1]!thsiFinD("THS_ZCFZB_STOCK","600887.SH",2092,B$3,1)/1000000</f>
        <v>#NAME?</v>
      </c>
      <c r="C70" s="1" t="e">
        <f ca="1">[1]!thsiFinD("THS_ZCFZB_STOCK","600597.SH",2092,C$3,1)/1000000</f>
        <v>#NAME?</v>
      </c>
      <c r="D70" s="1" t="e">
        <f ca="1">[1]!thsiFinD("THS_ZCFZB_STOCK","600887.SH",2092,D$3,1)/1000000</f>
        <v>#NAME?</v>
      </c>
      <c r="E70" s="1" t="e">
        <f ca="1">[1]!thsiFinD("THS_ZCFZB_STOCK","600597.SH",2092,E$3,1)/1000000</f>
        <v>#NAME?</v>
      </c>
    </row>
    <row r="71" spans="1:9">
      <c r="A71" s="1" t="s">
        <v>118</v>
      </c>
      <c r="B71" s="1" t="e">
        <f ca="1">[1]!thsiFinD("THS_ZCFZB_STOCK","600887.SH",2002,B$3,1)/1000000</f>
        <v>#NAME?</v>
      </c>
      <c r="C71" s="1" t="e">
        <f ca="1">[1]!thsiFinD("THS_ZCFZB_STOCK","600597.SH",2002,C$3,1)/1000000</f>
        <v>#NAME?</v>
      </c>
      <c r="D71" s="1" t="e">
        <f ca="1">[1]!thsiFinD("THS_ZCFZB_STOCK","600887.SH",2002,D$3,1)/1000000</f>
        <v>#NAME?</v>
      </c>
      <c r="E71" s="1" t="e">
        <f ca="1">[1]!thsiFinD("THS_ZCFZB_STOCK","600597.SH",2002,E$3,1)/1000000</f>
        <v>#NAME?</v>
      </c>
    </row>
    <row r="72" spans="1:9">
      <c r="A72" s="1" t="s">
        <v>119</v>
      </c>
      <c r="B72" s="1" t="e">
        <f ca="1">[1]!thsiFinD("THS_ZCFZB_STOCK","600887.SH",2012,B$3,1)/1000000</f>
        <v>#NAME?</v>
      </c>
      <c r="C72" s="1" t="e">
        <f ca="1">[1]!thsiFinD("THS_ZCFZB_STOCK","600597.SH",2012,C$3,1)/1000000</f>
        <v>#NAME?</v>
      </c>
      <c r="D72" s="1" t="e">
        <f ca="1">[1]!thsiFinD("THS_ZCFZB_STOCK","600887.SH",2012,D$3,1)/1000000</f>
        <v>#NAME?</v>
      </c>
      <c r="E72" s="1" t="e">
        <f ca="1">[1]!thsiFinD("THS_ZCFZB_STOCK","600597.SH",2012,E$3,1)/1000000</f>
        <v>#NAME?</v>
      </c>
    </row>
    <row r="73" spans="1:9">
      <c r="A73" s="1" t="s">
        <v>120</v>
      </c>
      <c r="B73" s="1" t="e">
        <f ca="1">[1]!thsiFinD("THS_ZCFZB_STOCK","600887.SH",2011,B$3,1)/1000000</f>
        <v>#NAME?</v>
      </c>
      <c r="C73" s="1" t="e">
        <f ca="1">[1]!thsiFinD("THS_ZCFZB_STOCK","600597.SH",2011,C$3,1)/1000000</f>
        <v>#NAME?</v>
      </c>
      <c r="D73" s="1" t="e">
        <f ca="1">[1]!thsiFinD("THS_ZCFZB_STOCK","600887.SH",2011,D$3,1)/1000000</f>
        <v>#NAME?</v>
      </c>
      <c r="E73" s="1" t="e">
        <f ca="1">[1]!thsiFinD("THS_ZCFZB_STOCK","600597.SH",2011,E$3,1)/1000000</f>
        <v>#NAME?</v>
      </c>
    </row>
    <row r="74" spans="1:9">
      <c r="A74" s="1" t="s">
        <v>121</v>
      </c>
      <c r="B74" s="1" t="e">
        <f ca="1">[1]!thsiFinD("THS_ZCFZB_STOCK","600887.SH",2087,B$3,1)/1000000</f>
        <v>#NAME?</v>
      </c>
      <c r="C74" s="1" t="e">
        <f ca="1">[1]!thsiFinD("THS_ZCFZB_STOCK","600597.SH",2087,C$3,1)/1000000</f>
        <v>#NAME?</v>
      </c>
      <c r="D74" s="1" t="e">
        <f ca="1">[1]!thsiFinD("THS_ZCFZB_STOCK","600887.SH",2087,D$3,1)/1000000</f>
        <v>#NAME?</v>
      </c>
      <c r="E74" s="1" t="e">
        <f ca="1">[1]!thsiFinD("THS_ZCFZB_STOCK","600597.SH",2087,E$3,1)/1000000</f>
        <v>#NAME?</v>
      </c>
    </row>
    <row r="75" spans="1:9">
      <c r="A75" s="1" t="s">
        <v>122</v>
      </c>
      <c r="B75" s="1" t="e">
        <f ca="1">[1]!thsiFinD("THS_ZCFZB_STOCK","600887.SH",2093,B$3,1)/1000000</f>
        <v>#NAME?</v>
      </c>
      <c r="C75" s="1" t="e">
        <f ca="1">[1]!thsiFinD("THS_ZCFZB_STOCK","600597.SH",2093,C$3,1)/1000000</f>
        <v>#NAME?</v>
      </c>
      <c r="D75" s="1" t="e">
        <f ca="1">[1]!thsiFinD("THS_ZCFZB_STOCK","600887.SH",2093,D$3,1)/1000000</f>
        <v>#NAME?</v>
      </c>
      <c r="E75" s="1" t="e">
        <f ca="1">[1]!thsiFinD("THS_ZCFZB_STOCK","600597.SH",2093,E$3,1)/1000000</f>
        <v>#NAME?</v>
      </c>
    </row>
    <row r="76" spans="1:9">
      <c r="A76" s="1" t="s">
        <v>123</v>
      </c>
    </row>
    <row r="77" spans="1:9">
      <c r="A77" s="1" t="s">
        <v>124</v>
      </c>
      <c r="B77" s="1" t="e">
        <f ca="1">[1]!thsiFinD("THS_ZCFZB_STOCK","600887.SH",2014,B$3,1)/1000000</f>
        <v>#NAME?</v>
      </c>
      <c r="C77" s="1" t="e">
        <f ca="1">[1]!thsiFinD("THS_ZCFZB_STOCK","600597.SH",2014,C$3,1)/1000000</f>
        <v>#NAME?</v>
      </c>
      <c r="D77" s="1" t="e">
        <f ca="1">[1]!thsiFinD("THS_ZCFZB_STOCK","600887.SH",2014,D$3,1)/1000000</f>
        <v>#NAME?</v>
      </c>
      <c r="E77" s="1" t="e">
        <f ca="1">[1]!thsiFinD("THS_ZCFZB_STOCK","600597.SH",2014,E$3,1)/1000000</f>
        <v>#NAME?</v>
      </c>
    </row>
    <row r="78" spans="1:9">
      <c r="A78" s="1" t="s">
        <v>125</v>
      </c>
      <c r="B78" s="1" t="e">
        <f ca="1">[1]!thsiFinD("THS_ZCFZB_STOCK","600887.SH",2091,B$3,1)/1000000</f>
        <v>#NAME?</v>
      </c>
      <c r="C78" s="1" t="e">
        <f ca="1">[1]!thsiFinD("THS_ZCFZB_STOCK","600597.SH",2091,C$3,1)/1000000</f>
        <v>#NAME?</v>
      </c>
      <c r="D78" s="1" t="e">
        <f ca="1">[1]!thsiFinD("THS_ZCFZB_STOCK","600887.SH",2091,D$3,1)/1000000</f>
        <v>#NAME?</v>
      </c>
      <c r="E78" s="1" t="e">
        <f ca="1">[1]!thsiFinD("THS_ZCFZB_STOCK","600597.SH",2091,E$3,1)/1000000</f>
        <v>#NAME?</v>
      </c>
    </row>
    <row r="79" spans="1:9">
      <c r="A79" s="1" t="s">
        <v>126</v>
      </c>
      <c r="B79" s="1" t="e">
        <f ca="1">[1]!thsiFinD("THS_ZCFZB_STOCK","600887.SH",2062,B$3,1)/1000000</f>
        <v>#NAME?</v>
      </c>
      <c r="C79" s="1" t="e">
        <f ca="1">[1]!thsiFinD("THS_ZCFZB_STOCK","600597.SH",2062,C$3,1)/1000000</f>
        <v>#NAME?</v>
      </c>
      <c r="D79" s="1" t="e">
        <f ca="1">[1]!thsiFinD("THS_ZCFZB_STOCK","600887.SH",2062,D$3,1)/1000000</f>
        <v>#NAME?</v>
      </c>
      <c r="E79" s="1" t="e">
        <f ca="1">[1]!thsiFinD("THS_ZCFZB_STOCK","600597.SH",2062,E$3,1)/1000000</f>
        <v>#NAME?</v>
      </c>
    </row>
    <row r="80" spans="1:9">
      <c r="A80" s="1" t="s">
        <v>127</v>
      </c>
      <c r="B80" s="1" t="e">
        <f ca="1">[1]!thsiFinD("THS_ZCFZB_STOCK","600887.SH",2052,B$3,1)/1000000</f>
        <v>#NAME?</v>
      </c>
      <c r="C80" s="1" t="e">
        <f ca="1">[1]!thsiFinD("THS_ZCFZB_STOCK","600597.SH",2052,C$3,1)/1000000</f>
        <v>#NAME?</v>
      </c>
      <c r="D80" s="1" t="e">
        <f ca="1">[1]!thsiFinD("THS_ZCFZB_STOCK","600887.SH",2052,D$3,1)/1000000</f>
        <v>#NAME?</v>
      </c>
      <c r="E80" s="1" t="e">
        <f ca="1">[1]!thsiFinD("THS_ZCFZB_STOCK","600597.SH",2052,E$3,1)/1000000</f>
        <v>#NAME?</v>
      </c>
      <c r="G80" s="8"/>
      <c r="H80" s="8"/>
      <c r="I80" s="8"/>
    </row>
    <row r="81" spans="1:9">
      <c r="A81" s="1" t="s">
        <v>128</v>
      </c>
      <c r="B81" s="1" t="e">
        <f ca="1">[1]!thsiFinD("THS_ZCFZB_STOCK","600887.SH",2051,B$3,1)/1000000</f>
        <v>#NAME?</v>
      </c>
      <c r="C81" s="1" t="e">
        <f ca="1">[1]!thsiFinD("THS_ZCFZB_STOCK","600597.SH",2051,C$3,1)/1000000</f>
        <v>#NAME?</v>
      </c>
      <c r="D81" s="1" t="e">
        <f ca="1">[1]!thsiFinD("THS_ZCFZB_STOCK","600887.SH",2051,D$3,1)/1000000</f>
        <v>#NAME?</v>
      </c>
      <c r="E81" s="1" t="e">
        <f ca="1">[1]!thsiFinD("THS_ZCFZB_STOCK","600597.SH",2051,E$3,1)/1000000</f>
        <v>#NAME?</v>
      </c>
      <c r="G81" s="8"/>
      <c r="H81" s="8"/>
      <c r="I81" s="8"/>
    </row>
    <row r="82" spans="1:9" s="8" customFormat="1">
      <c r="A82" s="8" t="s">
        <v>129</v>
      </c>
      <c r="B82" s="8" t="e">
        <f ca="1">[1]!thsiFinD("THS_ZCFZB_STOCK","600887.SH",2053,B$3,1)/1000000</f>
        <v>#NAME?</v>
      </c>
      <c r="C82" s="8" t="e">
        <f ca="1">[1]!thsiFinD("THS_ZCFZB_STOCK","600597.SH",2053,C$3,1)/1000000</f>
        <v>#NAME?</v>
      </c>
      <c r="D82" s="8" t="e">
        <f ca="1">[1]!thsiFinD("THS_ZCFZB_STOCK","600887.SH",2053,D$3,1)/1000000</f>
        <v>#NAME?</v>
      </c>
      <c r="E82" s="8" t="e">
        <f ca="1">[1]!thsiFinD("THS_ZCFZB_STOCK","600597.SH",2053,E$3,1)/1000000</f>
        <v>#NAME?</v>
      </c>
      <c r="G82" s="1"/>
      <c r="H82" s="1"/>
      <c r="I82" s="1"/>
    </row>
    <row r="83" spans="1:9" s="8" customFormat="1">
      <c r="A83" s="8" t="s">
        <v>130</v>
      </c>
      <c r="G83" s="1"/>
      <c r="H83" s="1"/>
      <c r="I83" s="1"/>
    </row>
    <row r="84" spans="1:9">
      <c r="A84" s="1" t="s">
        <v>131</v>
      </c>
      <c r="B84" s="1" t="e">
        <f ca="1">[1]!thsiFinD("THS_ZCFZB_STOCK","600887.SH",2124,B$3,1)/1000000</f>
        <v>#NAME?</v>
      </c>
      <c r="C84" s="1" t="e">
        <f ca="1">[1]!thsiFinD("THS_ZCFZB_STOCK","600597.SH",2124,C$3,1)/1000000</f>
        <v>#NAME?</v>
      </c>
      <c r="D84" s="1" t="e">
        <f ca="1">[1]!thsiFinD("THS_ZCFZB_STOCK","600887.SH",2124,D$3,1)/1000000</f>
        <v>#NAME?</v>
      </c>
      <c r="E84" s="1" t="e">
        <f ca="1">[1]!thsiFinD("THS_ZCFZB_STOCK","600597.SH",2124,E$3,1)/1000000</f>
        <v>#NAME?</v>
      </c>
    </row>
    <row r="85" spans="1:9">
      <c r="A85" s="1" t="s">
        <v>132</v>
      </c>
      <c r="B85" s="1" t="e">
        <f ca="1">[1]!thsiFinD("THS_ZCFZB_STOCK","600887.SH",2098,B$3,1)/1000000</f>
        <v>#NAME?</v>
      </c>
      <c r="C85" s="1" t="e">
        <f ca="1">[1]!thsiFinD("THS_ZCFZB_STOCK","600597.SH",2098,C$3,1)/1000000</f>
        <v>#NAME?</v>
      </c>
      <c r="D85" s="1" t="e">
        <f ca="1">[1]!thsiFinD("THS_ZCFZB_STOCK","600887.SH",2098,D$3,1)/1000000</f>
        <v>#NAME?</v>
      </c>
      <c r="E85" s="1" t="e">
        <f ca="1">[1]!thsiFinD("THS_ZCFZB_STOCK","600597.SH",2098,E$3,1)/1000000</f>
        <v>#NAME?</v>
      </c>
    </row>
    <row r="86" spans="1:9">
      <c r="A86" s="1" t="s">
        <v>133</v>
      </c>
      <c r="B86" s="1" t="e">
        <f ca="1">[1]!thsiFinD("THS_ZCFZB_STOCK","600887.SH",2125,B$3,1)/1000000</f>
        <v>#NAME?</v>
      </c>
      <c r="C86" s="1" t="e">
        <f ca="1">[1]!thsiFinD("THS_ZCFZB_STOCK","600597.SH",2125,C$3,1)/1000000</f>
        <v>#NAME?</v>
      </c>
      <c r="D86" s="1" t="e">
        <f ca="1">[1]!thsiFinD("THS_ZCFZB_STOCK","600887.SH",2125,D$3,1)/1000000</f>
        <v>#NAME?</v>
      </c>
      <c r="E86" s="1" t="e">
        <f ca="1">[1]!thsiFinD("THS_ZCFZB_STOCK","600597.SH",2125,E$3,1)/1000000</f>
        <v>#NAME?</v>
      </c>
    </row>
    <row r="87" spans="1:9">
      <c r="A87" s="1" t="s">
        <v>134</v>
      </c>
      <c r="B87" s="1" t="e">
        <f ca="1">[1]!thsiFinD("THS_ZCFZB_STOCK","600887.SH",2128,B$3,1)/1000000</f>
        <v>#NAME?</v>
      </c>
      <c r="C87" s="1" t="e">
        <f ca="1">[1]!thsiFinD("THS_ZCFZB_STOCK","600597.SH",2128,C$3,1)/1000000</f>
        <v>#NAME?</v>
      </c>
      <c r="D87" s="1" t="e">
        <f ca="1">[1]!thsiFinD("THS_ZCFZB_STOCK","600887.SH",2128,D$3,1)/1000000</f>
        <v>#NAME?</v>
      </c>
      <c r="E87" s="1" t="e">
        <f ca="1">[1]!thsiFinD("THS_ZCFZB_STOCK","600597.SH",2128,E$3,1)/1000000</f>
        <v>#NAME?</v>
      </c>
    </row>
    <row r="88" spans="1:9">
      <c r="A88" s="1" t="s">
        <v>135</v>
      </c>
      <c r="B88" s="1" t="e">
        <f ca="1">[1]!thsiFinD("THS_ZCFZB_STOCK","600887.SH",2117,B$3,1)/1000000</f>
        <v>#NAME?</v>
      </c>
      <c r="C88" s="1" t="e">
        <f ca="1">[1]!thsiFinD("THS_ZCFZB_STOCK","600597.SH",2117,C$3,1)/1000000</f>
        <v>#NAME?</v>
      </c>
      <c r="D88" s="1" t="e">
        <f ca="1">[1]!thsiFinD("THS_ZCFZB_STOCK","600887.SH",2117,D$3,1)/1000000</f>
        <v>#NAME?</v>
      </c>
      <c r="E88" s="1" t="e">
        <f ca="1">[1]!thsiFinD("THS_ZCFZB_STOCK","600597.SH",2117,E$3,1)/1000000</f>
        <v>#NAME?</v>
      </c>
    </row>
    <row r="89" spans="1:9">
      <c r="A89" s="1" t="s">
        <v>136</v>
      </c>
      <c r="B89" s="1" t="e">
        <f ca="1">[1]!thsiFinD("THS_ZCFZB_STOCK","600887.SH",2015,B$3,1)/1000000</f>
        <v>#NAME?</v>
      </c>
      <c r="C89" s="1" t="e">
        <f ca="1">[1]!thsiFinD("THS_ZCFZB_STOCK","600597.SH",2015,C$3,1)/1000000</f>
        <v>#NAME?</v>
      </c>
      <c r="D89" s="1" t="e">
        <f ca="1">[1]!thsiFinD("THS_ZCFZB_STOCK","600887.SH",2015,D$3,1)/1000000</f>
        <v>#NAME?</v>
      </c>
      <c r="E89" s="1" t="e">
        <f ca="1">[1]!thsiFinD("THS_ZCFZB_STOCK","600597.SH",2015,E$3,1)/1000000</f>
        <v>#NAME?</v>
      </c>
    </row>
    <row r="90" spans="1:9">
      <c r="A90" s="1" t="s">
        <v>137</v>
      </c>
      <c r="B90" s="1" t="e">
        <f ca="1">[1]!thsiFinD("THS_ZCFZB_STOCK","600887.SH",2013,B$3,1)/1000000</f>
        <v>#NAME?</v>
      </c>
      <c r="C90" s="1" t="e">
        <f ca="1">[1]!thsiFinD("THS_ZCFZB_STOCK","600597.SH",2013,C$3,1)/1000000</f>
        <v>#NAME?</v>
      </c>
      <c r="D90" s="1" t="e">
        <f ca="1">[1]!thsiFinD("THS_ZCFZB_STOCK","600887.SH",2013,D$3,1)/1000000</f>
        <v>#NAME?</v>
      </c>
      <c r="E90" s="1" t="e">
        <f ca="1">[1]!thsiFinD("THS_ZCFZB_STOCK","600597.SH",2013,E$3,1)/1000000</f>
        <v>#NAME?</v>
      </c>
    </row>
    <row r="91" spans="1:9">
      <c r="A91" s="1" t="s">
        <v>138</v>
      </c>
      <c r="B91" s="1" t="e">
        <f ca="1">[1]!thsiFinD("THS_ZCFZB_STOCK","600887.SH",2059,B$3,1)/1000000</f>
        <v>#NAME?</v>
      </c>
      <c r="C91" s="1" t="e">
        <f ca="1">[1]!thsiFinD("THS_ZCFZB_STOCK","600597.SH",2059,C$3,1)/1000000</f>
        <v>#NAME?</v>
      </c>
      <c r="D91" s="1" t="e">
        <f ca="1">[1]!thsiFinD("THS_ZCFZB_STOCK","600887.SH",2059,D$3,1)/1000000</f>
        <v>#NAME?</v>
      </c>
      <c r="E91" s="1" t="e">
        <f ca="1">[1]!thsiFinD("THS_ZCFZB_STOCK","600597.SH",2059,E$3,1)/1000000</f>
        <v>#NAME?</v>
      </c>
    </row>
    <row r="92" spans="1:9">
      <c r="A92" s="1" t="s">
        <v>139</v>
      </c>
      <c r="B92" s="1" t="e">
        <f ca="1">[1]!thsiFinD("THS_ZCFZB_STOCK","600887.SH",2023,B$3,1)/1000000</f>
        <v>#NAME?</v>
      </c>
      <c r="C92" s="1" t="e">
        <f ca="1">[1]!thsiFinD("THS_ZCFZB_STOCK","600597.SH",2023,C$3,1)/1000000</f>
        <v>#NAME?</v>
      </c>
      <c r="D92" s="1" t="e">
        <f ca="1">[1]!thsiFinD("THS_ZCFZB_STOCK","600887.SH",2023,D$3,1)/1000000</f>
        <v>#NAME?</v>
      </c>
      <c r="E92" s="1" t="e">
        <f ca="1">[1]!thsiFinD("THS_ZCFZB_STOCK","600597.SH",2023,E$3,1)/1000000</f>
        <v>#NAME?</v>
      </c>
      <c r="G92" s="8"/>
      <c r="H92" s="8"/>
      <c r="I92" s="8"/>
    </row>
    <row r="93" spans="1:9">
      <c r="A93" s="1" t="s">
        <v>140</v>
      </c>
      <c r="B93" s="1" t="e">
        <f ca="1">[1]!thsiFinD("THS_ZCFZB_STOCK","600887.SH",2022,B$3,1)/1000000</f>
        <v>#NAME?</v>
      </c>
      <c r="C93" s="1" t="e">
        <f ca="1">[1]!thsiFinD("THS_ZCFZB_STOCK","600597.SH",2022,C$3,1)/1000000</f>
        <v>#NAME?</v>
      </c>
      <c r="D93" s="1" t="e">
        <f ca="1">[1]!thsiFinD("THS_ZCFZB_STOCK","600887.SH",2022,D$3,1)/1000000</f>
        <v>#NAME?</v>
      </c>
      <c r="E93" s="1" t="e">
        <f ca="1">[1]!thsiFinD("THS_ZCFZB_STOCK","600597.SH",2022,E$3,1)/1000000</f>
        <v>#NAME?</v>
      </c>
    </row>
    <row r="94" spans="1:9" s="8" customFormat="1">
      <c r="A94" s="8" t="s">
        <v>141</v>
      </c>
      <c r="B94" s="8" t="e">
        <f ca="1">[1]!thsiFinD("THS_ZCFZB_STOCK","600887.SH",2024,B$3,1)/1000000</f>
        <v>#NAME?</v>
      </c>
      <c r="C94" s="8" t="e">
        <f ca="1">[1]!thsiFinD("THS_ZCFZB_STOCK","600597.SH",2024,C$3,1)/1000000</f>
        <v>#NAME?</v>
      </c>
      <c r="D94" s="8" t="e">
        <f ca="1">[1]!thsiFinD("THS_ZCFZB_STOCK","600887.SH",2024,D$3,1)/1000000</f>
        <v>#NAME?</v>
      </c>
      <c r="E94" s="8" t="e">
        <f ca="1">[1]!thsiFinD("THS_ZCFZB_STOCK","600597.SH",2024,E$3,1)/1000000</f>
        <v>#NAME?</v>
      </c>
      <c r="G94" s="1"/>
      <c r="H94" s="1"/>
      <c r="I94" s="1"/>
    </row>
    <row r="95" spans="1:9">
      <c r="A95" s="1" t="s">
        <v>142</v>
      </c>
      <c r="B95" s="1" t="e">
        <f ca="1">[1]!thsiFinD("THS_ZCFZB_STOCK","600887.SH",2029,B$3,1)/1000000</f>
        <v>#NAME?</v>
      </c>
      <c r="C95" s="1" t="e">
        <f ca="1">[1]!thsiFinD("THS_ZCFZB_STOCK","600597.SH",2029,C$3,1)/1000000</f>
        <v>#NAME?</v>
      </c>
      <c r="D95" s="1" t="e">
        <f ca="1">[1]!thsiFinD("THS_ZCFZB_STOCK","600887.SH",2029,D$3,1)/1000000</f>
        <v>#NAME?</v>
      </c>
      <c r="E95" s="1" t="e">
        <f ca="1">[1]!thsiFinD("THS_ZCFZB_STOCK","600597.SH",2029,E$3,1)/1000000</f>
        <v>#NAME?</v>
      </c>
      <c r="G95" s="8"/>
      <c r="H95" s="8"/>
      <c r="I95" s="8"/>
    </row>
    <row r="96" spans="1:9">
      <c r="A96" s="1" t="s">
        <v>143</v>
      </c>
      <c r="B96" s="1" t="e">
        <f ca="1">[1]!thsiFinD("THS_ZCFZB_STOCK","600887.SH",2028,B$3,1)/1000000</f>
        <v>#NAME?</v>
      </c>
      <c r="C96" s="1" t="e">
        <f ca="1">[1]!thsiFinD("THS_ZCFZB_STOCK","600597.SH",2028,C$3,1)/1000000</f>
        <v>#NAME?</v>
      </c>
      <c r="D96" s="1" t="e">
        <f ca="1">[1]!thsiFinD("THS_ZCFZB_STOCK","600887.SH",2028,D$3,1)/1000000</f>
        <v>#NAME?</v>
      </c>
      <c r="E96" s="1" t="e">
        <f ca="1">[1]!thsiFinD("THS_ZCFZB_STOCK","600597.SH",2028,E$3,1)/1000000</f>
        <v>#NAME?</v>
      </c>
      <c r="G96" s="8"/>
      <c r="H96" s="8"/>
      <c r="I96" s="8"/>
    </row>
    <row r="97" spans="1:9" s="8" customFormat="1">
      <c r="A97" s="8" t="s">
        <v>144</v>
      </c>
      <c r="B97" s="8" t="e">
        <f ca="1">[1]!thsiFinD("THS_ZCFZB_STOCK","600887.SH",2030,B$3,1)/1000000</f>
        <v>#NAME?</v>
      </c>
      <c r="C97" s="8" t="e">
        <f ca="1">[1]!thsiFinD("THS_ZCFZB_STOCK","600597.SH",2030,C$3,1)/1000000</f>
        <v>#NAME?</v>
      </c>
      <c r="D97" s="8" t="e">
        <f ca="1">[1]!thsiFinD("THS_ZCFZB_STOCK","600887.SH",2030,D$3,1)/1000000</f>
        <v>#NAME?</v>
      </c>
      <c r="E97" s="8" t="e">
        <f ca="1">[1]!thsiFinD("THS_ZCFZB_STOCK","600597.SH",2030,E$3,1)/1000000</f>
        <v>#NAME?</v>
      </c>
      <c r="G97" s="1"/>
      <c r="H97" s="1"/>
      <c r="I97" s="1"/>
    </row>
    <row r="98" spans="1:9" s="8" customFormat="1">
      <c r="A98" s="8" t="s">
        <v>145</v>
      </c>
      <c r="G98" s="1"/>
      <c r="H98" s="1"/>
      <c r="I98" s="1"/>
    </row>
    <row r="99" spans="1:9">
      <c r="A99" s="1" t="s">
        <v>146</v>
      </c>
      <c r="B99" s="1" t="e">
        <f ca="1">[1]!thsiFinD("THS_ZCFZB_STOCK","600887.SH",2070,B$3,1)/1000000</f>
        <v>#NAME?</v>
      </c>
      <c r="C99" s="1" t="e">
        <f ca="1">[1]!thsiFinD("THS_ZCFZB_STOCK","600597.SH",2070,C$3,1)/1000000</f>
        <v>#NAME?</v>
      </c>
      <c r="D99" s="1" t="e">
        <f ca="1">[1]!thsiFinD("THS_ZCFZB_STOCK","600887.SH",2070,D$3,1)/1000000</f>
        <v>#NAME?</v>
      </c>
      <c r="E99" s="1" t="e">
        <f ca="1">[1]!thsiFinD("THS_ZCFZB_STOCK","600597.SH",2070,E$3,1)/1000000</f>
        <v>#NAME?</v>
      </c>
    </row>
    <row r="100" spans="1:9">
      <c r="A100" s="1" t="s">
        <v>147</v>
      </c>
      <c r="B100" s="1" t="e">
        <f ca="1">[1]!thsiFinD("THS_ZCFZB_STOCK","600887.SH",2129,B$3,1)/1000000</f>
        <v>#NAME?</v>
      </c>
      <c r="C100" s="1" t="e">
        <f ca="1">[1]!thsiFinD("THS_ZCFZB_STOCK","600597.SH",2129,C$3,1)/1000000</f>
        <v>#NAME?</v>
      </c>
      <c r="D100" s="1" t="e">
        <f ca="1">[1]!thsiFinD("THS_ZCFZB_STOCK","600887.SH",2129,D$3,1)/1000000</f>
        <v>#NAME?</v>
      </c>
      <c r="E100" s="1" t="e">
        <f ca="1">[1]!thsiFinD("THS_ZCFZB_STOCK","600597.SH",2129,E$3,1)/1000000</f>
        <v>#NAME?</v>
      </c>
    </row>
    <row r="101" spans="1:9">
      <c r="A101" s="1" t="s">
        <v>148</v>
      </c>
      <c r="B101" s="1" t="e">
        <f ca="1">[1]!thsiFinD("THS_ZCFZB_STOCK","600887.SH",2050,B$3,1)/1000000</f>
        <v>#NAME?</v>
      </c>
      <c r="C101" s="1" t="e">
        <f ca="1">[1]!thsiFinD("THS_ZCFZB_STOCK","600597.SH",2050,C$3,1)/1000000</f>
        <v>#NAME?</v>
      </c>
      <c r="D101" s="1" t="e">
        <f ca="1">[1]!thsiFinD("THS_ZCFZB_STOCK","600887.SH",2050,D$3,1)/1000000</f>
        <v>#NAME?</v>
      </c>
      <c r="E101" s="1" t="e">
        <f ca="1">[1]!thsiFinD("THS_ZCFZB_STOCK","600597.SH",2050,E$3,1)/1000000</f>
        <v>#NAME?</v>
      </c>
    </row>
    <row r="102" spans="1:9">
      <c r="A102" s="1" t="s">
        <v>149</v>
      </c>
      <c r="B102" s="1" t="e">
        <f ca="1">[1]!thsiFinD("THS_ZCFZB_STOCK","600887.SH",2133,B$3,1)/1000000</f>
        <v>#NAME?</v>
      </c>
      <c r="C102" s="1" t="e">
        <f ca="1">[1]!thsiFinD("THS_ZCFZB_STOCK","600597.SH",2133,C$3,1)/1000000</f>
        <v>#NAME?</v>
      </c>
      <c r="D102" s="1" t="e">
        <f ca="1">[1]!thsiFinD("THS_ZCFZB_STOCK","600887.SH",2133,D$3,1)/1000000</f>
        <v>#NAME?</v>
      </c>
      <c r="E102" s="1" t="e">
        <f ca="1">[1]!thsiFinD("THS_ZCFZB_STOCK","600597.SH",2133,E$3,1)/1000000</f>
        <v>#NAME?</v>
      </c>
    </row>
    <row r="103" spans="1:9">
      <c r="A103" s="1" t="s">
        <v>150</v>
      </c>
      <c r="B103" s="1" t="e">
        <f ca="1">[1]!thsiFinD("THS_ZCFZB_STOCK","600887.SH",2089,B$3,1)/1000000</f>
        <v>#NAME?</v>
      </c>
      <c r="C103" s="1" t="e">
        <f ca="1">[1]!thsiFinD("THS_ZCFZB_STOCK","600597.SH",2089,C$3,1)/1000000</f>
        <v>#NAME?</v>
      </c>
      <c r="D103" s="1" t="e">
        <f ca="1">[1]!thsiFinD("THS_ZCFZB_STOCK","600887.SH",2089,D$3,1)/1000000</f>
        <v>#NAME?</v>
      </c>
      <c r="E103" s="1" t="e">
        <f ca="1">[1]!thsiFinD("THS_ZCFZB_STOCK","600597.SH",2089,E$3,1)/1000000</f>
        <v>#NAME?</v>
      </c>
    </row>
    <row r="104" spans="1:9">
      <c r="A104" s="1" t="s">
        <v>151</v>
      </c>
      <c r="B104" s="1" t="e">
        <f ca="1">[1]!thsiFinD("THS_ZCFZB_STOCK","600887.SH",2086,B$3,1)/1000000</f>
        <v>#NAME?</v>
      </c>
      <c r="C104" s="1" t="e">
        <f ca="1">[1]!thsiFinD("THS_ZCFZB_STOCK","600597.SH",2086,C$3,1)/1000000</f>
        <v>#NAME?</v>
      </c>
      <c r="D104" s="1" t="e">
        <f ca="1">[1]!thsiFinD("THS_ZCFZB_STOCK","600887.SH",2086,D$3,1)/1000000</f>
        <v>#NAME?</v>
      </c>
      <c r="E104" s="1" t="e">
        <f ca="1">[1]!thsiFinD("THS_ZCFZB_STOCK","600597.SH",2086,E$3,1)/1000000</f>
        <v>#NAME?</v>
      </c>
    </row>
    <row r="105" spans="1:9">
      <c r="A105" s="1" t="s">
        <v>152</v>
      </c>
      <c r="B105" s="1" t="e">
        <f ca="1">[1]!thsiFinD("THS_ZCFZB_STOCK","600887.SH",2077,B$3,1)/1000000</f>
        <v>#NAME?</v>
      </c>
      <c r="C105" s="1" t="e">
        <f ca="1">[1]!thsiFinD("THS_ZCFZB_STOCK","600597.SH",2077,C$3,1)/1000000</f>
        <v>#NAME?</v>
      </c>
      <c r="D105" s="1" t="e">
        <f ca="1">[1]!thsiFinD("THS_ZCFZB_STOCK","600887.SH",2077,D$3,1)/1000000</f>
        <v>#NAME?</v>
      </c>
      <c r="E105" s="1" t="e">
        <f ca="1">[1]!thsiFinD("THS_ZCFZB_STOCK","600597.SH",2077,E$3,1)/1000000</f>
        <v>#NAME?</v>
      </c>
    </row>
    <row r="106" spans="1:9">
      <c r="A106" s="1" t="s">
        <v>153</v>
      </c>
      <c r="B106" s="1" t="e">
        <f ca="1">[1]!thsiFinD("THS_ZCFZB_STOCK","600887.SH",2075,B$3,1)/1000000</f>
        <v>#NAME?</v>
      </c>
      <c r="C106" s="1" t="e">
        <f ca="1">[1]!thsiFinD("THS_ZCFZB_STOCK","600597.SH",2075,C$3,1)/1000000</f>
        <v>#NAME?</v>
      </c>
      <c r="D106" s="1" t="e">
        <f ca="1">[1]!thsiFinD("THS_ZCFZB_STOCK","600887.SH",2075,D$3,1)/1000000</f>
        <v>#NAME?</v>
      </c>
      <c r="E106" s="1" t="e">
        <f ca="1">[1]!thsiFinD("THS_ZCFZB_STOCK","600597.SH",2075,E$3,1)/1000000</f>
        <v>#NAME?</v>
      </c>
    </row>
    <row r="107" spans="1:9">
      <c r="A107" s="1" t="s">
        <v>154</v>
      </c>
      <c r="G107" s="8"/>
      <c r="H107" s="8"/>
      <c r="I107" s="8"/>
    </row>
    <row r="108" spans="1:9">
      <c r="A108" s="1" t="s">
        <v>155</v>
      </c>
      <c r="B108" s="1" t="e">
        <f ca="1">[1]!thsiFinD("THS_ZCFZB_STOCK","600887.SH",2068,B$3,1)/1000000</f>
        <v>#NAME?</v>
      </c>
      <c r="C108" s="1" t="e">
        <f ca="1">[1]!thsiFinD("THS_ZCFZB_STOCK","600597.SH",2068,C$3,1)/1000000</f>
        <v>#NAME?</v>
      </c>
      <c r="D108" s="1" t="e">
        <f ca="1">[1]!thsiFinD("THS_ZCFZB_STOCK","600887.SH",2068,D$3,1)/1000000</f>
        <v>#NAME?</v>
      </c>
      <c r="E108" s="1" t="e">
        <f ca="1">[1]!thsiFinD("THS_ZCFZB_STOCK","600597.SH",2068,E$3,1)/1000000</f>
        <v>#NAME?</v>
      </c>
    </row>
    <row r="109" spans="1:9" s="8" customFormat="1">
      <c r="A109" s="8" t="s">
        <v>156</v>
      </c>
      <c r="B109" s="8" t="e">
        <f ca="1">[1]!thsiFinD("THS_ZCFZB_STOCK","600887.SH",2039,B$3,1)/1000000</f>
        <v>#NAME?</v>
      </c>
      <c r="C109" s="8" t="e">
        <f ca="1">[1]!thsiFinD("THS_ZCFZB_STOCK","600597.SH",2039,C$3,1)/1000000</f>
        <v>#NAME?</v>
      </c>
      <c r="D109" s="8" t="e">
        <f ca="1">[1]!thsiFinD("THS_ZCFZB_STOCK","600887.SH",2039,D$3,1)/1000000</f>
        <v>#NAME?</v>
      </c>
      <c r="E109" s="8" t="e">
        <f ca="1">[1]!thsiFinD("THS_ZCFZB_STOCK","600597.SH",2039,E$3,1)/1000000</f>
        <v>#NAME?</v>
      </c>
      <c r="G109" s="1"/>
      <c r="H109" s="1"/>
      <c r="I109" s="1"/>
    </row>
    <row r="110" spans="1:9">
      <c r="A110" s="1" t="s">
        <v>157</v>
      </c>
      <c r="B110" s="1" t="e">
        <f ca="1">[1]!thsiFinD("THS_ZCFZB_STOCK","600887.SH",2035,B$3,1)/1000000</f>
        <v>#NAME?</v>
      </c>
      <c r="C110" s="1" t="e">
        <f ca="1">[1]!thsiFinD("THS_ZCFZB_STOCK","600597.SH",2035,C$3,1)/1000000</f>
        <v>#NAME?</v>
      </c>
      <c r="D110" s="1" t="e">
        <f ca="1">[1]!thsiFinD("THS_ZCFZB_STOCK","600887.SH",2035,D$3,1)/1000000</f>
        <v>#NAME?</v>
      </c>
      <c r="E110" s="1" t="e">
        <f ca="1">[1]!thsiFinD("THS_ZCFZB_STOCK","600597.SH",2035,E$3,1)/1000000</f>
        <v>#NAME?</v>
      </c>
      <c r="G110" s="8"/>
      <c r="H110" s="8"/>
      <c r="I110" s="8"/>
    </row>
    <row r="111" spans="1:9">
      <c r="A111" s="1" t="s">
        <v>158</v>
      </c>
      <c r="B111" s="1" t="e">
        <f ca="1">[1]!thsiFinD("THS_ZCFZB_STOCK","600887.SH",2036,B$3,1)/1000000</f>
        <v>#NAME?</v>
      </c>
      <c r="C111" s="1" t="e">
        <f ca="1">[1]!thsiFinD("THS_ZCFZB_STOCK","600597.SH",2036,C$3,1)/1000000</f>
        <v>#NAME?</v>
      </c>
      <c r="D111" s="1" t="e">
        <f ca="1">[1]!thsiFinD("THS_ZCFZB_STOCK","600887.SH",2036,D$3,1)/1000000</f>
        <v>#NAME?</v>
      </c>
      <c r="E111" s="1" t="e">
        <f ca="1">[1]!thsiFinD("THS_ZCFZB_STOCK","600597.SH",2036,E$3,1)/1000000</f>
        <v>#NAME?</v>
      </c>
    </row>
    <row r="112" spans="1:9" s="8" customFormat="1">
      <c r="A112" s="8" t="s">
        <v>159</v>
      </c>
      <c r="B112" s="8" t="e">
        <f ca="1">[1]!thsiFinD("THS_ZCFZB_STOCK","600887.SH",2072,B$3,1)/1000000</f>
        <v>#NAME?</v>
      </c>
      <c r="C112" s="8" t="e">
        <f ca="1">[1]!thsiFinD("THS_ZCFZB_STOCK","600597.SH",2072,C$3,1)/1000000</f>
        <v>#NAME?</v>
      </c>
      <c r="D112" s="8" t="e">
        <f ca="1">[1]!thsiFinD("THS_ZCFZB_STOCK","600887.SH",2072,D$3,1)/1000000</f>
        <v>#NAME?</v>
      </c>
      <c r="E112" s="8" t="e">
        <f ca="1">[1]!thsiFinD("THS_ZCFZB_STOCK","600597.SH",2072,E$3,1)/1000000</f>
        <v>#NAME?</v>
      </c>
      <c r="G112" s="1"/>
      <c r="H112" s="1"/>
      <c r="I112" s="1"/>
    </row>
    <row r="113" spans="1:9">
      <c r="A113" s="1" t="s">
        <v>160</v>
      </c>
      <c r="B113" s="1" t="e">
        <f ca="1">[1]!thsiFinD("THS_ZCFZB_STOCK","600887.SH",2032,B$3,1)/1000000</f>
        <v>#NAME?</v>
      </c>
      <c r="C113" s="1" t="e">
        <f ca="1">[1]!thsiFinD("THS_ZCFZB_STOCK","600597.SH",2032,C$3,1)/1000000</f>
        <v>#NAME?</v>
      </c>
      <c r="D113" s="1" t="e">
        <f ca="1">[1]!thsiFinD("THS_ZCFZB_STOCK","600887.SH",2032,D$3,1)/1000000</f>
        <v>#NAME?</v>
      </c>
      <c r="E113" s="1" t="e">
        <f ca="1">[1]!thsiFinD("THS_ZCFZB_STOCK","600597.SH",2032,E$3,1)/1000000</f>
        <v>#NAME?</v>
      </c>
      <c r="G113" s="8"/>
      <c r="H113" s="8"/>
      <c r="I113" s="8"/>
    </row>
    <row r="114" spans="1:9">
      <c r="A114" s="1" t="s">
        <v>161</v>
      </c>
      <c r="B114" s="1" t="e">
        <f ca="1">[1]!thsiFinD("THS_ZCFZB_STOCK","600887.SH",2031,B$3,1)/1000000</f>
        <v>#NAME?</v>
      </c>
      <c r="C114" s="1" t="e">
        <f ca="1">[1]!thsiFinD("THS_ZCFZB_STOCK","600597.SH",2031,C$3,1)/1000000</f>
        <v>#NAME?</v>
      </c>
      <c r="D114" s="1" t="e">
        <f ca="1">[1]!thsiFinD("THS_ZCFZB_STOCK","600887.SH",2031,D$3,1)/1000000</f>
        <v>#NAME?</v>
      </c>
      <c r="E114" s="1" t="e">
        <f ca="1">[1]!thsiFinD("THS_ZCFZB_STOCK","600597.SH",2031,E$3,1)/1000000</f>
        <v>#NAME?</v>
      </c>
    </row>
    <row r="115" spans="1:9" s="8" customFormat="1">
      <c r="A115" s="8" t="s">
        <v>162</v>
      </c>
      <c r="B115" s="8" t="e">
        <f ca="1">[1]!thsiFinD("THS_ZCFZB_STOCK","600887.SH",2033,B$3,1)/1000000</f>
        <v>#NAME?</v>
      </c>
      <c r="C115" s="8" t="e">
        <f ca="1">[1]!thsiFinD("THS_ZCFZB_STOCK","600597.SH",2033,C$3,1)/1000000</f>
        <v>#NAME?</v>
      </c>
      <c r="D115" s="8" t="e">
        <f ca="1">[1]!thsiFinD("THS_ZCFZB_STOCK","600887.SH",2033,D$3,1)/1000000</f>
        <v>#NAME?</v>
      </c>
      <c r="E115" s="8" t="e">
        <f ca="1">[1]!thsiFinD("THS_ZCFZB_STOCK","600597.SH",2033,E$3,1)/1000000</f>
        <v>#NAME?</v>
      </c>
      <c r="G115" s="1"/>
      <c r="H115" s="1"/>
      <c r="I115" s="1"/>
    </row>
  </sheetData>
  <phoneticPr fontId="2" type="noConversion"/>
  <conditionalFormatting sqref="A1:XFD1048576">
    <cfRule type="cellIs" dxfId="9" priority="7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pane xSplit="1" ySplit="4" topLeftCell="B11" activePane="bottomRight" state="frozenSplit"/>
      <selection pane="topRight" activeCell="B1" sqref="B1"/>
      <selection pane="bottomLeft" activeCell="A5" sqref="A5"/>
      <selection pane="bottomRight" activeCell="C16" sqref="C16"/>
    </sheetView>
  </sheetViews>
  <sheetFormatPr defaultColWidth="9" defaultRowHeight="12"/>
  <cols>
    <col min="1" max="1" width="45" style="1" customWidth="1"/>
    <col min="2" max="5" width="10" style="1" bestFit="1" customWidth="1"/>
    <col min="6" max="6" width="3" style="1" customWidth="1"/>
    <col min="7" max="7" width="40.453125" style="1" bestFit="1" customWidth="1"/>
    <col min="8" max="16384" width="9" style="1"/>
  </cols>
  <sheetData>
    <row r="1" spans="1:9" s="4" customFormat="1">
      <c r="A1" s="2" t="s">
        <v>0</v>
      </c>
      <c r="B1" s="3" t="s">
        <v>4</v>
      </c>
      <c r="C1" s="3" t="s">
        <v>6</v>
      </c>
      <c r="D1" s="3" t="s">
        <v>4</v>
      </c>
      <c r="E1" s="3" t="s">
        <v>6</v>
      </c>
      <c r="G1" s="2" t="s">
        <v>0</v>
      </c>
      <c r="H1" s="3" t="s">
        <v>252</v>
      </c>
      <c r="I1" s="3" t="s">
        <v>342</v>
      </c>
    </row>
    <row r="2" spans="1:9" s="4" customFormat="1">
      <c r="A2" s="2" t="s">
        <v>1</v>
      </c>
      <c r="B2" s="4" t="e">
        <f ca="1">[1]!thsiFinD("ths_gpjc_stock",B1)</f>
        <v>#NAME?</v>
      </c>
      <c r="C2" s="4" t="e">
        <f ca="1">[1]!thsiFinD("ths_gpjc_stock",C1)</f>
        <v>#NAME?</v>
      </c>
      <c r="D2" s="4" t="e">
        <f ca="1">[1]!thsiFinD("ths_gpjc_stock",D1)</f>
        <v>#NAME?</v>
      </c>
      <c r="E2" s="4" t="e">
        <f ca="1">[1]!thsiFinD("ths_gpjc_stock",E1)</f>
        <v>#NAME?</v>
      </c>
      <c r="G2" s="2" t="s">
        <v>1</v>
      </c>
      <c r="H2" s="4" t="e">
        <f ca="1">[1]!thsiFinD("ths_gpjc_stock",H1)</f>
        <v>#NAME?</v>
      </c>
      <c r="I2" s="4" t="e">
        <f ca="1">[1]!thsiFinD("ths_gpjc_stock",I1)</f>
        <v>#NAME?</v>
      </c>
    </row>
    <row r="3" spans="1:9" s="4" customFormat="1">
      <c r="A3" s="2" t="s">
        <v>2</v>
      </c>
      <c r="B3" s="5">
        <v>42735</v>
      </c>
      <c r="C3" s="5">
        <v>42735</v>
      </c>
      <c r="D3" s="5">
        <v>42369</v>
      </c>
      <c r="E3" s="5">
        <v>42369</v>
      </c>
      <c r="G3" s="2" t="s">
        <v>2</v>
      </c>
      <c r="H3" s="5" t="e">
        <f ca="1">[1]!thsiFinD("ths_yjbgjzrq_hk",H1,2016,4)</f>
        <v>#NAME?</v>
      </c>
      <c r="I3" s="5" t="e">
        <f ca="1">[1]!thsiFinD("ths_yjbgjzrq_hk",I1,2015,4)</f>
        <v>#NAME?</v>
      </c>
    </row>
    <row r="4" spans="1:9" s="7" customFormat="1" ht="12.5" thickBot="1">
      <c r="A4" s="6" t="s">
        <v>3</v>
      </c>
      <c r="B4" s="7" t="s">
        <v>5</v>
      </c>
      <c r="C4" s="7" t="s">
        <v>5</v>
      </c>
      <c r="D4" s="7" t="s">
        <v>5</v>
      </c>
      <c r="E4" s="7" t="s">
        <v>5</v>
      </c>
      <c r="G4" s="2" t="s">
        <v>3</v>
      </c>
      <c r="H4" s="4" t="s">
        <v>5</v>
      </c>
      <c r="I4" s="4" t="s">
        <v>5</v>
      </c>
    </row>
    <row r="6" spans="1:9" s="8" customFormat="1">
      <c r="A6" s="9" t="s">
        <v>343</v>
      </c>
      <c r="B6" s="9"/>
      <c r="C6" s="9"/>
      <c r="D6" s="9"/>
      <c r="E6" s="9"/>
      <c r="G6" s="9" t="s">
        <v>343</v>
      </c>
      <c r="H6" s="9"/>
      <c r="I6" s="9"/>
    </row>
    <row r="7" spans="1:9" s="8" customFormat="1">
      <c r="A7" s="8" t="s">
        <v>163</v>
      </c>
      <c r="G7" s="8" t="s">
        <v>329</v>
      </c>
      <c r="H7" s="8" t="e">
        <f ca="1">[1]!thsiFinD("THS_XJLLB_HK","2319.HK",2001,H$3,1,"CNY")/1000000</f>
        <v>#NAME?</v>
      </c>
      <c r="I7" s="8" t="e">
        <f ca="1">[1]!thsiFinD("THS_XJLLB_HK","2319.HK",2001,I$3,1,"CNY")/1000000</f>
        <v>#NAME?</v>
      </c>
    </row>
    <row r="8" spans="1:9">
      <c r="A8" s="1" t="s">
        <v>164</v>
      </c>
      <c r="B8" s="1" t="e">
        <f ca="1">[1]!thsiFinD("THS_XJLLB_STOCK","600887.SH",2086,B$3,1)/1000000</f>
        <v>#NAME?</v>
      </c>
      <c r="C8" s="1" t="e">
        <f ca="1">[1]!thsiFinD("THS_XJLLB_STOCK","600597.SH",2086,C$3,1)/1000000</f>
        <v>#NAME?</v>
      </c>
      <c r="D8" s="1" t="e">
        <f ca="1">[1]!thsiFinD("THS_XJLLB_STOCK","600887.SH",2086,D$3,1)/1000000</f>
        <v>#NAME?</v>
      </c>
      <c r="E8" s="1" t="e">
        <f ca="1">[1]!thsiFinD("THS_XJLLB_STOCK","600597.SH",2086,E$3,1)/1000000</f>
        <v>#NAME?</v>
      </c>
      <c r="G8" s="8" t="s">
        <v>330</v>
      </c>
      <c r="H8" s="8" t="e">
        <f ca="1">[1]!thsiFinD("THS_XJLLB_HK","2319.HK",2004,H$3,1,"CNY")/1000000</f>
        <v>#NAME?</v>
      </c>
      <c r="I8" s="8" t="e">
        <f ca="1">[1]!thsiFinD("THS_XJLLB_HK","2319.HK",2004,I$3,1,"CNY")/1000000</f>
        <v>#NAME?</v>
      </c>
    </row>
    <row r="9" spans="1:9">
      <c r="A9" s="1" t="s">
        <v>165</v>
      </c>
      <c r="B9" s="1" t="e">
        <f ca="1">[1]!thsiFinD("THS_XJLLB_STOCK","600887.SH",2058,B$3,1)/1000000</f>
        <v>#NAME?</v>
      </c>
      <c r="C9" s="1" t="e">
        <f ca="1">[1]!thsiFinD("THS_XJLLB_STOCK","600597.SH",2058,C$3,1)/1000000</f>
        <v>#NAME?</v>
      </c>
      <c r="D9" s="1" t="e">
        <f ca="1">[1]!thsiFinD("THS_XJLLB_STOCK","600887.SH",2058,D$3,1)/1000000</f>
        <v>#NAME?</v>
      </c>
      <c r="E9" s="1" t="e">
        <f ca="1">[1]!thsiFinD("THS_XJLLB_STOCK","600597.SH",2058,E$3,1)/1000000</f>
        <v>#NAME?</v>
      </c>
      <c r="G9" s="8" t="s">
        <v>331</v>
      </c>
      <c r="H9" s="8" t="e">
        <f ca="1">[1]!thsiFinD("THS_XJLLB_HK","2319.HK",2002,H$3,1,"CNY")/1000000</f>
        <v>#NAME?</v>
      </c>
      <c r="I9" s="8" t="e">
        <f ca="1">[1]!thsiFinD("THS_XJLLB_HK","2319.HK",2002,I$3,1,"CNY")/1000000</f>
        <v>#NAME?</v>
      </c>
    </row>
    <row r="10" spans="1:9">
      <c r="A10" s="1" t="s">
        <v>166</v>
      </c>
      <c r="B10" s="1" t="e">
        <f ca="1">[1]!thsiFinD("THS_XJLLB_STOCK","600887.SH",2060,B$3,1)/1000000</f>
        <v>#NAME?</v>
      </c>
      <c r="C10" s="1" t="e">
        <f ca="1">[1]!thsiFinD("THS_XJLLB_STOCK","600597.SH",2060,C$3,1)/1000000</f>
        <v>#NAME?</v>
      </c>
      <c r="D10" s="1" t="e">
        <f ca="1">[1]!thsiFinD("THS_XJLLB_STOCK","600887.SH",2060,D$3,1)/1000000</f>
        <v>#NAME?</v>
      </c>
      <c r="E10" s="1" t="e">
        <f ca="1">[1]!thsiFinD("THS_XJLLB_STOCK","600597.SH",2060,E$3,1)/1000000</f>
        <v>#NAME?</v>
      </c>
      <c r="G10" s="8" t="s">
        <v>332</v>
      </c>
      <c r="H10" s="8" t="e">
        <f ca="1">[1]!thsiFinD("THS_XJLLB_HK","2319.HK",2003,H$3,1,"CNY")/1000000</f>
        <v>#NAME?</v>
      </c>
      <c r="I10" s="8" t="e">
        <f ca="1">[1]!thsiFinD("THS_XJLLB_HK","2319.HK",2003,I$3,1,"CNY")/1000000</f>
        <v>#NAME?</v>
      </c>
    </row>
    <row r="11" spans="1:9">
      <c r="A11" s="1" t="s">
        <v>167</v>
      </c>
      <c r="B11" s="1" t="e">
        <f ca="1">[1]!thsiFinD("THS_XJLLB_STOCK","600887.SH",2044,B$3,1)/1000000</f>
        <v>#NAME?</v>
      </c>
      <c r="C11" s="1" t="e">
        <f ca="1">[1]!thsiFinD("THS_XJLLB_STOCK","600597.SH",2044,C$3,1)/1000000</f>
        <v>#NAME?</v>
      </c>
      <c r="D11" s="1" t="e">
        <f ca="1">[1]!thsiFinD("THS_XJLLB_STOCK","600887.SH",2044,D$3,1)/1000000</f>
        <v>#NAME?</v>
      </c>
      <c r="E11" s="1" t="e">
        <f ca="1">[1]!thsiFinD("THS_XJLLB_STOCK","600597.SH",2044,E$3,1)/1000000</f>
        <v>#NAME?</v>
      </c>
      <c r="G11" s="8" t="s">
        <v>333</v>
      </c>
      <c r="H11" s="8" t="e">
        <f ca="1">[1]!thsiFinD("THS_XJLLB_HK","2319.HK",2005,H$3,1,"CNY")/1000000</f>
        <v>#NAME?</v>
      </c>
      <c r="I11" s="8" t="e">
        <f ca="1">[1]!thsiFinD("THS_XJLLB_HK","2319.HK",2005,I$3,1,"CNY")/1000000</f>
        <v>#NAME?</v>
      </c>
    </row>
    <row r="12" spans="1:9">
      <c r="A12" s="1" t="s">
        <v>168</v>
      </c>
      <c r="B12" s="1" t="e">
        <f ca="1">[1]!thsiFinD("THS_XJLLB_STOCK","600887.SH",2043,B$3,1)/1000000</f>
        <v>#NAME?</v>
      </c>
      <c r="C12" s="1" t="e">
        <f ca="1">[1]!thsiFinD("THS_XJLLB_STOCK","600597.SH",2043,C$3,1)/1000000</f>
        <v>#NAME?</v>
      </c>
      <c r="D12" s="1" t="e">
        <f ca="1">[1]!thsiFinD("THS_XJLLB_STOCK","600887.SH",2043,D$3,1)/1000000</f>
        <v>#NAME?</v>
      </c>
      <c r="E12" s="1" t="e">
        <f ca="1">[1]!thsiFinD("THS_XJLLB_STOCK","600597.SH",2043,E$3,1)/1000000</f>
        <v>#NAME?</v>
      </c>
      <c r="G12" s="1" t="s">
        <v>334</v>
      </c>
      <c r="H12" s="1" t="e">
        <f ca="1">[1]!thsiFinD("THS_XJLLB_HK","2319.HK",2006,H$3,1,"CNY")/1000000</f>
        <v>#NAME?</v>
      </c>
      <c r="I12" s="1" t="e">
        <f ca="1">[1]!thsiFinD("THS_XJLLB_HK","2319.HK",2006,I$3,1,"CNY")/1000000</f>
        <v>#NAME?</v>
      </c>
    </row>
    <row r="13" spans="1:9">
      <c r="A13" s="1" t="s">
        <v>169</v>
      </c>
      <c r="B13" s="1" t="e">
        <f ca="1">[1]!thsiFinD("THS_XJLLB_STOCK","600887.SH",2045,B$3,1)/1000000</f>
        <v>#NAME?</v>
      </c>
      <c r="C13" s="1" t="e">
        <f ca="1">[1]!thsiFinD("THS_XJLLB_STOCK","600597.SH",2045,C$3,1)/1000000</f>
        <v>#NAME?</v>
      </c>
      <c r="D13" s="1" t="e">
        <f ca="1">[1]!thsiFinD("THS_XJLLB_STOCK","600887.SH",2045,D$3,1)/1000000</f>
        <v>#NAME?</v>
      </c>
      <c r="E13" s="1" t="e">
        <f ca="1">[1]!thsiFinD("THS_XJLLB_STOCK","600597.SH",2045,E$3,1)/1000000</f>
        <v>#NAME?</v>
      </c>
      <c r="G13" s="8" t="s">
        <v>335</v>
      </c>
      <c r="H13" s="8">
        <v>51.061999999999998</v>
      </c>
      <c r="I13" s="8">
        <v>92.658000000000001</v>
      </c>
    </row>
    <row r="14" spans="1:9">
      <c r="A14" s="1" t="s">
        <v>170</v>
      </c>
      <c r="B14" s="1" t="e">
        <f ca="1">[1]!thsiFinD("THS_XJLLB_STOCK","600887.SH",2026,B$3,1)/1000000</f>
        <v>#NAME?</v>
      </c>
      <c r="C14" s="1" t="e">
        <f ca="1">[1]!thsiFinD("THS_XJLLB_STOCK","600597.SH",2026,C$3,1)/1000000</f>
        <v>#NAME?</v>
      </c>
      <c r="D14" s="1" t="e">
        <f ca="1">[1]!thsiFinD("THS_XJLLB_STOCK","600887.SH",2026,D$3,1)/1000000</f>
        <v>#NAME?</v>
      </c>
      <c r="E14" s="1" t="e">
        <f ca="1">[1]!thsiFinD("THS_XJLLB_STOCK","600597.SH",2026,E$3,1)/1000000</f>
        <v>#NAME?</v>
      </c>
      <c r="G14" s="1" t="s">
        <v>336</v>
      </c>
      <c r="H14" s="1" t="e">
        <f ca="1">[1]!thsiFinD("THS_XJLLB_HK","2319.HK",2007,H$3,1,"CNY")/1000000</f>
        <v>#NAME?</v>
      </c>
      <c r="I14" s="1" t="e">
        <f ca="1">[1]!thsiFinD("THS_XJLLB_HK","2319.HK",2007,I$3,1,"CNY")/1000000</f>
        <v>#NAME?</v>
      </c>
    </row>
    <row r="15" spans="1:9">
      <c r="A15" s="1" t="s">
        <v>171</v>
      </c>
      <c r="B15" s="1" t="e">
        <f ca="1">[1]!thsiFinD("THS_XJLLB_STOCK","600887.SH",2093,B$3,1)/1000000</f>
        <v>#NAME?</v>
      </c>
      <c r="C15" s="1" t="e">
        <f ca="1">[1]!thsiFinD("THS_XJLLB_STOCK","600597.SH",2093,C$3,1)/1000000</f>
        <v>#NAME?</v>
      </c>
      <c r="D15" s="1" t="e">
        <f ca="1">[1]!thsiFinD("THS_XJLLB_STOCK","600887.SH",2093,D$3,1)/1000000</f>
        <v>#NAME?</v>
      </c>
      <c r="E15" s="1" t="e">
        <f ca="1">[1]!thsiFinD("THS_XJLLB_STOCK","600597.SH",2093,E$3,1)/1000000</f>
        <v>#NAME?</v>
      </c>
    </row>
    <row r="16" spans="1:9">
      <c r="A16" s="1" t="s">
        <v>172</v>
      </c>
      <c r="B16" s="1" t="e">
        <f ca="1">[1]!thsiFinD("THS_XJLLB_STOCK","600887.SH",2092,B$3,1)/1000000</f>
        <v>#NAME?</v>
      </c>
      <c r="C16" s="1" t="e">
        <f ca="1">[1]!thsiFinD("THS_XJLLB_STOCK","600597.SH",2092,C$3,1)/1000000</f>
        <v>#NAME?</v>
      </c>
      <c r="D16" s="1" t="e">
        <f ca="1">[1]!thsiFinD("THS_XJLLB_STOCK","600887.SH",2092,D$3,1)/1000000</f>
        <v>#NAME?</v>
      </c>
      <c r="E16" s="1" t="e">
        <f ca="1">[1]!thsiFinD("THS_XJLLB_STOCK","600597.SH",2092,E$3,1)/1000000</f>
        <v>#NAME?</v>
      </c>
    </row>
    <row r="17" spans="1:9">
      <c r="A17" s="1" t="s">
        <v>173</v>
      </c>
      <c r="B17" s="1" t="e">
        <f ca="1">[1]!thsiFinD("THS_XJLLB_STOCK","600887.SH",2096,B$3,1)/1000000</f>
        <v>#NAME?</v>
      </c>
      <c r="C17" s="1" t="e">
        <f ca="1">[1]!thsiFinD("THS_XJLLB_STOCK","600597.SH",2096,C$3,1)/1000000</f>
        <v>#NAME?</v>
      </c>
      <c r="D17" s="1" t="e">
        <f ca="1">[1]!thsiFinD("THS_XJLLB_STOCK","600887.SH",2096,D$3,1)/1000000</f>
        <v>#NAME?</v>
      </c>
      <c r="E17" s="1" t="e">
        <f ca="1">[1]!thsiFinD("THS_XJLLB_STOCK","600597.SH",2096,E$3,1)/1000000</f>
        <v>#NAME?</v>
      </c>
    </row>
    <row r="18" spans="1:9">
      <c r="A18" s="1" t="s">
        <v>174</v>
      </c>
      <c r="B18" s="1" t="e">
        <f ca="1">[1]!thsiFinD("THS_XJLLB_STOCK","600887.SH",2041,B$3,1)/1000000</f>
        <v>#NAME?</v>
      </c>
      <c r="C18" s="1" t="e">
        <f ca="1">[1]!thsiFinD("THS_XJLLB_STOCK","600597.SH",2041,C$3,1)/1000000</f>
        <v>#NAME?</v>
      </c>
      <c r="D18" s="1" t="e">
        <f ca="1">[1]!thsiFinD("THS_XJLLB_STOCK","600887.SH",2041,D$3,1)/1000000</f>
        <v>#NAME?</v>
      </c>
      <c r="E18" s="1" t="e">
        <f ca="1">[1]!thsiFinD("THS_XJLLB_STOCK","600597.SH",2041,E$3,1)/1000000</f>
        <v>#NAME?</v>
      </c>
    </row>
    <row r="19" spans="1:9">
      <c r="A19" s="1" t="s">
        <v>175</v>
      </c>
      <c r="B19" s="1" t="e">
        <f ca="1">[1]!thsiFinD("THS_XJLLB_STOCK","600887.SH",2040,B$3,1)/1000000</f>
        <v>#NAME?</v>
      </c>
      <c r="C19" s="1" t="e">
        <f ca="1">[1]!thsiFinD("THS_XJLLB_STOCK","600597.SH",2040,C$3,1)/1000000</f>
        <v>#NAME?</v>
      </c>
      <c r="D19" s="1" t="e">
        <f ca="1">[1]!thsiFinD("THS_XJLLB_STOCK","600887.SH",2040,D$3,1)/1000000</f>
        <v>#NAME?</v>
      </c>
      <c r="E19" s="1" t="e">
        <f ca="1">[1]!thsiFinD("THS_XJLLB_STOCK","600597.SH",2040,E$3,1)/1000000</f>
        <v>#NAME?</v>
      </c>
    </row>
    <row r="20" spans="1:9">
      <c r="A20" s="1" t="s">
        <v>176</v>
      </c>
      <c r="B20" s="1" t="e">
        <f ca="1">[1]!thsiFinD("THS_XJLLB_STOCK","600887.SH",2042,B$3,1)/1000000</f>
        <v>#NAME?</v>
      </c>
      <c r="C20" s="1" t="e">
        <f ca="1">[1]!thsiFinD("THS_XJLLB_STOCK","600597.SH",2042,C$3,1)/1000000</f>
        <v>#NAME?</v>
      </c>
      <c r="D20" s="1" t="e">
        <f ca="1">[1]!thsiFinD("THS_XJLLB_STOCK","600887.SH",2042,D$3,1)/1000000</f>
        <v>#NAME?</v>
      </c>
      <c r="E20" s="1" t="e">
        <f ca="1">[1]!thsiFinD("THS_XJLLB_STOCK","600597.SH",2042,E$3,1)/1000000</f>
        <v>#NAME?</v>
      </c>
    </row>
    <row r="21" spans="1:9">
      <c r="A21" s="1" t="s">
        <v>177</v>
      </c>
      <c r="B21" s="1" t="e">
        <f ca="1">[1]!thsiFinD("THS_XJLLB_STOCK","600887.SH",2038,B$3,1)/1000000</f>
        <v>#NAME?</v>
      </c>
      <c r="C21" s="1" t="e">
        <f ca="1">[1]!thsiFinD("THS_XJLLB_STOCK","600597.SH",2038,C$3,1)/1000000</f>
        <v>#NAME?</v>
      </c>
      <c r="D21" s="1" t="e">
        <f ca="1">[1]!thsiFinD("THS_XJLLB_STOCK","600887.SH",2038,D$3,1)/1000000</f>
        <v>#NAME?</v>
      </c>
      <c r="E21" s="1" t="e">
        <f ca="1">[1]!thsiFinD("THS_XJLLB_STOCK","600597.SH",2038,E$3,1)/1000000</f>
        <v>#NAME?</v>
      </c>
      <c r="G21" s="8"/>
      <c r="H21" s="8"/>
      <c r="I21" s="8"/>
    </row>
    <row r="22" spans="1:9" s="8" customFormat="1">
      <c r="A22" s="8" t="s">
        <v>178</v>
      </c>
      <c r="B22" s="8" t="e">
        <f ca="1">[1]!thsiFinD("THS_XJLLB_STOCK","600887.SH",2037,B$3,1)/1000000</f>
        <v>#NAME?</v>
      </c>
      <c r="C22" s="8" t="e">
        <f ca="1">[1]!thsiFinD("THS_XJLLB_STOCK","600597.SH",2037,C$3,1)/1000000</f>
        <v>#NAME?</v>
      </c>
      <c r="D22" s="8" t="e">
        <f ca="1">[1]!thsiFinD("THS_XJLLB_STOCK","600887.SH",2037,D$3,1)/1000000</f>
        <v>#NAME?</v>
      </c>
      <c r="E22" s="8" t="e">
        <f ca="1">[1]!thsiFinD("THS_XJLLB_STOCK","600597.SH",2037,E$3,1)/1000000</f>
        <v>#NAME?</v>
      </c>
    </row>
    <row r="23" spans="1:9" s="8" customFormat="1">
      <c r="A23" s="8" t="s">
        <v>179</v>
      </c>
      <c r="G23" s="1"/>
      <c r="H23" s="1"/>
      <c r="I23" s="1"/>
    </row>
    <row r="24" spans="1:9">
      <c r="A24" s="1" t="s">
        <v>180</v>
      </c>
      <c r="B24" s="1" t="e">
        <f ca="1">[1]!thsiFinD("THS_XJLLB_STOCK","600887.SH",2064,B$3,1)/1000000</f>
        <v>#NAME?</v>
      </c>
      <c r="C24" s="1" t="e">
        <f ca="1">[1]!thsiFinD("THS_XJLLB_STOCK","600597.SH",2064,C$3,1)/1000000</f>
        <v>#NAME?</v>
      </c>
      <c r="D24" s="1" t="e">
        <f ca="1">[1]!thsiFinD("THS_XJLLB_STOCK","600887.SH",2064,D$3,1)/1000000</f>
        <v>#NAME?</v>
      </c>
      <c r="E24" s="1" t="e">
        <f ca="1">[1]!thsiFinD("THS_XJLLB_STOCK","600597.SH",2064,E$3,1)/1000000</f>
        <v>#NAME?</v>
      </c>
    </row>
    <row r="25" spans="1:9">
      <c r="A25" s="1" t="s">
        <v>181</v>
      </c>
      <c r="B25" s="1" t="e">
        <f ca="1">[1]!thsiFinD("THS_XJLLB_STOCK","600887.SH",2055,B$3,1)/1000000</f>
        <v>#NAME?</v>
      </c>
      <c r="C25" s="1" t="e">
        <f ca="1">[1]!thsiFinD("THS_XJLLB_STOCK","600597.SH",2055,C$3,1)/1000000</f>
        <v>#NAME?</v>
      </c>
      <c r="D25" s="1" t="e">
        <f ca="1">[1]!thsiFinD("THS_XJLLB_STOCK","600887.SH",2055,D$3,1)/1000000</f>
        <v>#NAME?</v>
      </c>
      <c r="E25" s="1" t="e">
        <f ca="1">[1]!thsiFinD("THS_XJLLB_STOCK","600597.SH",2055,E$3,1)/1000000</f>
        <v>#NAME?</v>
      </c>
    </row>
    <row r="26" spans="1:9">
      <c r="A26" s="1" t="s">
        <v>182</v>
      </c>
      <c r="B26" s="1" t="e">
        <f ca="1">[1]!thsiFinD("THS_XJLLB_STOCK","600887.SH",2014,B$3,1)/1000000</f>
        <v>#NAME?</v>
      </c>
      <c r="C26" s="1" t="e">
        <f ca="1">[1]!thsiFinD("THS_XJLLB_STOCK","600597.SH",2014,C$3,1)/1000000</f>
        <v>#NAME?</v>
      </c>
      <c r="D26" s="1" t="e">
        <f ca="1">[1]!thsiFinD("THS_XJLLB_STOCK","600887.SH",2014,D$3,1)/1000000</f>
        <v>#NAME?</v>
      </c>
      <c r="E26" s="1" t="e">
        <f ca="1">[1]!thsiFinD("THS_XJLLB_STOCK","600597.SH",2014,E$3,1)/1000000</f>
        <v>#NAME?</v>
      </c>
    </row>
    <row r="27" spans="1:9">
      <c r="A27" s="1" t="s">
        <v>183</v>
      </c>
      <c r="B27" s="1" t="e">
        <f ca="1">[1]!thsiFinD("THS_XJLLB_STOCK","600887.SH",2016,B$3,1)/1000000</f>
        <v>#NAME?</v>
      </c>
      <c r="C27" s="1" t="e">
        <f ca="1">[1]!thsiFinD("THS_XJLLB_STOCK","600597.SH",2016,C$3,1)/1000000</f>
        <v>#NAME?</v>
      </c>
      <c r="D27" s="1" t="e">
        <f ca="1">[1]!thsiFinD("THS_XJLLB_STOCK","600887.SH",2016,D$3,1)/1000000</f>
        <v>#NAME?</v>
      </c>
      <c r="E27" s="1" t="e">
        <f ca="1">[1]!thsiFinD("THS_XJLLB_STOCK","600597.SH",2016,E$3,1)/1000000</f>
        <v>#NAME?</v>
      </c>
    </row>
    <row r="28" spans="1:9">
      <c r="A28" s="1" t="s">
        <v>184</v>
      </c>
      <c r="B28" s="1" t="e">
        <f ca="1">[1]!thsiFinD("THS_XJLLB_STOCK","600887.SH",2061,B$3,1)/1000000</f>
        <v>#NAME?</v>
      </c>
      <c r="C28" s="1" t="e">
        <f ca="1">[1]!thsiFinD("THS_XJLLB_STOCK","600597.SH",2061,C$3,1)/1000000</f>
        <v>#NAME?</v>
      </c>
      <c r="D28" s="1" t="e">
        <f ca="1">[1]!thsiFinD("THS_XJLLB_STOCK","600887.SH",2061,D$3,1)/1000000</f>
        <v>#NAME?</v>
      </c>
      <c r="E28" s="1" t="e">
        <f ca="1">[1]!thsiFinD("THS_XJLLB_STOCK","600597.SH",2061,E$3,1)/1000000</f>
        <v>#NAME?</v>
      </c>
    </row>
    <row r="29" spans="1:9">
      <c r="A29" s="1" t="s">
        <v>185</v>
      </c>
      <c r="B29" s="1" t="e">
        <f ca="1">[1]!thsiFinD("THS_XJLLB_STOCK","600887.SH",2073,B$3,1)/1000000</f>
        <v>#NAME?</v>
      </c>
      <c r="C29" s="1" t="e">
        <f ca="1">[1]!thsiFinD("THS_XJLLB_STOCK","600597.SH",2073,C$3,1)/1000000</f>
        <v>#NAME?</v>
      </c>
      <c r="D29" s="1" t="e">
        <f ca="1">[1]!thsiFinD("THS_XJLLB_STOCK","600887.SH",2073,D$3,1)/1000000</f>
        <v>#NAME?</v>
      </c>
      <c r="E29" s="1" t="e">
        <f ca="1">[1]!thsiFinD("THS_XJLLB_STOCK","600597.SH",2073,E$3,1)/1000000</f>
        <v>#NAME?</v>
      </c>
    </row>
    <row r="30" spans="1:9">
      <c r="A30" s="1" t="s">
        <v>186</v>
      </c>
      <c r="B30" s="1" t="e">
        <f ca="1">[1]!thsiFinD("THS_XJLLB_STOCK","600887.SH",2072,B$3,1)/1000000</f>
        <v>#NAME?</v>
      </c>
      <c r="C30" s="1" t="e">
        <f ca="1">[1]!thsiFinD("THS_XJLLB_STOCK","600597.SH",2072,C$3,1)/1000000</f>
        <v>#NAME?</v>
      </c>
      <c r="D30" s="1" t="e">
        <f ca="1">[1]!thsiFinD("THS_XJLLB_STOCK","600887.SH",2072,D$3,1)/1000000</f>
        <v>#NAME?</v>
      </c>
      <c r="E30" s="1" t="e">
        <f ca="1">[1]!thsiFinD("THS_XJLLB_STOCK","600597.SH",2072,E$3,1)/1000000</f>
        <v>#NAME?</v>
      </c>
    </row>
    <row r="31" spans="1:9">
      <c r="A31" s="1" t="s">
        <v>187</v>
      </c>
      <c r="B31" s="1" t="e">
        <f ca="1">[1]!thsiFinD("THS_XJLLB_STOCK","600887.SH",2074,B$3,1)/1000000</f>
        <v>#NAME?</v>
      </c>
      <c r="C31" s="1" t="e">
        <f ca="1">[1]!thsiFinD("THS_XJLLB_STOCK","600597.SH",2074,C$3,1)/1000000</f>
        <v>#NAME?</v>
      </c>
      <c r="D31" s="1" t="e">
        <f ca="1">[1]!thsiFinD("THS_XJLLB_STOCK","600887.SH",2074,D$3,1)/1000000</f>
        <v>#NAME?</v>
      </c>
      <c r="E31" s="1" t="e">
        <f ca="1">[1]!thsiFinD("THS_XJLLB_STOCK","600597.SH",2074,E$3,1)/1000000</f>
        <v>#NAME?</v>
      </c>
    </row>
    <row r="32" spans="1:9">
      <c r="A32" s="1" t="s">
        <v>188</v>
      </c>
      <c r="B32" s="1" t="e">
        <f ca="1">[1]!thsiFinD("THS_XJLLB_STOCK","600887.SH",2025,B$3,1)/1000000</f>
        <v>#NAME?</v>
      </c>
      <c r="C32" s="1" t="e">
        <f ca="1">[1]!thsiFinD("THS_XJLLB_STOCK","600597.SH",2025,C$3,1)/1000000</f>
        <v>#NAME?</v>
      </c>
      <c r="D32" s="1" t="e">
        <f ca="1">[1]!thsiFinD("THS_XJLLB_STOCK","600887.SH",2025,D$3,1)/1000000</f>
        <v>#NAME?</v>
      </c>
      <c r="E32" s="1" t="e">
        <f ca="1">[1]!thsiFinD("THS_XJLLB_STOCK","600597.SH",2025,E$3,1)/1000000</f>
        <v>#NAME?</v>
      </c>
    </row>
    <row r="33" spans="1:9">
      <c r="A33" s="1" t="s">
        <v>189</v>
      </c>
      <c r="B33" s="1" t="e">
        <f ca="1">[1]!thsiFinD("THS_XJLLB_STOCK","600887.SH",2076,B$3,1)/1000000</f>
        <v>#NAME?</v>
      </c>
      <c r="C33" s="1" t="e">
        <f ca="1">[1]!thsiFinD("THS_XJLLB_STOCK","600597.SH",2076,C$3,1)/1000000</f>
        <v>#NAME?</v>
      </c>
      <c r="D33" s="1" t="e">
        <f ca="1">[1]!thsiFinD("THS_XJLLB_STOCK","600887.SH",2076,D$3,1)/1000000</f>
        <v>#NAME?</v>
      </c>
      <c r="E33" s="1" t="e">
        <f ca="1">[1]!thsiFinD("THS_XJLLB_STOCK","600597.SH",2076,E$3,1)/1000000</f>
        <v>#NAME?</v>
      </c>
    </row>
    <row r="34" spans="1:9">
      <c r="A34" s="1" t="s">
        <v>190</v>
      </c>
      <c r="B34" s="1" t="e">
        <f ca="1">[1]!thsiFinD("THS_XJLLB_STOCK","600887.SH",2056,B$3,1)/1000000</f>
        <v>#NAME?</v>
      </c>
      <c r="C34" s="1" t="e">
        <f ca="1">[1]!thsiFinD("THS_XJLLB_STOCK","600597.SH",2056,C$3,1)/1000000</f>
        <v>#NAME?</v>
      </c>
      <c r="D34" s="1" t="e">
        <f ca="1">[1]!thsiFinD("THS_XJLLB_STOCK","600887.SH",2056,D$3,1)/1000000</f>
        <v>#NAME?</v>
      </c>
      <c r="E34" s="1" t="e">
        <f ca="1">[1]!thsiFinD("THS_XJLLB_STOCK","600597.SH",2056,E$3,1)/1000000</f>
        <v>#NAME?</v>
      </c>
    </row>
    <row r="35" spans="1:9">
      <c r="A35" s="1" t="s">
        <v>191</v>
      </c>
      <c r="B35" s="1" t="e">
        <f ca="1">[1]!thsiFinD("THS_XJLLB_STOCK","600887.SH",2097,B$3,1)/1000000</f>
        <v>#NAME?</v>
      </c>
      <c r="C35" s="1" t="e">
        <f ca="1">[1]!thsiFinD("THS_XJLLB_STOCK","600597.SH",2097,C$3,1)/1000000</f>
        <v>#NAME?</v>
      </c>
      <c r="D35" s="1" t="e">
        <f ca="1">[1]!thsiFinD("THS_XJLLB_STOCK","600887.SH",2097,D$3,1)/1000000</f>
        <v>#NAME?</v>
      </c>
      <c r="E35" s="1" t="e">
        <f ca="1">[1]!thsiFinD("THS_XJLLB_STOCK","600597.SH",2097,E$3,1)/1000000</f>
        <v>#NAME?</v>
      </c>
    </row>
    <row r="36" spans="1:9">
      <c r="A36" s="1" t="s">
        <v>192</v>
      </c>
      <c r="B36" s="1" t="e">
        <f ca="1">[1]!thsiFinD("THS_XJLLB_STOCK","600887.SH",2070,B$3,1)/1000000</f>
        <v>#NAME?</v>
      </c>
      <c r="C36" s="1" t="e">
        <f ca="1">[1]!thsiFinD("THS_XJLLB_STOCK","600597.SH",2070,C$3,1)/1000000</f>
        <v>#NAME?</v>
      </c>
      <c r="D36" s="1" t="e">
        <f ca="1">[1]!thsiFinD("THS_XJLLB_STOCK","600887.SH",2070,D$3,1)/1000000</f>
        <v>#NAME?</v>
      </c>
      <c r="E36" s="1" t="e">
        <f ca="1">[1]!thsiFinD("THS_XJLLB_STOCK","600597.SH",2070,E$3,1)/1000000</f>
        <v>#NAME?</v>
      </c>
    </row>
    <row r="37" spans="1:9">
      <c r="A37" s="1" t="s">
        <v>193</v>
      </c>
      <c r="B37" s="1" t="e">
        <f ca="1">[1]!thsiFinD("THS_XJLLB_STOCK","600887.SH",2069,B$3,1)/1000000</f>
        <v>#NAME?</v>
      </c>
      <c r="C37" s="1" t="e">
        <f ca="1">[1]!thsiFinD("THS_XJLLB_STOCK","600597.SH",2069,C$3,1)/1000000</f>
        <v>#NAME?</v>
      </c>
      <c r="D37" s="1" t="e">
        <f ca="1">[1]!thsiFinD("THS_XJLLB_STOCK","600887.SH",2069,D$3,1)/1000000</f>
        <v>#NAME?</v>
      </c>
      <c r="E37" s="1" t="e">
        <f ca="1">[1]!thsiFinD("THS_XJLLB_STOCK","600597.SH",2069,E$3,1)/1000000</f>
        <v>#NAME?</v>
      </c>
    </row>
    <row r="38" spans="1:9">
      <c r="A38" s="1" t="s">
        <v>194</v>
      </c>
      <c r="B38" s="1" t="e">
        <f ca="1">[1]!thsiFinD("THS_XJLLB_STOCK","600887.SH",2071,B$3,1)/1000000</f>
        <v>#NAME?</v>
      </c>
      <c r="C38" s="1" t="e">
        <f ca="1">[1]!thsiFinD("THS_XJLLB_STOCK","600597.SH",2071,C$3,1)/1000000</f>
        <v>#NAME?</v>
      </c>
      <c r="D38" s="1" t="e">
        <f ca="1">[1]!thsiFinD("THS_XJLLB_STOCK","600887.SH",2071,D$3,1)/1000000</f>
        <v>#NAME?</v>
      </c>
      <c r="E38" s="1" t="e">
        <f ca="1">[1]!thsiFinD("THS_XJLLB_STOCK","600597.SH",2071,E$3,1)/1000000</f>
        <v>#NAME?</v>
      </c>
    </row>
    <row r="39" spans="1:9">
      <c r="A39" s="1" t="s">
        <v>195</v>
      </c>
      <c r="B39" s="1" t="e">
        <f ca="1">[1]!thsiFinD("THS_XJLLB_STOCK","600887.SH",2067,B$3,1)/1000000</f>
        <v>#NAME?</v>
      </c>
      <c r="C39" s="1" t="e">
        <f ca="1">[1]!thsiFinD("THS_XJLLB_STOCK","600597.SH",2067,C$3,1)/1000000</f>
        <v>#NAME?</v>
      </c>
      <c r="D39" s="1" t="e">
        <f ca="1">[1]!thsiFinD("THS_XJLLB_STOCK","600887.SH",2067,D$3,1)/1000000</f>
        <v>#NAME?</v>
      </c>
      <c r="E39" s="1" t="e">
        <f ca="1">[1]!thsiFinD("THS_XJLLB_STOCK","600597.SH",2067,E$3,1)/1000000</f>
        <v>#NAME?</v>
      </c>
      <c r="G39" s="8"/>
      <c r="H39" s="8"/>
      <c r="I39" s="8"/>
    </row>
    <row r="40" spans="1:9" s="8" customFormat="1">
      <c r="A40" s="8" t="s">
        <v>196</v>
      </c>
      <c r="B40" s="8" t="e">
        <f ca="1">[1]!thsiFinD("THS_XJLLB_STOCK","600887.SH",2066,B$3,1)/1000000</f>
        <v>#NAME?</v>
      </c>
      <c r="C40" s="8" t="e">
        <f ca="1">[1]!thsiFinD("THS_XJLLB_STOCK","600597.SH",2066,C$3,1)/1000000</f>
        <v>#NAME?</v>
      </c>
      <c r="D40" s="8" t="e">
        <f ca="1">[1]!thsiFinD("THS_XJLLB_STOCK","600887.SH",2066,D$3,1)/1000000</f>
        <v>#NAME?</v>
      </c>
      <c r="E40" s="8" t="e">
        <f ca="1">[1]!thsiFinD("THS_XJLLB_STOCK","600597.SH",2066,E$3,1)/1000000</f>
        <v>#NAME?</v>
      </c>
    </row>
    <row r="41" spans="1:9" s="8" customFormat="1">
      <c r="A41" s="8" t="s">
        <v>197</v>
      </c>
      <c r="G41" s="1"/>
      <c r="H41" s="1"/>
      <c r="I41" s="1"/>
    </row>
    <row r="42" spans="1:9">
      <c r="A42" s="1" t="s">
        <v>198</v>
      </c>
      <c r="B42" s="1" t="e">
        <f ca="1">[1]!thsiFinD("THS_XJLLB_STOCK","600887.SH",2078,B$3,1)/1000000</f>
        <v>#NAME?</v>
      </c>
      <c r="C42" s="1" t="e">
        <f ca="1">[1]!thsiFinD("THS_XJLLB_STOCK","600597.SH",2078,C$3,1)/1000000</f>
        <v>#NAME?</v>
      </c>
      <c r="D42" s="1" t="e">
        <f ca="1">[1]!thsiFinD("THS_XJLLB_STOCK","600887.SH",2078,D$3,1)/1000000</f>
        <v>#NAME?</v>
      </c>
      <c r="E42" s="1" t="e">
        <f ca="1">[1]!thsiFinD("THS_XJLLB_STOCK","600597.SH",2078,E$3,1)/1000000</f>
        <v>#NAME?</v>
      </c>
    </row>
    <row r="43" spans="1:9">
      <c r="A43" s="1" t="s">
        <v>199</v>
      </c>
      <c r="B43" s="1" t="e">
        <f ca="1">[1]!thsiFinD("THS_XJLLB_STOCK","600887.SH",2103,B$3,1)/1000000</f>
        <v>#NAME?</v>
      </c>
      <c r="C43" s="1" t="e">
        <f ca="1">[1]!thsiFinD("THS_XJLLB_STOCK","600597.SH",2103,C$3,1)/1000000</f>
        <v>#NAME?</v>
      </c>
      <c r="D43" s="1" t="e">
        <f ca="1">[1]!thsiFinD("THS_XJLLB_STOCK","600887.SH",2103,D$3,1)/1000000</f>
        <v>#NAME?</v>
      </c>
      <c r="E43" s="1" t="e">
        <f ca="1">[1]!thsiFinD("THS_XJLLB_STOCK","600597.SH",2103,E$3,1)/1000000</f>
        <v>#NAME?</v>
      </c>
    </row>
    <row r="44" spans="1:9">
      <c r="A44" s="1" t="s">
        <v>200</v>
      </c>
      <c r="B44" s="1" t="e">
        <f ca="1">[1]!thsiFinD("THS_XJLLB_STOCK","600887.SH",2054,B$3,1)/1000000</f>
        <v>#NAME?</v>
      </c>
      <c r="C44" s="1" t="e">
        <f ca="1">[1]!thsiFinD("THS_XJLLB_STOCK","600597.SH",2054,C$3,1)/1000000</f>
        <v>#NAME?</v>
      </c>
      <c r="D44" s="1" t="e">
        <f ca="1">[1]!thsiFinD("THS_XJLLB_STOCK","600887.SH",2054,D$3,1)/1000000</f>
        <v>#NAME?</v>
      </c>
      <c r="E44" s="1" t="e">
        <f ca="1">[1]!thsiFinD("THS_XJLLB_STOCK","600597.SH",2054,E$3,1)/1000000</f>
        <v>#NAME?</v>
      </c>
    </row>
    <row r="45" spans="1:9">
      <c r="A45" s="1" t="s">
        <v>201</v>
      </c>
      <c r="B45" s="1" t="e">
        <f ca="1">[1]!thsiFinD("THS_XJLLB_STOCK","600887.SH",2059,B$3,1)/1000000</f>
        <v>#NAME?</v>
      </c>
      <c r="C45" s="1" t="e">
        <f ca="1">[1]!thsiFinD("THS_XJLLB_STOCK","600597.SH",2059,C$3,1)/1000000</f>
        <v>#NAME?</v>
      </c>
      <c r="D45" s="1" t="e">
        <f ca="1">[1]!thsiFinD("THS_XJLLB_STOCK","600887.SH",2059,D$3,1)/1000000</f>
        <v>#NAME?</v>
      </c>
      <c r="E45" s="1" t="e">
        <f ca="1">[1]!thsiFinD("THS_XJLLB_STOCK","600597.SH",2059,E$3,1)/1000000</f>
        <v>#NAME?</v>
      </c>
    </row>
    <row r="46" spans="1:9">
      <c r="A46" s="1" t="s">
        <v>202</v>
      </c>
      <c r="B46" s="1" t="e">
        <f ca="1">[1]!thsiFinD("THS_XJLLB_STOCK","600887.SH",2022,B$3,1)/1000000</f>
        <v>#NAME?</v>
      </c>
      <c r="C46" s="1" t="e">
        <f ca="1">[1]!thsiFinD("THS_XJLLB_STOCK","600597.SH",2022,C$3,1)/1000000</f>
        <v>#NAME?</v>
      </c>
      <c r="D46" s="1" t="e">
        <f ca="1">[1]!thsiFinD("THS_XJLLB_STOCK","600887.SH",2022,D$3,1)/1000000</f>
        <v>#NAME?</v>
      </c>
      <c r="E46" s="1" t="e">
        <f ca="1">[1]!thsiFinD("THS_XJLLB_STOCK","600597.SH",2022,E$3,1)/1000000</f>
        <v>#NAME?</v>
      </c>
    </row>
    <row r="47" spans="1:9">
      <c r="A47" s="1" t="s">
        <v>203</v>
      </c>
      <c r="B47" s="1" t="e">
        <f ca="1">[1]!thsiFinD("THS_XJLLB_STOCK","600887.SH",2011,B$3,1)/1000000</f>
        <v>#NAME?</v>
      </c>
      <c r="C47" s="1" t="e">
        <f ca="1">[1]!thsiFinD("THS_XJLLB_STOCK","600597.SH",2011,C$3,1)/1000000</f>
        <v>#NAME?</v>
      </c>
      <c r="D47" s="1" t="e">
        <f ca="1">[1]!thsiFinD("THS_XJLLB_STOCK","600887.SH",2011,D$3,1)/1000000</f>
        <v>#NAME?</v>
      </c>
      <c r="E47" s="1" t="e">
        <f ca="1">[1]!thsiFinD("THS_XJLLB_STOCK","600597.SH",2011,E$3,1)/1000000</f>
        <v>#NAME?</v>
      </c>
    </row>
    <row r="48" spans="1:9">
      <c r="A48" s="1" t="s">
        <v>204</v>
      </c>
      <c r="B48" s="1" t="e">
        <f ca="1">[1]!thsiFinD("THS_XJLLB_STOCK","600887.SH",2010,B$3,1)/1000000</f>
        <v>#NAME?</v>
      </c>
      <c r="C48" s="1" t="e">
        <f ca="1">[1]!thsiFinD("THS_XJLLB_STOCK","600597.SH",2010,C$3,1)/1000000</f>
        <v>#NAME?</v>
      </c>
      <c r="D48" s="1" t="e">
        <f ca="1">[1]!thsiFinD("THS_XJLLB_STOCK","600887.SH",2010,D$3,1)/1000000</f>
        <v>#NAME?</v>
      </c>
      <c r="E48" s="1" t="e">
        <f ca="1">[1]!thsiFinD("THS_XJLLB_STOCK","600597.SH",2010,E$3,1)/1000000</f>
        <v>#NAME?</v>
      </c>
    </row>
    <row r="49" spans="1:9">
      <c r="A49" s="1" t="s">
        <v>205</v>
      </c>
      <c r="B49" s="1" t="e">
        <f ca="1">[1]!thsiFinD("THS_XJLLB_STOCK","600887.SH",2012,B$3,1)/1000000</f>
        <v>#NAME?</v>
      </c>
      <c r="C49" s="1" t="e">
        <f ca="1">[1]!thsiFinD("THS_XJLLB_STOCK","600597.SH",2012,C$3,1)/1000000</f>
        <v>#NAME?</v>
      </c>
      <c r="D49" s="1" t="e">
        <f ca="1">[1]!thsiFinD("THS_XJLLB_STOCK","600887.SH",2012,D$3,1)/1000000</f>
        <v>#NAME?</v>
      </c>
      <c r="E49" s="1" t="e">
        <f ca="1">[1]!thsiFinD("THS_XJLLB_STOCK","600597.SH",2012,E$3,1)/1000000</f>
        <v>#NAME?</v>
      </c>
    </row>
    <row r="50" spans="1:9">
      <c r="A50" s="1" t="s">
        <v>206</v>
      </c>
      <c r="B50" s="1" t="e">
        <f ca="1">[1]!thsiFinD("THS_XJLLB_STOCK","600887.SH",2003,B$3,1)/1000000</f>
        <v>#NAME?</v>
      </c>
      <c r="C50" s="1" t="e">
        <f ca="1">[1]!thsiFinD("THS_XJLLB_STOCK","600597.SH",2003,C$3,1)/1000000</f>
        <v>#NAME?</v>
      </c>
      <c r="D50" s="1" t="e">
        <f ca="1">[1]!thsiFinD("THS_XJLLB_STOCK","600887.SH",2003,D$3,1)/1000000</f>
        <v>#NAME?</v>
      </c>
      <c r="E50" s="1" t="e">
        <f ca="1">[1]!thsiFinD("THS_XJLLB_STOCK","600597.SH",2003,E$3,1)/1000000</f>
        <v>#NAME?</v>
      </c>
    </row>
    <row r="51" spans="1:9">
      <c r="A51" s="1" t="s">
        <v>207</v>
      </c>
      <c r="B51" s="1" t="e">
        <f ca="1">[1]!thsiFinD("THS_XJLLB_STOCK","600887.SH",2023,B$3,1)/1000000</f>
        <v>#NAME?</v>
      </c>
      <c r="C51" s="1" t="e">
        <f ca="1">[1]!thsiFinD("THS_XJLLB_STOCK","600597.SH",2023,C$3,1)/1000000</f>
        <v>#NAME?</v>
      </c>
      <c r="D51" s="1" t="e">
        <f ca="1">[1]!thsiFinD("THS_XJLLB_STOCK","600887.SH",2023,D$3,1)/1000000</f>
        <v>#NAME?</v>
      </c>
      <c r="E51" s="1" t="e">
        <f ca="1">[1]!thsiFinD("THS_XJLLB_STOCK","600597.SH",2023,E$3,1)/1000000</f>
        <v>#NAME?</v>
      </c>
    </row>
    <row r="52" spans="1:9">
      <c r="A52" s="1" t="s">
        <v>208</v>
      </c>
      <c r="B52" s="1" t="e">
        <f ca="1">[1]!thsiFinD("THS_XJLLB_STOCK","600887.SH",2104,B$3,1)/1000000</f>
        <v>#NAME?</v>
      </c>
      <c r="C52" s="1" t="e">
        <f ca="1">[1]!thsiFinD("THS_XJLLB_STOCK","600597.SH",2104,C$3,1)/1000000</f>
        <v>#NAME?</v>
      </c>
      <c r="D52" s="1" t="e">
        <f ca="1">[1]!thsiFinD("THS_XJLLB_STOCK","600887.SH",2104,D$3,1)/1000000</f>
        <v>#NAME?</v>
      </c>
      <c r="E52" s="1" t="e">
        <f ca="1">[1]!thsiFinD("THS_XJLLB_STOCK","600597.SH",2104,E$3,1)/1000000</f>
        <v>#NAME?</v>
      </c>
    </row>
    <row r="53" spans="1:9">
      <c r="A53" s="1" t="s">
        <v>209</v>
      </c>
      <c r="B53" s="1" t="e">
        <f ca="1">[1]!thsiFinD("THS_XJLLB_STOCK","600887.SH",2095,B$3,1)/1000000</f>
        <v>#NAME?</v>
      </c>
      <c r="C53" s="1" t="e">
        <f ca="1">[1]!thsiFinD("THS_XJLLB_STOCK","600597.SH",2095,C$3,1)/1000000</f>
        <v>#NAME?</v>
      </c>
      <c r="D53" s="1" t="e">
        <f ca="1">[1]!thsiFinD("THS_XJLLB_STOCK","600887.SH",2095,D$3,1)/1000000</f>
        <v>#NAME?</v>
      </c>
      <c r="E53" s="1" t="e">
        <f ca="1">[1]!thsiFinD("THS_XJLLB_STOCK","600597.SH",2095,E$3,1)/1000000</f>
        <v>#NAME?</v>
      </c>
    </row>
    <row r="54" spans="1:9">
      <c r="A54" s="1" t="s">
        <v>210</v>
      </c>
      <c r="B54" s="1" t="e">
        <f ca="1">[1]!thsiFinD("THS_XJLLB_STOCK","600887.SH",2008,B$3,1)/1000000</f>
        <v>#NAME?</v>
      </c>
      <c r="C54" s="1" t="e">
        <f ca="1">[1]!thsiFinD("THS_XJLLB_STOCK","600597.SH",2008,C$3,1)/1000000</f>
        <v>#NAME?</v>
      </c>
      <c r="D54" s="1" t="e">
        <f ca="1">[1]!thsiFinD("THS_XJLLB_STOCK","600887.SH",2008,D$3,1)/1000000</f>
        <v>#NAME?</v>
      </c>
      <c r="E54" s="1" t="e">
        <f ca="1">[1]!thsiFinD("THS_XJLLB_STOCK","600597.SH",2008,E$3,1)/1000000</f>
        <v>#NAME?</v>
      </c>
    </row>
    <row r="55" spans="1:9">
      <c r="A55" s="1" t="s">
        <v>211</v>
      </c>
      <c r="B55" s="1" t="e">
        <f ca="1">[1]!thsiFinD("THS_XJLLB_STOCK","600887.SH",2007,B$3,1)/1000000</f>
        <v>#NAME?</v>
      </c>
      <c r="C55" s="1" t="e">
        <f ca="1">[1]!thsiFinD("THS_XJLLB_STOCK","600597.SH",2007,C$3,1)/1000000</f>
        <v>#NAME?</v>
      </c>
      <c r="D55" s="1" t="e">
        <f ca="1">[1]!thsiFinD("THS_XJLLB_STOCK","600887.SH",2007,D$3,1)/1000000</f>
        <v>#NAME?</v>
      </c>
      <c r="E55" s="1" t="e">
        <f ca="1">[1]!thsiFinD("THS_XJLLB_STOCK","600597.SH",2007,E$3,1)/1000000</f>
        <v>#NAME?</v>
      </c>
    </row>
    <row r="56" spans="1:9">
      <c r="A56" s="1" t="s">
        <v>212</v>
      </c>
      <c r="B56" s="1" t="e">
        <f ca="1">[1]!thsiFinD("THS_XJLLB_STOCK","600887.SH",2009,B$3,1)/1000000</f>
        <v>#NAME?</v>
      </c>
      <c r="C56" s="1" t="e">
        <f ca="1">[1]!thsiFinD("THS_XJLLB_STOCK","600597.SH",2009,C$3,1)/1000000</f>
        <v>#NAME?</v>
      </c>
      <c r="D56" s="1" t="e">
        <f ca="1">[1]!thsiFinD("THS_XJLLB_STOCK","600887.SH",2009,D$3,1)/1000000</f>
        <v>#NAME?</v>
      </c>
      <c r="E56" s="1" t="e">
        <f ca="1">[1]!thsiFinD("THS_XJLLB_STOCK","600597.SH",2009,E$3,1)/1000000</f>
        <v>#NAME?</v>
      </c>
    </row>
    <row r="57" spans="1:9">
      <c r="A57" s="1" t="s">
        <v>213</v>
      </c>
      <c r="B57" s="1" t="e">
        <f ca="1">[1]!thsiFinD("THS_XJLLB_STOCK","600887.SH",2005,B$3,1)/1000000</f>
        <v>#NAME?</v>
      </c>
      <c r="C57" s="1" t="e">
        <f ca="1">[1]!thsiFinD("THS_XJLLB_STOCK","600597.SH",2005,C$3,1)/1000000</f>
        <v>#NAME?</v>
      </c>
      <c r="D57" s="1" t="e">
        <f ca="1">[1]!thsiFinD("THS_XJLLB_STOCK","600887.SH",2005,D$3,1)/1000000</f>
        <v>#NAME?</v>
      </c>
      <c r="E57" s="1" t="e">
        <f ca="1">[1]!thsiFinD("THS_XJLLB_STOCK","600597.SH",2005,E$3,1)/1000000</f>
        <v>#NAME?</v>
      </c>
      <c r="G57" s="8"/>
      <c r="H57" s="8"/>
      <c r="I57" s="8"/>
    </row>
    <row r="58" spans="1:9" s="8" customFormat="1">
      <c r="A58" s="8" t="s">
        <v>214</v>
      </c>
      <c r="B58" s="8" t="e">
        <f ca="1">[1]!thsiFinD("THS_XJLLB_STOCK","600887.SH",2004,B$3,1)/1000000</f>
        <v>#NAME?</v>
      </c>
      <c r="C58" s="8" t="e">
        <f ca="1">[1]!thsiFinD("THS_XJLLB_STOCK","600597.SH",2004,C$3,1)/1000000</f>
        <v>#NAME?</v>
      </c>
      <c r="D58" s="8" t="e">
        <f ca="1">[1]!thsiFinD("THS_XJLLB_STOCK","600887.SH",2004,D$3,1)/1000000</f>
        <v>#NAME?</v>
      </c>
      <c r="E58" s="8" t="e">
        <f ca="1">[1]!thsiFinD("THS_XJLLB_STOCK","600597.SH",2004,E$3,1)/1000000</f>
        <v>#NAME?</v>
      </c>
    </row>
    <row r="59" spans="1:9" s="8" customFormat="1">
      <c r="A59" s="8" t="s">
        <v>215</v>
      </c>
      <c r="G59" s="1"/>
      <c r="H59" s="1"/>
      <c r="I59" s="1"/>
    </row>
    <row r="60" spans="1:9">
      <c r="A60" s="1" t="s">
        <v>216</v>
      </c>
      <c r="B60" s="1" t="e">
        <f ca="1">[1]!thsiFinD("THS_XJLLB_STOCK","600887.SH",2030,B$3,1)/1000000</f>
        <v>#NAME?</v>
      </c>
      <c r="C60" s="1" t="e">
        <f ca="1">[1]!thsiFinD("THS_XJLLB_STOCK","600597.SH",2030,C$3,1)/1000000</f>
        <v>#NAME?</v>
      </c>
      <c r="D60" s="1" t="e">
        <f ca="1">[1]!thsiFinD("THS_XJLLB_STOCK","600887.SH",2030,D$3,1)/1000000</f>
        <v>#NAME?</v>
      </c>
      <c r="E60" s="1" t="e">
        <f ca="1">[1]!thsiFinD("THS_XJLLB_STOCK","600597.SH",2030,E$3,1)/1000000</f>
        <v>#NAME?</v>
      </c>
    </row>
    <row r="61" spans="1:9">
      <c r="A61" s="1" t="s">
        <v>217</v>
      </c>
      <c r="B61" s="1" t="e">
        <f ca="1">[1]!thsiFinD("THS_XJLLB_STOCK","600887.SH",2100,B$3,1)/1000000</f>
        <v>#NAME?</v>
      </c>
      <c r="C61" s="1" t="e">
        <f ca="1">[1]!thsiFinD("THS_XJLLB_STOCK","600597.SH",2100,C$3,1)/1000000</f>
        <v>#NAME?</v>
      </c>
      <c r="D61" s="1" t="e">
        <f ca="1">[1]!thsiFinD("THS_XJLLB_STOCK","600887.SH",2100,D$3,1)/1000000</f>
        <v>#NAME?</v>
      </c>
      <c r="E61" s="1" t="e">
        <f ca="1">[1]!thsiFinD("THS_XJLLB_STOCK","600597.SH",2100,E$3,1)/1000000</f>
        <v>#NAME?</v>
      </c>
    </row>
    <row r="62" spans="1:9">
      <c r="A62" s="1" t="s">
        <v>218</v>
      </c>
      <c r="B62" s="1" t="e">
        <f ca="1">[1]!thsiFinD("THS_XJLLB_STOCK","600887.SH",2099,B$3,1)/1000000</f>
        <v>#NAME?</v>
      </c>
      <c r="C62" s="1" t="e">
        <f ca="1">[1]!thsiFinD("THS_XJLLB_STOCK","600597.SH",2099,C$3,1)/1000000</f>
        <v>#NAME?</v>
      </c>
      <c r="D62" s="1" t="e">
        <f ca="1">[1]!thsiFinD("THS_XJLLB_STOCK","600887.SH",2099,D$3,1)/1000000</f>
        <v>#NAME?</v>
      </c>
      <c r="E62" s="1" t="e">
        <f ca="1">[1]!thsiFinD("THS_XJLLB_STOCK","600597.SH",2099,E$3,1)/1000000</f>
        <v>#NAME?</v>
      </c>
      <c r="G62" s="8"/>
      <c r="H62" s="8"/>
      <c r="I62" s="8"/>
    </row>
    <row r="63" spans="1:9" s="8" customFormat="1">
      <c r="A63" s="8" t="s">
        <v>219</v>
      </c>
      <c r="B63" s="8" t="e">
        <f ca="1">[1]!thsiFinD("THS_XJLLB_STOCK","600887.SH",2083,B$3,1)/1000000</f>
        <v>#NAME?</v>
      </c>
      <c r="C63" s="8" t="e">
        <f ca="1">[1]!thsiFinD("THS_XJLLB_STOCK","600597.SH",2083,C$3,1)/1000000</f>
        <v>#NAME?</v>
      </c>
      <c r="D63" s="8" t="e">
        <f ca="1">[1]!thsiFinD("THS_XJLLB_STOCK","600887.SH",2083,D$3,1)/1000000</f>
        <v>#NAME?</v>
      </c>
      <c r="E63" s="8" t="e">
        <f ca="1">[1]!thsiFinD("THS_XJLLB_STOCK","600597.SH",2083,E$3,1)/1000000</f>
        <v>#NAME?</v>
      </c>
      <c r="G63" s="1"/>
      <c r="H63" s="1"/>
      <c r="I63" s="1"/>
    </row>
    <row r="64" spans="1:9">
      <c r="A64" s="1" t="s">
        <v>220</v>
      </c>
      <c r="B64" s="1" t="e">
        <f ca="1">[1]!thsiFinD("THS_XJLLB_STOCK","600887.SH",2051,B$3,1)/1000000</f>
        <v>#NAME?</v>
      </c>
      <c r="C64" s="1" t="e">
        <f ca="1">[1]!thsiFinD("THS_XJLLB_STOCK","600597.SH",2051,C$3,1)/1000000</f>
        <v>#NAME?</v>
      </c>
      <c r="D64" s="1" t="e">
        <f ca="1">[1]!thsiFinD("THS_XJLLB_STOCK","600887.SH",2051,D$3,1)/1000000</f>
        <v>#NAME?</v>
      </c>
      <c r="E64" s="1" t="e">
        <f ca="1">[1]!thsiFinD("THS_XJLLB_STOCK","600597.SH",2051,E$3,1)/1000000</f>
        <v>#NAME?</v>
      </c>
    </row>
    <row r="65" spans="1:9">
      <c r="A65" s="1" t="s">
        <v>221</v>
      </c>
      <c r="B65" s="1" t="e">
        <f ca="1">[1]!thsiFinD("THS_XJLLB_STOCK","600887.SH",2052,B$3,1)/1000000</f>
        <v>#NAME?</v>
      </c>
      <c r="C65" s="1" t="e">
        <f ca="1">[1]!thsiFinD("THS_XJLLB_STOCK","600597.SH",2052,C$3,1)/1000000</f>
        <v>#NAME?</v>
      </c>
      <c r="D65" s="1" t="e">
        <f ca="1">[1]!thsiFinD("THS_XJLLB_STOCK","600887.SH",2052,D$3,1)/1000000</f>
        <v>#NAME?</v>
      </c>
      <c r="E65" s="1" t="e">
        <f ca="1">[1]!thsiFinD("THS_XJLLB_STOCK","600597.SH",2052,E$3,1)/1000000</f>
        <v>#NAME?</v>
      </c>
      <c r="G65" s="8"/>
      <c r="H65" s="8"/>
      <c r="I65" s="8"/>
    </row>
    <row r="66" spans="1:9" s="8" customFormat="1">
      <c r="A66" s="8" t="s">
        <v>222</v>
      </c>
      <c r="G66" s="1"/>
      <c r="H66" s="1"/>
      <c r="I66" s="1"/>
    </row>
    <row r="67" spans="1:9">
      <c r="A67" s="1" t="s">
        <v>223</v>
      </c>
      <c r="B67" s="1" t="e">
        <f ca="1">[1]!thsiFinD("THS_XJLLB_STOCK","600887.SH",2048,B$3,1)/1000000</f>
        <v>#NAME?</v>
      </c>
      <c r="C67" s="1" t="e">
        <f ca="1">[1]!thsiFinD("THS_XJLLB_STOCK","600597.SH",2048,C$3,1)/1000000</f>
        <v>#NAME?</v>
      </c>
      <c r="D67" s="1" t="e">
        <f ca="1">[1]!thsiFinD("THS_XJLLB_STOCK","600887.SH",2048,D$3,1)/1000000</f>
        <v>#NAME?</v>
      </c>
      <c r="E67" s="1" t="e">
        <f ca="1">[1]!thsiFinD("THS_XJLLB_STOCK","600597.SH",2048,E$3,1)/1000000</f>
        <v>#NAME?</v>
      </c>
    </row>
    <row r="68" spans="1:9">
      <c r="A68" s="1" t="s">
        <v>224</v>
      </c>
      <c r="B68" s="1" t="e">
        <f ca="1">[1]!thsiFinD("THS_XJLLB_STOCK","600887.SH",2102,B$3,1)/1000000</f>
        <v>#NAME?</v>
      </c>
      <c r="C68" s="1" t="e">
        <f ca="1">[1]!thsiFinD("THS_XJLLB_STOCK","600597.SH",2102,C$3,1)/1000000</f>
        <v>#NAME?</v>
      </c>
      <c r="D68" s="1" t="e">
        <f ca="1">[1]!thsiFinD("THS_XJLLB_STOCK","600887.SH",2102,D$3,1)/1000000</f>
        <v>#NAME?</v>
      </c>
      <c r="E68" s="1" t="e">
        <f ca="1">[1]!thsiFinD("THS_XJLLB_STOCK","600597.SH",2102,E$3,1)/1000000</f>
        <v>#NAME?</v>
      </c>
    </row>
    <row r="69" spans="1:9">
      <c r="A69" s="1" t="s">
        <v>225</v>
      </c>
      <c r="B69" s="1" t="e">
        <f ca="1">[1]!thsiFinD("THS_XJLLB_STOCK","600887.SH",2028,B$3,1)/1000000</f>
        <v>#NAME?</v>
      </c>
      <c r="C69" s="1" t="e">
        <f ca="1">[1]!thsiFinD("THS_XJLLB_STOCK","600597.SH",2028,C$3,1)/1000000</f>
        <v>#NAME?</v>
      </c>
      <c r="D69" s="1" t="e">
        <f ca="1">[1]!thsiFinD("THS_XJLLB_STOCK","600887.SH",2028,D$3,1)/1000000</f>
        <v>#NAME?</v>
      </c>
      <c r="E69" s="1" t="e">
        <f ca="1">[1]!thsiFinD("THS_XJLLB_STOCK","600597.SH",2028,E$3,1)/1000000</f>
        <v>#NAME?</v>
      </c>
    </row>
    <row r="70" spans="1:9">
      <c r="A70" s="1" t="s">
        <v>226</v>
      </c>
      <c r="B70" s="1" t="e">
        <f ca="1">[1]!thsiFinD("THS_XJLLB_STOCK","600887.SH",2077,B$3,1)/1000000</f>
        <v>#NAME?</v>
      </c>
      <c r="C70" s="1" t="e">
        <f ca="1">[1]!thsiFinD("THS_XJLLB_STOCK","600597.SH",2077,C$3,1)/1000000</f>
        <v>#NAME?</v>
      </c>
      <c r="D70" s="1" t="e">
        <f ca="1">[1]!thsiFinD("THS_XJLLB_STOCK","600887.SH",2077,D$3,1)/1000000</f>
        <v>#NAME?</v>
      </c>
      <c r="E70" s="1" t="e">
        <f ca="1">[1]!thsiFinD("THS_XJLLB_STOCK","600597.SH",2077,E$3,1)/1000000</f>
        <v>#NAME?</v>
      </c>
    </row>
    <row r="71" spans="1:9">
      <c r="A71" s="1" t="s">
        <v>227</v>
      </c>
      <c r="B71" s="1" t="e">
        <f ca="1">[1]!thsiFinD("THS_XJLLB_STOCK","600887.SH",2090,B$3,1)/1000000</f>
        <v>#NAME?</v>
      </c>
      <c r="C71" s="1" t="e">
        <f ca="1">[1]!thsiFinD("THS_XJLLB_STOCK","600597.SH",2090,C$3,1)/1000000</f>
        <v>#NAME?</v>
      </c>
      <c r="D71" s="1" t="e">
        <f ca="1">[1]!thsiFinD("THS_XJLLB_STOCK","600887.SH",2090,D$3,1)/1000000</f>
        <v>#NAME?</v>
      </c>
      <c r="E71" s="1" t="e">
        <f ca="1">[1]!thsiFinD("THS_XJLLB_STOCK","600597.SH",2090,E$3,1)/1000000</f>
        <v>#NAME?</v>
      </c>
    </row>
    <row r="72" spans="1:9">
      <c r="A72" s="1" t="s">
        <v>228</v>
      </c>
    </row>
    <row r="73" spans="1:9">
      <c r="A73" s="1" t="s">
        <v>229</v>
      </c>
    </row>
    <row r="74" spans="1:9">
      <c r="A74" s="1" t="s">
        <v>230</v>
      </c>
      <c r="B74" s="1" t="e">
        <f ca="1">[1]!thsiFinD("THS_XJLLB_STOCK","600887.SH",2013,B$3,1)/1000000</f>
        <v>#NAME?</v>
      </c>
      <c r="C74" s="1" t="e">
        <f ca="1">[1]!thsiFinD("THS_XJLLB_STOCK","600597.SH",2013,C$3,1)/1000000</f>
        <v>#NAME?</v>
      </c>
      <c r="D74" s="1" t="e">
        <f ca="1">[1]!thsiFinD("THS_XJLLB_STOCK","600887.SH",2013,D$3,1)/1000000</f>
        <v>#NAME?</v>
      </c>
      <c r="E74" s="1" t="e">
        <f ca="1">[1]!thsiFinD("THS_XJLLB_STOCK","600597.SH",2013,E$3,1)/1000000</f>
        <v>#NAME?</v>
      </c>
    </row>
    <row r="75" spans="1:9">
      <c r="A75" s="1" t="s">
        <v>231</v>
      </c>
      <c r="B75" s="1" t="e">
        <f ca="1">[1]!thsiFinD("THS_XJLLB_STOCK","600887.SH",2027,B$3,1)/1000000</f>
        <v>#NAME?</v>
      </c>
      <c r="C75" s="1" t="e">
        <f ca="1">[1]!thsiFinD("THS_XJLLB_STOCK","600597.SH",2027,C$3,1)/1000000</f>
        <v>#NAME?</v>
      </c>
      <c r="D75" s="1" t="e">
        <f ca="1">[1]!thsiFinD("THS_XJLLB_STOCK","600887.SH",2027,D$3,1)/1000000</f>
        <v>#NAME?</v>
      </c>
      <c r="E75" s="1" t="e">
        <f ca="1">[1]!thsiFinD("THS_XJLLB_STOCK","600597.SH",2027,E$3,1)/1000000</f>
        <v>#NAME?</v>
      </c>
    </row>
    <row r="76" spans="1:9">
      <c r="A76" s="1" t="s">
        <v>232</v>
      </c>
      <c r="B76" s="1" t="e">
        <f ca="1">[1]!thsiFinD("THS_XJLLB_STOCK","600887.SH",2024,B$3,1)/1000000</f>
        <v>#NAME?</v>
      </c>
      <c r="C76" s="1" t="e">
        <f ca="1">[1]!thsiFinD("THS_XJLLB_STOCK","600597.SH",2024,C$3,1)/1000000</f>
        <v>#NAME?</v>
      </c>
      <c r="D76" s="1" t="e">
        <f ca="1">[1]!thsiFinD("THS_XJLLB_STOCK","600887.SH",2024,D$3,1)/1000000</f>
        <v>#NAME?</v>
      </c>
      <c r="E76" s="1" t="e">
        <f ca="1">[1]!thsiFinD("THS_XJLLB_STOCK","600597.SH",2024,E$3,1)/1000000</f>
        <v>#NAME?</v>
      </c>
    </row>
    <row r="77" spans="1:9">
      <c r="A77" s="1" t="s">
        <v>26</v>
      </c>
      <c r="B77" s="1" t="e">
        <f ca="1">[1]!thsiFinD("THS_XJLLB_STOCK","600887.SH",2001,B$3,1)/1000000</f>
        <v>#NAME?</v>
      </c>
      <c r="C77" s="1" t="e">
        <f ca="1">[1]!thsiFinD("THS_XJLLB_STOCK","600597.SH",2001,C$3,1)/1000000</f>
        <v>#NAME?</v>
      </c>
      <c r="D77" s="1" t="e">
        <f ca="1">[1]!thsiFinD("THS_XJLLB_STOCK","600887.SH",2001,D$3,1)/1000000</f>
        <v>#NAME?</v>
      </c>
      <c r="E77" s="1" t="e">
        <f ca="1">[1]!thsiFinD("THS_XJLLB_STOCK","600597.SH",2001,E$3,1)/1000000</f>
        <v>#NAME?</v>
      </c>
    </row>
    <row r="78" spans="1:9">
      <c r="A78" s="1" t="s">
        <v>233</v>
      </c>
      <c r="B78" s="1" t="e">
        <f ca="1">[1]!thsiFinD("THS_XJLLB_STOCK","600887.SH",2075,B$3,1)/1000000</f>
        <v>#NAME?</v>
      </c>
      <c r="C78" s="1" t="e">
        <f ca="1">[1]!thsiFinD("THS_XJLLB_STOCK","600597.SH",2075,C$3,1)/1000000</f>
        <v>#NAME?</v>
      </c>
      <c r="D78" s="1" t="e">
        <f ca="1">[1]!thsiFinD("THS_XJLLB_STOCK","600887.SH",2075,D$3,1)/1000000</f>
        <v>#NAME?</v>
      </c>
      <c r="E78" s="1" t="e">
        <f ca="1">[1]!thsiFinD("THS_XJLLB_STOCK","600597.SH",2075,E$3,1)/1000000</f>
        <v>#NAME?</v>
      </c>
    </row>
    <row r="79" spans="1:9">
      <c r="A79" s="1" t="s">
        <v>234</v>
      </c>
      <c r="B79" s="1" t="e">
        <f ca="1">[1]!thsiFinD("THS_XJLLB_STOCK","600887.SH",2021,B$3,1)/1000000</f>
        <v>#NAME?</v>
      </c>
      <c r="C79" s="1" t="e">
        <f ca="1">[1]!thsiFinD("THS_XJLLB_STOCK","600597.SH",2021,C$3,1)/1000000</f>
        <v>#NAME?</v>
      </c>
      <c r="D79" s="1" t="e">
        <f ca="1">[1]!thsiFinD("THS_XJLLB_STOCK","600887.SH",2021,D$3,1)/1000000</f>
        <v>#NAME?</v>
      </c>
      <c r="E79" s="1" t="e">
        <f ca="1">[1]!thsiFinD("THS_XJLLB_STOCK","600597.SH",2021,E$3,1)/1000000</f>
        <v>#NAME?</v>
      </c>
    </row>
    <row r="80" spans="1:9">
      <c r="A80" s="1" t="s">
        <v>235</v>
      </c>
      <c r="B80" s="1" t="e">
        <f ca="1">[1]!thsiFinD("THS_XJLLB_STOCK","600887.SH",2020,B$3,1)/1000000</f>
        <v>#NAME?</v>
      </c>
      <c r="C80" s="1" t="e">
        <f ca="1">[1]!thsiFinD("THS_XJLLB_STOCK","600597.SH",2020,C$3,1)/1000000</f>
        <v>#NAME?</v>
      </c>
      <c r="D80" s="1" t="e">
        <f ca="1">[1]!thsiFinD("THS_XJLLB_STOCK","600887.SH",2020,D$3,1)/1000000</f>
        <v>#NAME?</v>
      </c>
      <c r="E80" s="1" t="e">
        <f ca="1">[1]!thsiFinD("THS_XJLLB_STOCK","600597.SH",2020,E$3,1)/1000000</f>
        <v>#NAME?</v>
      </c>
    </row>
    <row r="81" spans="1:5">
      <c r="A81" s="1" t="s">
        <v>236</v>
      </c>
      <c r="B81" s="1" t="e">
        <f ca="1">[1]!thsiFinD("THS_XJLLB_STOCK","600887.SH",2018,B$3,1)/1000000</f>
        <v>#NAME?</v>
      </c>
      <c r="C81" s="1" t="e">
        <f ca="1">[1]!thsiFinD("THS_XJLLB_STOCK","600597.SH",2018,C$3,1)/1000000</f>
        <v>#NAME?</v>
      </c>
      <c r="D81" s="1" t="e">
        <f ca="1">[1]!thsiFinD("THS_XJLLB_STOCK","600887.SH",2018,D$3,1)/1000000</f>
        <v>#NAME?</v>
      </c>
      <c r="E81" s="1" t="e">
        <f ca="1">[1]!thsiFinD("THS_XJLLB_STOCK","600597.SH",2018,E$3,1)/1000000</f>
        <v>#NAME?</v>
      </c>
    </row>
    <row r="82" spans="1:5">
      <c r="A82" s="1" t="s">
        <v>237</v>
      </c>
      <c r="B82" s="1" t="e">
        <f ca="1">[1]!thsiFinD("THS_XJLLB_STOCK","600887.SH",2047,B$3,1)/1000000</f>
        <v>#NAME?</v>
      </c>
      <c r="C82" s="1" t="e">
        <f ca="1">[1]!thsiFinD("THS_XJLLB_STOCK","600597.SH",2047,C$3,1)/1000000</f>
        <v>#NAME?</v>
      </c>
      <c r="D82" s="1" t="e">
        <f ca="1">[1]!thsiFinD("THS_XJLLB_STOCK","600887.SH",2047,D$3,1)/1000000</f>
        <v>#NAME?</v>
      </c>
      <c r="E82" s="1" t="e">
        <f ca="1">[1]!thsiFinD("THS_XJLLB_STOCK","600597.SH",2047,E$3,1)/1000000</f>
        <v>#NAME?</v>
      </c>
    </row>
    <row r="83" spans="1:5">
      <c r="A83" s="1" t="s">
        <v>238</v>
      </c>
      <c r="B83" s="1" t="e">
        <f ca="1">[1]!thsiFinD("THS_XJLLB_STOCK","600887.SH",2046,B$3,1)/1000000</f>
        <v>#NAME?</v>
      </c>
      <c r="C83" s="1" t="e">
        <f ca="1">[1]!thsiFinD("THS_XJLLB_STOCK","600597.SH",2046,C$3,1)/1000000</f>
        <v>#NAME?</v>
      </c>
      <c r="D83" s="1" t="e">
        <f ca="1">[1]!thsiFinD("THS_XJLLB_STOCK","600887.SH",2046,D$3,1)/1000000</f>
        <v>#NAME?</v>
      </c>
      <c r="E83" s="1" t="e">
        <f ca="1">[1]!thsiFinD("THS_XJLLB_STOCK","600597.SH",2046,E$3,1)/1000000</f>
        <v>#NAME?</v>
      </c>
    </row>
    <row r="84" spans="1:5">
      <c r="A84" s="1" t="s">
        <v>154</v>
      </c>
    </row>
    <row r="85" spans="1:5">
      <c r="A85" s="1" t="s">
        <v>239</v>
      </c>
      <c r="B85" s="1" t="e">
        <f ca="1">[1]!thsiFinD("THS_XJLLB_STOCK","600887.SH",2053,B$3,1)/1000000</f>
        <v>#NAME?</v>
      </c>
      <c r="C85" s="1" t="e">
        <f ca="1">[1]!thsiFinD("THS_XJLLB_STOCK","600597.SH",2053,C$3,1)/1000000</f>
        <v>#NAME?</v>
      </c>
      <c r="D85" s="1" t="e">
        <f ca="1">[1]!thsiFinD("THS_XJLLB_STOCK","600887.SH",2053,D$3,1)/1000000</f>
        <v>#NAME?</v>
      </c>
      <c r="E85" s="1" t="e">
        <f ca="1">[1]!thsiFinD("THS_XJLLB_STOCK","600597.SH",2053,E$3,1)/1000000</f>
        <v>#NAME?</v>
      </c>
    </row>
    <row r="86" spans="1:5">
      <c r="A86" s="1" t="s">
        <v>240</v>
      </c>
      <c r="B86" s="1" t="e">
        <f ca="1">[1]!thsiFinD("THS_XJLLB_STOCK","600887.SH",2032,B$3,1)/1000000</f>
        <v>#NAME?</v>
      </c>
      <c r="C86" s="1" t="e">
        <f ca="1">[1]!thsiFinD("THS_XJLLB_STOCK","600597.SH",2032,C$3,1)/1000000</f>
        <v>#NAME?</v>
      </c>
      <c r="D86" s="1" t="e">
        <f ca="1">[1]!thsiFinD("THS_XJLLB_STOCK","600887.SH",2032,D$3,1)/1000000</f>
        <v>#NAME?</v>
      </c>
      <c r="E86" s="1" t="e">
        <f ca="1">[1]!thsiFinD("THS_XJLLB_STOCK","600597.SH",2032,E$3,1)/1000000</f>
        <v>#NAME?</v>
      </c>
    </row>
    <row r="87" spans="1:5">
      <c r="A87" s="1" t="s">
        <v>241</v>
      </c>
      <c r="B87" s="1" t="e">
        <f ca="1">[1]!thsiFinD("THS_XJLLB_STOCK","600887.SH",2031,B$3,1)/1000000</f>
        <v>#NAME?</v>
      </c>
      <c r="C87" s="1" t="e">
        <f ca="1">[1]!thsiFinD("THS_XJLLB_STOCK","600597.SH",2031,C$3,1)/1000000</f>
        <v>#NAME?</v>
      </c>
      <c r="D87" s="1" t="e">
        <f ca="1">[1]!thsiFinD("THS_XJLLB_STOCK","600887.SH",2031,D$3,1)/1000000</f>
        <v>#NAME?</v>
      </c>
      <c r="E87" s="1" t="e">
        <f ca="1">[1]!thsiFinD("THS_XJLLB_STOCK","600597.SH",2031,E$3,1)/1000000</f>
        <v>#NAME?</v>
      </c>
    </row>
    <row r="88" spans="1:5">
      <c r="A88" s="1" t="s">
        <v>178</v>
      </c>
      <c r="B88" s="1" t="e">
        <f ca="1">[1]!thsiFinD("THS_XJLLB_STOCK","600887.SH",2033,B$3,1)/1000000</f>
        <v>#NAME?</v>
      </c>
      <c r="C88" s="1" t="e">
        <f ca="1">[1]!thsiFinD("THS_XJLLB_STOCK","600597.SH",2033,C$3,1)/1000000</f>
        <v>#NAME?</v>
      </c>
      <c r="D88" s="1" t="e">
        <f ca="1">[1]!thsiFinD("THS_XJLLB_STOCK","600887.SH",2033,D$3,1)/1000000</f>
        <v>#NAME?</v>
      </c>
      <c r="E88" s="1" t="e">
        <f ca="1">[1]!thsiFinD("THS_XJLLB_STOCK","600597.SH",2033,E$3,1)/1000000</f>
        <v>#NAME?</v>
      </c>
    </row>
    <row r="89" spans="1:5">
      <c r="A89" s="1" t="s">
        <v>242</v>
      </c>
      <c r="B89" s="1" t="e">
        <f ca="1">[1]!thsiFinD("THS_XJLLB_STOCK","600887.SH",2089,B$3,1)/1000000</f>
        <v>#NAME?</v>
      </c>
      <c r="C89" s="1" t="e">
        <f ca="1">[1]!thsiFinD("THS_XJLLB_STOCK","600597.SH",2089,C$3,1)/1000000</f>
        <v>#NAME?</v>
      </c>
      <c r="D89" s="1" t="e">
        <f ca="1">[1]!thsiFinD("THS_XJLLB_STOCK","600887.SH",2089,D$3,1)/1000000</f>
        <v>#NAME?</v>
      </c>
      <c r="E89" s="1" t="e">
        <f ca="1">[1]!thsiFinD("THS_XJLLB_STOCK","600597.SH",2089,E$3,1)/1000000</f>
        <v>#NAME?</v>
      </c>
    </row>
    <row r="90" spans="1:5">
      <c r="A90" s="1" t="s">
        <v>243</v>
      </c>
      <c r="B90" s="1" t="e">
        <f ca="1">[1]!thsiFinD("THS_XJLLB_STOCK","600887.SH",2087,B$3,1)/1000000</f>
        <v>#NAME?</v>
      </c>
      <c r="C90" s="1" t="e">
        <f ca="1">[1]!thsiFinD("THS_XJLLB_STOCK","600597.SH",2087,C$3,1)/1000000</f>
        <v>#NAME?</v>
      </c>
      <c r="D90" s="1" t="e">
        <f ca="1">[1]!thsiFinD("THS_XJLLB_STOCK","600887.SH",2087,D$3,1)/1000000</f>
        <v>#NAME?</v>
      </c>
      <c r="E90" s="1" t="e">
        <f ca="1">[1]!thsiFinD("THS_XJLLB_STOCK","600597.SH",2087,E$3,1)/1000000</f>
        <v>#NAME?</v>
      </c>
    </row>
    <row r="91" spans="1:5">
      <c r="A91" s="1" t="s">
        <v>244</v>
      </c>
      <c r="B91" s="1" t="e">
        <f ca="1">[1]!thsiFinD("THS_XJLLB_STOCK","600887.SH",2057,B$3,1)/1000000</f>
        <v>#NAME?</v>
      </c>
      <c r="C91" s="1" t="e">
        <f ca="1">[1]!thsiFinD("THS_XJLLB_STOCK","600597.SH",2057,C$3,1)/1000000</f>
        <v>#NAME?</v>
      </c>
      <c r="D91" s="1" t="e">
        <f ca="1">[1]!thsiFinD("THS_XJLLB_STOCK","600887.SH",2057,D$3,1)/1000000</f>
        <v>#NAME?</v>
      </c>
      <c r="E91" s="1" t="e">
        <f ca="1">[1]!thsiFinD("THS_XJLLB_STOCK","600597.SH",2057,E$3,1)/1000000</f>
        <v>#NAME?</v>
      </c>
    </row>
    <row r="92" spans="1:5">
      <c r="A92" s="1" t="s">
        <v>245</v>
      </c>
      <c r="B92" s="1" t="e">
        <f ca="1">[1]!thsiFinD("THS_XJLLB_STOCK","600887.SH",2080,B$3,1)/1000000</f>
        <v>#NAME?</v>
      </c>
      <c r="C92" s="1" t="e">
        <f ca="1">[1]!thsiFinD("THS_XJLLB_STOCK","600597.SH",2080,C$3,1)/1000000</f>
        <v>#NAME?</v>
      </c>
      <c r="D92" s="1" t="e">
        <f ca="1">[1]!thsiFinD("THS_XJLLB_STOCK","600887.SH",2080,D$3,1)/1000000</f>
        <v>#NAME?</v>
      </c>
      <c r="E92" s="1" t="e">
        <f ca="1">[1]!thsiFinD("THS_XJLLB_STOCK","600597.SH",2080,E$3,1)/1000000</f>
        <v>#NAME?</v>
      </c>
    </row>
    <row r="93" spans="1:5">
      <c r="A93" s="1" t="s">
        <v>246</v>
      </c>
      <c r="B93" s="1" t="e">
        <f ca="1">[1]!thsiFinD("THS_XJLLB_STOCK","600887.SH",2079,B$3,1)/1000000</f>
        <v>#NAME?</v>
      </c>
      <c r="C93" s="1" t="e">
        <f ca="1">[1]!thsiFinD("THS_XJLLB_STOCK","600597.SH",2079,C$3,1)/1000000</f>
        <v>#NAME?</v>
      </c>
      <c r="D93" s="1" t="e">
        <f ca="1">[1]!thsiFinD("THS_XJLLB_STOCK","600887.SH",2079,D$3,1)/1000000</f>
        <v>#NAME?</v>
      </c>
      <c r="E93" s="1" t="e">
        <f ca="1">[1]!thsiFinD("THS_XJLLB_STOCK","600597.SH",2079,E$3,1)/1000000</f>
        <v>#NAME?</v>
      </c>
    </row>
    <row r="94" spans="1:5">
      <c r="A94" s="1" t="s">
        <v>247</v>
      </c>
      <c r="B94" s="1" t="e">
        <f ca="1">[1]!thsiFinD("THS_XJLLB_STOCK","600887.SH",2082,B$3,1)/1000000</f>
        <v>#NAME?</v>
      </c>
      <c r="C94" s="1" t="e">
        <f ca="1">[1]!thsiFinD("THS_XJLLB_STOCK","600597.SH",2082,C$3,1)/1000000</f>
        <v>#NAME?</v>
      </c>
      <c r="D94" s="1" t="e">
        <f ca="1">[1]!thsiFinD("THS_XJLLB_STOCK","600887.SH",2082,D$3,1)/1000000</f>
        <v>#NAME?</v>
      </c>
      <c r="E94" s="1" t="e">
        <f ca="1">[1]!thsiFinD("THS_XJLLB_STOCK","600597.SH",2082,E$3,1)/1000000</f>
        <v>#NAME?</v>
      </c>
    </row>
    <row r="95" spans="1:5">
      <c r="A95" s="1" t="s">
        <v>248</v>
      </c>
      <c r="B95" s="1" t="e">
        <f ca="1">[1]!thsiFinD("THS_XJLLB_STOCK","600887.SH",2081,B$3,1)/1000000</f>
        <v>#NAME?</v>
      </c>
      <c r="C95" s="1" t="e">
        <f ca="1">[1]!thsiFinD("THS_XJLLB_STOCK","600597.SH",2081,C$3,1)/1000000</f>
        <v>#NAME?</v>
      </c>
      <c r="D95" s="1" t="e">
        <f ca="1">[1]!thsiFinD("THS_XJLLB_STOCK","600887.SH",2081,D$3,1)/1000000</f>
        <v>#NAME?</v>
      </c>
      <c r="E95" s="1" t="e">
        <f ca="1">[1]!thsiFinD("THS_XJLLB_STOCK","600597.SH",2081,E$3,1)/1000000</f>
        <v>#NAME?</v>
      </c>
    </row>
    <row r="96" spans="1:5">
      <c r="A96" s="1" t="s">
        <v>249</v>
      </c>
      <c r="B96" s="1" t="e">
        <f ca="1">[1]!thsiFinD("THS_XJLLB_STOCK","600887.SH",2036,B$3,1)/1000000</f>
        <v>#NAME?</v>
      </c>
      <c r="C96" s="1" t="e">
        <f ca="1">[1]!thsiFinD("THS_XJLLB_STOCK","600597.SH",2036,C$3,1)/1000000</f>
        <v>#NAME?</v>
      </c>
      <c r="D96" s="1" t="e">
        <f ca="1">[1]!thsiFinD("THS_XJLLB_STOCK","600887.SH",2036,D$3,1)/1000000</f>
        <v>#NAME?</v>
      </c>
      <c r="E96" s="1" t="e">
        <f ca="1">[1]!thsiFinD("THS_XJLLB_STOCK","600597.SH",2036,E$3,1)/1000000</f>
        <v>#NAME?</v>
      </c>
    </row>
    <row r="97" spans="1:5">
      <c r="A97" s="1" t="s">
        <v>250</v>
      </c>
      <c r="B97" s="1" t="e">
        <f ca="1">[1]!thsiFinD("THS_XJLLB_STOCK","600887.SH",2035,B$3,1)/1000000</f>
        <v>#NAME?</v>
      </c>
      <c r="C97" s="1" t="e">
        <f ca="1">[1]!thsiFinD("THS_XJLLB_STOCK","600597.SH",2035,C$3,1)/1000000</f>
        <v>#NAME?</v>
      </c>
      <c r="D97" s="1" t="e">
        <f ca="1">[1]!thsiFinD("THS_XJLLB_STOCK","600887.SH",2035,D$3,1)/1000000</f>
        <v>#NAME?</v>
      </c>
      <c r="E97" s="1" t="e">
        <f ca="1">[1]!thsiFinD("THS_XJLLB_STOCK","600597.SH",2035,E$3,1)/1000000</f>
        <v>#NAME?</v>
      </c>
    </row>
    <row r="98" spans="1:5">
      <c r="A98" s="1" t="s">
        <v>251</v>
      </c>
      <c r="B98" s="1" t="e">
        <f ca="1">[1]!thsiFinD("THS_XJLLB_STOCK","600887.SH",2034,B$3,1)/1000000</f>
        <v>#NAME?</v>
      </c>
      <c r="C98" s="1" t="e">
        <f ca="1">[1]!thsiFinD("THS_XJLLB_STOCK","600597.SH",2034,C$3,1)/1000000</f>
        <v>#NAME?</v>
      </c>
      <c r="D98" s="1" t="e">
        <f ca="1">[1]!thsiFinD("THS_XJLLB_STOCK","600887.SH",2034,D$3,1)/1000000</f>
        <v>#NAME?</v>
      </c>
      <c r="E98" s="1" t="e">
        <f ca="1">[1]!thsiFinD("THS_XJLLB_STOCK","600597.SH",2034,E$3,1)/1000000</f>
        <v>#NAME?</v>
      </c>
    </row>
  </sheetData>
  <phoneticPr fontId="2" type="noConversion"/>
  <conditionalFormatting sqref="A1:XFD1048576">
    <cfRule type="cellIs" dxfId="8" priority="8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1-利润表</vt:lpstr>
      <vt:lpstr>2-资产负债表</vt:lpstr>
      <vt:lpstr>3-现金流量表</vt:lpstr>
      <vt:lpstr>利润表</vt:lpstr>
      <vt:lpstr>资产负债表</vt:lpstr>
      <vt:lpstr>现金流量表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Song Jun</cp:lastModifiedBy>
  <cp:lastPrinted>2018-03-21T07:43:05Z</cp:lastPrinted>
  <dcterms:created xsi:type="dcterms:W3CDTF">2018-03-19T05:50:30Z</dcterms:created>
  <dcterms:modified xsi:type="dcterms:W3CDTF">2018-03-28T05:53:21Z</dcterms:modified>
</cp:coreProperties>
</file>