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unsw-my.sharepoint.com/personal/z5421217_ad_unsw_edu_au/Documents/EY Case Competition/Data &amp; Modelling/"/>
    </mc:Choice>
  </mc:AlternateContent>
  <xr:revisionPtr revIDLastSave="247" documentId="11_F25DC773A252ABDACC104839A99D47745ADE58EA" xr6:coauthVersionLast="47" xr6:coauthVersionMax="47" xr10:uidLastSave="{E76E19AC-CAED-41FE-B4F3-968214322645}"/>
  <bookViews>
    <workbookView xWindow="-120" yWindow="-120" windowWidth="38640" windowHeight="21120" xr2:uid="{00000000-000D-0000-FFFF-FFFF00000000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" l="1"/>
  <c r="I32" i="1"/>
  <c r="H32" i="1"/>
  <c r="G32" i="1"/>
  <c r="O11" i="1"/>
  <c r="P11" i="1"/>
  <c r="O12" i="1"/>
  <c r="P12" i="1"/>
  <c r="O23" i="1"/>
  <c r="P23" i="1"/>
  <c r="O24" i="1"/>
  <c r="P24" i="1"/>
  <c r="O17" i="1"/>
  <c r="P17" i="1"/>
  <c r="O18" i="1"/>
  <c r="P18" i="1"/>
  <c r="N4" i="1"/>
  <c r="N5" i="1"/>
  <c r="O5" i="1"/>
  <c r="P5" i="1"/>
  <c r="Q5" i="1"/>
  <c r="N6" i="1"/>
  <c r="R6" i="1" s="1"/>
  <c r="O6" i="1"/>
  <c r="P6" i="1"/>
  <c r="Q6" i="1"/>
  <c r="Q3" i="1"/>
  <c r="R19" i="1"/>
  <c r="R13" i="1"/>
  <c r="R7" i="1"/>
  <c r="K5" i="1"/>
  <c r="K6" i="1"/>
  <c r="K7" i="1"/>
  <c r="K13" i="1"/>
  <c r="K19" i="1"/>
  <c r="J11" i="1"/>
  <c r="Q11" i="1" s="1"/>
  <c r="J12" i="1"/>
  <c r="J18" i="1" s="1"/>
  <c r="J9" i="1"/>
  <c r="Q9" i="1" s="1"/>
  <c r="I4" i="1"/>
  <c r="P4" i="1" s="1"/>
  <c r="H4" i="1"/>
  <c r="I3" i="1"/>
  <c r="I9" i="1" s="1"/>
  <c r="H3" i="1"/>
  <c r="H9" i="1" s="1"/>
  <c r="D8" i="1"/>
  <c r="D12" i="1" s="1"/>
  <c r="D16" i="1" s="1"/>
  <c r="D7" i="1"/>
  <c r="C7" i="1" s="1"/>
  <c r="C23" i="2"/>
  <c r="D23" i="2" s="1"/>
  <c r="C22" i="2"/>
  <c r="D22" i="2" s="1"/>
  <c r="C21" i="2"/>
  <c r="D21" i="2" s="1"/>
  <c r="D20" i="2"/>
  <c r="K15" i="2" s="1"/>
  <c r="C20" i="2"/>
  <c r="K14" i="2"/>
  <c r="J14" i="2"/>
  <c r="I14" i="2"/>
  <c r="E14" i="2"/>
  <c r="D14" i="2"/>
  <c r="C14" i="2"/>
  <c r="K12" i="2"/>
  <c r="J12" i="2"/>
  <c r="I12" i="2"/>
  <c r="E12" i="2"/>
  <c r="D12" i="2"/>
  <c r="C12" i="2"/>
  <c r="G11" i="1" l="1"/>
  <c r="G12" i="1"/>
  <c r="I15" i="1"/>
  <c r="P9" i="1"/>
  <c r="H15" i="1"/>
  <c r="O9" i="1"/>
  <c r="Q18" i="1"/>
  <c r="G18" i="1"/>
  <c r="J24" i="1"/>
  <c r="G3" i="1"/>
  <c r="P3" i="1"/>
  <c r="O3" i="1"/>
  <c r="Q12" i="1"/>
  <c r="R5" i="1"/>
  <c r="J15" i="1"/>
  <c r="J4" i="1"/>
  <c r="J17" i="1"/>
  <c r="O4" i="1"/>
  <c r="C16" i="1"/>
  <c r="C8" i="1"/>
  <c r="C12" i="1"/>
  <c r="D11" i="1"/>
  <c r="C15" i="2"/>
  <c r="D15" i="2"/>
  <c r="E15" i="2"/>
  <c r="I15" i="2"/>
  <c r="J15" i="2"/>
  <c r="N12" i="1" l="1"/>
  <c r="R12" i="1" s="1"/>
  <c r="K12" i="1"/>
  <c r="K11" i="1"/>
  <c r="N11" i="1"/>
  <c r="R11" i="1" s="1"/>
  <c r="G17" i="1"/>
  <c r="Q17" i="1"/>
  <c r="J23" i="1"/>
  <c r="N3" i="1"/>
  <c r="R3" i="1" s="1"/>
  <c r="G9" i="1"/>
  <c r="K3" i="1"/>
  <c r="N18" i="1"/>
  <c r="R18" i="1" s="1"/>
  <c r="K18" i="1"/>
  <c r="J10" i="1"/>
  <c r="H10" i="1"/>
  <c r="Q4" i="1"/>
  <c r="R4" i="1" s="1"/>
  <c r="G10" i="1"/>
  <c r="I10" i="1"/>
  <c r="K4" i="1"/>
  <c r="J21" i="1"/>
  <c r="Q21" i="1" s="1"/>
  <c r="Q15" i="1"/>
  <c r="Q24" i="1"/>
  <c r="G24" i="1"/>
  <c r="H21" i="1"/>
  <c r="O21" i="1" s="1"/>
  <c r="O15" i="1"/>
  <c r="I21" i="1"/>
  <c r="P21" i="1" s="1"/>
  <c r="P15" i="1"/>
  <c r="C11" i="1"/>
  <c r="D15" i="1"/>
  <c r="C15" i="1" s="1"/>
  <c r="N24" i="1" l="1"/>
  <c r="R24" i="1" s="1"/>
  <c r="K24" i="1"/>
  <c r="N10" i="1"/>
  <c r="G16" i="1"/>
  <c r="K10" i="1"/>
  <c r="G15" i="1"/>
  <c r="N9" i="1"/>
  <c r="R9" i="1" s="1"/>
  <c r="K9" i="1"/>
  <c r="I16" i="1"/>
  <c r="P10" i="1"/>
  <c r="O10" i="1"/>
  <c r="H16" i="1"/>
  <c r="G23" i="1"/>
  <c r="Q23" i="1"/>
  <c r="K17" i="1"/>
  <c r="N17" i="1"/>
  <c r="R17" i="1" s="1"/>
  <c r="J16" i="1"/>
  <c r="Q10" i="1"/>
  <c r="J22" i="1" l="1"/>
  <c r="Q22" i="1" s="1"/>
  <c r="Q16" i="1"/>
  <c r="K16" i="1"/>
  <c r="H22" i="1"/>
  <c r="O22" i="1" s="1"/>
  <c r="O16" i="1"/>
  <c r="N23" i="1"/>
  <c r="R23" i="1" s="1"/>
  <c r="K23" i="1"/>
  <c r="I22" i="1"/>
  <c r="P22" i="1" s="1"/>
  <c r="P16" i="1"/>
  <c r="R10" i="1"/>
  <c r="K15" i="1"/>
  <c r="N15" i="1"/>
  <c r="R15" i="1" s="1"/>
  <c r="G21" i="1"/>
  <c r="G22" i="1"/>
  <c r="N16" i="1"/>
  <c r="R16" i="1" s="1"/>
  <c r="N21" i="1" l="1"/>
  <c r="R21" i="1" s="1"/>
  <c r="K21" i="1"/>
  <c r="N22" i="1"/>
  <c r="K22" i="1"/>
  <c r="R22" i="1"/>
</calcChain>
</file>

<file path=xl/sharedStrings.xml><?xml version="1.0" encoding="utf-8"?>
<sst xmlns="http://schemas.openxmlformats.org/spreadsheetml/2006/main" count="142" uniqueCount="46">
  <si>
    <t>Base: Control Group</t>
  </si>
  <si>
    <t>Customer</t>
  </si>
  <si>
    <t>No Customer</t>
  </si>
  <si>
    <t>Year 1 Control Group</t>
  </si>
  <si>
    <t>By Quarterly</t>
  </si>
  <si>
    <t>By Calendar Years</t>
  </si>
  <si>
    <t>Column1</t>
  </si>
  <si>
    <t>Current</t>
  </si>
  <si>
    <t>Q1 2024</t>
  </si>
  <si>
    <t>Q2 2024</t>
  </si>
  <si>
    <t>Q3 2024</t>
  </si>
  <si>
    <t>2024</t>
  </si>
  <si>
    <t>2025</t>
  </si>
  <si>
    <t>2026</t>
  </si>
  <si>
    <t>Inflation</t>
  </si>
  <si>
    <t>Real GDP Growth</t>
  </si>
  <si>
    <t>Cash Rate</t>
  </si>
  <si>
    <t>Unemployment</t>
  </si>
  <si>
    <t>GDI Rate</t>
  </si>
  <si>
    <t>Household Deposits</t>
  </si>
  <si>
    <t>Total Balances</t>
  </si>
  <si>
    <t>Ext. Refinancing</t>
  </si>
  <si>
    <t>% Change</t>
  </si>
  <si>
    <t>Direct-Entry Payments</t>
  </si>
  <si>
    <t>Approx. Customer Churn</t>
  </si>
  <si>
    <t>% Weight by deposit assets</t>
  </si>
  <si>
    <t>CBA</t>
  </si>
  <si>
    <t>ANZ</t>
  </si>
  <si>
    <t>NAB</t>
  </si>
  <si>
    <t>Westpac</t>
  </si>
  <si>
    <t>Year 2 Control Group</t>
  </si>
  <si>
    <t>Year 3 Control Group</t>
  </si>
  <si>
    <t>Base: Solution</t>
  </si>
  <si>
    <t>Discussion Forum</t>
  </si>
  <si>
    <t>Financial Coach</t>
  </si>
  <si>
    <t>Not Customer</t>
  </si>
  <si>
    <t>Year 1 Solution</t>
  </si>
  <si>
    <t>Year 2 Solution</t>
  </si>
  <si>
    <t>Year 3 Solution</t>
  </si>
  <si>
    <t>Baseline</t>
  </si>
  <si>
    <t>Yr 1</t>
  </si>
  <si>
    <t>Yr 2</t>
  </si>
  <si>
    <t>Yr 3</t>
  </si>
  <si>
    <t>Control Model</t>
  </si>
  <si>
    <t>Solution Model</t>
  </si>
  <si>
    <t>% 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</si>
</sst>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%"/>
    <numFmt numFmtId="165" formatCode="0.0000%"/>
    <numFmt numFmtId="166" formatCode="0.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1" xfId="0" applyFont="1" applyBorder="1"/>
    <xf numFmtId="0" fontId="0" fillId="2" borderId="0" xfId="0" applyFill="1"/>
    <xf numFmtId="0" fontId="0" fillId="2" borderId="2" xfId="0" applyFill="1" applyBorder="1"/>
    <xf numFmtId="164" fontId="0" fillId="0" borderId="0" xfId="2" applyNumberFormat="1" applyFont="1"/>
    <xf numFmtId="165" fontId="0" fillId="0" borderId="0" xfId="2" applyNumberFormat="1" applyFont="1"/>
    <xf numFmtId="166" fontId="0" fillId="0" borderId="0" xfId="0" applyNumberFormat="1"/>
    <xf numFmtId="166" fontId="0" fillId="0" borderId="0" xfId="1" applyNumberFormat="1" applyFont="1"/>
    <xf numFmtId="0" fontId="3" fillId="0" borderId="0" xfId="0" applyFont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Simulated</a:t>
            </a:r>
            <a:r>
              <a:rPr lang="en-AU" baseline="0"/>
              <a:t> Average Customer Churn Rate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Sheet1!$F$30</c:f>
              <c:strCache>
                <c:ptCount val="1"/>
                <c:pt idx="0">
                  <c:v>Control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Sheet1!$G$29:$J$29</c:f>
              <c:strCache>
                <c:ptCount val="4"/>
                <c:pt idx="0">
                  <c:v>Baseline</c:v>
                </c:pt>
                <c:pt idx="1">
                  <c:v>Yr 1</c:v>
                </c:pt>
                <c:pt idx="2">
                  <c:v>Yr 2</c:v>
                </c:pt>
                <c:pt idx="3">
                  <c:v>Yr 3</c:v>
                </c:pt>
              </c:strCache>
            </c:strRef>
          </c:cat>
          <c:val>
            <c:numRef>
              <c:f>Sheet1!$G$30:$J$30</c:f>
              <c:numCache>
                <c:formatCode>General</c:formatCode>
                <c:ptCount val="4"/>
                <c:pt idx="0">
                  <c:v>0.28941719999999999</c:v>
                </c:pt>
                <c:pt idx="1">
                  <c:v>0.30727199999999999</c:v>
                </c:pt>
                <c:pt idx="2">
                  <c:v>0.3193184</c:v>
                </c:pt>
                <c:pt idx="3">
                  <c:v>0.33146049999999999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EC-44FA-B16D-3967DDFCA664}"/>
            </c:ext>
          </c:extLst>
        </c:ser>
        <c:ser>
          <c:idx val="1"/>
          <c:order val="1"/>
          <c:tx>
            <c:strRef>
              <c:f>Sheet1!$F$31</c:f>
              <c:strCache>
                <c:ptCount val="1"/>
                <c:pt idx="0">
                  <c:v>Solution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Sheet1!$G$29:$J$29</c:f>
              <c:strCache>
                <c:ptCount val="4"/>
                <c:pt idx="0">
                  <c:v>Baseline</c:v>
                </c:pt>
                <c:pt idx="1">
                  <c:v>Yr 1</c:v>
                </c:pt>
                <c:pt idx="2">
                  <c:v>Yr 2</c:v>
                </c:pt>
                <c:pt idx="3">
                  <c:v>Yr 3</c:v>
                </c:pt>
              </c:strCache>
            </c:strRef>
          </c:cat>
          <c:val>
            <c:numRef>
              <c:f>Sheet1!$G$31:$J$31</c:f>
              <c:numCache>
                <c:formatCode>General</c:formatCode>
                <c:ptCount val="4"/>
                <c:pt idx="0">
                  <c:v>0.2689703</c:v>
                </c:pt>
                <c:pt idx="1">
                  <c:v>0.2885839</c:v>
                </c:pt>
                <c:pt idx="2">
                  <c:v>0.30094029999999999</c:v>
                </c:pt>
                <c:pt idx="3">
                  <c:v>0.31335449999999998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EC-44FA-B16D-3967DDFCA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3659999"/>
        <c:axId val="903660959"/>
      </c:barChart>
      <c:lineChart>
        <c:grouping val="standard"/>
        <c:varyColors val="0"/>
        <c:ser>
          <c:idx val="2"/>
          <c:order val="2"/>
          <c:tx>
            <c:strRef>
              <c:f>Sheet1!$F$32</c:f>
              <c:strCache>
                <c:ptCount val="1"/>
                <c:pt idx="0">
                  <c:v>% Improvement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Sheet1!$G$29:$J$29</c:f>
              <c:strCache>
                <c:ptCount val="4"/>
                <c:pt idx="0">
                  <c:v>Baseline</c:v>
                </c:pt>
                <c:pt idx="1">
                  <c:v>Yr 1</c:v>
                </c:pt>
                <c:pt idx="2">
                  <c:v>Yr 2</c:v>
                </c:pt>
                <c:pt idx="3">
                  <c:v>Yr 3</c:v>
                </c:pt>
              </c:strCache>
            </c:strRef>
          </c:cat>
          <c:val>
            <c:numRef>
              <c:f>Sheet1!$G$32:$J$32</c:f>
              <c:numCache>
                <c:formatCode>0.000%</c:formatCode>
                <c:ptCount val="4"/>
                <c:pt idx="0">
                  <c:v>7.0648530909704021E-2</c:v>
                </c:pt>
                <c:pt idx="1">
                  <c:v>6.0819404306282333E-2</c:v>
                </c:pt>
                <c:pt idx="2">
                  <c:v>5.755415284556107E-2</c:v>
                </c:pt>
                <c:pt idx="3">
                  <c:v>5.4624910057156167E-2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EC-44FA-B16D-3967DDFCA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048464"/>
        <c:axId val="236972992"/>
      </c:lineChart>
      <c:catAx>
        <c:axId val="903659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Baseline</a:t>
                </a:r>
                <a:r>
                  <a:rPr lang="en-AU" baseline="0"/>
                  <a:t> &amp; Forecasted year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660959"/>
        <c:crosses val="autoZero"/>
        <c:auto val="1"/>
        <c:lblAlgn val="ctr"/>
        <c:lblOffset val="100"/>
        <c:noMultiLvlLbl val="0"/>
      </c:catAx>
      <c:valAx>
        <c:axId val="903660959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Simulated</a:t>
                </a:r>
                <a:r>
                  <a:rPr lang="en-AU" baseline="0"/>
                  <a:t> Average  Churn Rate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659999"/>
        <c:crosses val="autoZero"/>
        <c:crossBetween val="between"/>
      </c:valAx>
      <c:valAx>
        <c:axId val="236972992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048464"/>
        <c:crosses val="max"/>
        <c:crossBetween val="between"/>
      </c:valAx>
      <c:catAx>
        <c:axId val="239048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6972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(2)'!$A$11</c:f>
              <c:strCache>
                <c:ptCount val="1"/>
                <c:pt idx="0">
                  <c:v>Ext. Refinancing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'Sheet1 (2)'!$B$2:$E$2</c:f>
              <c:strCache>
                <c:ptCount val="4"/>
                <c:pt idx="0">
                  <c:v>Current</c:v>
                </c:pt>
                <c:pt idx="1">
                  <c:v>Q1 2024</c:v>
                </c:pt>
                <c:pt idx="2">
                  <c:v>Q2 2024</c:v>
                </c:pt>
                <c:pt idx="3">
                  <c:v>Q3 2024</c:v>
                </c:pt>
              </c:strCache>
            </c:strRef>
          </c:cat>
          <c:val>
            <c:numRef>
              <c:f>'Sheet1 (2)'!$B$11:$E$11</c:f>
              <c:numCache>
                <c:formatCode>General</c:formatCode>
                <c:ptCount val="4"/>
                <c:pt idx="0">
                  <c:v>17.824038582749001</c:v>
                </c:pt>
                <c:pt idx="1">
                  <c:v>19.140941861869699</c:v>
                </c:pt>
                <c:pt idx="2">
                  <c:v>19.362267477931699</c:v>
                </c:pt>
                <c:pt idx="3">
                  <c:v>19.824832949675798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D-400D-B516-7CD8146AD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3924064"/>
        <c:axId val="1923907744"/>
      </c:barChart>
      <c:catAx>
        <c:axId val="192392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907744"/>
        <c:crosses val="autoZero"/>
        <c:auto val="1"/>
        <c:lblAlgn val="ctr"/>
        <c:lblOffset val="100"/>
        <c:noMultiLvlLbl val="0"/>
      </c:catAx>
      <c:valAx>
        <c:axId val="192390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92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(2)'!$A$11</c:f>
              <c:strCache>
                <c:ptCount val="1"/>
                <c:pt idx="0">
                  <c:v>Ext. Refinancing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'Sheet1 (2)'!$H$2:$K$2</c:f>
              <c:strCache>
                <c:ptCount val="4"/>
                <c:pt idx="0">
                  <c:v>Current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</c:strCache>
            </c:strRef>
          </c:cat>
          <c:val>
            <c:numRef>
              <c:f>'Sheet1 (2)'!$H$11:$K$11</c:f>
              <c:numCache>
                <c:formatCode>General</c:formatCode>
                <c:ptCount val="4"/>
                <c:pt idx="0">
                  <c:v>18.287411425670498</c:v>
                </c:pt>
                <c:pt idx="1">
                  <c:v>19.9326310602715</c:v>
                </c:pt>
                <c:pt idx="2">
                  <c:v>21.796803190111198</c:v>
                </c:pt>
                <c:pt idx="3">
                  <c:v>22.893036881215899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1-446D-99D3-46C6BF898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528960"/>
        <c:axId val="1946538080"/>
      </c:barChart>
      <c:catAx>
        <c:axId val="194652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538080"/>
        <c:crosses val="autoZero"/>
        <c:auto val="1"/>
        <c:lblAlgn val="ctr"/>
        <c:lblOffset val="100"/>
        <c:noMultiLvlLbl val="0"/>
      </c:catAx>
      <c:valAx>
        <c:axId val="194653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52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(2)'!$A$13</c:f>
              <c:strCache>
                <c:ptCount val="1"/>
                <c:pt idx="0">
                  <c:v>Direct-Entry Payments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'Sheet1 (2)'!$B$2:$E$2</c:f>
              <c:strCache>
                <c:ptCount val="4"/>
                <c:pt idx="0">
                  <c:v>Current</c:v>
                </c:pt>
                <c:pt idx="1">
                  <c:v>Q1 2024</c:v>
                </c:pt>
                <c:pt idx="2">
                  <c:v>Q2 2024</c:v>
                </c:pt>
                <c:pt idx="3">
                  <c:v>Q3 2024</c:v>
                </c:pt>
              </c:strCache>
            </c:strRef>
          </c:cat>
          <c:val>
            <c:numRef>
              <c:f>'Sheet1 (2)'!$B$13:$E$13</c:f>
              <c:numCache>
                <c:formatCode>General</c:formatCode>
                <c:ptCount val="4"/>
                <c:pt idx="0">
                  <c:v>304494.88979225297</c:v>
                </c:pt>
                <c:pt idx="1">
                  <c:v>322066.929382078</c:v>
                </c:pt>
                <c:pt idx="2">
                  <c:v>332162.64067860699</c:v>
                </c:pt>
                <c:pt idx="3">
                  <c:v>336815.63055743702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4A-49AE-8FCE-4B0B98716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1610752"/>
        <c:axId val="1921609312"/>
      </c:barChart>
      <c:catAx>
        <c:axId val="192161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609312"/>
        <c:crosses val="autoZero"/>
        <c:auto val="1"/>
        <c:lblAlgn val="ctr"/>
        <c:lblOffset val="100"/>
        <c:noMultiLvlLbl val="0"/>
      </c:catAx>
      <c:valAx>
        <c:axId val="19216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61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(2)'!$A$13</c:f>
              <c:strCache>
                <c:ptCount val="1"/>
                <c:pt idx="0">
                  <c:v>Direct-Entry Payments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'Sheet1 (2)'!$H$2:$K$2</c:f>
              <c:strCache>
                <c:ptCount val="4"/>
                <c:pt idx="0">
                  <c:v>Current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</c:strCache>
            </c:strRef>
          </c:cat>
          <c:val>
            <c:numRef>
              <c:f>'Sheet1 (2)'!$H$13:$K$13</c:f>
              <c:numCache>
                <c:formatCode>General</c:formatCode>
                <c:ptCount val="4"/>
                <c:pt idx="0">
                  <c:v>293701.47905287403</c:v>
                </c:pt>
                <c:pt idx="1">
                  <c:v>350261.90940015402</c:v>
                </c:pt>
                <c:pt idx="2">
                  <c:v>362489.79667744797</c:v>
                </c:pt>
                <c:pt idx="3">
                  <c:v>388234.75112974597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12-4B9E-AD1A-80B2C99B6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535200"/>
        <c:axId val="1946512160"/>
      </c:barChart>
      <c:catAx>
        <c:axId val="194653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512160"/>
        <c:crosses val="autoZero"/>
        <c:auto val="1"/>
        <c:lblAlgn val="ctr"/>
        <c:lblOffset val="100"/>
        <c:noMultiLvlLbl val="0"/>
      </c:catAx>
      <c:valAx>
        <c:axId val="194651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53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Approx.</a:t>
            </a:r>
            <a:r>
              <a:rPr lang="en-AU" baseline="0"/>
              <a:t> Change in Customer Churn by Macro-variables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'Sheet1 (2)'!$A$11</c:f>
              <c:strCache>
                <c:ptCount val="1"/>
                <c:pt idx="0">
                  <c:v>Ext. Refinancing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'Sheet1 (2)'!$I$12:$K$12</c:f>
              <c:numCache>
                <c:formatCode>0.0000%</c:formatCode>
                <c:ptCount val="3"/>
                <c:pt idx="0">
                  <c:v>8.9964598942175372E-2</c:v>
                </c:pt>
                <c:pt idx="1">
                  <c:v>9.3523635901496802E-2</c:v>
                </c:pt>
                <c:pt idx="2">
                  <c:v>5.0293324279866922E-2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6-429A-B466-D8B4B9D3AEC2}"/>
            </c:ext>
          </c:extLst>
        </c:ser>
        <c:ser>
          <c:idx val="2"/>
          <c:order val="2"/>
          <c:tx>
            <c:strRef>
              <c:f>'Sheet1 (2)'!$A$13</c:f>
              <c:strCache>
                <c:ptCount val="1"/>
                <c:pt idx="0">
                  <c:v>Direct-Entry Payments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'Sheet1 (2)'!$I$14:$K$14</c:f>
              <c:numCache>
                <c:formatCode>0.0000%</c:formatCode>
                <c:ptCount val="3"/>
                <c:pt idx="0">
                  <c:v>0.19257795544535758</c:v>
                </c:pt>
                <c:pt idx="1">
                  <c:v>3.4910696679050807E-2</c:v>
                </c:pt>
                <c:pt idx="2">
                  <c:v>7.1022563085290022E-2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E6-429A-B466-D8B4B9D3A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46518880"/>
        <c:axId val="1946510720"/>
      </c:barChart>
      <c:lineChart>
        <c:grouping val="standard"/>
        <c:varyColors val="0"/>
        <c:ser>
          <c:idx val="0"/>
          <c:order val="0"/>
          <c:tx>
            <c:strRef>
              <c:f>'Sheet1 (2)'!$A$15</c:f>
              <c:strCache>
                <c:ptCount val="1"/>
                <c:pt idx="0">
                  <c:v>Approx. Customer Churn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'Sheet1 (2)'!$I$2:$K$2</c:f>
              <c:strCache>
                <c:ptCount val="3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</c:strCache>
            </c:strRef>
          </c:cat>
          <c:val>
            <c:numRef>
              <c:f>'Sheet1 (2)'!$I$15:$K$15</c:f>
              <c:numCache>
                <c:formatCode>0.0000%</c:formatCode>
                <c:ptCount val="3"/>
                <c:pt idx="0">
                  <c:v>6.2078612349323402E-2</c:v>
                </c:pt>
                <c:pt idx="1">
                  <c:v>2.8218847110995385E-2</c:v>
                </c:pt>
                <c:pt idx="2">
                  <c:v>2.6654823588896048E-2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E6-429A-B466-D8B4B9D3A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7069616"/>
        <c:axId val="1947046576"/>
      </c:lineChart>
      <c:catAx>
        <c:axId val="1946518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Forecasted</a:t>
                </a:r>
                <a:r>
                  <a:rPr lang="en-AU" baseline="0"/>
                  <a:t> Year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510720"/>
        <c:crosses val="autoZero"/>
        <c:auto val="1"/>
        <c:lblAlgn val="ctr"/>
        <c:lblOffset val="100"/>
        <c:noMultiLvlLbl val="0"/>
      </c:catAx>
      <c:valAx>
        <c:axId val="194651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Change in macro-variables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518880"/>
        <c:crosses val="autoZero"/>
        <c:crossBetween val="between"/>
      </c:valAx>
      <c:valAx>
        <c:axId val="19470465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Approx. %</a:t>
                </a:r>
                <a:r>
                  <a:rPr lang="en-AU" baseline="0"/>
                  <a:t> Change in Customer Churn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069616"/>
        <c:crosses val="max"/>
        <c:crossBetween val="between"/>
      </c:valAx>
      <c:catAx>
        <c:axId val="1947069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7046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161927</xdr:colOff>
      <xdr:row>26</xdr:row>
      <xdr:rowOff>9524</xdr:rowOff>
    </xdr:from>
    <xdr:to>
      <xdr:col>19</xdr:col>
      <xdr:colOff>152401</xdr:colOff>
      <xdr:row>38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849B9A-EF87-4073-8601-D75C1D0DA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377190</xdr:colOff>
      <xdr:row>1</xdr:row>
      <xdr:rowOff>110490</xdr:rowOff>
    </xdr:from>
    <xdr:to>
      <xdr:col>20</xdr:col>
      <xdr:colOff>72390</xdr:colOff>
      <xdr:row>17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DC881C-3B8E-4745-A7CD-ACC12D668C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297180</xdr:colOff>
      <xdr:row>17</xdr:row>
      <xdr:rowOff>175260</xdr:rowOff>
    </xdr:from>
    <xdr:to>
      <xdr:col>19</xdr:col>
      <xdr:colOff>601980</xdr:colOff>
      <xdr:row>32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AB1CFE-463F-4E57-B565-871ACC3F8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335280</xdr:colOff>
      <xdr:row>23</xdr:row>
      <xdr:rowOff>127635</xdr:rowOff>
    </xdr:from>
    <xdr:to>
      <xdr:col>10</xdr:col>
      <xdr:colOff>533400</xdr:colOff>
      <xdr:row>38</xdr:row>
      <xdr:rowOff>127635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B76086-B00A-4655-A6BA-BA872B5FA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358140</xdr:colOff>
      <xdr:row>38</xdr:row>
      <xdr:rowOff>160020</xdr:rowOff>
    </xdr:from>
    <xdr:to>
      <xdr:col>10</xdr:col>
      <xdr:colOff>556260</xdr:colOff>
      <xdr:row>53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08410A-B853-4D42-8560-2B63B0B438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118110</xdr:colOff>
      <xdr:row>2</xdr:row>
      <xdr:rowOff>137160</xdr:rowOff>
    </xdr:from>
    <xdr:to>
      <xdr:col>30</xdr:col>
      <xdr:colOff>255270</xdr:colOff>
      <xdr:row>25</xdr:row>
      <xdr:rowOff>99060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52F997-FB64-4D1F-A10E-86ED279611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10DE973-5851-4092-A062-2DE031FCC525}" name="Table3" displayName="Table3" ref="F29:J32" totalsRowShown="0">
  <autoFilter ref="F29:J32" xr:uid="{910DE973-5851-4092-A062-2DE031FCC525}"/>
  <tableColumns count="5">
    <tableColumn id="1" xr3:uid="{9849565B-F7E6-46BA-9514-A0072C2DA51A}" name="Column1"/>
    <tableColumn id="2" xr3:uid="{38A1BE70-8709-4F09-81C3-05482669885F}" name="Baseline"/>
    <tableColumn id="3" xr3:uid="{36648B14-E0EE-449B-B50E-CDE78BDF78F2}" name="Yr 1"/>
    <tableColumn id="4" xr3:uid="{3EB24F82-9CA3-4B02-B17E-C12E3BA39599}" name="Yr 2"/>
    <tableColumn id="5" xr3:uid="{FCE3F2E5-C621-4851-8425-7691C8B99AD9}" name="Yr 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A8C66E2-5C74-4018-A341-02200A7A5BFC}" name="Table4" displayName="Table4" ref="F34:J35" totalsRowShown="0" dataDxfId="4" dataCellStyle="Percent">
  <autoFilter ref="F34:J35" xr:uid="{BA8C66E2-5C74-4018-A341-02200A7A5BFC}"/>
  <tableColumns count="5">
    <tableColumn id="1" xr3:uid="{7B26AE3C-2DA4-421E-B5F2-0AD1FE06052D}" name="Column1"/>
    <tableColumn id="2" xr3:uid="{4A5C559C-6BB6-4ABE-8F2C-E0F3E2501803}" name="Baseline" dataDxfId="3" dataCellStyle="Percent"/>
    <tableColumn id="3" xr3:uid="{481BAFD3-EA48-4C33-89C6-1E9A624B800F}" name="Yr 1" dataDxfId="2" dataCellStyle="Percent"/>
    <tableColumn id="4" xr3:uid="{920912C1-182F-4604-AD7F-3DA4C4F1AC72}" name="Yr 2" dataDxfId="1" dataCellStyle="Percent"/>
    <tableColumn id="5" xr3:uid="{FEB12D9E-CBC6-4D8A-BE19-1A837AE747CC}" name="Yr 3" dataDxfId="0" dataCellStyle="Percent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6E29A9-E48B-411B-91C8-507C11BB150B}" name="Table1" displayName="Table1" ref="A2:E9" totalsRowShown="0">
  <autoFilter ref="A2:E9" xr:uid="{6FDFD669-FEC0-4F70-AFC0-F719C05AABC1}"/>
  <tableColumns count="5">
    <tableColumn id="1" xr3:uid="{24360D4B-B0E1-4DEB-A8D4-B5CF82033EB8}" name="Column1"/>
    <tableColumn id="2" xr3:uid="{B2DA1EFE-B2DB-4A33-896E-B178546895FC}" name="Current"/>
    <tableColumn id="3" xr3:uid="{4A49848B-D0A4-4D7D-9B93-D687C4507841}" name="Q1 2024"/>
    <tableColumn id="4" xr3:uid="{03AA5287-2E18-413C-A20C-EF68C6D1FCFB}" name="Q2 2024"/>
    <tableColumn id="5" xr3:uid="{AF9F648D-6AE1-4381-9FD0-B7C1BA89FFE8}" name="Q3 202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FE6F73-F6B2-4C4F-BBBA-D2E0EB4D1DFB}" name="Table2" displayName="Table2" ref="H2:K9" totalsRowShown="0">
  <autoFilter ref="H2:K9" xr:uid="{F99DE962-5DB8-4BD5-B3AA-7EF7B392DDA5}"/>
  <tableColumns count="4">
    <tableColumn id="1" xr3:uid="{FA7CA59A-5808-4774-8508-22CFD1FAE8C5}" name="Current"/>
    <tableColumn id="2" xr3:uid="{9E7FF350-EC04-46BF-8A53-4D4FB022C337}" name="2024"/>
    <tableColumn id="3" xr3:uid="{B43C6046-4356-4C59-A244-F9A01D9EB342}" name="2025"/>
    <tableColumn id="4" xr3:uid="{EA06F0D8-28BF-4550-A476-49DD0A820DD7}" name="2026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35"/>
  <sheetViews>
    <sheetView tabSelected="1" workbookViewId="0">
      <selection activeCell="W14" sqref="W14"/>
    </sheetView>
  </sheetViews>
  <sheetFormatPr defaultRowHeight="15" x14ac:dyDescent="0.25"/>
  <cols>
    <col min="2" max="2" width="19.42578125" bestFit="1" customWidth="1"/>
    <col min="3" max="3" width="9.5703125" bestFit="1" customWidth="1"/>
    <col min="4" max="4" width="12.5703125" bestFit="1" customWidth="1"/>
    <col min="6" max="6" width="16.5703125" bestFit="1" customWidth="1"/>
    <col min="7" max="7" width="10.7109375" customWidth="1"/>
    <col min="8" max="8" width="16.5703125" bestFit="1" customWidth="1"/>
    <col min="9" max="9" width="14.7109375" bestFit="1" customWidth="1"/>
    <col min="10" max="10" width="13.42578125" bestFit="1" customWidth="1"/>
    <col min="13" max="13" width="16.5703125" bestFit="1" customWidth="1"/>
  </cols>
  <sheetData>
    <row r="2" spans="2:18" x14ac:dyDescent="0.25">
      <c r="B2" t="s">
        <v>0</v>
      </c>
      <c r="C2" t="s">
        <v>1</v>
      </c>
      <c r="D2" t="s">
        <v>2</v>
      </c>
      <c r="F2" t="s">
        <v>32</v>
      </c>
      <c r="G2" t="s">
        <v>1</v>
      </c>
      <c r="H2" t="s">
        <v>33</v>
      </c>
      <c r="I2" t="s">
        <v>34</v>
      </c>
      <c r="J2" t="s">
        <v>35</v>
      </c>
      <c r="M2" t="s">
        <v>32</v>
      </c>
      <c r="N2" t="s">
        <v>1</v>
      </c>
      <c r="O2" t="s">
        <v>33</v>
      </c>
      <c r="P2" t="s">
        <v>34</v>
      </c>
      <c r="Q2" t="s">
        <v>35</v>
      </c>
    </row>
    <row r="3" spans="2:18" x14ac:dyDescent="0.25">
      <c r="B3" t="s">
        <v>1</v>
      </c>
      <c r="C3">
        <v>0.79300000000000004</v>
      </c>
      <c r="D3">
        <v>0.20699999999999999</v>
      </c>
      <c r="F3" t="s">
        <v>1</v>
      </c>
      <c r="G3" s="6">
        <f>1-SUM(H3:J3)</f>
        <v>0.65819000000000005</v>
      </c>
      <c r="H3" s="6">
        <f>79.3%*7%</f>
        <v>5.5509999999999997E-2</v>
      </c>
      <c r="I3" s="6">
        <f>79.3%*10%</f>
        <v>7.9299999999999995E-2</v>
      </c>
      <c r="J3" s="6">
        <v>0.20699999999999999</v>
      </c>
      <c r="K3" s="6">
        <f>SUM(G3:J3)</f>
        <v>1</v>
      </c>
      <c r="M3" t="s">
        <v>1</v>
      </c>
      <c r="N3" s="6">
        <f>ROUND(G3,5)</f>
        <v>0.65819000000000005</v>
      </c>
      <c r="O3" s="6">
        <f t="shared" ref="O3:Q3" si="0">ROUND(H3,5)</f>
        <v>5.5509999999999997E-2</v>
      </c>
      <c r="P3" s="6">
        <f t="shared" si="0"/>
        <v>7.9299999999999995E-2</v>
      </c>
      <c r="Q3" s="6">
        <f t="shared" si="0"/>
        <v>0.20699999999999999</v>
      </c>
      <c r="R3" s="6">
        <f>SUM(N3:Q3)</f>
        <v>1</v>
      </c>
    </row>
    <row r="4" spans="2:18" x14ac:dyDescent="0.25">
      <c r="B4" t="s">
        <v>2</v>
      </c>
      <c r="C4">
        <v>0.5</v>
      </c>
      <c r="D4">
        <v>0.5</v>
      </c>
      <c r="F4" t="s">
        <v>33</v>
      </c>
      <c r="G4" s="7">
        <v>0.41</v>
      </c>
      <c r="H4" s="7">
        <f>59%*83%</f>
        <v>0.48969999999999997</v>
      </c>
      <c r="I4" s="7">
        <f>59%*10%</f>
        <v>5.8999999999999997E-2</v>
      </c>
      <c r="J4" s="7">
        <f>1-SUM(G4:I4)</f>
        <v>4.1300000000000114E-2</v>
      </c>
      <c r="K4" s="6">
        <f t="shared" ref="K4:K24" si="1">SUM(G4:J4)</f>
        <v>1</v>
      </c>
      <c r="M4" t="s">
        <v>33</v>
      </c>
      <c r="N4" s="6">
        <f t="shared" ref="N4:N6" si="2">ROUND(G4,5)</f>
        <v>0.41</v>
      </c>
      <c r="O4" s="6">
        <f t="shared" ref="O4:O6" si="3">ROUND(H4,5)</f>
        <v>0.48970000000000002</v>
      </c>
      <c r="P4" s="6">
        <f t="shared" ref="P4:P6" si="4">ROUND(I4,5)</f>
        <v>5.8999999999999997E-2</v>
      </c>
      <c r="Q4" s="6">
        <f t="shared" ref="Q4:Q6" si="5">ROUND(J4,5)</f>
        <v>4.1300000000000003E-2</v>
      </c>
      <c r="R4" s="6">
        <f t="shared" ref="R4:R7" si="6">SUM(N4:Q4)</f>
        <v>0.99999999999999989</v>
      </c>
    </row>
    <row r="5" spans="2:18" x14ac:dyDescent="0.25">
      <c r="F5" t="s">
        <v>34</v>
      </c>
      <c r="G5" s="7">
        <v>0.87</v>
      </c>
      <c r="H5" s="7">
        <v>0</v>
      </c>
      <c r="I5" s="7">
        <v>0</v>
      </c>
      <c r="J5" s="7">
        <v>0.13</v>
      </c>
      <c r="K5" s="6">
        <f t="shared" si="1"/>
        <v>1</v>
      </c>
      <c r="M5" t="s">
        <v>34</v>
      </c>
      <c r="N5" s="6">
        <f t="shared" si="2"/>
        <v>0.87</v>
      </c>
      <c r="O5" s="6">
        <f t="shared" si="3"/>
        <v>0</v>
      </c>
      <c r="P5" s="6">
        <f t="shared" si="4"/>
        <v>0</v>
      </c>
      <c r="Q5" s="6">
        <f t="shared" si="5"/>
        <v>0.13</v>
      </c>
      <c r="R5" s="6">
        <f t="shared" si="6"/>
        <v>1</v>
      </c>
    </row>
    <row r="6" spans="2:18" x14ac:dyDescent="0.25">
      <c r="B6" t="s">
        <v>3</v>
      </c>
      <c r="C6" t="s">
        <v>1</v>
      </c>
      <c r="D6" t="s">
        <v>2</v>
      </c>
      <c r="F6" t="s">
        <v>35</v>
      </c>
      <c r="G6" s="7">
        <v>0.5</v>
      </c>
      <c r="H6" s="7">
        <v>0</v>
      </c>
      <c r="I6" s="7">
        <v>0</v>
      </c>
      <c r="J6" s="7">
        <v>0.5</v>
      </c>
      <c r="K6" s="6">
        <f t="shared" si="1"/>
        <v>1</v>
      </c>
      <c r="M6" t="s">
        <v>35</v>
      </c>
      <c r="N6" s="6">
        <f t="shared" si="2"/>
        <v>0.5</v>
      </c>
      <c r="O6" s="6">
        <f t="shared" si="3"/>
        <v>0</v>
      </c>
      <c r="P6" s="6">
        <f t="shared" si="4"/>
        <v>0</v>
      </c>
      <c r="Q6" s="6">
        <f t="shared" si="5"/>
        <v>0.5</v>
      </c>
      <c r="R6" s="6">
        <f t="shared" si="6"/>
        <v>1</v>
      </c>
    </row>
    <row r="7" spans="2:18" x14ac:dyDescent="0.25">
      <c r="B7" t="s">
        <v>1</v>
      </c>
      <c r="C7">
        <f>1-D7</f>
        <v>0.78014972724369014</v>
      </c>
      <c r="D7" s="6">
        <f>D3*(1+'Sheet1 (2)'!I15)</f>
        <v>0.21985027275630992</v>
      </c>
      <c r="K7" s="6">
        <f t="shared" si="1"/>
        <v>0</v>
      </c>
      <c r="R7" s="6">
        <f t="shared" si="6"/>
        <v>0</v>
      </c>
    </row>
    <row r="8" spans="2:18" x14ac:dyDescent="0.25">
      <c r="B8" t="s">
        <v>2</v>
      </c>
      <c r="C8" s="6">
        <f>1-D8</f>
        <v>0.46896069382533834</v>
      </c>
      <c r="D8" s="6">
        <f>D4*(1+'Sheet1 (2)'!$I$15)</f>
        <v>0.53103930617466166</v>
      </c>
      <c r="F8" t="s">
        <v>36</v>
      </c>
      <c r="G8" t="s">
        <v>1</v>
      </c>
      <c r="H8" t="s">
        <v>33</v>
      </c>
      <c r="I8" t="s">
        <v>34</v>
      </c>
      <c r="J8" t="s">
        <v>35</v>
      </c>
      <c r="K8" s="6"/>
      <c r="M8" t="s">
        <v>36</v>
      </c>
      <c r="N8" t="s">
        <v>1</v>
      </c>
      <c r="O8" t="s">
        <v>33</v>
      </c>
      <c r="P8" t="s">
        <v>34</v>
      </c>
      <c r="Q8" t="s">
        <v>35</v>
      </c>
      <c r="R8" s="6"/>
    </row>
    <row r="9" spans="2:18" x14ac:dyDescent="0.25">
      <c r="F9" t="s">
        <v>1</v>
      </c>
      <c r="G9" s="6">
        <f>G3-($J3*'Sheet1 (2)'!$I$15)/3</f>
        <v>0.65390657574789679</v>
      </c>
      <c r="H9" s="6">
        <f>H3-($J3*'Sheet1 (2)'!$I$15)/3</f>
        <v>5.1226575747896685E-2</v>
      </c>
      <c r="I9" s="6">
        <f>I3-($J3*'Sheet1 (2)'!$I$15)/3</f>
        <v>7.5016575747896677E-2</v>
      </c>
      <c r="J9" s="6">
        <f>J3*(1+'Sheet1 (2)'!$I$15)</f>
        <v>0.21985027275630992</v>
      </c>
      <c r="K9" s="6">
        <f t="shared" si="1"/>
        <v>1</v>
      </c>
      <c r="M9" t="s">
        <v>1</v>
      </c>
      <c r="N9" s="6">
        <f>ROUND(G9,5)</f>
        <v>0.65390999999999999</v>
      </c>
      <c r="O9" s="6">
        <f t="shared" ref="O9:Q9" si="7">ROUND(H9,5)</f>
        <v>5.1229999999999998E-2</v>
      </c>
      <c r="P9" s="6">
        <f t="shared" si="7"/>
        <v>7.5020000000000003E-2</v>
      </c>
      <c r="Q9" s="6">
        <f t="shared" si="7"/>
        <v>0.21984999999999999</v>
      </c>
      <c r="R9" s="6">
        <f t="shared" ref="R9:R13" si="8">SUM(N9:Q9)</f>
        <v>1.0000100000000001</v>
      </c>
    </row>
    <row r="10" spans="2:18" x14ac:dyDescent="0.25">
      <c r="B10" t="s">
        <v>30</v>
      </c>
      <c r="C10" t="s">
        <v>1</v>
      </c>
      <c r="D10" t="s">
        <v>2</v>
      </c>
      <c r="F10" t="s">
        <v>33</v>
      </c>
      <c r="G10" s="7">
        <f>G4-($J4*'Sheet1 (2)'!$I$15)/3</f>
        <v>0.4091453844366576</v>
      </c>
      <c r="H10" s="7">
        <f>H4-($J4*'Sheet1 (2)'!$I$15)/3</f>
        <v>0.48884538443665759</v>
      </c>
      <c r="I10" s="7">
        <f>I4-($J4*'Sheet1 (2)'!$I$15)/3</f>
        <v>5.8145384436657642E-2</v>
      </c>
      <c r="J10" s="6">
        <f>J4*(1+'Sheet1 (2)'!$I$15)</f>
        <v>4.3863846690027172E-2</v>
      </c>
      <c r="K10" s="6">
        <f t="shared" si="1"/>
        <v>1</v>
      </c>
      <c r="M10" t="s">
        <v>33</v>
      </c>
      <c r="N10" s="6">
        <f t="shared" ref="N10:N12" si="9">ROUND(G10,5)</f>
        <v>0.40915000000000001</v>
      </c>
      <c r="O10" s="6">
        <f t="shared" ref="O10:O12" si="10">ROUND(H10,5)</f>
        <v>0.48885000000000001</v>
      </c>
      <c r="P10" s="6">
        <f t="shared" ref="P10:P12" si="11">ROUND(I10,5)</f>
        <v>5.815E-2</v>
      </c>
      <c r="Q10" s="6">
        <f t="shared" ref="Q10:Q12" si="12">ROUND(J10,5)</f>
        <v>4.3860000000000003E-2</v>
      </c>
      <c r="R10" s="6">
        <f t="shared" si="8"/>
        <v>1.0000100000000001</v>
      </c>
    </row>
    <row r="11" spans="2:18" x14ac:dyDescent="0.25">
      <c r="B11" t="s">
        <v>1</v>
      </c>
      <c r="C11" s="6">
        <f>1-D11</f>
        <v>0.77394580600946916</v>
      </c>
      <c r="D11" s="6">
        <f>D7*(1+'Sheet1 (2)'!J15)</f>
        <v>0.22605419399053087</v>
      </c>
      <c r="F11" t="s">
        <v>34</v>
      </c>
      <c r="G11" s="7">
        <f>1-J11</f>
        <v>0.86192978039458801</v>
      </c>
      <c r="H11" s="7">
        <v>0</v>
      </c>
      <c r="I11" s="7">
        <v>0</v>
      </c>
      <c r="J11" s="6">
        <f>J5*(1+'Sheet1 (2)'!$I$15)</f>
        <v>0.13807021960541205</v>
      </c>
      <c r="K11" s="6">
        <f t="shared" si="1"/>
        <v>1</v>
      </c>
      <c r="M11" t="s">
        <v>34</v>
      </c>
      <c r="N11" s="6">
        <f t="shared" si="9"/>
        <v>0.86192999999999997</v>
      </c>
      <c r="O11" s="6">
        <f t="shared" si="10"/>
        <v>0</v>
      </c>
      <c r="P11" s="6">
        <f t="shared" si="11"/>
        <v>0</v>
      </c>
      <c r="Q11" s="6">
        <f t="shared" si="12"/>
        <v>0.13807</v>
      </c>
      <c r="R11" s="6">
        <f t="shared" si="8"/>
        <v>1</v>
      </c>
    </row>
    <row r="12" spans="2:18" x14ac:dyDescent="0.25">
      <c r="B12" t="s">
        <v>2</v>
      </c>
      <c r="C12" s="6">
        <f>1-D12</f>
        <v>0.45397537683446643</v>
      </c>
      <c r="D12" s="6">
        <f>D8*(1+'Sheet1 (2)'!$J$15)</f>
        <v>0.54602462316553357</v>
      </c>
      <c r="F12" t="s">
        <v>35</v>
      </c>
      <c r="G12" s="7">
        <f>1-J12</f>
        <v>0.46896069382533834</v>
      </c>
      <c r="H12" s="7">
        <v>0</v>
      </c>
      <c r="I12" s="7">
        <v>0</v>
      </c>
      <c r="J12" s="6">
        <f>J6*(1+'Sheet1 (2)'!$I$15)</f>
        <v>0.53103930617466166</v>
      </c>
      <c r="K12" s="6">
        <f t="shared" si="1"/>
        <v>1</v>
      </c>
      <c r="M12" t="s">
        <v>35</v>
      </c>
      <c r="N12" s="6">
        <f t="shared" si="9"/>
        <v>0.46895999999999999</v>
      </c>
      <c r="O12" s="6">
        <f t="shared" si="10"/>
        <v>0</v>
      </c>
      <c r="P12" s="6">
        <f t="shared" si="11"/>
        <v>0</v>
      </c>
      <c r="Q12" s="6">
        <f t="shared" si="12"/>
        <v>0.53103999999999996</v>
      </c>
      <c r="R12" s="6">
        <f t="shared" si="8"/>
        <v>1</v>
      </c>
    </row>
    <row r="13" spans="2:18" x14ac:dyDescent="0.25">
      <c r="K13" s="6">
        <f t="shared" si="1"/>
        <v>0</v>
      </c>
      <c r="R13" s="6">
        <f t="shared" si="8"/>
        <v>0</v>
      </c>
    </row>
    <row r="14" spans="2:18" x14ac:dyDescent="0.25">
      <c r="B14" t="s">
        <v>31</v>
      </c>
      <c r="C14" t="s">
        <v>1</v>
      </c>
      <c r="D14" t="s">
        <v>2</v>
      </c>
      <c r="F14" t="s">
        <v>37</v>
      </c>
      <c r="G14" t="s">
        <v>1</v>
      </c>
      <c r="H14" t="s">
        <v>33</v>
      </c>
      <c r="I14" t="s">
        <v>34</v>
      </c>
      <c r="J14" t="s">
        <v>35</v>
      </c>
      <c r="K14" s="6"/>
      <c r="M14" t="s">
        <v>37</v>
      </c>
      <c r="N14" t="s">
        <v>1</v>
      </c>
      <c r="O14" t="s">
        <v>33</v>
      </c>
      <c r="P14" t="s">
        <v>34</v>
      </c>
      <c r="Q14" t="s">
        <v>35</v>
      </c>
      <c r="R14" s="6"/>
    </row>
    <row r="15" spans="2:18" x14ac:dyDescent="0.25">
      <c r="B15" t="s">
        <v>1</v>
      </c>
      <c r="C15">
        <f>1-D15</f>
        <v>0.76792037134712143</v>
      </c>
      <c r="D15" s="6">
        <f>D11*(1+'Sheet1 (2)'!K15)</f>
        <v>0.23207962865287857</v>
      </c>
      <c r="F15" t="s">
        <v>1</v>
      </c>
      <c r="G15" s="6">
        <f>G9-($J9*'Sheet1 (2)'!$J$15)/3</f>
        <v>0.65183860200315646</v>
      </c>
      <c r="H15" s="6">
        <f>H9-($J9*'Sheet1 (2)'!$J$15)/3</f>
        <v>4.9158602003156374E-2</v>
      </c>
      <c r="I15" s="6">
        <f>I9-($J9*'Sheet1 (2)'!$J$15)/3</f>
        <v>7.2948602003156365E-2</v>
      </c>
      <c r="J15" s="6">
        <f>J9*(1+'Sheet1 (2)'!$J$15)</f>
        <v>0.22605419399053087</v>
      </c>
      <c r="K15" s="6">
        <f t="shared" si="1"/>
        <v>1</v>
      </c>
      <c r="M15" t="s">
        <v>1</v>
      </c>
      <c r="N15" s="6">
        <f>ROUND(G15,5)</f>
        <v>0.65183999999999997</v>
      </c>
      <c r="O15" s="6">
        <f t="shared" ref="O15:Q15" si="13">ROUND(H15,5)</f>
        <v>4.9160000000000002E-2</v>
      </c>
      <c r="P15" s="6">
        <f t="shared" si="13"/>
        <v>7.2950000000000001E-2</v>
      </c>
      <c r="Q15" s="6">
        <f t="shared" si="13"/>
        <v>0.22605</v>
      </c>
      <c r="R15" s="6">
        <f t="shared" ref="R15:R19" si="14">SUM(N15:Q15)</f>
        <v>0.99999999999999989</v>
      </c>
    </row>
    <row r="16" spans="2:18" x14ac:dyDescent="0.25">
      <c r="B16" t="s">
        <v>2</v>
      </c>
      <c r="C16" s="6">
        <f>1-D16</f>
        <v>0.43942118682879561</v>
      </c>
      <c r="D16" s="6">
        <f>D12*(1+'Sheet1 (2)'!$K$15)</f>
        <v>0.56057881317120439</v>
      </c>
      <c r="F16" t="s">
        <v>33</v>
      </c>
      <c r="G16" s="7">
        <f>G10-($J10*'Sheet1 (2)'!$J$15)/3</f>
        <v>0.40873278870884228</v>
      </c>
      <c r="H16" s="7">
        <f>H10-($J10*'Sheet1 (2)'!$J$15)/3</f>
        <v>0.48843278870884227</v>
      </c>
      <c r="I16" s="7">
        <f>I10-($J10*'Sheet1 (2)'!$J$15)/3</f>
        <v>5.7732788708842304E-2</v>
      </c>
      <c r="J16" s="6">
        <f>J10*(1+'Sheet1 (2)'!$J$15)</f>
        <v>4.5101633873473192E-2</v>
      </c>
      <c r="K16" s="6">
        <f t="shared" si="1"/>
        <v>1</v>
      </c>
      <c r="M16" t="s">
        <v>33</v>
      </c>
      <c r="N16" s="6">
        <f t="shared" ref="N16:N18" si="15">ROUND(G16,5)</f>
        <v>0.40872999999999998</v>
      </c>
      <c r="O16" s="6">
        <f t="shared" ref="O16:O18" si="16">ROUND(H16,5)</f>
        <v>0.48842999999999998</v>
      </c>
      <c r="P16" s="6">
        <f t="shared" ref="P16:P18" si="17">ROUND(I16,5)</f>
        <v>5.7729999999999997E-2</v>
      </c>
      <c r="Q16" s="6">
        <f t="shared" ref="Q16:Q18" si="18">ROUND(J16,5)</f>
        <v>4.5100000000000001E-2</v>
      </c>
      <c r="R16" s="6">
        <f t="shared" si="14"/>
        <v>0.99998999999999993</v>
      </c>
    </row>
    <row r="17" spans="6:18" x14ac:dyDescent="0.25">
      <c r="F17" t="s">
        <v>34</v>
      </c>
      <c r="G17" s="7">
        <f>1-J17</f>
        <v>0.85803359797696133</v>
      </c>
      <c r="H17" s="7">
        <v>0</v>
      </c>
      <c r="I17" s="7">
        <v>0</v>
      </c>
      <c r="J17" s="6">
        <f>J11*(1+'Sheet1 (2)'!$J$15)</f>
        <v>0.14196640202303873</v>
      </c>
      <c r="K17" s="6">
        <f t="shared" si="1"/>
        <v>1</v>
      </c>
      <c r="M17" t="s">
        <v>34</v>
      </c>
      <c r="N17" s="6">
        <f t="shared" si="15"/>
        <v>0.85802999999999996</v>
      </c>
      <c r="O17" s="6">
        <f t="shared" si="16"/>
        <v>0</v>
      </c>
      <c r="P17" s="6">
        <f t="shared" si="17"/>
        <v>0</v>
      </c>
      <c r="Q17" s="6">
        <f t="shared" si="18"/>
        <v>0.14197000000000001</v>
      </c>
      <c r="R17" s="6">
        <f t="shared" si="14"/>
        <v>1</v>
      </c>
    </row>
    <row r="18" spans="6:18" x14ac:dyDescent="0.25">
      <c r="F18" t="s">
        <v>35</v>
      </c>
      <c r="G18" s="7">
        <f>1-J18</f>
        <v>0.45397537683446643</v>
      </c>
      <c r="H18" s="7">
        <v>0</v>
      </c>
      <c r="I18" s="7">
        <v>0</v>
      </c>
      <c r="J18" s="6">
        <f>J12*(1+'Sheet1 (2)'!$J$15)</f>
        <v>0.54602462316553357</v>
      </c>
      <c r="K18" s="6">
        <f t="shared" si="1"/>
        <v>1</v>
      </c>
      <c r="M18" t="s">
        <v>35</v>
      </c>
      <c r="N18" s="6">
        <f t="shared" si="15"/>
        <v>0.45397999999999999</v>
      </c>
      <c r="O18" s="6">
        <f t="shared" si="16"/>
        <v>0</v>
      </c>
      <c r="P18" s="6">
        <f t="shared" si="17"/>
        <v>0</v>
      </c>
      <c r="Q18" s="6">
        <f t="shared" si="18"/>
        <v>0.54601999999999995</v>
      </c>
      <c r="R18" s="6">
        <f t="shared" si="14"/>
        <v>1</v>
      </c>
    </row>
    <row r="19" spans="6:18" x14ac:dyDescent="0.25">
      <c r="K19" s="6">
        <f t="shared" si="1"/>
        <v>0</v>
      </c>
      <c r="R19" s="6">
        <f t="shared" si="14"/>
        <v>0</v>
      </c>
    </row>
    <row r="20" spans="6:18" x14ac:dyDescent="0.25">
      <c r="F20" t="s">
        <v>38</v>
      </c>
      <c r="G20" t="s">
        <v>1</v>
      </c>
      <c r="H20" t="s">
        <v>33</v>
      </c>
      <c r="I20" t="s">
        <v>34</v>
      </c>
      <c r="J20" t="s">
        <v>35</v>
      </c>
      <c r="K20" s="6"/>
      <c r="M20" t="s">
        <v>38</v>
      </c>
      <c r="N20" t="s">
        <v>1</v>
      </c>
      <c r="O20" t="s">
        <v>33</v>
      </c>
      <c r="P20" t="s">
        <v>34</v>
      </c>
      <c r="Q20" t="s">
        <v>35</v>
      </c>
      <c r="R20" s="6"/>
    </row>
    <row r="21" spans="6:18" x14ac:dyDescent="0.25">
      <c r="F21" t="s">
        <v>1</v>
      </c>
      <c r="G21" s="6">
        <f>G15-($J15*'Sheet1 (2)'!$K$15)/3</f>
        <v>0.64983012378237393</v>
      </c>
      <c r="H21" s="6">
        <f>H15-($J15*'Sheet1 (2)'!$K$15)/3</f>
        <v>4.7150123782373814E-2</v>
      </c>
      <c r="I21" s="6">
        <f>I15-($J15*'Sheet1 (2)'!$K$15)/3</f>
        <v>7.0940123782373798E-2</v>
      </c>
      <c r="J21" s="6">
        <f>J15*(1+'Sheet1 (2)'!$K$15)</f>
        <v>0.23207962865287857</v>
      </c>
      <c r="K21" s="6">
        <f t="shared" si="1"/>
        <v>1</v>
      </c>
      <c r="M21" t="s">
        <v>1</v>
      </c>
      <c r="N21" s="6">
        <f>ROUND(G21,5)</f>
        <v>0.64983000000000002</v>
      </c>
      <c r="O21" s="6">
        <f t="shared" ref="O21:Q21" si="19">ROUND(H21,5)</f>
        <v>4.7149999999999997E-2</v>
      </c>
      <c r="P21" s="6">
        <f t="shared" si="19"/>
        <v>7.0940000000000003E-2</v>
      </c>
      <c r="Q21" s="6">
        <f t="shared" si="19"/>
        <v>0.23208000000000001</v>
      </c>
      <c r="R21" s="6">
        <f t="shared" ref="R21:R24" si="20">SUM(N21:Q21)</f>
        <v>1</v>
      </c>
    </row>
    <row r="22" spans="6:18" x14ac:dyDescent="0.25">
      <c r="F22" t="s">
        <v>33</v>
      </c>
      <c r="G22" s="7">
        <f>G16-($J16*'Sheet1 (2)'!$K$15)/3</f>
        <v>0.40833206334401945</v>
      </c>
      <c r="H22" s="7">
        <f>H16-($J16*'Sheet1 (2)'!$K$15)/3</f>
        <v>0.48803206334401944</v>
      </c>
      <c r="I22" s="7">
        <f>I16-($J16*'Sheet1 (2)'!$K$15)/3</f>
        <v>5.7332063344019503E-2</v>
      </c>
      <c r="J22" s="6">
        <f>J16*(1+'Sheet1 (2)'!$K$15)</f>
        <v>4.6303809967941603E-2</v>
      </c>
      <c r="K22" s="6">
        <f t="shared" si="1"/>
        <v>1</v>
      </c>
      <c r="M22" t="s">
        <v>33</v>
      </c>
      <c r="N22" s="6">
        <f t="shared" ref="N22:N24" si="21">ROUND(G22,5)</f>
        <v>0.40833000000000003</v>
      </c>
      <c r="O22" s="6">
        <f t="shared" ref="O22:O24" si="22">ROUND(H22,5)</f>
        <v>0.48803000000000002</v>
      </c>
      <c r="P22" s="6">
        <f t="shared" ref="P22:P24" si="23">ROUND(I22,5)</f>
        <v>5.7329999999999999E-2</v>
      </c>
      <c r="Q22" s="6">
        <f>ROUND(J22,5)+0.00001</f>
        <v>4.6310000000000004E-2</v>
      </c>
      <c r="R22" s="6">
        <f>SUM(N22:Q22)</f>
        <v>1</v>
      </c>
    </row>
    <row r="23" spans="6:18" x14ac:dyDescent="0.25">
      <c r="F23" t="s">
        <v>34</v>
      </c>
      <c r="G23" s="7">
        <f>1-J23</f>
        <v>0.85424950857548687</v>
      </c>
      <c r="H23" s="7">
        <v>0</v>
      </c>
      <c r="I23" s="7">
        <v>0</v>
      </c>
      <c r="J23" s="6">
        <f>J17*(1+'Sheet1 (2)'!$K$15)</f>
        <v>0.14575049142451313</v>
      </c>
      <c r="K23" s="6">
        <f t="shared" si="1"/>
        <v>1</v>
      </c>
      <c r="M23" t="s">
        <v>34</v>
      </c>
      <c r="N23" s="6">
        <f t="shared" si="21"/>
        <v>0.85424999999999995</v>
      </c>
      <c r="O23" s="6">
        <f t="shared" si="22"/>
        <v>0</v>
      </c>
      <c r="P23" s="6">
        <f t="shared" si="23"/>
        <v>0</v>
      </c>
      <c r="Q23" s="6">
        <f t="shared" ref="Q23:Q24" si="24">ROUND(J23,5)</f>
        <v>0.14574999999999999</v>
      </c>
      <c r="R23" s="6">
        <f t="shared" si="20"/>
        <v>1</v>
      </c>
    </row>
    <row r="24" spans="6:18" x14ac:dyDescent="0.25">
      <c r="F24" t="s">
        <v>35</v>
      </c>
      <c r="G24" s="7">
        <f>1-J24</f>
        <v>0.43942118682879561</v>
      </c>
      <c r="H24" s="7">
        <v>0</v>
      </c>
      <c r="I24" s="7">
        <v>0</v>
      </c>
      <c r="J24" s="6">
        <f>J18*(1+'Sheet1 (2)'!$K$15)</f>
        <v>0.56057881317120439</v>
      </c>
      <c r="K24" s="6">
        <f t="shared" si="1"/>
        <v>1</v>
      </c>
      <c r="M24" t="s">
        <v>35</v>
      </c>
      <c r="N24" s="6">
        <f t="shared" si="21"/>
        <v>0.43941999999999998</v>
      </c>
      <c r="O24" s="6">
        <f t="shared" si="22"/>
        <v>0</v>
      </c>
      <c r="P24" s="6">
        <f t="shared" si="23"/>
        <v>0</v>
      </c>
      <c r="Q24" s="6">
        <f t="shared" si="24"/>
        <v>0.56057999999999997</v>
      </c>
      <c r="R24" s="6">
        <f t="shared" si="20"/>
        <v>1</v>
      </c>
    </row>
    <row r="29" spans="6:18" x14ac:dyDescent="0.25">
      <c r="F29" t="s">
        <v>6</v>
      </c>
      <c r="G29" t="s">
        <v>39</v>
      </c>
      <c r="H29" t="s">
        <v>40</v>
      </c>
      <c r="I29" t="s">
        <v>41</v>
      </c>
      <c r="J29" t="s">
        <v>42</v>
      </c>
    </row>
    <row r="30" spans="6:18" x14ac:dyDescent="0.25">
      <c r="F30" t="s">
        <v>43</v>
      </c>
      <c r="G30" s="8">
        <v>0.28941719999999999</v>
      </c>
      <c r="H30" s="8">
        <v>0.30727199999999999</v>
      </c>
      <c r="I30" s="8">
        <v>0.3193184</v>
      </c>
      <c r="J30" s="8">
        <v>0.33146049999999999</v>
      </c>
    </row>
    <row r="31" spans="6:18" x14ac:dyDescent="0.25">
      <c r="F31" t="s">
        <v>44</v>
      </c>
      <c r="G31" s="8">
        <v>0.2689703</v>
      </c>
      <c r="H31" s="8">
        <v>0.2885839</v>
      </c>
      <c r="I31" s="8">
        <v>0.30094029999999999</v>
      </c>
      <c r="J31" s="8">
        <v>0.31335449999999998</v>
      </c>
    </row>
    <row r="32" spans="6:18" x14ac:dyDescent="0.25">
      <c r="F32" t="s">
        <v>45</v>
      </c>
      <c r="G32" s="4">
        <f>(G30-G31)/G30</f>
        <v>7.0648530909704021E-2</v>
      </c>
      <c r="H32" s="4">
        <f t="shared" ref="H32:J32" si="25">(H30-H31)/H30</f>
        <v>6.0819404306282333E-2</v>
      </c>
      <c r="I32" s="4">
        <f t="shared" si="25"/>
        <v>5.755415284556107E-2</v>
      </c>
      <c r="J32" s="4">
        <f t="shared" si="25"/>
        <v>5.4624910057156167E-2</v>
      </c>
    </row>
    <row r="34" spans="6:10" x14ac:dyDescent="0.25">
      <c r="F34" t="s">
        <v>6</v>
      </c>
      <c r="G34" t="s">
        <v>39</v>
      </c>
      <c r="H34" t="s">
        <v>40</v>
      </c>
      <c r="I34" t="s">
        <v>41</v>
      </c>
      <c r="J34" t="s">
        <v>42</v>
      </c>
    </row>
    <row r="35" spans="6:10" x14ac:dyDescent="0.25">
      <c r="F35" t="s">
        <v>45</v>
      </c>
      <c r="G35" s="4">
        <v>7.0648530909704021E-2</v>
      </c>
      <c r="H35" s="4">
        <v>6.0819404306282333E-2</v>
      </c>
      <c r="I35" s="4">
        <v>5.755415284556107E-2</v>
      </c>
      <c r="J35" s="4">
        <v>5.4624910057156167E-2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2DF5D-7C94-42E5-8E95-22326C2595B5}">
  <dimension ref="A1:K23"/>
  <sheetViews>
    <sheetView workbookViewId="0">
      <selection activeCell="I15" sqref="I15"/>
    </sheetView>
  </sheetViews>
  <sheetFormatPr defaultRowHeight="15" x14ac:dyDescent="0.25"/>
  <cols>
    <col min="1" max="1" width="23.140625" bestFit="1" customWidth="1"/>
    <col min="2" max="2" width="10.140625" customWidth="1"/>
    <col min="3" max="6" width="9.7109375" customWidth="1"/>
    <col min="7" max="7" width="17.28515625" bestFit="1" customWidth="1"/>
    <col min="8" max="8" width="9" customWidth="1"/>
  </cols>
  <sheetData>
    <row r="1" spans="1:11" x14ac:dyDescent="0.25">
      <c r="B1" t="s">
        <v>4</v>
      </c>
      <c r="H1" t="s">
        <v>5</v>
      </c>
    </row>
    <row r="2" spans="1:11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G2" s="1" t="s">
        <v>6</v>
      </c>
      <c r="H2" t="s">
        <v>7</v>
      </c>
      <c r="I2" t="s">
        <v>11</v>
      </c>
      <c r="J2" t="s">
        <v>12</v>
      </c>
      <c r="K2" t="s">
        <v>13</v>
      </c>
    </row>
    <row r="3" spans="1:11" x14ac:dyDescent="0.25">
      <c r="A3" t="s">
        <v>14</v>
      </c>
      <c r="B3">
        <v>4.0999999999999996</v>
      </c>
      <c r="C3">
        <v>3.7</v>
      </c>
      <c r="D3">
        <v>3.6</v>
      </c>
      <c r="E3">
        <v>3.2</v>
      </c>
      <c r="G3" s="2" t="s">
        <v>14</v>
      </c>
      <c r="H3">
        <v>5.6</v>
      </c>
      <c r="I3">
        <v>3.3</v>
      </c>
      <c r="J3">
        <v>2.8</v>
      </c>
      <c r="K3">
        <v>2.5</v>
      </c>
    </row>
    <row r="4" spans="1:11" x14ac:dyDescent="0.25">
      <c r="A4" t="s">
        <v>15</v>
      </c>
      <c r="B4">
        <v>1.5</v>
      </c>
      <c r="C4">
        <v>1.2</v>
      </c>
      <c r="D4">
        <v>1</v>
      </c>
      <c r="E4">
        <v>1.2</v>
      </c>
      <c r="G4" t="s">
        <v>15</v>
      </c>
      <c r="H4">
        <v>2.1</v>
      </c>
      <c r="I4">
        <v>1.4</v>
      </c>
      <c r="J4">
        <v>2.2000000000000002</v>
      </c>
      <c r="K4">
        <v>2.5</v>
      </c>
    </row>
    <row r="5" spans="1:11" x14ac:dyDescent="0.25">
      <c r="A5" t="s">
        <v>16</v>
      </c>
      <c r="B5">
        <v>4.3499999999999996</v>
      </c>
      <c r="C5">
        <v>4.3499999999999996</v>
      </c>
      <c r="D5">
        <v>4.3499999999999996</v>
      </c>
      <c r="E5">
        <v>4.0999999999999996</v>
      </c>
      <c r="G5" s="2" t="s">
        <v>16</v>
      </c>
      <c r="H5">
        <v>4.3499999999999996</v>
      </c>
      <c r="I5">
        <v>3.85</v>
      </c>
      <c r="J5">
        <v>3.25</v>
      </c>
      <c r="K5">
        <v>3</v>
      </c>
    </row>
    <row r="6" spans="1:11" x14ac:dyDescent="0.25">
      <c r="A6" t="s">
        <v>17</v>
      </c>
      <c r="B6">
        <v>3.9</v>
      </c>
      <c r="C6">
        <v>4.0999999999999996</v>
      </c>
      <c r="D6">
        <v>4.3</v>
      </c>
      <c r="E6">
        <v>4.5</v>
      </c>
      <c r="G6" t="s">
        <v>17</v>
      </c>
      <c r="H6">
        <v>3.7</v>
      </c>
      <c r="I6">
        <v>4.5</v>
      </c>
      <c r="J6">
        <v>4.5</v>
      </c>
      <c r="K6">
        <v>4.4000000000000004</v>
      </c>
    </row>
    <row r="7" spans="1:11" x14ac:dyDescent="0.25">
      <c r="A7" t="s">
        <v>18</v>
      </c>
      <c r="B7">
        <v>0.5</v>
      </c>
      <c r="C7">
        <v>1</v>
      </c>
      <c r="D7">
        <v>2.1</v>
      </c>
      <c r="E7">
        <v>0.5</v>
      </c>
      <c r="G7" s="2" t="s">
        <v>18</v>
      </c>
      <c r="H7">
        <v>1.5</v>
      </c>
      <c r="I7">
        <v>4.0999999999999996</v>
      </c>
      <c r="J7">
        <v>-1.3</v>
      </c>
      <c r="K7">
        <v>-0.1</v>
      </c>
    </row>
    <row r="8" spans="1:11" x14ac:dyDescent="0.25">
      <c r="A8" t="s">
        <v>19</v>
      </c>
      <c r="B8">
        <v>1614</v>
      </c>
      <c r="C8">
        <v>1712</v>
      </c>
      <c r="D8">
        <v>1745</v>
      </c>
      <c r="E8">
        <v>1778</v>
      </c>
      <c r="G8" t="s">
        <v>19</v>
      </c>
      <c r="H8">
        <v>1581</v>
      </c>
      <c r="I8">
        <v>1812</v>
      </c>
      <c r="J8">
        <v>1945</v>
      </c>
      <c r="K8">
        <v>2077</v>
      </c>
    </row>
    <row r="9" spans="1:11" x14ac:dyDescent="0.25">
      <c r="A9" t="s">
        <v>20</v>
      </c>
      <c r="B9">
        <v>41086.554455366597</v>
      </c>
      <c r="C9">
        <v>41345.073998433596</v>
      </c>
      <c r="D9">
        <v>41732.853313034095</v>
      </c>
      <c r="E9">
        <v>42120.632627634601</v>
      </c>
      <c r="G9" s="3" t="s">
        <v>20</v>
      </c>
      <c r="H9">
        <v>40399.482674162347</v>
      </c>
      <c r="I9">
        <v>42508.4119422351</v>
      </c>
      <c r="J9">
        <v>44059.529200637102</v>
      </c>
      <c r="K9">
        <v>45610.646459039104</v>
      </c>
    </row>
    <row r="11" spans="1:11" x14ac:dyDescent="0.25">
      <c r="A11" t="s">
        <v>21</v>
      </c>
      <c r="B11">
        <v>17.824038582749001</v>
      </c>
      <c r="C11">
        <v>19.140941861869699</v>
      </c>
      <c r="D11">
        <v>19.362267477931699</v>
      </c>
      <c r="E11">
        <v>19.824832949675798</v>
      </c>
      <c r="H11">
        <v>18.287411425670498</v>
      </c>
      <c r="I11">
        <v>19.9326310602715</v>
      </c>
      <c r="J11">
        <v>21.796803190111198</v>
      </c>
      <c r="K11">
        <v>22.893036881215899</v>
      </c>
    </row>
    <row r="12" spans="1:11" x14ac:dyDescent="0.25">
      <c r="A12" t="s">
        <v>22</v>
      </c>
      <c r="C12" s="4">
        <f>(C11-B11)/B11</f>
        <v>7.3883551867715502E-2</v>
      </c>
      <c r="D12" s="5">
        <f>(D11-C11)/C11</f>
        <v>1.1562942809146626E-2</v>
      </c>
      <c r="E12" s="5">
        <f>(E11-D11)/D11</f>
        <v>2.3890046569768349E-2</v>
      </c>
      <c r="F12" s="5"/>
      <c r="G12" s="5"/>
      <c r="H12" s="5"/>
      <c r="I12" s="5">
        <f>(I11-H11)/H11</f>
        <v>8.9964598942175372E-2</v>
      </c>
      <c r="J12" s="5">
        <f>(J11-I11)/I11</f>
        <v>9.3523635901496802E-2</v>
      </c>
      <c r="K12" s="5">
        <f>(K11-J11)/J11</f>
        <v>5.0293324279866922E-2</v>
      </c>
    </row>
    <row r="13" spans="1:11" x14ac:dyDescent="0.25">
      <c r="A13" t="s">
        <v>23</v>
      </c>
      <c r="B13">
        <v>304494.88979225297</v>
      </c>
      <c r="C13">
        <v>322066.929382078</v>
      </c>
      <c r="D13">
        <v>332162.64067860699</v>
      </c>
      <c r="E13">
        <v>336815.63055743702</v>
      </c>
      <c r="H13">
        <v>293701.47905287403</v>
      </c>
      <c r="I13">
        <v>350261.90940015402</v>
      </c>
      <c r="J13">
        <v>362489.79667744797</v>
      </c>
      <c r="K13">
        <v>388234.75112974597</v>
      </c>
    </row>
    <row r="14" spans="1:11" x14ac:dyDescent="0.25">
      <c r="A14" t="s">
        <v>22</v>
      </c>
      <c r="C14" s="4">
        <f>(C13-B13)/B13</f>
        <v>5.7708816071802921E-2</v>
      </c>
      <c r="D14" s="5">
        <f>(D13-C13)/C13</f>
        <v>3.1346625112670695E-2</v>
      </c>
      <c r="E14" s="5">
        <f>(E13-D13)/D13</f>
        <v>1.400816741257835E-2</v>
      </c>
      <c r="F14" s="5"/>
      <c r="G14" s="5"/>
      <c r="H14" s="5"/>
      <c r="I14" s="5">
        <f>(I13-H13)/H13</f>
        <v>0.19257795544535758</v>
      </c>
      <c r="J14" s="5">
        <f>(J13-I13)/I13</f>
        <v>3.4910696679050807E-2</v>
      </c>
      <c r="K14" s="5">
        <f>(K13-J13)/J13</f>
        <v>7.1022563085290022E-2</v>
      </c>
    </row>
    <row r="15" spans="1:11" x14ac:dyDescent="0.25">
      <c r="A15" t="s">
        <v>24</v>
      </c>
      <c r="C15" s="5">
        <f>$D$20%*(C12+C14)</f>
        <v>2.8912712335155959E-2</v>
      </c>
      <c r="D15" s="5">
        <f>$D$20%*(D12+D14)</f>
        <v>9.4278415471598688E-3</v>
      </c>
      <c r="E15" s="5">
        <f>$D$20%*(E12+E14)</f>
        <v>8.3267759068777602E-3</v>
      </c>
      <c r="F15" s="5"/>
      <c r="G15" s="5"/>
      <c r="I15" s="5">
        <f>$D$20%*(I12+I14)</f>
        <v>6.2078612349323402E-2</v>
      </c>
      <c r="J15" s="5">
        <f>$D$20%*(J12+J14)</f>
        <v>2.8218847110995385E-2</v>
      </c>
      <c r="K15" s="5">
        <f>$D$20%*(K12+K14)</f>
        <v>2.6654823588896048E-2</v>
      </c>
    </row>
    <row r="19" spans="1:4" x14ac:dyDescent="0.25">
      <c r="C19" t="s">
        <v>25</v>
      </c>
    </row>
    <row r="20" spans="1:4" x14ac:dyDescent="0.25">
      <c r="A20" t="s">
        <v>26</v>
      </c>
      <c r="B20">
        <v>870.3</v>
      </c>
      <c r="C20">
        <f>B20/SUM($B$20:$B$23)</f>
        <v>0.30097836123628341</v>
      </c>
      <c r="D20">
        <f>C20*73</f>
        <v>21.971420370248691</v>
      </c>
    </row>
    <row r="21" spans="1:4" x14ac:dyDescent="0.25">
      <c r="A21" t="s">
        <v>27</v>
      </c>
      <c r="B21">
        <v>689.03</v>
      </c>
      <c r="C21">
        <f>B21/SUM($B$20:$B$23)</f>
        <v>0.23828923387640627</v>
      </c>
      <c r="D21">
        <f t="shared" ref="D21:D23" si="0">C21*73</f>
        <v>17.395114072977659</v>
      </c>
    </row>
    <row r="22" spans="1:4" x14ac:dyDescent="0.25">
      <c r="A22" t="s">
        <v>28</v>
      </c>
      <c r="B22">
        <v>644.12</v>
      </c>
      <c r="C22">
        <f>B22/SUM($B$20:$B$23)</f>
        <v>0.22275787893773974</v>
      </c>
      <c r="D22">
        <f t="shared" si="0"/>
        <v>16.261325162455002</v>
      </c>
    </row>
    <row r="23" spans="1:4" x14ac:dyDescent="0.25">
      <c r="A23" t="s">
        <v>29</v>
      </c>
      <c r="B23">
        <v>688.12</v>
      </c>
      <c r="C23">
        <f>B23/SUM($B$20:$B$23)</f>
        <v>0.23797452594957066</v>
      </c>
      <c r="D23">
        <f t="shared" si="0"/>
        <v>17.372140394318659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Vo</dc:creator>
  <cp:lastModifiedBy>Justin Vo</cp:lastModifiedBy>
  <dcterms:created xsi:type="dcterms:W3CDTF">2015-06-05T18:17:20Z</dcterms:created>
  <dcterms:modified xsi:type="dcterms:W3CDTF">2024-03-28T05:55:07Z</dcterms:modified>
</cp:coreProperties>
</file>