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주철관 기준\"/>
    </mc:Choice>
  </mc:AlternateContent>
  <xr:revisionPtr revIDLastSave="0" documentId="13_ncr:40009_{9EAC8BF7-44A4-4AD0-B65D-53D9396282B0}" xr6:coauthVersionLast="47" xr6:coauthVersionMax="47" xr10:uidLastSave="{00000000-0000-0000-0000-000000000000}"/>
  <bookViews>
    <workbookView xWindow="-28920" yWindow="-120" windowWidth="29040" windowHeight="17640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 fullCalcOnLoad="1"/>
</workbook>
</file>

<file path=xl/calcChain.xml><?xml version="1.0" encoding="utf-8"?>
<calcChain xmlns="http://schemas.openxmlformats.org/spreadsheetml/2006/main">
  <c r="E36" i="1" l="1"/>
  <c r="AB35" i="1"/>
  <c r="AD35" i="1" s="1"/>
  <c r="L35" i="1"/>
  <c r="F35" i="1" s="1"/>
  <c r="E35" i="1"/>
  <c r="AB34" i="1"/>
  <c r="AD34" i="1" s="1"/>
  <c r="L34" i="1"/>
  <c r="F34" i="1" s="1"/>
  <c r="E34" i="1"/>
  <c r="AB33" i="1"/>
  <c r="AD33" i="1" s="1"/>
  <c r="E33" i="1"/>
  <c r="AB32" i="1"/>
  <c r="AD32" i="1" s="1"/>
  <c r="E32" i="1"/>
  <c r="G3" i="10"/>
  <c r="G4" i="10"/>
  <c r="G5" i="10"/>
  <c r="G6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71" i="1"/>
  <c r="BI72" i="1"/>
  <c r="BI73" i="1"/>
  <c r="BI74" i="1"/>
  <c r="BI75" i="1"/>
  <c r="BI76" i="1"/>
  <c r="BI77" i="1"/>
  <c r="BI78" i="1"/>
  <c r="BI82" i="1"/>
  <c r="BI83" i="1"/>
  <c r="BI84" i="1"/>
  <c r="BI85" i="1"/>
  <c r="J87" i="1"/>
  <c r="I10" i="1" s="1"/>
  <c r="J10" i="1" s="1"/>
  <c r="L87" i="1"/>
  <c r="K10" i="1" s="1"/>
  <c r="L10" i="1" s="1"/>
  <c r="G88" i="1"/>
  <c r="H88" i="1" s="1"/>
  <c r="BI88" i="1"/>
  <c r="G89" i="1"/>
  <c r="E89" i="1" s="1"/>
  <c r="BI89" i="1"/>
  <c r="G90" i="1"/>
  <c r="BI90" i="1"/>
  <c r="G91" i="1"/>
  <c r="E91" i="1" s="1"/>
  <c r="BI91" i="1"/>
  <c r="G92" i="1"/>
  <c r="E92" i="1" s="1"/>
  <c r="BI92" i="1"/>
  <c r="G93" i="1"/>
  <c r="H93" i="1" s="1"/>
  <c r="F93" i="1" s="1"/>
  <c r="BI93" i="1"/>
  <c r="G94" i="1"/>
  <c r="E94" i="1" s="1"/>
  <c r="BI94" i="1"/>
  <c r="G95" i="1"/>
  <c r="H95" i="1" s="1"/>
  <c r="F95" i="1" s="1"/>
  <c r="BI95" i="1"/>
  <c r="G96" i="1"/>
  <c r="E96" i="1" s="1"/>
  <c r="BI96" i="1"/>
  <c r="G97" i="1"/>
  <c r="E97" i="1" s="1"/>
  <c r="BI97" i="1"/>
  <c r="G98" i="1"/>
  <c r="E98" i="1" s="1"/>
  <c r="BI98" i="1"/>
  <c r="BI101" i="1"/>
  <c r="G102" i="1"/>
  <c r="E102" i="1" s="1"/>
  <c r="BI102" i="1"/>
  <c r="BI103" i="1"/>
  <c r="BI104" i="1"/>
  <c r="BI105" i="1"/>
  <c r="BI106" i="1"/>
  <c r="BI107" i="1"/>
  <c r="BI108" i="1"/>
  <c r="G111" i="1"/>
  <c r="H111" i="1" s="1"/>
  <c r="H110" i="1" s="1"/>
  <c r="I111" i="1"/>
  <c r="J111" i="1" s="1"/>
  <c r="J110" i="1" s="1"/>
  <c r="K111" i="1"/>
  <c r="L111" i="1" s="1"/>
  <c r="L110" i="1" s="1"/>
  <c r="BI111" i="1"/>
  <c r="AB9" i="4"/>
  <c r="C9" i="4" s="1"/>
  <c r="AF9" i="4"/>
  <c r="D9" i="4" s="1"/>
  <c r="AJ9" i="4"/>
  <c r="E9" i="4" s="1"/>
  <c r="A11" i="4"/>
  <c r="K11" i="4"/>
  <c r="AD11" i="4"/>
  <c r="A12" i="4"/>
  <c r="K12" i="4"/>
  <c r="AD12" i="4"/>
  <c r="B13" i="4"/>
  <c r="AB13" i="4"/>
  <c r="AD13" i="4" s="1"/>
  <c r="AF13" i="4"/>
  <c r="A13" i="4" s="1"/>
  <c r="A14" i="4"/>
  <c r="K14" i="4"/>
  <c r="AD14" i="4"/>
  <c r="A15" i="4"/>
  <c r="K15" i="4"/>
  <c r="AD15" i="4"/>
  <c r="B16" i="4"/>
  <c r="B22" i="4"/>
  <c r="C22" i="4"/>
  <c r="D22" i="4"/>
  <c r="E22" i="4"/>
  <c r="AB22" i="4"/>
  <c r="AD22" i="4"/>
  <c r="AF22" i="4"/>
  <c r="AH22" i="4"/>
  <c r="AJ22" i="4"/>
  <c r="AL22" i="4"/>
  <c r="C38" i="4"/>
  <c r="AB38" i="4"/>
  <c r="AD38" i="4"/>
  <c r="AF38" i="4"/>
  <c r="AJ38" i="4"/>
  <c r="E38" i="4" s="1"/>
  <c r="AL38" i="4"/>
  <c r="A40" i="4"/>
  <c r="K40" i="4"/>
  <c r="AD40" i="4"/>
  <c r="A41" i="4"/>
  <c r="K41" i="4"/>
  <c r="AD41" i="4"/>
  <c r="B42" i="4"/>
  <c r="AB42" i="4"/>
  <c r="AD42" i="4" s="1"/>
  <c r="AF45" i="4" s="1"/>
  <c r="AF42" i="4"/>
  <c r="A42" i="4" s="1"/>
  <c r="AH42" i="4"/>
  <c r="A43" i="4"/>
  <c r="K43" i="4"/>
  <c r="AD43" i="4"/>
  <c r="A44" i="4"/>
  <c r="K44" i="4"/>
  <c r="AD44" i="4"/>
  <c r="B45" i="4"/>
  <c r="B59" i="4"/>
  <c r="D59" i="4"/>
  <c r="E59" i="4"/>
  <c r="AB59" i="4"/>
  <c r="C59" i="4" s="1"/>
  <c r="AD59" i="4"/>
  <c r="AF59" i="4"/>
  <c r="AH59" i="4"/>
  <c r="AJ59" i="4"/>
  <c r="AL59" i="4" s="1"/>
  <c r="B61" i="4"/>
  <c r="AB61" i="4"/>
  <c r="AD61" i="4" s="1"/>
  <c r="AF61" i="4"/>
  <c r="A61" i="4" s="1"/>
  <c r="AH61" i="4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84" i="4"/>
  <c r="K84" i="4"/>
  <c r="AD84" i="4"/>
  <c r="AB101" i="4" s="1"/>
  <c r="AD101" i="4" s="1"/>
  <c r="A85" i="4"/>
  <c r="K85" i="4"/>
  <c r="AD85" i="4"/>
  <c r="C89" i="4"/>
  <c r="AB89" i="4"/>
  <c r="AD89" i="4"/>
  <c r="AF89" i="4"/>
  <c r="AJ89" i="4"/>
  <c r="E89" i="4" s="1"/>
  <c r="AL89" i="4"/>
  <c r="A92" i="4"/>
  <c r="K92" i="4"/>
  <c r="AD92" i="4"/>
  <c r="A93" i="4"/>
  <c r="K93" i="4"/>
  <c r="AD93" i="4"/>
  <c r="B94" i="4"/>
  <c r="AB94" i="4"/>
  <c r="AD94" i="4" s="1"/>
  <c r="AF94" i="4"/>
  <c r="AH94" i="4" s="1"/>
  <c r="A95" i="4"/>
  <c r="K95" i="4"/>
  <c r="AD95" i="4"/>
  <c r="A96" i="4"/>
  <c r="K96" i="4"/>
  <c r="AD96" i="4"/>
  <c r="B97" i="4"/>
  <c r="AB97" i="4"/>
  <c r="AD97" i="4" s="1"/>
  <c r="AF97" i="4"/>
  <c r="AH97" i="4" s="1"/>
  <c r="B98" i="4"/>
  <c r="B100" i="4"/>
  <c r="A101" i="4"/>
  <c r="B101" i="4"/>
  <c r="AF101" i="4"/>
  <c r="AH101" i="4" s="1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B138" i="4" s="1"/>
  <c r="A126" i="4"/>
  <c r="K126" i="4"/>
  <c r="AD126" i="4"/>
  <c r="AH126" i="4"/>
  <c r="AL126" i="4"/>
  <c r="A128" i="4"/>
  <c r="K128" i="4"/>
  <c r="AD128" i="4"/>
  <c r="AH128" i="4"/>
  <c r="AL128" i="4"/>
  <c r="C130" i="4"/>
  <c r="AB130" i="4"/>
  <c r="AD130" i="4"/>
  <c r="AF130" i="4"/>
  <c r="D130" i="4" s="1"/>
  <c r="AH130" i="4"/>
  <c r="AJ130" i="4"/>
  <c r="E130" i="4" s="1"/>
  <c r="AL130" i="4"/>
  <c r="A133" i="4"/>
  <c r="K133" i="4"/>
  <c r="AD133" i="4"/>
  <c r="A134" i="4"/>
  <c r="K134" i="4"/>
  <c r="AD134" i="4"/>
  <c r="B135" i="4"/>
  <c r="AB135" i="4"/>
  <c r="AD135" i="4"/>
  <c r="AF135" i="4"/>
  <c r="A135" i="4" s="1"/>
  <c r="A136" i="4"/>
  <c r="K136" i="4"/>
  <c r="AD136" i="4"/>
  <c r="A137" i="4"/>
  <c r="K137" i="4"/>
  <c r="AD137" i="4"/>
  <c r="B138" i="4"/>
  <c r="AD138" i="4"/>
  <c r="AF138" i="4"/>
  <c r="A138" i="4" s="1"/>
  <c r="AH138" i="4"/>
  <c r="B139" i="4"/>
  <c r="B141" i="4"/>
  <c r="B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B178" i="4" s="1"/>
  <c r="AD178" i="4" s="1"/>
  <c r="A165" i="4"/>
  <c r="K165" i="4"/>
  <c r="AD165" i="4"/>
  <c r="A166" i="4"/>
  <c r="K166" i="4"/>
  <c r="AD166" i="4"/>
  <c r="C170" i="4"/>
  <c r="E170" i="4"/>
  <c r="AB170" i="4"/>
  <c r="AD170" i="4" s="1"/>
  <c r="AF170" i="4"/>
  <c r="D170" i="4" s="1"/>
  <c r="AJ170" i="4"/>
  <c r="AL170" i="4" s="1"/>
  <c r="A173" i="4"/>
  <c r="K173" i="4"/>
  <c r="AD173" i="4"/>
  <c r="A174" i="4"/>
  <c r="K174" i="4"/>
  <c r="AD174" i="4"/>
  <c r="A175" i="4"/>
  <c r="B175" i="4"/>
  <c r="AB175" i="4"/>
  <c r="AD175" i="4"/>
  <c r="AF175" i="4"/>
  <c r="AH175" i="4" s="1"/>
  <c r="A176" i="4"/>
  <c r="K176" i="4"/>
  <c r="AD176" i="4"/>
  <c r="A177" i="4"/>
  <c r="K177" i="4"/>
  <c r="AD177" i="4"/>
  <c r="B178" i="4"/>
  <c r="AF178" i="4"/>
  <c r="AH178" i="4" s="1"/>
  <c r="B179" i="4"/>
  <c r="B181" i="4"/>
  <c r="A182" i="4"/>
  <c r="B182" i="4"/>
  <c r="AB182" i="4"/>
  <c r="AD182" i="4"/>
  <c r="AF182" i="4"/>
  <c r="AH182" i="4" s="1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D203" i="4"/>
  <c r="AB203" i="4"/>
  <c r="C203" i="4" s="1"/>
  <c r="AF203" i="4"/>
  <c r="AH203" i="4" s="1"/>
  <c r="AJ203" i="4"/>
  <c r="A205" i="4"/>
  <c r="K205" i="4"/>
  <c r="AD205" i="4"/>
  <c r="A206" i="4"/>
  <c r="K206" i="4"/>
  <c r="AD206" i="4"/>
  <c r="B207" i="4"/>
  <c r="AB207" i="4"/>
  <c r="AD207" i="4" s="1"/>
  <c r="AF207" i="4"/>
  <c r="A208" i="4"/>
  <c r="K208" i="4"/>
  <c r="AD208" i="4"/>
  <c r="A209" i="4"/>
  <c r="K209" i="4"/>
  <c r="AD209" i="4"/>
  <c r="B210" i="4"/>
  <c r="AF210" i="4"/>
  <c r="D225" i="4"/>
  <c r="AB225" i="4"/>
  <c r="C225" i="4" s="1"/>
  <c r="AD225" i="4"/>
  <c r="AF225" i="4"/>
  <c r="AH225" i="4" s="1"/>
  <c r="AJ225" i="4"/>
  <c r="AL225" i="4" s="1"/>
  <c r="A227" i="4"/>
  <c r="K227" i="4"/>
  <c r="AD227" i="4"/>
  <c r="A228" i="4"/>
  <c r="K228" i="4"/>
  <c r="AD228" i="4"/>
  <c r="B229" i="4"/>
  <c r="AB229" i="4"/>
  <c r="AD229" i="4" s="1"/>
  <c r="AF229" i="4"/>
  <c r="A229" i="4" s="1"/>
  <c r="A230" i="4"/>
  <c r="K230" i="4"/>
  <c r="AD230" i="4"/>
  <c r="A231" i="4"/>
  <c r="K231" i="4"/>
  <c r="AD231" i="4"/>
  <c r="B232" i="4"/>
  <c r="A252" i="4"/>
  <c r="K252" i="4"/>
  <c r="AD252" i="4"/>
  <c r="A253" i="4"/>
  <c r="K253" i="4"/>
  <c r="AD253" i="4"/>
  <c r="A254" i="4"/>
  <c r="K254" i="4"/>
  <c r="AD254" i="4"/>
  <c r="B255" i="4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D264" i="4"/>
  <c r="E264" i="4"/>
  <c r="AB264" i="4"/>
  <c r="C264" i="4" s="1"/>
  <c r="B264" i="4" s="1"/>
  <c r="AF264" i="4"/>
  <c r="AH264" i="4"/>
  <c r="AJ264" i="4"/>
  <c r="AL264" i="4"/>
  <c r="E284" i="4"/>
  <c r="AB284" i="4"/>
  <c r="AD284" i="4" s="1"/>
  <c r="AB289" i="4" s="1"/>
  <c r="AF284" i="4"/>
  <c r="AH284" i="4" s="1"/>
  <c r="AJ284" i="4"/>
  <c r="AL284" i="4" s="1"/>
  <c r="AJ289" i="4" s="1"/>
  <c r="A305" i="4"/>
  <c r="K305" i="4"/>
  <c r="AD305" i="4"/>
  <c r="A306" i="4"/>
  <c r="K306" i="4"/>
  <c r="AD306" i="4"/>
  <c r="A307" i="4"/>
  <c r="K307" i="4"/>
  <c r="AD307" i="4"/>
  <c r="AB308" i="4" s="1"/>
  <c r="AD308" i="4" s="1"/>
  <c r="A308" i="4"/>
  <c r="B308" i="4"/>
  <c r="AF308" i="4"/>
  <c r="AH308" i="4" s="1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C316" i="4"/>
  <c r="E316" i="4"/>
  <c r="AB316" i="4"/>
  <c r="AD316" i="4" s="1"/>
  <c r="AF316" i="4"/>
  <c r="AJ316" i="4"/>
  <c r="AL316" i="4"/>
  <c r="C336" i="4"/>
  <c r="D336" i="4"/>
  <c r="AB336" i="4"/>
  <c r="AD336" i="4" s="1"/>
  <c r="AB341" i="4" s="1"/>
  <c r="AF336" i="4"/>
  <c r="AH336" i="4" s="1"/>
  <c r="AJ336" i="4"/>
  <c r="E336" i="4" s="1"/>
  <c r="A352" i="4"/>
  <c r="K352" i="4"/>
  <c r="AD352" i="4"/>
  <c r="B353" i="4"/>
  <c r="AB353" i="4"/>
  <c r="AD353" i="4" s="1"/>
  <c r="AB355" i="4" s="1"/>
  <c r="AD355" i="4" s="1"/>
  <c r="AF353" i="4"/>
  <c r="AH353" i="4" s="1"/>
  <c r="A354" i="4"/>
  <c r="K354" i="4"/>
  <c r="AD354" i="4"/>
  <c r="B355" i="4"/>
  <c r="AF355" i="4"/>
  <c r="C357" i="4"/>
  <c r="B357" i="4" s="1"/>
  <c r="D357" i="4"/>
  <c r="E357" i="4"/>
  <c r="AB357" i="4"/>
  <c r="AD357" i="4" s="1"/>
  <c r="AF357" i="4"/>
  <c r="AH357" i="4" s="1"/>
  <c r="AJ357" i="4"/>
  <c r="AL357" i="4" s="1"/>
  <c r="B359" i="4"/>
  <c r="C365" i="4"/>
  <c r="D365" i="4"/>
  <c r="AB365" i="4"/>
  <c r="AD365" i="4"/>
  <c r="AB368" i="4" s="1"/>
  <c r="AF365" i="4"/>
  <c r="AH365" i="4" s="1"/>
  <c r="AJ365" i="4"/>
  <c r="D370" i="4"/>
  <c r="AB370" i="4"/>
  <c r="AF370" i="4"/>
  <c r="AH370" i="4"/>
  <c r="AJ370" i="4"/>
  <c r="AL370" i="4" s="1"/>
  <c r="A373" i="4"/>
  <c r="B373" i="4"/>
  <c r="AB373" i="4"/>
  <c r="AD373" i="4" s="1"/>
  <c r="AF373" i="4"/>
  <c r="AH373" i="4" s="1"/>
  <c r="B374" i="4"/>
  <c r="C380" i="4"/>
  <c r="D380" i="4"/>
  <c r="AB380" i="4"/>
  <c r="AD380" i="4"/>
  <c r="AF380" i="4"/>
  <c r="AH380" i="4" s="1"/>
  <c r="AJ380" i="4"/>
  <c r="A383" i="4"/>
  <c r="B383" i="4"/>
  <c r="AB383" i="4"/>
  <c r="AD383" i="4"/>
  <c r="AB384" i="4" s="1"/>
  <c r="AD384" i="4" s="1"/>
  <c r="AF383" i="4"/>
  <c r="AH383" i="4" s="1"/>
  <c r="B384" i="4"/>
  <c r="AF384" i="4"/>
  <c r="C390" i="4"/>
  <c r="E390" i="4"/>
  <c r="AB390" i="4"/>
  <c r="AD390" i="4" s="1"/>
  <c r="AF390" i="4"/>
  <c r="AJ390" i="4"/>
  <c r="AL390" i="4"/>
  <c r="AJ394" i="4" s="1"/>
  <c r="A392" i="4"/>
  <c r="B392" i="4"/>
  <c r="AB392" i="4"/>
  <c r="AD392" i="4" s="1"/>
  <c r="AB393" i="4" s="1"/>
  <c r="A393" i="4" s="1"/>
  <c r="AF392" i="4"/>
  <c r="AH392" i="4" s="1"/>
  <c r="C393" i="4"/>
  <c r="B393" i="4" s="1"/>
  <c r="E394" i="4"/>
  <c r="AL394" i="4"/>
  <c r="D406" i="4"/>
  <c r="AB406" i="4"/>
  <c r="AF406" i="4"/>
  <c r="AH406" i="4"/>
  <c r="AJ406" i="4"/>
  <c r="A408" i="4"/>
  <c r="K408" i="4"/>
  <c r="AD408" i="4"/>
  <c r="A409" i="4"/>
  <c r="K409" i="4"/>
  <c r="AD409" i="4"/>
  <c r="K410" i="4"/>
  <c r="AD410" i="4"/>
  <c r="B411" i="4"/>
  <c r="AB411" i="4"/>
  <c r="AD411" i="4" s="1"/>
  <c r="AF411" i="4"/>
  <c r="C417" i="4"/>
  <c r="E417" i="4"/>
  <c r="AB417" i="4"/>
  <c r="AD417" i="4" s="1"/>
  <c r="AF417" i="4"/>
  <c r="D417" i="4" s="1"/>
  <c r="AJ417" i="4"/>
  <c r="AL417" i="4"/>
  <c r="A419" i="4"/>
  <c r="K419" i="4"/>
  <c r="AD419" i="4"/>
  <c r="A420" i="4"/>
  <c r="K420" i="4"/>
  <c r="AD420" i="4"/>
  <c r="A421" i="4"/>
  <c r="K421" i="4"/>
  <c r="AD421" i="4"/>
  <c r="AH421" i="4"/>
  <c r="AL421" i="4"/>
  <c r="B422" i="4"/>
  <c r="B423" i="4"/>
  <c r="B424" i="4"/>
  <c r="AB424" i="4"/>
  <c r="AD424" i="4" s="1"/>
  <c r="AF424" i="4"/>
  <c r="B425" i="4"/>
  <c r="B426" i="4"/>
  <c r="B427" i="4"/>
  <c r="C433" i="4"/>
  <c r="AB433" i="4"/>
  <c r="AD433" i="4"/>
  <c r="AF433" i="4"/>
  <c r="AH433" i="4" s="1"/>
  <c r="AJ433" i="4"/>
  <c r="E433" i="4" s="1"/>
  <c r="A435" i="4"/>
  <c r="K435" i="4"/>
  <c r="AD435" i="4"/>
  <c r="A436" i="4"/>
  <c r="K436" i="4"/>
  <c r="AD436" i="4"/>
  <c r="K437" i="4"/>
  <c r="AD437" i="4"/>
  <c r="B438" i="4"/>
  <c r="AB438" i="4"/>
  <c r="AD438" i="4" s="1"/>
  <c r="AF438" i="4"/>
  <c r="A438" i="4" s="1"/>
  <c r="C444" i="4"/>
  <c r="B444" i="4" s="1"/>
  <c r="D444" i="4"/>
  <c r="AB444" i="4"/>
  <c r="AD444" i="4"/>
  <c r="AF444" i="4"/>
  <c r="AH444" i="4"/>
  <c r="AJ444" i="4"/>
  <c r="E444" i="4" s="1"/>
  <c r="AL444" i="4"/>
  <c r="AJ448" i="4" s="1"/>
  <c r="AB448" i="4"/>
  <c r="C448" i="4" s="1"/>
  <c r="AB459" i="4"/>
  <c r="C459" i="4" s="1"/>
  <c r="B459" i="4" s="1"/>
  <c r="AF459" i="4"/>
  <c r="D459" i="4" s="1"/>
  <c r="AJ459" i="4"/>
  <c r="E459" i="4" s="1"/>
  <c r="AL459" i="4"/>
  <c r="A461" i="4"/>
  <c r="K461" i="4"/>
  <c r="AD461" i="4"/>
  <c r="A462" i="4"/>
  <c r="K462" i="4"/>
  <c r="AD462" i="4"/>
  <c r="C468" i="4"/>
  <c r="B468" i="4" s="1"/>
  <c r="AB468" i="4"/>
  <c r="A468" i="4" s="1"/>
  <c r="B469" i="4"/>
  <c r="D469" i="4"/>
  <c r="AB469" i="4"/>
  <c r="A469" i="4" s="1"/>
  <c r="C473" i="4"/>
  <c r="AB473" i="4"/>
  <c r="AD473" i="4"/>
  <c r="AB476" i="4" s="1"/>
  <c r="AF473" i="4"/>
  <c r="AH473" i="4" s="1"/>
  <c r="AJ473" i="4"/>
  <c r="E473" i="4" s="1"/>
  <c r="AB475" i="4"/>
  <c r="AB478" i="4"/>
  <c r="AD478" i="4" s="1"/>
  <c r="AD480" i="4" s="1"/>
  <c r="AB481" i="4" s="1"/>
  <c r="AF478" i="4"/>
  <c r="D478" i="4" s="1"/>
  <c r="AH478" i="4"/>
  <c r="AJ478" i="4"/>
  <c r="E478" i="4" s="1"/>
  <c r="AL478" i="4"/>
  <c r="AJ481" i="4" s="1"/>
  <c r="E481" i="4" s="1"/>
  <c r="C480" i="4"/>
  <c r="B480" i="4" s="1"/>
  <c r="AB480" i="4"/>
  <c r="A480" i="4" s="1"/>
  <c r="AF481" i="4"/>
  <c r="D481" i="4" s="1"/>
  <c r="D492" i="4"/>
  <c r="AB492" i="4"/>
  <c r="AF492" i="4"/>
  <c r="AH492" i="4" s="1"/>
  <c r="AJ492" i="4"/>
  <c r="AL492" i="4" s="1"/>
  <c r="A494" i="4"/>
  <c r="K494" i="4"/>
  <c r="AD494" i="4"/>
  <c r="A495" i="4"/>
  <c r="K495" i="4"/>
  <c r="AD495" i="4"/>
  <c r="A496" i="4"/>
  <c r="B496" i="4"/>
  <c r="AB496" i="4"/>
  <c r="AD496" i="4" s="1"/>
  <c r="AF499" i="4" s="1"/>
  <c r="AF496" i="4"/>
  <c r="AH496" i="4" s="1"/>
  <c r="A497" i="4"/>
  <c r="K497" i="4"/>
  <c r="AD497" i="4"/>
  <c r="A498" i="4"/>
  <c r="K498" i="4"/>
  <c r="AD498" i="4"/>
  <c r="B499" i="4"/>
  <c r="D515" i="4"/>
  <c r="AB515" i="4"/>
  <c r="C515" i="4" s="1"/>
  <c r="B515" i="4" s="1"/>
  <c r="AD515" i="4"/>
  <c r="AF515" i="4"/>
  <c r="AH515" i="4"/>
  <c r="AF519" i="4" s="1"/>
  <c r="AJ515" i="4"/>
  <c r="E515" i="4" s="1"/>
  <c r="A517" i="4"/>
  <c r="B517" i="4"/>
  <c r="AB517" i="4"/>
  <c r="AD517" i="4" s="1"/>
  <c r="AB539" i="4" s="1"/>
  <c r="A539" i="4" s="1"/>
  <c r="AF517" i="4"/>
  <c r="AH517" i="4" s="1"/>
  <c r="B521" i="4"/>
  <c r="C521" i="4"/>
  <c r="D521" i="4"/>
  <c r="E521" i="4"/>
  <c r="AB521" i="4"/>
  <c r="AD521" i="4" s="1"/>
  <c r="AF521" i="4"/>
  <c r="AH521" i="4"/>
  <c r="AJ521" i="4"/>
  <c r="AL521" i="4"/>
  <c r="A523" i="4"/>
  <c r="B523" i="4"/>
  <c r="AB523" i="4"/>
  <c r="AD523" i="4" s="1"/>
  <c r="AF523" i="4"/>
  <c r="AH523" i="4"/>
  <c r="D529" i="4"/>
  <c r="AB529" i="4"/>
  <c r="C529" i="4" s="1"/>
  <c r="B529" i="4" s="1"/>
  <c r="AD529" i="4"/>
  <c r="AF529" i="4"/>
  <c r="AH529" i="4"/>
  <c r="AJ529" i="4"/>
  <c r="E529" i="4" s="1"/>
  <c r="A531" i="4"/>
  <c r="B531" i="4"/>
  <c r="AB531" i="4"/>
  <c r="AD531" i="4" s="1"/>
  <c r="AF531" i="4"/>
  <c r="AH531" i="4" s="1"/>
  <c r="B537" i="4"/>
  <c r="D537" i="4"/>
  <c r="E537" i="4"/>
  <c r="AB537" i="4"/>
  <c r="C537" i="4" s="1"/>
  <c r="AD537" i="4"/>
  <c r="AD539" i="4" s="1"/>
  <c r="AB540" i="4" s="1"/>
  <c r="AF537" i="4"/>
  <c r="AH537" i="4" s="1"/>
  <c r="AF540" i="4" s="1"/>
  <c r="AH540" i="4" s="1"/>
  <c r="AJ537" i="4"/>
  <c r="AL537" i="4"/>
  <c r="AJ540" i="4" s="1"/>
  <c r="E540" i="4" s="1"/>
  <c r="C539" i="4"/>
  <c r="B539" i="4" s="1"/>
  <c r="D540" i="4"/>
  <c r="AL540" i="4"/>
  <c r="E551" i="4"/>
  <c r="AB551" i="4"/>
  <c r="AF551" i="4"/>
  <c r="AJ551" i="4"/>
  <c r="AL551" i="4"/>
  <c r="AJ555" i="4" s="1"/>
  <c r="E555" i="4" s="1"/>
  <c r="A552" i="4"/>
  <c r="K552" i="4"/>
  <c r="AD552" i="4"/>
  <c r="A553" i="4"/>
  <c r="B553" i="4"/>
  <c r="AB553" i="4"/>
  <c r="AD553" i="4"/>
  <c r="AB554" i="4" s="1"/>
  <c r="A554" i="4" s="1"/>
  <c r="AF553" i="4"/>
  <c r="AH553" i="4"/>
  <c r="AL555" i="4"/>
  <c r="E557" i="4"/>
  <c r="AB557" i="4"/>
  <c r="C557" i="4" s="1"/>
  <c r="AD557" i="4"/>
  <c r="AF557" i="4"/>
  <c r="AJ557" i="4"/>
  <c r="AL557" i="4" s="1"/>
  <c r="A559" i="4"/>
  <c r="B559" i="4"/>
  <c r="AB559" i="4"/>
  <c r="AD559" i="4" s="1"/>
  <c r="AF559" i="4"/>
  <c r="AH559" i="4"/>
  <c r="C565" i="4"/>
  <c r="E565" i="4"/>
  <c r="AB565" i="4"/>
  <c r="AD565" i="4"/>
  <c r="AF565" i="4"/>
  <c r="AJ565" i="4"/>
  <c r="AL565" i="4" s="1"/>
  <c r="A567" i="4"/>
  <c r="B567" i="4"/>
  <c r="AB567" i="4"/>
  <c r="AD567" i="4"/>
  <c r="AF567" i="4"/>
  <c r="AH567" i="4"/>
  <c r="C573" i="4"/>
  <c r="D573" i="4"/>
  <c r="AB573" i="4"/>
  <c r="AD573" i="4"/>
  <c r="AF573" i="4"/>
  <c r="AH573" i="4"/>
  <c r="AF576" i="4" s="1"/>
  <c r="AJ573" i="4"/>
  <c r="D576" i="4"/>
  <c r="AH576" i="4"/>
  <c r="D587" i="4"/>
  <c r="E587" i="4"/>
  <c r="AB587" i="4"/>
  <c r="C587" i="4" s="1"/>
  <c r="B587" i="4" s="1"/>
  <c r="AD587" i="4"/>
  <c r="AF587" i="4"/>
  <c r="AH587" i="4" s="1"/>
  <c r="AF591" i="4" s="1"/>
  <c r="AJ587" i="4"/>
  <c r="AL587" i="4"/>
  <c r="AJ591" i="4" s="1"/>
  <c r="E591" i="4" s="1"/>
  <c r="A588" i="4"/>
  <c r="K588" i="4"/>
  <c r="AD588" i="4"/>
  <c r="B589" i="4"/>
  <c r="AB589" i="4"/>
  <c r="AD589" i="4"/>
  <c r="AF589" i="4"/>
  <c r="A589" i="4" s="1"/>
  <c r="AH589" i="4"/>
  <c r="AB590" i="4"/>
  <c r="A590" i="4" s="1"/>
  <c r="C593" i="4"/>
  <c r="D593" i="4"/>
  <c r="AB593" i="4"/>
  <c r="AD593" i="4" s="1"/>
  <c r="AF593" i="4"/>
  <c r="AH593" i="4"/>
  <c r="AJ593" i="4"/>
  <c r="B595" i="4"/>
  <c r="AB595" i="4"/>
  <c r="AD595" i="4"/>
  <c r="AF595" i="4"/>
  <c r="C601" i="4"/>
  <c r="E601" i="4"/>
  <c r="AB601" i="4"/>
  <c r="AD601" i="4" s="1"/>
  <c r="AF601" i="4"/>
  <c r="D601" i="4" s="1"/>
  <c r="AJ601" i="4"/>
  <c r="AL601" i="4" s="1"/>
  <c r="B603" i="4"/>
  <c r="AB603" i="4"/>
  <c r="AD603" i="4"/>
  <c r="AF603" i="4"/>
  <c r="A603" i="4" s="1"/>
  <c r="AH603" i="4"/>
  <c r="D609" i="4"/>
  <c r="E609" i="4"/>
  <c r="AB609" i="4"/>
  <c r="AF609" i="4"/>
  <c r="AH609" i="4"/>
  <c r="AF612" i="4" s="1"/>
  <c r="AJ609" i="4"/>
  <c r="AL609" i="4"/>
  <c r="AJ612" i="4" s="1"/>
  <c r="AL612" i="4" s="1"/>
  <c r="AB611" i="4"/>
  <c r="C611" i="4" s="1"/>
  <c r="B611" i="4" s="1"/>
  <c r="E612" i="4"/>
  <c r="F4" i="3"/>
  <c r="H4" i="3"/>
  <c r="L4" i="3"/>
  <c r="F5" i="3"/>
  <c r="I5" i="3"/>
  <c r="E5" i="3" s="1"/>
  <c r="J5" i="3"/>
  <c r="J4" i="3" s="1"/>
  <c r="BI5" i="3"/>
  <c r="BI8" i="3"/>
  <c r="BI9" i="3"/>
  <c r="BI12" i="3"/>
  <c r="BI13" i="3"/>
  <c r="BI16" i="3"/>
  <c r="BI17" i="3"/>
  <c r="BI18" i="3"/>
  <c r="BI21" i="3"/>
  <c r="BI22" i="3"/>
  <c r="E23" i="3"/>
  <c r="F26" i="3"/>
  <c r="G26" i="3"/>
  <c r="E26" i="3" s="1"/>
  <c r="H26" i="3"/>
  <c r="BI26" i="3"/>
  <c r="G27" i="3"/>
  <c r="H27" i="3" s="1"/>
  <c r="H28" i="3" s="1"/>
  <c r="AF27" i="3"/>
  <c r="AH27" i="3"/>
  <c r="AJ27" i="3"/>
  <c r="AL27" i="3"/>
  <c r="BI27" i="3"/>
  <c r="E28" i="3"/>
  <c r="J28" i="3"/>
  <c r="L28" i="3"/>
  <c r="E29" i="3"/>
  <c r="F29" i="3"/>
  <c r="I29" i="3"/>
  <c r="J29" i="3"/>
  <c r="BI29" i="3"/>
  <c r="E30" i="3"/>
  <c r="I30" i="3"/>
  <c r="J30" i="3" s="1"/>
  <c r="F30" i="3" s="1"/>
  <c r="BI30" i="3"/>
  <c r="BI31" i="3"/>
  <c r="E32" i="3"/>
  <c r="G35" i="3"/>
  <c r="BI35" i="3"/>
  <c r="E36" i="3"/>
  <c r="F36" i="3"/>
  <c r="I36" i="3"/>
  <c r="J36" i="3"/>
  <c r="BI36" i="3"/>
  <c r="E37" i="3"/>
  <c r="I37" i="3"/>
  <c r="J37" i="3" s="1"/>
  <c r="F37" i="3" s="1"/>
  <c r="BI37" i="3"/>
  <c r="AB38" i="3"/>
  <c r="AD38" i="3" s="1"/>
  <c r="BI38" i="3"/>
  <c r="E39" i="3"/>
  <c r="J41" i="3"/>
  <c r="L41" i="3"/>
  <c r="G42" i="3"/>
  <c r="E42" i="3" s="1"/>
  <c r="BI42" i="3"/>
  <c r="H44" i="3"/>
  <c r="L44" i="3"/>
  <c r="H28" i="2" s="1"/>
  <c r="K64" i="1" s="1"/>
  <c r="L64" i="1" s="1"/>
  <c r="E45" i="3"/>
  <c r="F45" i="3"/>
  <c r="I45" i="3"/>
  <c r="J45" i="3"/>
  <c r="AB45" i="3" s="1"/>
  <c r="AD45" i="3" s="1"/>
  <c r="BI45" i="3"/>
  <c r="E46" i="3"/>
  <c r="L46" i="3"/>
  <c r="F46" i="3" s="1"/>
  <c r="E49" i="3"/>
  <c r="I49" i="3"/>
  <c r="J49" i="3"/>
  <c r="F49" i="3" s="1"/>
  <c r="BI49" i="3"/>
  <c r="I50" i="3"/>
  <c r="E50" i="3" s="1"/>
  <c r="J50" i="3"/>
  <c r="F50" i="3" s="1"/>
  <c r="BI50" i="3"/>
  <c r="BI51" i="3"/>
  <c r="E52" i="3"/>
  <c r="E55" i="3"/>
  <c r="I55" i="3"/>
  <c r="J55" i="3" s="1"/>
  <c r="BI55" i="3"/>
  <c r="E56" i="3"/>
  <c r="I56" i="3"/>
  <c r="J56" i="3"/>
  <c r="F56" i="3" s="1"/>
  <c r="BI56" i="3"/>
  <c r="BI57" i="3"/>
  <c r="L59" i="3"/>
  <c r="I60" i="3"/>
  <c r="BI60" i="3"/>
  <c r="E61" i="3"/>
  <c r="F61" i="3"/>
  <c r="I61" i="3"/>
  <c r="J61" i="3" s="1"/>
  <c r="BI61" i="3"/>
  <c r="E62" i="3"/>
  <c r="J64" i="3"/>
  <c r="L64" i="3"/>
  <c r="E65" i="3"/>
  <c r="I65" i="3"/>
  <c r="J65" i="3"/>
  <c r="F65" i="3" s="1"/>
  <c r="BI65" i="3"/>
  <c r="E66" i="3"/>
  <c r="I66" i="3"/>
  <c r="J66" i="3" s="1"/>
  <c r="AB66" i="3"/>
  <c r="AD66" i="3" s="1"/>
  <c r="BI66" i="3"/>
  <c r="E67" i="3"/>
  <c r="BI70" i="3"/>
  <c r="BI71" i="3"/>
  <c r="BI74" i="3"/>
  <c r="BI75" i="3"/>
  <c r="E78" i="3"/>
  <c r="I78" i="3"/>
  <c r="J78" i="3"/>
  <c r="F78" i="3" s="1"/>
  <c r="BI78" i="3"/>
  <c r="I79" i="3"/>
  <c r="BI79" i="3"/>
  <c r="E80" i="3"/>
  <c r="F80" i="3"/>
  <c r="I80" i="3"/>
  <c r="J80" i="3"/>
  <c r="BI80" i="3"/>
  <c r="E81" i="3"/>
  <c r="I81" i="3"/>
  <c r="J81" i="3" s="1"/>
  <c r="F81" i="3" s="1"/>
  <c r="BI81" i="3"/>
  <c r="I82" i="3"/>
  <c r="J82" i="3"/>
  <c r="BI82" i="3"/>
  <c r="G83" i="3"/>
  <c r="I83" i="3"/>
  <c r="J83" i="3" s="1"/>
  <c r="BI83" i="3"/>
  <c r="BI84" i="3"/>
  <c r="BI85" i="3"/>
  <c r="BI86" i="3"/>
  <c r="G87" i="3"/>
  <c r="I87" i="3"/>
  <c r="J87" i="3" s="1"/>
  <c r="BI87" i="3"/>
  <c r="G88" i="3"/>
  <c r="I88" i="3"/>
  <c r="J88" i="3"/>
  <c r="BI88" i="3"/>
  <c r="E89" i="3"/>
  <c r="F92" i="3"/>
  <c r="I92" i="3"/>
  <c r="E92" i="3" s="1"/>
  <c r="J92" i="3"/>
  <c r="BI92" i="3"/>
  <c r="I93" i="3"/>
  <c r="E93" i="3" s="1"/>
  <c r="BI93" i="3"/>
  <c r="F94" i="3"/>
  <c r="I94" i="3"/>
  <c r="E94" i="3" s="1"/>
  <c r="J94" i="3"/>
  <c r="BI94" i="3"/>
  <c r="G95" i="3"/>
  <c r="H95" i="3" s="1"/>
  <c r="I95" i="3"/>
  <c r="J95" i="3" s="1"/>
  <c r="BI95" i="3"/>
  <c r="BI96" i="3"/>
  <c r="BI97" i="3"/>
  <c r="G98" i="3"/>
  <c r="I98" i="3"/>
  <c r="J98" i="3"/>
  <c r="BI98" i="3"/>
  <c r="E99" i="3"/>
  <c r="G99" i="3"/>
  <c r="H99" i="3" s="1"/>
  <c r="F99" i="3" s="1"/>
  <c r="BI99" i="3"/>
  <c r="E100" i="3"/>
  <c r="E101" i="3"/>
  <c r="I104" i="3"/>
  <c r="E104" i="3" s="1"/>
  <c r="J104" i="3"/>
  <c r="BI104" i="3"/>
  <c r="E105" i="3"/>
  <c r="I105" i="3"/>
  <c r="J105" i="3" s="1"/>
  <c r="F105" i="3" s="1"/>
  <c r="BI105" i="3"/>
  <c r="G106" i="3"/>
  <c r="H106" i="3"/>
  <c r="I106" i="3"/>
  <c r="J106" i="3"/>
  <c r="BI106" i="3"/>
  <c r="BI107" i="3"/>
  <c r="BI108" i="3"/>
  <c r="E109" i="3"/>
  <c r="L109" i="3"/>
  <c r="F109" i="3" s="1"/>
  <c r="E110" i="3"/>
  <c r="I113" i="3"/>
  <c r="BI113" i="3"/>
  <c r="F114" i="3"/>
  <c r="I114" i="3"/>
  <c r="E114" i="3" s="1"/>
  <c r="J114" i="3"/>
  <c r="BI114" i="3"/>
  <c r="I115" i="3"/>
  <c r="J115" i="3" s="1"/>
  <c r="F115" i="3" s="1"/>
  <c r="BI115" i="3"/>
  <c r="BI116" i="3"/>
  <c r="E117" i="3"/>
  <c r="E118" i="3"/>
  <c r="E121" i="3"/>
  <c r="I121" i="3"/>
  <c r="J121" i="3" s="1"/>
  <c r="BI121" i="3"/>
  <c r="E122" i="3"/>
  <c r="I122" i="3"/>
  <c r="J122" i="3"/>
  <c r="F122" i="3" s="1"/>
  <c r="BI122" i="3"/>
  <c r="I123" i="3"/>
  <c r="BI123" i="3"/>
  <c r="BI124" i="3"/>
  <c r="E125" i="3"/>
  <c r="E126" i="3"/>
  <c r="E129" i="3"/>
  <c r="I129" i="3"/>
  <c r="J129" i="3" s="1"/>
  <c r="BI129" i="3"/>
  <c r="F130" i="3"/>
  <c r="I130" i="3"/>
  <c r="E130" i="3" s="1"/>
  <c r="J130" i="3"/>
  <c r="BI130" i="3"/>
  <c r="E131" i="3"/>
  <c r="I131" i="3"/>
  <c r="J131" i="3" s="1"/>
  <c r="F131" i="3" s="1"/>
  <c r="BI131" i="3"/>
  <c r="G132" i="3"/>
  <c r="H132" i="3"/>
  <c r="I132" i="3"/>
  <c r="J132" i="3"/>
  <c r="BI132" i="3"/>
  <c r="BI133" i="3"/>
  <c r="BI134" i="3"/>
  <c r="E135" i="3"/>
  <c r="E136" i="3"/>
  <c r="E139" i="3"/>
  <c r="I139" i="3"/>
  <c r="J139" i="3" s="1"/>
  <c r="BI139" i="3"/>
  <c r="F140" i="3"/>
  <c r="I140" i="3"/>
  <c r="E140" i="3" s="1"/>
  <c r="J140" i="3"/>
  <c r="BI140" i="3"/>
  <c r="BI141" i="3"/>
  <c r="I142" i="3"/>
  <c r="J142" i="3"/>
  <c r="BI142" i="3"/>
  <c r="E143" i="3"/>
  <c r="G143" i="3"/>
  <c r="H143" i="3" s="1"/>
  <c r="F143" i="3" s="1"/>
  <c r="BI143" i="3"/>
  <c r="G144" i="3"/>
  <c r="E144" i="3" s="1"/>
  <c r="H144" i="3"/>
  <c r="F144" i="3" s="1"/>
  <c r="I144" i="3"/>
  <c r="J144" i="3"/>
  <c r="K144" i="3"/>
  <c r="L144" i="3"/>
  <c r="BI144" i="3"/>
  <c r="E145" i="3"/>
  <c r="I148" i="3"/>
  <c r="E148" i="3" s="1"/>
  <c r="J148" i="3"/>
  <c r="BI148" i="3"/>
  <c r="E149" i="3"/>
  <c r="I149" i="3"/>
  <c r="J149" i="3" s="1"/>
  <c r="F149" i="3" s="1"/>
  <c r="BI149" i="3"/>
  <c r="BI150" i="3"/>
  <c r="BI151" i="3"/>
  <c r="BI152" i="3"/>
  <c r="BI153" i="3"/>
  <c r="BI154" i="3"/>
  <c r="BI155" i="3"/>
  <c r="BI156" i="3"/>
  <c r="E157" i="3"/>
  <c r="H159" i="3"/>
  <c r="J159" i="3"/>
  <c r="E160" i="3"/>
  <c r="F160" i="3"/>
  <c r="I160" i="3"/>
  <c r="J160" i="3"/>
  <c r="AB160" i="3" s="1"/>
  <c r="AD160" i="3"/>
  <c r="BI160" i="3"/>
  <c r="E161" i="3"/>
  <c r="H163" i="3"/>
  <c r="J163" i="3"/>
  <c r="G164" i="3"/>
  <c r="E164" i="3" s="1"/>
  <c r="H164" i="3"/>
  <c r="H166" i="3" s="1"/>
  <c r="BI164" i="3"/>
  <c r="I165" i="3"/>
  <c r="AB165" i="3"/>
  <c r="AD165" i="3" s="1"/>
  <c r="AJ165" i="3"/>
  <c r="AL165" i="3" s="1"/>
  <c r="BI165" i="3"/>
  <c r="E166" i="3"/>
  <c r="L166" i="3"/>
  <c r="E167" i="3"/>
  <c r="H169" i="3"/>
  <c r="J169" i="3"/>
  <c r="F170" i="3"/>
  <c r="G170" i="3"/>
  <c r="E170" i="3" s="1"/>
  <c r="H170" i="3"/>
  <c r="H172" i="3" s="1"/>
  <c r="AB172" i="3" s="1"/>
  <c r="AD172" i="3" s="1"/>
  <c r="BI170" i="3"/>
  <c r="I171" i="3"/>
  <c r="J171" i="3" s="1"/>
  <c r="J172" i="3" s="1"/>
  <c r="AJ171" i="3"/>
  <c r="AL171" i="3" s="1"/>
  <c r="BI171" i="3"/>
  <c r="E172" i="3"/>
  <c r="F172" i="3"/>
  <c r="L172" i="3"/>
  <c r="E173" i="3"/>
  <c r="H175" i="3"/>
  <c r="J175" i="3"/>
  <c r="G176" i="3"/>
  <c r="E176" i="3" s="1"/>
  <c r="H176" i="3"/>
  <c r="BI176" i="3"/>
  <c r="G177" i="3"/>
  <c r="AF177" i="3"/>
  <c r="AH177" i="3" s="1"/>
  <c r="AJ177" i="3"/>
  <c r="AL177" i="3" s="1"/>
  <c r="BI177" i="3"/>
  <c r="E178" i="3"/>
  <c r="J178" i="3"/>
  <c r="L178" i="3"/>
  <c r="I179" i="3"/>
  <c r="BI179" i="3"/>
  <c r="E180" i="3"/>
  <c r="H182" i="3"/>
  <c r="J182" i="3"/>
  <c r="BI183" i="3"/>
  <c r="I184" i="3"/>
  <c r="E184" i="3" s="1"/>
  <c r="J184" i="3"/>
  <c r="F184" i="3" s="1"/>
  <c r="BI184" i="3"/>
  <c r="E185" i="3"/>
  <c r="H187" i="3"/>
  <c r="J187" i="3"/>
  <c r="BI188" i="3"/>
  <c r="F189" i="3"/>
  <c r="G189" i="3"/>
  <c r="E189" i="3" s="1"/>
  <c r="H189" i="3"/>
  <c r="I189" i="3"/>
  <c r="J189" i="3" s="1"/>
  <c r="K189" i="3"/>
  <c r="L189" i="3" s="1"/>
  <c r="BI189" i="3"/>
  <c r="E190" i="3"/>
  <c r="F190" i="3"/>
  <c r="I190" i="3"/>
  <c r="J190" i="3"/>
  <c r="BI190" i="3"/>
  <c r="E191" i="3"/>
  <c r="I194" i="3"/>
  <c r="BI194" i="3"/>
  <c r="G195" i="3"/>
  <c r="I195" i="3"/>
  <c r="J195" i="3"/>
  <c r="BI195" i="3"/>
  <c r="I196" i="3"/>
  <c r="J196" i="3"/>
  <c r="BI196" i="3"/>
  <c r="E197" i="3"/>
  <c r="G197" i="3"/>
  <c r="H197" i="3"/>
  <c r="F197" i="3" s="1"/>
  <c r="BI197" i="3"/>
  <c r="E200" i="3"/>
  <c r="I200" i="3"/>
  <c r="J200" i="3" s="1"/>
  <c r="BI200" i="3"/>
  <c r="I201" i="3"/>
  <c r="E201" i="3" s="1"/>
  <c r="J201" i="3"/>
  <c r="F201" i="3" s="1"/>
  <c r="BI201" i="3"/>
  <c r="F202" i="3"/>
  <c r="I202" i="3"/>
  <c r="E202" i="3" s="1"/>
  <c r="J202" i="3"/>
  <c r="BI202" i="3"/>
  <c r="BI203" i="3"/>
  <c r="E204" i="3"/>
  <c r="I207" i="3"/>
  <c r="J207" i="3" s="1"/>
  <c r="BI207" i="3"/>
  <c r="F208" i="3"/>
  <c r="I208" i="3"/>
  <c r="E208" i="3" s="1"/>
  <c r="J208" i="3"/>
  <c r="BI208" i="3"/>
  <c r="I209" i="3"/>
  <c r="BI209" i="3"/>
  <c r="BI210" i="3"/>
  <c r="E211" i="3"/>
  <c r="BI214" i="3"/>
  <c r="BI215" i="3"/>
  <c r="BI216" i="3"/>
  <c r="BI217" i="3"/>
  <c r="BI218" i="3"/>
  <c r="E219" i="3"/>
  <c r="G219" i="3"/>
  <c r="H219" i="3"/>
  <c r="F219" i="3" s="1"/>
  <c r="BI219" i="3"/>
  <c r="E222" i="3"/>
  <c r="I222" i="3"/>
  <c r="J222" i="3"/>
  <c r="BI222" i="3"/>
  <c r="E223" i="3"/>
  <c r="I223" i="3"/>
  <c r="J223" i="3"/>
  <c r="F223" i="3" s="1"/>
  <c r="BI223" i="3"/>
  <c r="E224" i="3"/>
  <c r="I224" i="3"/>
  <c r="J224" i="3"/>
  <c r="F224" i="3" s="1"/>
  <c r="BI224" i="3"/>
  <c r="AB225" i="3"/>
  <c r="AD225" i="3" s="1"/>
  <c r="BI225" i="3"/>
  <c r="E226" i="3"/>
  <c r="I229" i="3"/>
  <c r="J229" i="3" s="1"/>
  <c r="BI229" i="3"/>
  <c r="F230" i="3"/>
  <c r="I230" i="3"/>
  <c r="E230" i="3" s="1"/>
  <c r="J230" i="3"/>
  <c r="BI230" i="3"/>
  <c r="I231" i="3"/>
  <c r="BI231" i="3"/>
  <c r="BI232" i="3"/>
  <c r="E233" i="3"/>
  <c r="I236" i="3"/>
  <c r="E236" i="3" s="1"/>
  <c r="J236" i="3"/>
  <c r="BI236" i="3"/>
  <c r="I237" i="3"/>
  <c r="J237" i="3" s="1"/>
  <c r="F237" i="3" s="1"/>
  <c r="BI237" i="3"/>
  <c r="I238" i="3"/>
  <c r="E238" i="3" s="1"/>
  <c r="BI238" i="3"/>
  <c r="BI239" i="3"/>
  <c r="E240" i="3"/>
  <c r="E243" i="3"/>
  <c r="I243" i="3"/>
  <c r="J243" i="3"/>
  <c r="AB246" i="3" s="1"/>
  <c r="BI243" i="3"/>
  <c r="F244" i="3"/>
  <c r="I244" i="3"/>
  <c r="E244" i="3" s="1"/>
  <c r="J244" i="3"/>
  <c r="BI244" i="3"/>
  <c r="I245" i="3"/>
  <c r="J245" i="3" s="1"/>
  <c r="F245" i="3" s="1"/>
  <c r="BI245" i="3"/>
  <c r="AD246" i="3"/>
  <c r="BI246" i="3"/>
  <c r="E247" i="3"/>
  <c r="E250" i="3"/>
  <c r="G250" i="3"/>
  <c r="H250" i="3"/>
  <c r="H249" i="3" s="1"/>
  <c r="BI250" i="3"/>
  <c r="G251" i="3"/>
  <c r="H251" i="3"/>
  <c r="I251" i="3"/>
  <c r="K251" i="3"/>
  <c r="L251" i="3" s="1"/>
  <c r="BI251" i="3"/>
  <c r="F252" i="3"/>
  <c r="I252" i="3"/>
  <c r="E252" i="3" s="1"/>
  <c r="J252" i="3"/>
  <c r="BI252" i="3"/>
  <c r="I253" i="3"/>
  <c r="BI253" i="3"/>
  <c r="E254" i="3"/>
  <c r="E257" i="3"/>
  <c r="G257" i="3"/>
  <c r="H257" i="3" s="1"/>
  <c r="BI257" i="3"/>
  <c r="G258" i="3"/>
  <c r="E258" i="3" s="1"/>
  <c r="H258" i="3"/>
  <c r="I258" i="3"/>
  <c r="J258" i="3" s="1"/>
  <c r="K258" i="3"/>
  <c r="L258" i="3"/>
  <c r="BI258" i="3"/>
  <c r="I259" i="3"/>
  <c r="BI259" i="3"/>
  <c r="I260" i="3"/>
  <c r="E260" i="3" s="1"/>
  <c r="BI260" i="3"/>
  <c r="E261" i="3"/>
  <c r="I264" i="3"/>
  <c r="E264" i="3" s="1"/>
  <c r="J264" i="3"/>
  <c r="BI264" i="3"/>
  <c r="I265" i="3"/>
  <c r="BI265" i="3"/>
  <c r="G266" i="3"/>
  <c r="E266" i="3" s="1"/>
  <c r="BI266" i="3"/>
  <c r="E267" i="3"/>
  <c r="G267" i="3"/>
  <c r="H267" i="3" s="1"/>
  <c r="F267" i="3" s="1"/>
  <c r="BI267" i="3"/>
  <c r="E268" i="3"/>
  <c r="E271" i="3"/>
  <c r="I271" i="3"/>
  <c r="J271" i="3" s="1"/>
  <c r="F271" i="3" s="1"/>
  <c r="BI271" i="3"/>
  <c r="I272" i="3"/>
  <c r="E272" i="3" s="1"/>
  <c r="BI272" i="3"/>
  <c r="G273" i="3"/>
  <c r="H273" i="3" s="1"/>
  <c r="I273" i="3"/>
  <c r="J273" i="3" s="1"/>
  <c r="BI273" i="3"/>
  <c r="BI274" i="3"/>
  <c r="I275" i="3"/>
  <c r="J275" i="3"/>
  <c r="BI275" i="3"/>
  <c r="E276" i="3"/>
  <c r="E279" i="3"/>
  <c r="I279" i="3"/>
  <c r="J279" i="3" s="1"/>
  <c r="BI279" i="3"/>
  <c r="G280" i="3"/>
  <c r="E280" i="3" s="1"/>
  <c r="H280" i="3"/>
  <c r="BI280" i="3"/>
  <c r="G281" i="3"/>
  <c r="H281" i="3" s="1"/>
  <c r="F281" i="3" s="1"/>
  <c r="BI281" i="3"/>
  <c r="G282" i="3"/>
  <c r="H282" i="3"/>
  <c r="I282" i="3"/>
  <c r="J282" i="3"/>
  <c r="BI282" i="3"/>
  <c r="E283" i="3"/>
  <c r="E284" i="3"/>
  <c r="E287" i="3"/>
  <c r="I287" i="3"/>
  <c r="J287" i="3" s="1"/>
  <c r="F287" i="3" s="1"/>
  <c r="BI287" i="3"/>
  <c r="I288" i="3"/>
  <c r="E288" i="3" s="1"/>
  <c r="BI288" i="3"/>
  <c r="G289" i="3"/>
  <c r="H289" i="3" s="1"/>
  <c r="I289" i="3"/>
  <c r="J289" i="3" s="1"/>
  <c r="BI289" i="3"/>
  <c r="BI290" i="3"/>
  <c r="I291" i="3"/>
  <c r="J291" i="3"/>
  <c r="BI291" i="3"/>
  <c r="E292" i="3"/>
  <c r="E295" i="3"/>
  <c r="I295" i="3"/>
  <c r="J295" i="3" s="1"/>
  <c r="BI295" i="3"/>
  <c r="F296" i="3"/>
  <c r="G296" i="3"/>
  <c r="E296" i="3" s="1"/>
  <c r="H296" i="3"/>
  <c r="BI296" i="3"/>
  <c r="G297" i="3"/>
  <c r="H297" i="3" s="1"/>
  <c r="F297" i="3" s="1"/>
  <c r="BI297" i="3"/>
  <c r="G298" i="3"/>
  <c r="H298" i="3"/>
  <c r="I298" i="3"/>
  <c r="J298" i="3"/>
  <c r="BI298" i="3"/>
  <c r="E299" i="3"/>
  <c r="E300" i="3"/>
  <c r="H302" i="3"/>
  <c r="J302" i="3"/>
  <c r="E303" i="3"/>
  <c r="G303" i="3"/>
  <c r="H303" i="3" s="1"/>
  <c r="BI303" i="3"/>
  <c r="G304" i="3"/>
  <c r="E304" i="3" s="1"/>
  <c r="BI304" i="3"/>
  <c r="G305" i="3"/>
  <c r="H305" i="3" s="1"/>
  <c r="F305" i="3" s="1"/>
  <c r="BI305" i="3"/>
  <c r="F306" i="3"/>
  <c r="G306" i="3"/>
  <c r="E306" i="3" s="1"/>
  <c r="H306" i="3"/>
  <c r="BI306" i="3"/>
  <c r="G307" i="3"/>
  <c r="AF307" i="3"/>
  <c r="AH307" i="3" s="1"/>
  <c r="AJ307" i="3"/>
  <c r="AL307" i="3" s="1"/>
  <c r="BI307" i="3"/>
  <c r="E308" i="3"/>
  <c r="J308" i="3"/>
  <c r="L308" i="3"/>
  <c r="E309" i="3"/>
  <c r="I312" i="3"/>
  <c r="E312" i="3" s="1"/>
  <c r="J312" i="3"/>
  <c r="BI312" i="3"/>
  <c r="E313" i="3"/>
  <c r="G313" i="3"/>
  <c r="H313" i="3" s="1"/>
  <c r="BI313" i="3"/>
  <c r="E314" i="3"/>
  <c r="AB314" i="3"/>
  <c r="AD314" i="3" s="1"/>
  <c r="AF314" i="3"/>
  <c r="AH314" i="3" s="1"/>
  <c r="E315" i="3"/>
  <c r="BI318" i="3"/>
  <c r="BI319" i="3"/>
  <c r="E322" i="3"/>
  <c r="I322" i="3"/>
  <c r="J322" i="3"/>
  <c r="BI322" i="3"/>
  <c r="E323" i="3"/>
  <c r="I323" i="3"/>
  <c r="J323" i="3"/>
  <c r="F323" i="3" s="1"/>
  <c r="BI323" i="3"/>
  <c r="E324" i="3"/>
  <c r="F324" i="3"/>
  <c r="G324" i="3"/>
  <c r="H324" i="3"/>
  <c r="BI324" i="3"/>
  <c r="E325" i="3"/>
  <c r="G325" i="3"/>
  <c r="H325" i="3" s="1"/>
  <c r="F325" i="3" s="1"/>
  <c r="BI325" i="3"/>
  <c r="E326" i="3"/>
  <c r="H328" i="3"/>
  <c r="J328" i="3"/>
  <c r="L328" i="3"/>
  <c r="E329" i="3"/>
  <c r="I329" i="3"/>
  <c r="J329" i="3"/>
  <c r="F329" i="3" s="1"/>
  <c r="BI329" i="3"/>
  <c r="E330" i="3"/>
  <c r="I330" i="3"/>
  <c r="J330" i="3"/>
  <c r="F330" i="3" s="1"/>
  <c r="BI330" i="3"/>
  <c r="H332" i="3"/>
  <c r="L332" i="3"/>
  <c r="I333" i="3"/>
  <c r="BI333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F20" i="2"/>
  <c r="G20" i="2"/>
  <c r="H20" i="2"/>
  <c r="AA20" i="2"/>
  <c r="AA21" i="2"/>
  <c r="AA22" i="2"/>
  <c r="AA23" i="2"/>
  <c r="AA24" i="2"/>
  <c r="AA25" i="2"/>
  <c r="AA26" i="2"/>
  <c r="G27" i="2"/>
  <c r="I60" i="1" s="1"/>
  <c r="J60" i="1" s="1"/>
  <c r="H27" i="2"/>
  <c r="K60" i="1" s="1"/>
  <c r="L60" i="1" s="1"/>
  <c r="AA27" i="2"/>
  <c r="F28" i="2"/>
  <c r="G64" i="1" s="1"/>
  <c r="AA28" i="2"/>
  <c r="AA29" i="2"/>
  <c r="AA30" i="2"/>
  <c r="H31" i="2"/>
  <c r="K67" i="1" s="1"/>
  <c r="L67" i="1" s="1"/>
  <c r="AA31" i="2"/>
  <c r="G32" i="2"/>
  <c r="I68" i="1" s="1"/>
  <c r="J68" i="1" s="1"/>
  <c r="H32" i="2"/>
  <c r="K68" i="1" s="1"/>
  <c r="L68" i="1" s="1"/>
  <c r="AA32" i="2"/>
  <c r="AA33" i="2"/>
  <c r="AA34" i="2"/>
  <c r="AA35" i="2"/>
  <c r="AA36" i="2"/>
  <c r="AA37" i="2"/>
  <c r="AA38" i="2"/>
  <c r="AA39" i="2"/>
  <c r="AA40" i="2"/>
  <c r="AA41" i="2"/>
  <c r="AA42" i="2"/>
  <c r="F43" i="2"/>
  <c r="G43" i="2"/>
  <c r="I101" i="1" s="1"/>
  <c r="J101" i="1" s="1"/>
  <c r="AA43" i="2"/>
  <c r="F44" i="2"/>
  <c r="G103" i="1" s="1"/>
  <c r="G44" i="2"/>
  <c r="I103" i="1" s="1"/>
  <c r="J103" i="1" s="1"/>
  <c r="AA44" i="2"/>
  <c r="F45" i="2"/>
  <c r="G45" i="2"/>
  <c r="I104" i="1" s="1"/>
  <c r="J104" i="1" s="1"/>
  <c r="AA45" i="2"/>
  <c r="F46" i="2"/>
  <c r="G46" i="2"/>
  <c r="I105" i="1" s="1"/>
  <c r="J105" i="1" s="1"/>
  <c r="AA46" i="2"/>
  <c r="F47" i="2"/>
  <c r="G47" i="2"/>
  <c r="I106" i="1" s="1"/>
  <c r="J106" i="1" s="1"/>
  <c r="AA47" i="2"/>
  <c r="F48" i="2"/>
  <c r="G48" i="2"/>
  <c r="I107" i="1" s="1"/>
  <c r="J107" i="1" s="1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F64" i="2"/>
  <c r="G183" i="3" s="1"/>
  <c r="G64" i="2"/>
  <c r="I183" i="3" s="1"/>
  <c r="J183" i="3" s="1"/>
  <c r="AA64" i="2"/>
  <c r="AA65" i="2"/>
  <c r="AA66" i="2"/>
  <c r="AA67" i="2"/>
  <c r="F68" i="2"/>
  <c r="G318" i="3" s="1"/>
  <c r="H68" i="2"/>
  <c r="K318" i="3" s="1"/>
  <c r="L318" i="3" s="1"/>
  <c r="L317" i="3" s="1"/>
  <c r="H66" i="2" s="1"/>
  <c r="K218" i="3" s="1"/>
  <c r="L218" i="3" s="1"/>
  <c r="AA68" i="2"/>
  <c r="F69" i="2"/>
  <c r="H69" i="2"/>
  <c r="K319" i="3" s="1"/>
  <c r="L319" i="3" s="1"/>
  <c r="AA69" i="2"/>
  <c r="D6" i="6"/>
  <c r="F6" i="6"/>
  <c r="G6" i="6" s="1"/>
  <c r="G7" i="6" s="1"/>
  <c r="AG6" i="6"/>
  <c r="F8" i="6"/>
  <c r="G8" i="6" s="1"/>
  <c r="AG8" i="6"/>
  <c r="AG11" i="6"/>
  <c r="D18" i="6"/>
  <c r="F18" i="6"/>
  <c r="G18" i="6"/>
  <c r="G19" i="6" s="1"/>
  <c r="AG18" i="6"/>
  <c r="F20" i="6"/>
  <c r="G20" i="6" s="1"/>
  <c r="AG20" i="6"/>
  <c r="AG23" i="6"/>
  <c r="D30" i="6"/>
  <c r="F30" i="6"/>
  <c r="G30" i="6" s="1"/>
  <c r="G31" i="6" s="1"/>
  <c r="AG30" i="6"/>
  <c r="D41" i="6"/>
  <c r="F41" i="6"/>
  <c r="G41" i="6" s="1"/>
  <c r="G42" i="6" s="1"/>
  <c r="AG41" i="6"/>
  <c r="F43" i="6"/>
  <c r="G43" i="6" s="1"/>
  <c r="AG43" i="6"/>
  <c r="AG46" i="6"/>
  <c r="D53" i="6"/>
  <c r="F53" i="6"/>
  <c r="G53" i="6"/>
  <c r="AG53" i="6"/>
  <c r="G54" i="6"/>
  <c r="F55" i="6"/>
  <c r="G55" i="6" s="1"/>
  <c r="AG55" i="6"/>
  <c r="AG58" i="6"/>
  <c r="D65" i="6"/>
  <c r="F65" i="6"/>
  <c r="G65" i="6" s="1"/>
  <c r="G66" i="6" s="1"/>
  <c r="AG65" i="6"/>
  <c r="F67" i="6"/>
  <c r="G67" i="6"/>
  <c r="G68" i="6" s="1"/>
  <c r="G69" i="6" s="1"/>
  <c r="AG67" i="6"/>
  <c r="AG70" i="6"/>
  <c r="D77" i="6"/>
  <c r="F77" i="6"/>
  <c r="G77" i="6" s="1"/>
  <c r="G78" i="6" s="1"/>
  <c r="AG77" i="6"/>
  <c r="D88" i="6"/>
  <c r="F88" i="6"/>
  <c r="G88" i="6"/>
  <c r="G89" i="6" s="1"/>
  <c r="AG88" i="6"/>
  <c r="F90" i="6"/>
  <c r="G90" i="6" s="1"/>
  <c r="AG90" i="6"/>
  <c r="AG93" i="6"/>
  <c r="D100" i="6"/>
  <c r="F100" i="6"/>
  <c r="G100" i="6" s="1"/>
  <c r="G101" i="6" s="1"/>
  <c r="AG100" i="6"/>
  <c r="F102" i="6"/>
  <c r="G102" i="6"/>
  <c r="G103" i="6" s="1"/>
  <c r="G104" i="6" s="1"/>
  <c r="E11" i="5" s="1"/>
  <c r="AG102" i="6"/>
  <c r="AG105" i="6"/>
  <c r="D112" i="6"/>
  <c r="F112" i="6"/>
  <c r="G112" i="6" s="1"/>
  <c r="G113" i="6" s="1"/>
  <c r="AG112" i="6"/>
  <c r="F114" i="6"/>
  <c r="G114" i="6"/>
  <c r="G116" i="6" s="1"/>
  <c r="E12" i="5" s="1"/>
  <c r="AG114" i="6"/>
  <c r="G115" i="6"/>
  <c r="AG117" i="6"/>
  <c r="D124" i="6"/>
  <c r="F124" i="6"/>
  <c r="G124" i="6" s="1"/>
  <c r="G125" i="6" s="1"/>
  <c r="AG124" i="6"/>
  <c r="F126" i="6"/>
  <c r="G126" i="6" s="1"/>
  <c r="AG126" i="6"/>
  <c r="AG129" i="6"/>
  <c r="D136" i="6"/>
  <c r="F136" i="6"/>
  <c r="G136" i="6"/>
  <c r="AG136" i="6"/>
  <c r="G137" i="6"/>
  <c r="G14" i="5" s="1"/>
  <c r="F138" i="6"/>
  <c r="G138" i="6" s="1"/>
  <c r="AG138" i="6"/>
  <c r="AG141" i="6"/>
  <c r="D148" i="6"/>
  <c r="F148" i="6"/>
  <c r="G148" i="6" s="1"/>
  <c r="G149" i="6" s="1"/>
  <c r="AG148" i="6"/>
  <c r="F150" i="6"/>
  <c r="G150" i="6"/>
  <c r="G151" i="6" s="1"/>
  <c r="AG150" i="6"/>
  <c r="AG153" i="6"/>
  <c r="D160" i="6"/>
  <c r="F160" i="6"/>
  <c r="G160" i="6" s="1"/>
  <c r="G161" i="6" s="1"/>
  <c r="AG160" i="6"/>
  <c r="F162" i="6"/>
  <c r="G162" i="6"/>
  <c r="G164" i="6" s="1"/>
  <c r="E16" i="5" s="1"/>
  <c r="AG162" i="6"/>
  <c r="G163" i="6"/>
  <c r="F165" i="6"/>
  <c r="G165" i="6" s="1"/>
  <c r="G166" i="6" s="1"/>
  <c r="F16" i="5" s="1"/>
  <c r="AG165" i="6"/>
  <c r="D172" i="6"/>
  <c r="F172" i="6"/>
  <c r="G172" i="6" s="1"/>
  <c r="G173" i="6" s="1"/>
  <c r="AG172" i="6"/>
  <c r="F174" i="6"/>
  <c r="G174" i="6" s="1"/>
  <c r="AG174" i="6"/>
  <c r="AG177" i="6"/>
  <c r="D184" i="6"/>
  <c r="F184" i="6"/>
  <c r="G184" i="6"/>
  <c r="AG184" i="6"/>
  <c r="G185" i="6"/>
  <c r="G18" i="5" s="1"/>
  <c r="F186" i="6"/>
  <c r="G186" i="6" s="1"/>
  <c r="AG186" i="6"/>
  <c r="AG189" i="6"/>
  <c r="D196" i="6"/>
  <c r="F196" i="6"/>
  <c r="G196" i="6" s="1"/>
  <c r="G197" i="6" s="1"/>
  <c r="AG196" i="6"/>
  <c r="F198" i="6"/>
  <c r="G198" i="6"/>
  <c r="G199" i="6" s="1"/>
  <c r="AG198" i="6"/>
  <c r="AG201" i="6"/>
  <c r="D208" i="6"/>
  <c r="F208" i="6"/>
  <c r="G208" i="6" s="1"/>
  <c r="G209" i="6" s="1"/>
  <c r="G215" i="6" s="1"/>
  <c r="AG208" i="6"/>
  <c r="F210" i="6"/>
  <c r="G210" i="6"/>
  <c r="G212" i="6" s="1"/>
  <c r="E20" i="5" s="1"/>
  <c r="AG210" i="6"/>
  <c r="G211" i="6"/>
  <c r="F213" i="6"/>
  <c r="G213" i="6" s="1"/>
  <c r="G214" i="6" s="1"/>
  <c r="F20" i="5" s="1"/>
  <c r="I141" i="3" s="1"/>
  <c r="J141" i="3" s="1"/>
  <c r="AG213" i="6"/>
  <c r="D220" i="6"/>
  <c r="F220" i="6"/>
  <c r="G220" i="6" s="1"/>
  <c r="G221" i="6" s="1"/>
  <c r="G21" i="5" s="1"/>
  <c r="AG220" i="6"/>
  <c r="D231" i="6"/>
  <c r="F231" i="6"/>
  <c r="G231" i="6" s="1"/>
  <c r="G232" i="6" s="1"/>
  <c r="AG231" i="6"/>
  <c r="F233" i="6"/>
  <c r="G233" i="6"/>
  <c r="G234" i="6" s="1"/>
  <c r="AG233" i="6"/>
  <c r="D243" i="6"/>
  <c r="G243" i="6" s="1"/>
  <c r="G244" i="6" s="1"/>
  <c r="F243" i="6"/>
  <c r="AG243" i="6"/>
  <c r="F245" i="6"/>
  <c r="G245" i="6" s="1"/>
  <c r="AG245" i="6"/>
  <c r="AG248" i="6"/>
  <c r="D255" i="6"/>
  <c r="G255" i="6" s="1"/>
  <c r="G256" i="6" s="1"/>
  <c r="F255" i="6"/>
  <c r="AG255" i="6"/>
  <c r="F257" i="6"/>
  <c r="G257" i="6" s="1"/>
  <c r="G258" i="6" s="1"/>
  <c r="AG257" i="6"/>
  <c r="AG260" i="6"/>
  <c r="D267" i="6"/>
  <c r="F267" i="6"/>
  <c r="G267" i="6"/>
  <c r="G268" i="6" s="1"/>
  <c r="AG267" i="6"/>
  <c r="F269" i="6"/>
  <c r="G269" i="6"/>
  <c r="G270" i="6" s="1"/>
  <c r="AG269" i="6"/>
  <c r="D279" i="6"/>
  <c r="F279" i="6"/>
  <c r="G279" i="6"/>
  <c r="G280" i="6" s="1"/>
  <c r="G285" i="6" s="1"/>
  <c r="AG279" i="6"/>
  <c r="F290" i="6"/>
  <c r="G290" i="6"/>
  <c r="AG290" i="6"/>
  <c r="G291" i="6"/>
  <c r="F292" i="6"/>
  <c r="G292" i="6" s="1"/>
  <c r="AG292" i="6"/>
  <c r="D302" i="6"/>
  <c r="F302" i="6"/>
  <c r="G302" i="6"/>
  <c r="G303" i="6" s="1"/>
  <c r="AG302" i="6"/>
  <c r="F304" i="6"/>
  <c r="G304" i="6" s="1"/>
  <c r="AG304" i="6"/>
  <c r="AG307" i="6"/>
  <c r="D314" i="6"/>
  <c r="F314" i="6"/>
  <c r="G314" i="6"/>
  <c r="G315" i="6" s="1"/>
  <c r="G29" i="5" s="1"/>
  <c r="K96" i="3" s="1"/>
  <c r="L96" i="3" s="1"/>
  <c r="AG314" i="6"/>
  <c r="F316" i="6"/>
  <c r="G316" i="6" s="1"/>
  <c r="AG316" i="6"/>
  <c r="AG319" i="6"/>
  <c r="D326" i="6"/>
  <c r="F326" i="6"/>
  <c r="G326" i="6"/>
  <c r="AG326" i="6"/>
  <c r="G327" i="6"/>
  <c r="F328" i="6"/>
  <c r="G328" i="6" s="1"/>
  <c r="G329" i="6" s="1"/>
  <c r="AG328" i="6"/>
  <c r="AG331" i="6"/>
  <c r="D338" i="6"/>
  <c r="F338" i="6"/>
  <c r="G338" i="6"/>
  <c r="G339" i="6" s="1"/>
  <c r="G344" i="6" s="1"/>
  <c r="AG338" i="6"/>
  <c r="D349" i="6"/>
  <c r="G349" i="6" s="1"/>
  <c r="G350" i="6" s="1"/>
  <c r="F349" i="6"/>
  <c r="AG349" i="6"/>
  <c r="D360" i="6"/>
  <c r="F360" i="6"/>
  <c r="G360" i="6"/>
  <c r="G361" i="6" s="1"/>
  <c r="AG360" i="6"/>
  <c r="F362" i="6"/>
  <c r="G362" i="6"/>
  <c r="G363" i="6" s="1"/>
  <c r="AG362" i="6"/>
  <c r="F372" i="6"/>
  <c r="G372" i="6" s="1"/>
  <c r="G373" i="6" s="1"/>
  <c r="AG372" i="6"/>
  <c r="F383" i="6"/>
  <c r="G383" i="6"/>
  <c r="G384" i="6" s="1"/>
  <c r="AG383" i="6"/>
  <c r="F385" i="6"/>
  <c r="G385" i="6" s="1"/>
  <c r="AG385" i="6"/>
  <c r="AG388" i="6"/>
  <c r="F395" i="6"/>
  <c r="G395" i="6" s="1"/>
  <c r="G397" i="6" s="1"/>
  <c r="AG395" i="6"/>
  <c r="F396" i="6"/>
  <c r="G396" i="6" s="1"/>
  <c r="AG396" i="6"/>
  <c r="F407" i="6"/>
  <c r="G407" i="6" s="1"/>
  <c r="G408" i="6" s="1"/>
  <c r="G37" i="5" s="1"/>
  <c r="AG407" i="6"/>
  <c r="F418" i="6"/>
  <c r="G418" i="6"/>
  <c r="G419" i="6" s="1"/>
  <c r="G424" i="6" s="1"/>
  <c r="AG418" i="6"/>
  <c r="F429" i="6"/>
  <c r="G429" i="6"/>
  <c r="G430" i="6" s="1"/>
  <c r="AG429" i="6"/>
  <c r="F431" i="6"/>
  <c r="G431" i="6"/>
  <c r="G432" i="6" s="1"/>
  <c r="AG431" i="6"/>
  <c r="G433" i="6"/>
  <c r="E39" i="5" s="1"/>
  <c r="AG434" i="6"/>
  <c r="F441" i="6"/>
  <c r="G441" i="6" s="1"/>
  <c r="G442" i="6" s="1"/>
  <c r="AG441" i="6"/>
  <c r="F443" i="6"/>
  <c r="G443" i="6" s="1"/>
  <c r="AG443" i="6"/>
  <c r="AG446" i="6"/>
  <c r="F453" i="6"/>
  <c r="G453" i="6"/>
  <c r="G454" i="6" s="1"/>
  <c r="G41" i="5" s="1"/>
  <c r="K132" i="3" s="1"/>
  <c r="L132" i="3" s="1"/>
  <c r="AG453" i="6"/>
  <c r="F464" i="6"/>
  <c r="G464" i="6" s="1"/>
  <c r="G465" i="6" s="1"/>
  <c r="AG464" i="6"/>
  <c r="F466" i="6"/>
  <c r="G466" i="6"/>
  <c r="G467" i="6" s="1"/>
  <c r="AG466" i="6"/>
  <c r="F469" i="6"/>
  <c r="G469" i="6" s="1"/>
  <c r="G470" i="6" s="1"/>
  <c r="F42" i="5" s="1"/>
  <c r="AG469" i="6"/>
  <c r="F476" i="6"/>
  <c r="G476" i="6" s="1"/>
  <c r="G477" i="6" s="1"/>
  <c r="AG476" i="6"/>
  <c r="F487" i="6"/>
  <c r="G487" i="6"/>
  <c r="G488" i="6" s="1"/>
  <c r="G493" i="6" s="1"/>
  <c r="AG487" i="6"/>
  <c r="F498" i="6"/>
  <c r="G498" i="6" s="1"/>
  <c r="G499" i="6" s="1"/>
  <c r="AG498" i="6"/>
  <c r="F509" i="6"/>
  <c r="G509" i="6" s="1"/>
  <c r="G510" i="6" s="1"/>
  <c r="G46" i="5" s="1"/>
  <c r="AG509" i="6"/>
  <c r="G515" i="6"/>
  <c r="AG520" i="6"/>
  <c r="AG521" i="6"/>
  <c r="AG522" i="6"/>
  <c r="AG523" i="6"/>
  <c r="O3" i="5"/>
  <c r="O4" i="5"/>
  <c r="O5" i="5"/>
  <c r="O6" i="5"/>
  <c r="O7" i="5"/>
  <c r="E8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G26" i="5"/>
  <c r="O26" i="5"/>
  <c r="O27" i="5"/>
  <c r="O28" i="5"/>
  <c r="O29" i="5"/>
  <c r="G30" i="5"/>
  <c r="O30" i="5"/>
  <c r="G31" i="5"/>
  <c r="O31" i="5"/>
  <c r="O32" i="5"/>
  <c r="O33" i="5"/>
  <c r="O34" i="5"/>
  <c r="O35" i="5"/>
  <c r="O36" i="5"/>
  <c r="O37" i="5"/>
  <c r="O38" i="5"/>
  <c r="O39" i="5"/>
  <c r="O40" i="5"/>
  <c r="H41" i="5"/>
  <c r="O41" i="5"/>
  <c r="O42" i="5"/>
  <c r="O43" i="5"/>
  <c r="O44" i="5"/>
  <c r="O45" i="5"/>
  <c r="O46" i="5"/>
  <c r="O47" i="5"/>
  <c r="C18" i="12"/>
  <c r="F117" i="6" s="1"/>
  <c r="G117" i="6" s="1"/>
  <c r="G118" i="6" s="1"/>
  <c r="F12" i="5" s="1"/>
  <c r="C19" i="12"/>
  <c r="C20" i="12"/>
  <c r="C21" i="12"/>
  <c r="C22" i="12"/>
  <c r="C23" i="12"/>
  <c r="H97" i="1" l="1"/>
  <c r="F97" i="1" s="1"/>
  <c r="H94" i="1"/>
  <c r="F94" i="1" s="1"/>
  <c r="H98" i="1"/>
  <c r="F98" i="1" s="1"/>
  <c r="E93" i="1"/>
  <c r="H96" i="1"/>
  <c r="F96" i="1" s="1"/>
  <c r="E88" i="1"/>
  <c r="G4" i="5"/>
  <c r="G355" i="6"/>
  <c r="G32" i="5"/>
  <c r="G10" i="5"/>
  <c r="K153" i="3" s="1"/>
  <c r="L153" i="3" s="1"/>
  <c r="G23" i="5"/>
  <c r="K188" i="3" s="1"/>
  <c r="L188" i="3" s="1"/>
  <c r="G141" i="3"/>
  <c r="G27" i="5"/>
  <c r="G44" i="6"/>
  <c r="G45" i="6" s="1"/>
  <c r="G386" i="6"/>
  <c r="G387" i="6"/>
  <c r="E35" i="5" s="1"/>
  <c r="G330" i="6"/>
  <c r="E30" i="5" s="1"/>
  <c r="G293" i="6"/>
  <c r="G294" i="6"/>
  <c r="E27" i="5" s="1"/>
  <c r="G262" i="6"/>
  <c r="G24" i="5"/>
  <c r="K85" i="3" s="1"/>
  <c r="L85" i="3" s="1"/>
  <c r="G175" i="6"/>
  <c r="G176" i="6" s="1"/>
  <c r="G319" i="3"/>
  <c r="G22" i="5"/>
  <c r="K82" i="3" s="1"/>
  <c r="L82" i="3" s="1"/>
  <c r="G35" i="5"/>
  <c r="G274" i="6"/>
  <c r="G25" i="5"/>
  <c r="K142" i="3" s="1"/>
  <c r="L142" i="3" s="1"/>
  <c r="G17" i="5"/>
  <c r="K86" i="3" s="1"/>
  <c r="L86" i="3" s="1"/>
  <c r="G152" i="3"/>
  <c r="J265" i="3"/>
  <c r="F265" i="3" s="1"/>
  <c r="E265" i="3"/>
  <c r="G44" i="5"/>
  <c r="G20" i="5"/>
  <c r="K141" i="3" s="1"/>
  <c r="L141" i="3" s="1"/>
  <c r="H46" i="5"/>
  <c r="F523" i="6"/>
  <c r="G523" i="6" s="1"/>
  <c r="G40" i="5"/>
  <c r="K124" i="3" s="1"/>
  <c r="L124" i="3" s="1"/>
  <c r="G413" i="6"/>
  <c r="G226" i="6"/>
  <c r="G6" i="5"/>
  <c r="K151" i="3" s="1"/>
  <c r="L151" i="3" s="1"/>
  <c r="G444" i="6"/>
  <c r="G445" i="6" s="1"/>
  <c r="E209" i="3"/>
  <c r="J209" i="3"/>
  <c r="G246" i="6"/>
  <c r="G247" i="6" s="1"/>
  <c r="G187" i="6"/>
  <c r="G188" i="6" s="1"/>
  <c r="G8" i="5"/>
  <c r="K95" i="3"/>
  <c r="K83" i="3"/>
  <c r="L83" i="3" s="1"/>
  <c r="H26" i="5"/>
  <c r="G504" i="6"/>
  <c r="G45" i="5"/>
  <c r="G116" i="3"/>
  <c r="G107" i="3"/>
  <c r="K98" i="3"/>
  <c r="L98" i="3" s="1"/>
  <c r="H37" i="5"/>
  <c r="G378" i="6"/>
  <c r="G34" i="5"/>
  <c r="H21" i="5"/>
  <c r="AB414" i="4"/>
  <c r="AB441" i="4"/>
  <c r="K57" i="3"/>
  <c r="L57" i="3" s="1"/>
  <c r="L54" i="3" s="1"/>
  <c r="H30" i="2" s="1"/>
  <c r="K66" i="1" s="1"/>
  <c r="L66" i="1" s="1"/>
  <c r="K51" i="3"/>
  <c r="L51" i="3" s="1"/>
  <c r="K108" i="3"/>
  <c r="L108" i="3" s="1"/>
  <c r="K134" i="3"/>
  <c r="L134" i="3" s="1"/>
  <c r="K97" i="3"/>
  <c r="L97" i="3" s="1"/>
  <c r="I210" i="3"/>
  <c r="J210" i="3" s="1"/>
  <c r="I232" i="3"/>
  <c r="J232" i="3" s="1"/>
  <c r="I203" i="3"/>
  <c r="J203" i="3" s="1"/>
  <c r="I225" i="3"/>
  <c r="J225" i="3" s="1"/>
  <c r="I246" i="3"/>
  <c r="J246" i="3" s="1"/>
  <c r="J242" i="3" s="1"/>
  <c r="G56" i="2" s="1"/>
  <c r="I22" i="3" s="1"/>
  <c r="J22" i="3" s="1"/>
  <c r="I239" i="3"/>
  <c r="J239" i="3" s="1"/>
  <c r="H12" i="5"/>
  <c r="G11" i="5"/>
  <c r="K152" i="3" s="1"/>
  <c r="L152" i="3" s="1"/>
  <c r="G9" i="5"/>
  <c r="H9" i="5" s="1"/>
  <c r="G83" i="6"/>
  <c r="G56" i="6"/>
  <c r="G57" i="6"/>
  <c r="E7" i="5" s="1"/>
  <c r="G139" i="6"/>
  <c r="G140" i="6"/>
  <c r="E14" i="5" s="1"/>
  <c r="G68" i="2"/>
  <c r="F328" i="3"/>
  <c r="G42" i="5"/>
  <c r="G305" i="6"/>
  <c r="G306" i="6" s="1"/>
  <c r="G7" i="5"/>
  <c r="K156" i="3" s="1"/>
  <c r="L156" i="3" s="1"/>
  <c r="G36" i="6"/>
  <c r="G5" i="5"/>
  <c r="G9" i="6"/>
  <c r="G10" i="6" s="1"/>
  <c r="G459" i="6"/>
  <c r="G259" i="6"/>
  <c r="E24" i="5" s="1"/>
  <c r="K195" i="3"/>
  <c r="L195" i="3" s="1"/>
  <c r="H31" i="5"/>
  <c r="G364" i="6"/>
  <c r="E33" i="5" s="1"/>
  <c r="G28" i="5"/>
  <c r="G210" i="3"/>
  <c r="G232" i="3"/>
  <c r="G203" i="3"/>
  <c r="G225" i="3"/>
  <c r="G246" i="3"/>
  <c r="G239" i="3"/>
  <c r="G15" i="5"/>
  <c r="G119" i="6"/>
  <c r="G12" i="5"/>
  <c r="G3" i="5"/>
  <c r="G36" i="5"/>
  <c r="G402" i="6"/>
  <c r="G127" i="6"/>
  <c r="G128" i="6" s="1"/>
  <c r="J259" i="3"/>
  <c r="E259" i="3"/>
  <c r="F57" i="2"/>
  <c r="F11" i="6"/>
  <c r="G11" i="6" s="1"/>
  <c r="G12" i="6" s="1"/>
  <c r="F3" i="5" s="1"/>
  <c r="F46" i="6"/>
  <c r="G46" i="6" s="1"/>
  <c r="G47" i="6" s="1"/>
  <c r="F6" i="5" s="1"/>
  <c r="I151" i="3" s="1"/>
  <c r="J151" i="3" s="1"/>
  <c r="F129" i="6"/>
  <c r="G129" i="6" s="1"/>
  <c r="G130" i="6" s="1"/>
  <c r="F13" i="5" s="1"/>
  <c r="I154" i="3" s="1"/>
  <c r="J154" i="3" s="1"/>
  <c r="F177" i="6"/>
  <c r="G177" i="6" s="1"/>
  <c r="G178" i="6" s="1"/>
  <c r="F17" i="5" s="1"/>
  <c r="I86" i="3" s="1"/>
  <c r="J86" i="3" s="1"/>
  <c r="F446" i="6"/>
  <c r="G446" i="6" s="1"/>
  <c r="G447" i="6" s="1"/>
  <c r="F40" i="5" s="1"/>
  <c r="I124" i="3" s="1"/>
  <c r="J124" i="3" s="1"/>
  <c r="J120" i="3" s="1"/>
  <c r="G39" i="2" s="1"/>
  <c r="I77" i="1" s="1"/>
  <c r="J77" i="1" s="1"/>
  <c r="F307" i="6"/>
  <c r="G307" i="6" s="1"/>
  <c r="G308" i="6" s="1"/>
  <c r="F28" i="5" s="1"/>
  <c r="F388" i="6"/>
  <c r="G388" i="6" s="1"/>
  <c r="G389" i="6" s="1"/>
  <c r="F35" i="5" s="1"/>
  <c r="F23" i="6"/>
  <c r="G23" i="6" s="1"/>
  <c r="G24" i="6" s="1"/>
  <c r="F4" i="5" s="1"/>
  <c r="F58" i="6"/>
  <c r="G58" i="6" s="1"/>
  <c r="G59" i="6" s="1"/>
  <c r="F7" i="5" s="1"/>
  <c r="I156" i="3" s="1"/>
  <c r="J156" i="3" s="1"/>
  <c r="F93" i="6"/>
  <c r="G93" i="6" s="1"/>
  <c r="G94" i="6" s="1"/>
  <c r="F10" i="5" s="1"/>
  <c r="I153" i="3" s="1"/>
  <c r="J153" i="3" s="1"/>
  <c r="F141" i="6"/>
  <c r="G141" i="6" s="1"/>
  <c r="G142" i="6" s="1"/>
  <c r="F14" i="5" s="1"/>
  <c r="F189" i="6"/>
  <c r="G189" i="6" s="1"/>
  <c r="G190" i="6" s="1"/>
  <c r="F18" i="5" s="1"/>
  <c r="F248" i="6"/>
  <c r="G248" i="6" s="1"/>
  <c r="G249" i="6" s="1"/>
  <c r="F23" i="5" s="1"/>
  <c r="I188" i="3" s="1"/>
  <c r="J188" i="3" s="1"/>
  <c r="F319" i="6"/>
  <c r="G319" i="6" s="1"/>
  <c r="G320" i="6" s="1"/>
  <c r="F29" i="5" s="1"/>
  <c r="I96" i="3" s="1"/>
  <c r="J96" i="3" s="1"/>
  <c r="F70" i="6"/>
  <c r="G70" i="6" s="1"/>
  <c r="G71" i="6" s="1"/>
  <c r="F8" i="5" s="1"/>
  <c r="F105" i="6"/>
  <c r="G105" i="6" s="1"/>
  <c r="G106" i="6" s="1"/>
  <c r="F11" i="5" s="1"/>
  <c r="I152" i="3" s="1"/>
  <c r="J152" i="3" s="1"/>
  <c r="F153" i="6"/>
  <c r="G153" i="6" s="1"/>
  <c r="G154" i="6" s="1"/>
  <c r="F15" i="5" s="1"/>
  <c r="AB361" i="4" s="1"/>
  <c r="AD361" i="4" s="1"/>
  <c r="AF363" i="4" s="1"/>
  <c r="F201" i="6"/>
  <c r="G201" i="6" s="1"/>
  <c r="G202" i="6" s="1"/>
  <c r="F19" i="5" s="1"/>
  <c r="I155" i="3" s="1"/>
  <c r="J155" i="3" s="1"/>
  <c r="F260" i="6"/>
  <c r="G260" i="6" s="1"/>
  <c r="G261" i="6" s="1"/>
  <c r="F24" i="5" s="1"/>
  <c r="I85" i="3" s="1"/>
  <c r="J85" i="3" s="1"/>
  <c r="F331" i="6"/>
  <c r="G331" i="6" s="1"/>
  <c r="G332" i="6" s="1"/>
  <c r="F30" i="5" s="1"/>
  <c r="F434" i="6"/>
  <c r="G434" i="6" s="1"/>
  <c r="G435" i="6" s="1"/>
  <c r="F39" i="5" s="1"/>
  <c r="G39" i="5"/>
  <c r="G143" i="6"/>
  <c r="G91" i="6"/>
  <c r="G92" i="6"/>
  <c r="E10" i="5" s="1"/>
  <c r="G21" i="6"/>
  <c r="G22" i="6"/>
  <c r="E4" i="5" s="1"/>
  <c r="G38" i="5"/>
  <c r="H8" i="5"/>
  <c r="G482" i="6"/>
  <c r="G43" i="5"/>
  <c r="G367" i="6"/>
  <c r="G33" i="5"/>
  <c r="K196" i="3" s="1"/>
  <c r="L196" i="3" s="1"/>
  <c r="G317" i="6"/>
  <c r="G318" i="6" s="1"/>
  <c r="G271" i="6"/>
  <c r="E25" i="5" s="1"/>
  <c r="G19" i="5"/>
  <c r="K155" i="3" s="1"/>
  <c r="L155" i="3" s="1"/>
  <c r="G167" i="6"/>
  <c r="G16" i="5"/>
  <c r="H16" i="5" s="1"/>
  <c r="G13" i="5"/>
  <c r="K154" i="3" s="1"/>
  <c r="L154" i="3" s="1"/>
  <c r="H321" i="3"/>
  <c r="F279" i="3"/>
  <c r="J284" i="3"/>
  <c r="J278" i="3" s="1"/>
  <c r="G61" i="2" s="1"/>
  <c r="I71" i="3" s="1"/>
  <c r="J71" i="3" s="1"/>
  <c r="AF283" i="3"/>
  <c r="AH283" i="3" s="1"/>
  <c r="E251" i="3"/>
  <c r="J251" i="3"/>
  <c r="J249" i="3" s="1"/>
  <c r="G57" i="2" s="1"/>
  <c r="E195" i="3"/>
  <c r="F148" i="3"/>
  <c r="G105" i="1"/>
  <c r="K41" i="1"/>
  <c r="L41" i="1" s="1"/>
  <c r="AB26" i="4"/>
  <c r="E194" i="3"/>
  <c r="J194" i="3"/>
  <c r="G468" i="6"/>
  <c r="E42" i="5" s="1"/>
  <c r="H183" i="3"/>
  <c r="E297" i="3"/>
  <c r="J263" i="3"/>
  <c r="G59" i="2" s="1"/>
  <c r="AB386" i="4" s="1"/>
  <c r="L268" i="3"/>
  <c r="F264" i="3"/>
  <c r="E237" i="3"/>
  <c r="E231" i="3"/>
  <c r="J231" i="3"/>
  <c r="L226" i="3"/>
  <c r="F226" i="3" s="1"/>
  <c r="J221" i="3"/>
  <c r="G53" i="2" s="1"/>
  <c r="I17" i="3" s="1"/>
  <c r="J17" i="3" s="1"/>
  <c r="G235" i="6"/>
  <c r="E22" i="5" s="1"/>
  <c r="G200" i="6"/>
  <c r="E19" i="5" s="1"/>
  <c r="G152" i="6"/>
  <c r="E15" i="5" s="1"/>
  <c r="G107" i="1"/>
  <c r="E305" i="3"/>
  <c r="E253" i="3"/>
  <c r="J253" i="3"/>
  <c r="F28" i="3"/>
  <c r="G101" i="1"/>
  <c r="H318" i="3"/>
  <c r="G104" i="1"/>
  <c r="F313" i="3"/>
  <c r="H315" i="3"/>
  <c r="AB298" i="3"/>
  <c r="AD298" i="3" s="1"/>
  <c r="H300" i="3"/>
  <c r="H299" i="3"/>
  <c r="F299" i="3" s="1"/>
  <c r="AB299" i="3"/>
  <c r="AD299" i="3" s="1"/>
  <c r="E281" i="3"/>
  <c r="F250" i="3"/>
  <c r="E245" i="3"/>
  <c r="F236" i="3"/>
  <c r="L240" i="3"/>
  <c r="F240" i="3" s="1"/>
  <c r="F222" i="3"/>
  <c r="C481" i="4"/>
  <c r="B481" i="4" s="1"/>
  <c r="AD481" i="4"/>
  <c r="AB325" i="3"/>
  <c r="AD325" i="3" s="1"/>
  <c r="J321" i="3"/>
  <c r="G67" i="2" s="1"/>
  <c r="L326" i="3"/>
  <c r="AB267" i="3"/>
  <c r="AD267" i="3" s="1"/>
  <c r="AB210" i="3"/>
  <c r="AD210" i="3" s="1"/>
  <c r="F207" i="3"/>
  <c r="AB135" i="3"/>
  <c r="AD135" i="3" s="1"/>
  <c r="F129" i="3"/>
  <c r="H136" i="3"/>
  <c r="F136" i="3" s="1"/>
  <c r="AB134" i="3"/>
  <c r="AD134" i="3" s="1"/>
  <c r="L135" i="3"/>
  <c r="F135" i="3" s="1"/>
  <c r="AB282" i="3"/>
  <c r="AD282" i="3" s="1"/>
  <c r="H283" i="3"/>
  <c r="F283" i="3" s="1"/>
  <c r="AB283" i="3"/>
  <c r="AD283" i="3" s="1"/>
  <c r="E207" i="3"/>
  <c r="AB25" i="4"/>
  <c r="I41" i="1"/>
  <c r="J41" i="1" s="1"/>
  <c r="E20" i="2"/>
  <c r="Y20" i="2" s="1"/>
  <c r="G106" i="1"/>
  <c r="F322" i="3"/>
  <c r="AB313" i="3"/>
  <c r="AD313" i="3" s="1"/>
  <c r="J315" i="3"/>
  <c r="J311" i="3" s="1"/>
  <c r="G65" i="2" s="1"/>
  <c r="I217" i="3" s="1"/>
  <c r="J217" i="3" s="1"/>
  <c r="L314" i="3"/>
  <c r="F303" i="3"/>
  <c r="F258" i="3"/>
  <c r="J199" i="3"/>
  <c r="G50" i="2" s="1"/>
  <c r="F200" i="3"/>
  <c r="L204" i="3"/>
  <c r="F204" i="3" s="1"/>
  <c r="J179" i="3"/>
  <c r="F179" i="3" s="1"/>
  <c r="E179" i="3"/>
  <c r="F132" i="3"/>
  <c r="E307" i="3"/>
  <c r="H307" i="3"/>
  <c r="F307" i="3" s="1"/>
  <c r="F295" i="3"/>
  <c r="J300" i="3"/>
  <c r="J294" i="3" s="1"/>
  <c r="G63" i="2" s="1"/>
  <c r="I75" i="3" s="1"/>
  <c r="J75" i="3" s="1"/>
  <c r="AF299" i="3"/>
  <c r="AH299" i="3" s="1"/>
  <c r="F280" i="3"/>
  <c r="F229" i="3"/>
  <c r="J113" i="3"/>
  <c r="E113" i="3"/>
  <c r="E35" i="3"/>
  <c r="H35" i="3"/>
  <c r="J123" i="3"/>
  <c r="F123" i="3" s="1"/>
  <c r="E123" i="3"/>
  <c r="H103" i="1"/>
  <c r="E333" i="3"/>
  <c r="J333" i="3"/>
  <c r="F312" i="3"/>
  <c r="H256" i="3"/>
  <c r="F257" i="3"/>
  <c r="E229" i="3"/>
  <c r="AB203" i="3"/>
  <c r="AD203" i="3" s="1"/>
  <c r="E177" i="3"/>
  <c r="H177" i="3"/>
  <c r="E165" i="3"/>
  <c r="J165" i="3"/>
  <c r="E132" i="3"/>
  <c r="E27" i="3"/>
  <c r="B601" i="4"/>
  <c r="H178" i="3"/>
  <c r="AH591" i="4"/>
  <c r="D591" i="4"/>
  <c r="F176" i="3"/>
  <c r="F164" i="3"/>
  <c r="H67" i="3"/>
  <c r="F66" i="3"/>
  <c r="AH519" i="4"/>
  <c r="D519" i="4"/>
  <c r="A475" i="4"/>
  <c r="D475" i="4"/>
  <c r="B475" i="4" s="1"/>
  <c r="H64" i="1"/>
  <c r="G41" i="1"/>
  <c r="AB24" i="4"/>
  <c r="H304" i="3"/>
  <c r="J288" i="3"/>
  <c r="F288" i="3" s="1"/>
  <c r="J272" i="3"/>
  <c r="H266" i="3"/>
  <c r="J260" i="3"/>
  <c r="F260" i="3" s="1"/>
  <c r="L247" i="3"/>
  <c r="F247" i="3" s="1"/>
  <c r="J238" i="3"/>
  <c r="F238" i="3" s="1"/>
  <c r="AB171" i="3"/>
  <c r="AD171" i="3" s="1"/>
  <c r="E115" i="3"/>
  <c r="L100" i="3"/>
  <c r="F100" i="3" s="1"/>
  <c r="F55" i="3"/>
  <c r="AD540" i="4"/>
  <c r="C540" i="4"/>
  <c r="B540" i="4" s="1"/>
  <c r="F171" i="3"/>
  <c r="AF171" i="3"/>
  <c r="AH171" i="3" s="1"/>
  <c r="F121" i="3"/>
  <c r="H125" i="3"/>
  <c r="F125" i="3" s="1"/>
  <c r="AB125" i="3"/>
  <c r="AD125" i="3" s="1"/>
  <c r="L126" i="3"/>
  <c r="F126" i="3" s="1"/>
  <c r="AB124" i="3"/>
  <c r="AD124" i="3" s="1"/>
  <c r="E171" i="3"/>
  <c r="H87" i="3"/>
  <c r="E83" i="3"/>
  <c r="H83" i="3"/>
  <c r="F83" i="3" s="1"/>
  <c r="E60" i="3"/>
  <c r="J60" i="3"/>
  <c r="AH499" i="4"/>
  <c r="A499" i="4"/>
  <c r="F243" i="3"/>
  <c r="H195" i="3"/>
  <c r="L173" i="3"/>
  <c r="L161" i="3"/>
  <c r="AB109" i="3"/>
  <c r="AD109" i="3" s="1"/>
  <c r="H110" i="3"/>
  <c r="F110" i="3" s="1"/>
  <c r="AB108" i="3"/>
  <c r="AD108" i="3" s="1"/>
  <c r="D612" i="4"/>
  <c r="AH612" i="4"/>
  <c r="J145" i="3"/>
  <c r="J138" i="3" s="1"/>
  <c r="G41" i="2" s="1"/>
  <c r="I82" i="1" s="1"/>
  <c r="J82" i="1" s="1"/>
  <c r="AF144" i="3"/>
  <c r="AH144" i="3" s="1"/>
  <c r="F139" i="3"/>
  <c r="F104" i="3"/>
  <c r="E98" i="3"/>
  <c r="E79" i="3"/>
  <c r="J79" i="3"/>
  <c r="AD609" i="4"/>
  <c r="AD611" i="4" s="1"/>
  <c r="AB612" i="4" s="1"/>
  <c r="C609" i="4"/>
  <c r="B609" i="4" s="1"/>
  <c r="F27" i="3"/>
  <c r="AB27" i="3"/>
  <c r="AD27" i="3" s="1"/>
  <c r="C590" i="4"/>
  <c r="B590" i="4" s="1"/>
  <c r="D557" i="4"/>
  <c r="AH557" i="4"/>
  <c r="J44" i="3"/>
  <c r="G28" i="2" s="1"/>
  <c r="H39" i="3"/>
  <c r="F39" i="3" s="1"/>
  <c r="B557" i="4"/>
  <c r="C492" i="4"/>
  <c r="AD492" i="4"/>
  <c r="AH424" i="4"/>
  <c r="A424" i="4"/>
  <c r="H98" i="3"/>
  <c r="F98" i="3" s="1"/>
  <c r="H88" i="3"/>
  <c r="AL591" i="4"/>
  <c r="AB575" i="4"/>
  <c r="D565" i="4"/>
  <c r="B565" i="4" s="1"/>
  <c r="AH565" i="4"/>
  <c r="AL481" i="4"/>
  <c r="AD475" i="4"/>
  <c r="AF476" i="4" s="1"/>
  <c r="J93" i="3"/>
  <c r="H42" i="3"/>
  <c r="AH601" i="4"/>
  <c r="A595" i="4"/>
  <c r="AH595" i="4"/>
  <c r="AB518" i="4"/>
  <c r="C476" i="4"/>
  <c r="AD476" i="4"/>
  <c r="E448" i="4"/>
  <c r="AL448" i="4"/>
  <c r="E573" i="4"/>
  <c r="B573" i="4" s="1"/>
  <c r="AL573" i="4"/>
  <c r="AJ576" i="4" s="1"/>
  <c r="A611" i="4"/>
  <c r="C554" i="4"/>
  <c r="B554" i="4" s="1"/>
  <c r="D551" i="4"/>
  <c r="AH551" i="4"/>
  <c r="AF555" i="4" s="1"/>
  <c r="B473" i="4"/>
  <c r="AH384" i="4"/>
  <c r="A384" i="4"/>
  <c r="C551" i="4"/>
  <c r="AD551" i="4"/>
  <c r="AD554" i="4" s="1"/>
  <c r="AB555" i="4" s="1"/>
  <c r="AB499" i="4"/>
  <c r="AD499" i="4" s="1"/>
  <c r="C368" i="4"/>
  <c r="AD368" i="4"/>
  <c r="AL593" i="4"/>
  <c r="E593" i="4"/>
  <c r="B593" i="4" s="1"/>
  <c r="AD590" i="4"/>
  <c r="AB591" i="4" s="1"/>
  <c r="AD575" i="4"/>
  <c r="AB576" i="4" s="1"/>
  <c r="AB374" i="4"/>
  <c r="AD374" i="4" s="1"/>
  <c r="AF374" i="4"/>
  <c r="C478" i="4"/>
  <c r="B478" i="4" s="1"/>
  <c r="D473" i="4"/>
  <c r="E203" i="4"/>
  <c r="AL203" i="4"/>
  <c r="AB179" i="4"/>
  <c r="AD179" i="4" s="1"/>
  <c r="AF179" i="4"/>
  <c r="AL529" i="4"/>
  <c r="AL515" i="4"/>
  <c r="AJ519" i="4" s="1"/>
  <c r="E492" i="4"/>
  <c r="D390" i="4"/>
  <c r="B390" i="4" s="1"/>
  <c r="AH390" i="4"/>
  <c r="AF394" i="4" s="1"/>
  <c r="B203" i="4"/>
  <c r="AH481" i="4"/>
  <c r="AH459" i="4"/>
  <c r="AH438" i="4"/>
  <c r="AH417" i="4"/>
  <c r="AL406" i="4"/>
  <c r="AD414" i="4" s="1"/>
  <c r="AJ415" i="4" s="1"/>
  <c r="E406" i="4"/>
  <c r="AD393" i="4"/>
  <c r="AB394" i="4" s="1"/>
  <c r="AB232" i="4"/>
  <c r="AD232" i="4" s="1"/>
  <c r="AF232" i="4"/>
  <c r="A207" i="4"/>
  <c r="AH207" i="4"/>
  <c r="B417" i="4"/>
  <c r="A411" i="4"/>
  <c r="AH411" i="4"/>
  <c r="B365" i="4"/>
  <c r="A355" i="4"/>
  <c r="AH355" i="4"/>
  <c r="AL473" i="4"/>
  <c r="AJ476" i="4" s="1"/>
  <c r="AD459" i="4"/>
  <c r="AL433" i="4"/>
  <c r="AD441" i="4" s="1"/>
  <c r="AJ442" i="4" s="1"/>
  <c r="B170" i="4"/>
  <c r="C406" i="4"/>
  <c r="AD406" i="4"/>
  <c r="AB313" i="4"/>
  <c r="AD313" i="4" s="1"/>
  <c r="AF313" i="4"/>
  <c r="AB255" i="4"/>
  <c r="AD255" i="4" s="1"/>
  <c r="AF255" i="4"/>
  <c r="C370" i="4"/>
  <c r="AD370" i="4"/>
  <c r="AL289" i="4"/>
  <c r="E289" i="4"/>
  <c r="A210" i="4"/>
  <c r="AH210" i="4"/>
  <c r="AD448" i="4"/>
  <c r="AL380" i="4"/>
  <c r="E380" i="4"/>
  <c r="B380" i="4" s="1"/>
  <c r="D316" i="4"/>
  <c r="B316" i="4" s="1"/>
  <c r="AH316" i="4"/>
  <c r="AD386" i="4"/>
  <c r="AF388" i="4" s="1"/>
  <c r="C341" i="4"/>
  <c r="AD341" i="4"/>
  <c r="AD289" i="4"/>
  <c r="C289" i="4"/>
  <c r="AB210" i="4"/>
  <c r="AD210" i="4" s="1"/>
  <c r="AF422" i="4"/>
  <c r="AB359" i="4"/>
  <c r="AD359" i="4" s="1"/>
  <c r="AF359" i="4"/>
  <c r="AB367" i="4"/>
  <c r="AD367" i="4" s="1"/>
  <c r="AF368" i="4" s="1"/>
  <c r="D433" i="4"/>
  <c r="B433" i="4" s="1"/>
  <c r="AB422" i="4"/>
  <c r="AD422" i="4" s="1"/>
  <c r="AL365" i="4"/>
  <c r="AJ368" i="4" s="1"/>
  <c r="E365" i="4"/>
  <c r="B336" i="4"/>
  <c r="E225" i="4"/>
  <c r="B225" i="4" s="1"/>
  <c r="D38" i="4"/>
  <c r="B38" i="4" s="1"/>
  <c r="AH38" i="4"/>
  <c r="E370" i="4"/>
  <c r="A353" i="4"/>
  <c r="AL336" i="4"/>
  <c r="AJ341" i="4" s="1"/>
  <c r="D284" i="4"/>
  <c r="A178" i="4"/>
  <c r="AH45" i="4"/>
  <c r="A45" i="4"/>
  <c r="B9" i="4"/>
  <c r="C284" i="4"/>
  <c r="B284" i="4" s="1"/>
  <c r="AB139" i="4"/>
  <c r="AD139" i="4" s="1"/>
  <c r="AF141" i="4" s="1"/>
  <c r="AF139" i="4"/>
  <c r="AB67" i="4"/>
  <c r="AD67" i="4" s="1"/>
  <c r="AB69" i="4" s="1"/>
  <c r="AF67" i="4"/>
  <c r="F88" i="1"/>
  <c r="AD203" i="4"/>
  <c r="B130" i="4"/>
  <c r="D89" i="4"/>
  <c r="B89" i="4" s="1"/>
  <c r="AH89" i="4"/>
  <c r="AB45" i="4"/>
  <c r="AD45" i="4" s="1"/>
  <c r="AB141" i="4"/>
  <c r="AD141" i="4" s="1"/>
  <c r="AH229" i="4"/>
  <c r="AD264" i="4"/>
  <c r="AB142" i="4"/>
  <c r="AD142" i="4" s="1"/>
  <c r="AF142" i="4"/>
  <c r="F110" i="1"/>
  <c r="F111" i="1"/>
  <c r="AH170" i="4"/>
  <c r="AB98" i="4"/>
  <c r="AD98" i="4" s="1"/>
  <c r="AF98" i="4"/>
  <c r="AB16" i="4"/>
  <c r="AD16" i="4" s="1"/>
  <c r="AH135" i="4"/>
  <c r="E90" i="1"/>
  <c r="H90" i="1"/>
  <c r="F90" i="1" s="1"/>
  <c r="E111" i="1"/>
  <c r="H102" i="1"/>
  <c r="F102" i="1" s="1"/>
  <c r="E95" i="1"/>
  <c r="H92" i="1"/>
  <c r="F92" i="1" s="1"/>
  <c r="A97" i="4"/>
  <c r="A94" i="4"/>
  <c r="AH13" i="4"/>
  <c r="AL9" i="4"/>
  <c r="AF16" i="4"/>
  <c r="AH9" i="4"/>
  <c r="H89" i="1"/>
  <c r="F89" i="1" s="1"/>
  <c r="AD9" i="4"/>
  <c r="H91" i="1"/>
  <c r="F91" i="1" s="1"/>
  <c r="E40" i="5" l="1"/>
  <c r="G448" i="6"/>
  <c r="AH363" i="4"/>
  <c r="D363" i="4"/>
  <c r="E3" i="5"/>
  <c r="G13" i="6"/>
  <c r="E6" i="5"/>
  <c r="G48" i="6"/>
  <c r="A69" i="4"/>
  <c r="D69" i="4"/>
  <c r="B69" i="4" s="1"/>
  <c r="AD69" i="4"/>
  <c r="AF71" i="4" s="1"/>
  <c r="J91" i="3"/>
  <c r="G36" i="2" s="1"/>
  <c r="I74" i="1" s="1"/>
  <c r="J74" i="1" s="1"/>
  <c r="E29" i="5"/>
  <c r="G321" i="6"/>
  <c r="E28" i="5"/>
  <c r="G309" i="6"/>
  <c r="E17" i="5"/>
  <c r="G179" i="6"/>
  <c r="E13" i="5"/>
  <c r="G131" i="6"/>
  <c r="AH368" i="4"/>
  <c r="D368" i="4"/>
  <c r="B368" i="4" s="1"/>
  <c r="E18" i="5"/>
  <c r="G191" i="6"/>
  <c r="E23" i="5"/>
  <c r="G250" i="6"/>
  <c r="F231" i="3"/>
  <c r="L233" i="3"/>
  <c r="F233" i="3" s="1"/>
  <c r="E414" i="4"/>
  <c r="B414" i="4" s="1"/>
  <c r="A414" i="4"/>
  <c r="A179" i="4"/>
  <c r="AH179" i="4"/>
  <c r="AB61" i="3"/>
  <c r="AD61" i="3" s="1"/>
  <c r="J59" i="3"/>
  <c r="G31" i="2" s="1"/>
  <c r="I67" i="1" s="1"/>
  <c r="J67" i="1" s="1"/>
  <c r="F60" i="3"/>
  <c r="H62" i="3"/>
  <c r="AB147" i="4"/>
  <c r="AD147" i="4" s="1"/>
  <c r="AF147" i="4"/>
  <c r="AH255" i="4"/>
  <c r="A255" i="4"/>
  <c r="A518" i="4"/>
  <c r="C518" i="4"/>
  <c r="B518" i="4" s="1"/>
  <c r="F195" i="3"/>
  <c r="G82" i="3"/>
  <c r="H22" i="5"/>
  <c r="I116" i="3"/>
  <c r="J116" i="3" s="1"/>
  <c r="I107" i="3"/>
  <c r="J107" i="3" s="1"/>
  <c r="AB260" i="3"/>
  <c r="AD260" i="3" s="1"/>
  <c r="F259" i="3"/>
  <c r="L261" i="3"/>
  <c r="L193" i="3"/>
  <c r="H49" i="2" s="1"/>
  <c r="K108" i="1" s="1"/>
  <c r="L108" i="1" s="1"/>
  <c r="L52" i="3"/>
  <c r="L48" i="3" s="1"/>
  <c r="H29" i="2" s="1"/>
  <c r="K65" i="1" s="1"/>
  <c r="L65" i="1" s="1"/>
  <c r="L63" i="1" s="1"/>
  <c r="K7" i="1" s="1"/>
  <c r="L7" i="1" s="1"/>
  <c r="AJ51" i="3"/>
  <c r="AL51" i="3" s="1"/>
  <c r="L120" i="3"/>
  <c r="H39" i="2" s="1"/>
  <c r="K77" i="1" s="1"/>
  <c r="L77" i="1" s="1"/>
  <c r="K275" i="3"/>
  <c r="L275" i="3" s="1"/>
  <c r="K291" i="3"/>
  <c r="L291" i="3" s="1"/>
  <c r="AH374" i="4"/>
  <c r="A374" i="4"/>
  <c r="D388" i="4"/>
  <c r="AH388" i="4"/>
  <c r="AF100" i="4"/>
  <c r="AB100" i="4"/>
  <c r="AD100" i="4" s="1"/>
  <c r="A141" i="4"/>
  <c r="AH141" i="4"/>
  <c r="AB256" i="4"/>
  <c r="AD256" i="4" s="1"/>
  <c r="AF256" i="4"/>
  <c r="AD394" i="4"/>
  <c r="C394" i="4"/>
  <c r="E519" i="4"/>
  <c r="AL519" i="4"/>
  <c r="C575" i="4"/>
  <c r="B575" i="4" s="1"/>
  <c r="A575" i="4"/>
  <c r="B492" i="4"/>
  <c r="AD518" i="4"/>
  <c r="AB519" i="4" s="1"/>
  <c r="F266" i="3"/>
  <c r="H263" i="3"/>
  <c r="F35" i="3"/>
  <c r="A25" i="4"/>
  <c r="D25" i="4"/>
  <c r="B25" i="4" s="1"/>
  <c r="AD25" i="4"/>
  <c r="AF27" i="4" s="1"/>
  <c r="H101" i="1"/>
  <c r="H42" i="5"/>
  <c r="K210" i="3"/>
  <c r="L210" i="3" s="1"/>
  <c r="L206" i="3" s="1"/>
  <c r="H51" i="2" s="1"/>
  <c r="K232" i="3"/>
  <c r="L232" i="3" s="1"/>
  <c r="L228" i="3" s="1"/>
  <c r="H54" i="2" s="1"/>
  <c r="K18" i="3" s="1"/>
  <c r="L18" i="3" s="1"/>
  <c r="K246" i="3"/>
  <c r="L246" i="3" s="1"/>
  <c r="L242" i="3" s="1"/>
  <c r="H56" i="2" s="1"/>
  <c r="K22" i="3" s="1"/>
  <c r="L22" i="3" s="1"/>
  <c r="K239" i="3"/>
  <c r="L239" i="3" s="1"/>
  <c r="L235" i="3" s="1"/>
  <c r="H55" i="2" s="1"/>
  <c r="K21" i="3" s="1"/>
  <c r="L21" i="3" s="1"/>
  <c r="K225" i="3"/>
  <c r="L225" i="3" s="1"/>
  <c r="L221" i="3" s="1"/>
  <c r="H53" i="2" s="1"/>
  <c r="K17" i="3" s="1"/>
  <c r="L17" i="3" s="1"/>
  <c r="K203" i="3"/>
  <c r="L203" i="3" s="1"/>
  <c r="L199" i="3" s="1"/>
  <c r="H50" i="2" s="1"/>
  <c r="AB234" i="4"/>
  <c r="AB212" i="4"/>
  <c r="H239" i="3"/>
  <c r="E239" i="3"/>
  <c r="G85" i="3"/>
  <c r="H24" i="5"/>
  <c r="H39" i="5"/>
  <c r="H20" i="5"/>
  <c r="E415" i="4"/>
  <c r="AL415" i="4"/>
  <c r="A313" i="4"/>
  <c r="AH313" i="4"/>
  <c r="C612" i="4"/>
  <c r="B612" i="4" s="1"/>
  <c r="AD612" i="4"/>
  <c r="F272" i="3"/>
  <c r="AF275" i="3"/>
  <c r="AH275" i="3" s="1"/>
  <c r="F44" i="3"/>
  <c r="F178" i="3"/>
  <c r="L180" i="3"/>
  <c r="AB179" i="3"/>
  <c r="AD179" i="3" s="1"/>
  <c r="H294" i="3"/>
  <c r="J193" i="3"/>
  <c r="G49" i="2" s="1"/>
  <c r="I108" i="1" s="1"/>
  <c r="J108" i="1" s="1"/>
  <c r="J100" i="1" s="1"/>
  <c r="I11" i="1" s="1"/>
  <c r="J11" i="1" s="1"/>
  <c r="F194" i="3"/>
  <c r="I274" i="3"/>
  <c r="J274" i="3" s="1"/>
  <c r="J276" i="3" s="1"/>
  <c r="J270" i="3" s="1"/>
  <c r="G60" i="2" s="1"/>
  <c r="I70" i="3" s="1"/>
  <c r="J70" i="3" s="1"/>
  <c r="J69" i="3" s="1"/>
  <c r="G33" i="2" s="1"/>
  <c r="I71" i="1" s="1"/>
  <c r="J71" i="1" s="1"/>
  <c r="I290" i="3"/>
  <c r="J290" i="3" s="1"/>
  <c r="E246" i="3"/>
  <c r="H246" i="3"/>
  <c r="G471" i="6"/>
  <c r="AB68" i="4"/>
  <c r="A441" i="4"/>
  <c r="E441" i="4"/>
  <c r="B441" i="4" s="1"/>
  <c r="E107" i="3"/>
  <c r="H107" i="3"/>
  <c r="H141" i="3"/>
  <c r="E141" i="3"/>
  <c r="AB314" i="4"/>
  <c r="AD314" i="4" s="1"/>
  <c r="AB328" i="4" s="1"/>
  <c r="AF314" i="4"/>
  <c r="F209" i="3"/>
  <c r="L211" i="3"/>
  <c r="F211" i="3" s="1"/>
  <c r="I64" i="1"/>
  <c r="E28" i="2"/>
  <c r="Y28" i="2" s="1"/>
  <c r="F304" i="3"/>
  <c r="AB307" i="3"/>
  <c r="AD307" i="3" s="1"/>
  <c r="H308" i="3"/>
  <c r="J206" i="3"/>
  <c r="G51" i="2" s="1"/>
  <c r="F253" i="3"/>
  <c r="AB253" i="3"/>
  <c r="AD253" i="3" s="1"/>
  <c r="K106" i="3"/>
  <c r="H38" i="5"/>
  <c r="K88" i="3"/>
  <c r="H36" i="5"/>
  <c r="I318" i="3"/>
  <c r="E68" i="2"/>
  <c r="Y68" i="2" s="1"/>
  <c r="K274" i="3"/>
  <c r="L274" i="3" s="1"/>
  <c r="K290" i="3"/>
  <c r="L290" i="3" s="1"/>
  <c r="AD211" i="4"/>
  <c r="AB214" i="4" s="1"/>
  <c r="B551" i="4"/>
  <c r="F42" i="3"/>
  <c r="H41" i="3"/>
  <c r="AD24" i="4"/>
  <c r="AB27" i="4" s="1"/>
  <c r="A24" i="4"/>
  <c r="C24" i="4"/>
  <c r="B24" i="4" s="1"/>
  <c r="L315" i="3"/>
  <c r="L311" i="3" s="1"/>
  <c r="H65" i="2" s="1"/>
  <c r="K217" i="3" s="1"/>
  <c r="L217" i="3" s="1"/>
  <c r="F314" i="3"/>
  <c r="AJ314" i="3"/>
  <c r="AL314" i="3" s="1"/>
  <c r="H284" i="3"/>
  <c r="L254" i="3"/>
  <c r="AB239" i="3"/>
  <c r="AD239" i="3" s="1"/>
  <c r="J292" i="3"/>
  <c r="J286" i="3" s="1"/>
  <c r="G62" i="2" s="1"/>
  <c r="I74" i="3" s="1"/>
  <c r="J74" i="3" s="1"/>
  <c r="J73" i="3" s="1"/>
  <c r="G34" i="2" s="1"/>
  <c r="I72" i="1" s="1"/>
  <c r="J72" i="1" s="1"/>
  <c r="G142" i="3"/>
  <c r="H25" i="5"/>
  <c r="AB211" i="4"/>
  <c r="AB233" i="4"/>
  <c r="H4" i="5"/>
  <c r="H232" i="3"/>
  <c r="AB323" i="4"/>
  <c r="H14" i="5"/>
  <c r="F521" i="6"/>
  <c r="G521" i="6" s="1"/>
  <c r="H44" i="5"/>
  <c r="G390" i="6"/>
  <c r="G203" i="6"/>
  <c r="H117" i="3"/>
  <c r="F117" i="3" s="1"/>
  <c r="AB117" i="3"/>
  <c r="AD117" i="3" s="1"/>
  <c r="L118" i="3"/>
  <c r="F118" i="3" s="1"/>
  <c r="AB116" i="3"/>
  <c r="AD116" i="3" s="1"/>
  <c r="F113" i="3"/>
  <c r="J112" i="3"/>
  <c r="G38" i="2" s="1"/>
  <c r="I76" i="1" s="1"/>
  <c r="J76" i="1" s="1"/>
  <c r="G275" i="3"/>
  <c r="G291" i="3"/>
  <c r="H27" i="5"/>
  <c r="AH142" i="4"/>
  <c r="A142" i="4"/>
  <c r="B406" i="4"/>
  <c r="AF181" i="4"/>
  <c r="AB181" i="4"/>
  <c r="AD181" i="4" s="1"/>
  <c r="E576" i="4"/>
  <c r="AL576" i="4"/>
  <c r="F93" i="3"/>
  <c r="AB100" i="3"/>
  <c r="AD100" i="3" s="1"/>
  <c r="AD561" i="4"/>
  <c r="AF563" i="4" s="1"/>
  <c r="AB99" i="3"/>
  <c r="AD99" i="3" s="1"/>
  <c r="E41" i="1"/>
  <c r="H41" i="1"/>
  <c r="F41" i="1" s="1"/>
  <c r="J332" i="3"/>
  <c r="F333" i="3"/>
  <c r="AB232" i="3"/>
  <c r="AD232" i="3" s="1"/>
  <c r="J235" i="3"/>
  <c r="G55" i="2" s="1"/>
  <c r="I21" i="3" s="1"/>
  <c r="J21" i="3" s="1"/>
  <c r="A26" i="4"/>
  <c r="E26" i="4"/>
  <c r="B26" i="4" s="1"/>
  <c r="AD26" i="4"/>
  <c r="AJ27" i="4" s="1"/>
  <c r="H210" i="3"/>
  <c r="G238" i="6"/>
  <c r="AB327" i="4"/>
  <c r="H30" i="5"/>
  <c r="G95" i="6"/>
  <c r="I133" i="3"/>
  <c r="J133" i="3" s="1"/>
  <c r="I84" i="3"/>
  <c r="J84" i="3" s="1"/>
  <c r="J77" i="3" s="1"/>
  <c r="G35" i="2" s="1"/>
  <c r="I73" i="1" s="1"/>
  <c r="J73" i="1" s="1"/>
  <c r="E116" i="3"/>
  <c r="H116" i="3"/>
  <c r="F58" i="2"/>
  <c r="H311" i="3"/>
  <c r="E203" i="3"/>
  <c r="H203" i="3"/>
  <c r="L145" i="3"/>
  <c r="L138" i="3" s="1"/>
  <c r="H41" i="2" s="1"/>
  <c r="K82" i="1" s="1"/>
  <c r="L82" i="1" s="1"/>
  <c r="AJ144" i="3"/>
  <c r="AL144" i="3" s="1"/>
  <c r="A16" i="4"/>
  <c r="AH16" i="4"/>
  <c r="H87" i="1"/>
  <c r="AL368" i="4"/>
  <c r="E368" i="4"/>
  <c r="H101" i="3"/>
  <c r="F101" i="3" s="1"/>
  <c r="F165" i="3"/>
  <c r="AF165" i="3"/>
  <c r="AH165" i="3" s="1"/>
  <c r="J166" i="3"/>
  <c r="J228" i="3"/>
  <c r="G54" i="2" s="1"/>
  <c r="I18" i="3" s="1"/>
  <c r="J18" i="3" s="1"/>
  <c r="H104" i="1"/>
  <c r="G153" i="3"/>
  <c r="H10" i="5"/>
  <c r="AB48" i="4"/>
  <c r="AB19" i="4"/>
  <c r="AB466" i="4"/>
  <c r="K38" i="3"/>
  <c r="L38" i="3" s="1"/>
  <c r="L34" i="3" s="1"/>
  <c r="H26" i="2" s="1"/>
  <c r="K58" i="1" s="1"/>
  <c r="L58" i="1" s="1"/>
  <c r="AB502" i="4"/>
  <c r="K150" i="3"/>
  <c r="L150" i="3" s="1"/>
  <c r="K84" i="3"/>
  <c r="L84" i="3" s="1"/>
  <c r="K133" i="3"/>
  <c r="L133" i="3" s="1"/>
  <c r="L128" i="3" s="1"/>
  <c r="H40" i="2" s="1"/>
  <c r="K78" i="1" s="1"/>
  <c r="L78" i="1" s="1"/>
  <c r="AB470" i="4"/>
  <c r="H5" i="5"/>
  <c r="G156" i="3"/>
  <c r="H7" i="5"/>
  <c r="G274" i="3"/>
  <c r="G290" i="3"/>
  <c r="H35" i="5"/>
  <c r="AD555" i="4"/>
  <c r="C555" i="4"/>
  <c r="F79" i="3"/>
  <c r="F67" i="3"/>
  <c r="H64" i="3"/>
  <c r="F251" i="3"/>
  <c r="E341" i="4"/>
  <c r="AL341" i="4"/>
  <c r="AB423" i="4"/>
  <c r="AD423" i="4" s="1"/>
  <c r="AB425" i="4"/>
  <c r="AD425" i="4" s="1"/>
  <c r="AF425" i="4"/>
  <c r="AF423" i="4"/>
  <c r="E442" i="4"/>
  <c r="AL442" i="4"/>
  <c r="AD213" i="4"/>
  <c r="AJ214" i="4" s="1"/>
  <c r="C576" i="4"/>
  <c r="B576" i="4" s="1"/>
  <c r="AD576" i="4"/>
  <c r="D476" i="4"/>
  <c r="AH476" i="4"/>
  <c r="H107" i="1"/>
  <c r="L263" i="3"/>
  <c r="H59" i="2" s="1"/>
  <c r="AB387" i="4" s="1"/>
  <c r="F268" i="3"/>
  <c r="AB18" i="4"/>
  <c r="AB47" i="4"/>
  <c r="AB501" i="4"/>
  <c r="AB465" i="4"/>
  <c r="AD465" i="4" s="1"/>
  <c r="AD469" i="4" s="1"/>
  <c r="AF471" i="4" s="1"/>
  <c r="I38" i="3"/>
  <c r="J38" i="3" s="1"/>
  <c r="J34" i="3" s="1"/>
  <c r="G26" i="2" s="1"/>
  <c r="I58" i="1" s="1"/>
  <c r="J58" i="1" s="1"/>
  <c r="I150" i="3"/>
  <c r="J150" i="3" s="1"/>
  <c r="AB70" i="4"/>
  <c r="L95" i="3"/>
  <c r="E95" i="3"/>
  <c r="H11" i="5"/>
  <c r="K87" i="3"/>
  <c r="H32" i="5"/>
  <c r="A67" i="4"/>
  <c r="AH67" i="4"/>
  <c r="C591" i="4"/>
  <c r="B591" i="4" s="1"/>
  <c r="AD591" i="4"/>
  <c r="F161" i="3"/>
  <c r="L159" i="3"/>
  <c r="F177" i="3"/>
  <c r="AB177" i="3"/>
  <c r="AD177" i="3" s="1"/>
  <c r="L321" i="3"/>
  <c r="H67" i="2" s="1"/>
  <c r="F326" i="3"/>
  <c r="J256" i="3"/>
  <c r="G58" i="2" s="1"/>
  <c r="AB376" i="4" s="1"/>
  <c r="A386" i="4"/>
  <c r="D386" i="4"/>
  <c r="B386" i="4" s="1"/>
  <c r="AB332" i="4"/>
  <c r="AB440" i="4"/>
  <c r="I51" i="3"/>
  <c r="J51" i="3" s="1"/>
  <c r="I108" i="3"/>
  <c r="J108" i="3" s="1"/>
  <c r="I134" i="3"/>
  <c r="J134" i="3" s="1"/>
  <c r="I57" i="3"/>
  <c r="J57" i="3" s="1"/>
  <c r="J54" i="3" s="1"/>
  <c r="G30" i="2" s="1"/>
  <c r="I66" i="1" s="1"/>
  <c r="J66" i="1" s="1"/>
  <c r="AB413" i="4"/>
  <c r="I97" i="3"/>
  <c r="J97" i="3" s="1"/>
  <c r="AB568" i="4"/>
  <c r="AB604" i="4"/>
  <c r="AB532" i="4"/>
  <c r="G31" i="3"/>
  <c r="K273" i="3"/>
  <c r="K289" i="3"/>
  <c r="H34" i="5"/>
  <c r="G72" i="6"/>
  <c r="H152" i="3"/>
  <c r="F152" i="3" s="1"/>
  <c r="E152" i="3"/>
  <c r="AH422" i="4"/>
  <c r="A422" i="4"/>
  <c r="H225" i="3"/>
  <c r="E225" i="3"/>
  <c r="H45" i="5"/>
  <c r="F522" i="6"/>
  <c r="G522" i="6" s="1"/>
  <c r="D394" i="4"/>
  <c r="AH394" i="4"/>
  <c r="AB88" i="3"/>
  <c r="AD88" i="3" s="1"/>
  <c r="L169" i="3"/>
  <c r="F173" i="3"/>
  <c r="H106" i="1"/>
  <c r="AB561" i="4"/>
  <c r="AB525" i="4"/>
  <c r="AB597" i="4"/>
  <c r="AB360" i="4"/>
  <c r="H15" i="5"/>
  <c r="H105" i="1"/>
  <c r="F67" i="2"/>
  <c r="H43" i="5"/>
  <c r="F520" i="6"/>
  <c r="G520" i="6" s="1"/>
  <c r="G436" i="6"/>
  <c r="AB324" i="4"/>
  <c r="G155" i="6"/>
  <c r="G196" i="3"/>
  <c r="H33" i="5"/>
  <c r="G60" i="6"/>
  <c r="G333" i="6"/>
  <c r="H319" i="3"/>
  <c r="H317" i="3" s="1"/>
  <c r="AB213" i="4"/>
  <c r="AB235" i="4"/>
  <c r="AB533" i="4"/>
  <c r="AB569" i="4"/>
  <c r="I31" i="3"/>
  <c r="J31" i="3" s="1"/>
  <c r="AB605" i="4"/>
  <c r="AD605" i="4" s="1"/>
  <c r="AF607" i="4" s="1"/>
  <c r="AD387" i="4"/>
  <c r="AJ388" i="4" s="1"/>
  <c r="A361" i="4"/>
  <c r="D361" i="4"/>
  <c r="B361" i="4" s="1"/>
  <c r="A367" i="4"/>
  <c r="D367" i="4"/>
  <c r="B367" i="4" s="1"/>
  <c r="E476" i="4"/>
  <c r="AL476" i="4"/>
  <c r="A98" i="4"/>
  <c r="AH98" i="4"/>
  <c r="AH139" i="4"/>
  <c r="A139" i="4"/>
  <c r="AH359" i="4"/>
  <c r="A359" i="4"/>
  <c r="B370" i="4"/>
  <c r="A232" i="4"/>
  <c r="AH232" i="4"/>
  <c r="D555" i="4"/>
  <c r="AH555" i="4"/>
  <c r="B476" i="4"/>
  <c r="AD569" i="4"/>
  <c r="AF571" i="4" s="1"/>
  <c r="I8" i="3"/>
  <c r="J8" i="3" s="1"/>
  <c r="I12" i="3"/>
  <c r="J12" i="3" s="1"/>
  <c r="AF291" i="3"/>
  <c r="AH291" i="3" s="1"/>
  <c r="G155" i="3"/>
  <c r="H19" i="5"/>
  <c r="K116" i="3"/>
  <c r="L116" i="3" s="1"/>
  <c r="L112" i="3" s="1"/>
  <c r="H38" i="2" s="1"/>
  <c r="K76" i="1" s="1"/>
  <c r="L76" i="1" s="1"/>
  <c r="K107" i="3"/>
  <c r="L107" i="3" s="1"/>
  <c r="AB362" i="4"/>
  <c r="G107" i="6"/>
  <c r="G297" i="6"/>
  <c r="G25" i="6"/>
  <c r="F66" i="2" l="1"/>
  <c r="D607" i="4"/>
  <c r="AH607" i="4"/>
  <c r="A328" i="4"/>
  <c r="D328" i="4"/>
  <c r="B328" i="4" s="1"/>
  <c r="D471" i="4"/>
  <c r="AH471" i="4"/>
  <c r="AF483" i="4" s="1"/>
  <c r="L87" i="3"/>
  <c r="F87" i="3" s="1"/>
  <c r="E87" i="3"/>
  <c r="J128" i="3"/>
  <c r="G40" i="2" s="1"/>
  <c r="I78" i="1" s="1"/>
  <c r="J78" i="1" s="1"/>
  <c r="F239" i="3"/>
  <c r="H235" i="3"/>
  <c r="AH100" i="4"/>
  <c r="A100" i="4"/>
  <c r="H45" i="2"/>
  <c r="F169" i="3"/>
  <c r="E156" i="3"/>
  <c r="H156" i="3"/>
  <c r="F156" i="3" s="1"/>
  <c r="F116" i="3"/>
  <c r="H112" i="3"/>
  <c r="K13" i="3"/>
  <c r="L13" i="3" s="1"/>
  <c r="K9" i="3"/>
  <c r="L9" i="3" s="1"/>
  <c r="F308" i="3"/>
  <c r="AB308" i="3"/>
  <c r="AD308" i="3" s="1"/>
  <c r="L309" i="3"/>
  <c r="A569" i="4"/>
  <c r="D569" i="4"/>
  <c r="B569" i="4" s="1"/>
  <c r="A423" i="4"/>
  <c r="AH423" i="4"/>
  <c r="H89" i="3"/>
  <c r="F89" i="3" s="1"/>
  <c r="L167" i="3"/>
  <c r="AB166" i="3"/>
  <c r="AD166" i="3" s="1"/>
  <c r="F166" i="3"/>
  <c r="H228" i="3"/>
  <c r="F232" i="3"/>
  <c r="F180" i="3"/>
  <c r="L175" i="3"/>
  <c r="A212" i="4"/>
  <c r="D212" i="4"/>
  <c r="B212" i="4" s="1"/>
  <c r="AD212" i="4"/>
  <c r="AF214" i="4" s="1"/>
  <c r="A47" i="4"/>
  <c r="D47" i="4"/>
  <c r="B47" i="4" s="1"/>
  <c r="H153" i="3"/>
  <c r="F153" i="3" s="1"/>
  <c r="E153" i="3"/>
  <c r="AD47" i="4"/>
  <c r="AF49" i="4" s="1"/>
  <c r="A18" i="4"/>
  <c r="D18" i="4"/>
  <c r="B18" i="4" s="1"/>
  <c r="I9" i="3"/>
  <c r="J9" i="3" s="1"/>
  <c r="I13" i="3"/>
  <c r="J13" i="3" s="1"/>
  <c r="H85" i="3"/>
  <c r="F85" i="3" s="1"/>
  <c r="E85" i="3"/>
  <c r="AB331" i="4"/>
  <c r="AB412" i="4"/>
  <c r="AB439" i="4"/>
  <c r="G51" i="3"/>
  <c r="G108" i="3"/>
  <c r="G134" i="3"/>
  <c r="G57" i="3"/>
  <c r="G97" i="3"/>
  <c r="H18" i="5"/>
  <c r="A323" i="4"/>
  <c r="C323" i="4"/>
  <c r="B323" i="4" s="1"/>
  <c r="A533" i="4"/>
  <c r="D533" i="4"/>
  <c r="B533" i="4" s="1"/>
  <c r="AD533" i="4"/>
  <c r="AF535" i="4" s="1"/>
  <c r="A360" i="4"/>
  <c r="C360" i="4"/>
  <c r="B360" i="4" s="1"/>
  <c r="AD360" i="4"/>
  <c r="AB363" i="4" s="1"/>
  <c r="L273" i="3"/>
  <c r="E273" i="3"/>
  <c r="D440" i="4"/>
  <c r="B440" i="4" s="1"/>
  <c r="A440" i="4"/>
  <c r="AD440" i="4"/>
  <c r="AF442" i="4" s="1"/>
  <c r="H43" i="2"/>
  <c r="F159" i="3"/>
  <c r="AH425" i="4"/>
  <c r="A425" i="4"/>
  <c r="B555" i="4"/>
  <c r="L157" i="3"/>
  <c r="L147" i="3" s="1"/>
  <c r="H42" i="2" s="1"/>
  <c r="K85" i="1" s="1"/>
  <c r="L85" i="1" s="1"/>
  <c r="AJ156" i="3"/>
  <c r="AL156" i="3" s="1"/>
  <c r="F203" i="3"/>
  <c r="H199" i="3"/>
  <c r="AF22" i="3"/>
  <c r="AH22" i="3" s="1"/>
  <c r="J23" i="3"/>
  <c r="J20" i="3" s="1"/>
  <c r="G24" i="2" s="1"/>
  <c r="I56" i="1" s="1"/>
  <c r="J56" i="1" s="1"/>
  <c r="AB186" i="4"/>
  <c r="AD186" i="4" s="1"/>
  <c r="AF186" i="4"/>
  <c r="E232" i="3"/>
  <c r="C68" i="4"/>
  <c r="B68" i="4" s="1"/>
  <c r="AD68" i="4"/>
  <c r="AB71" i="4" s="1"/>
  <c r="A68" i="4"/>
  <c r="D234" i="4"/>
  <c r="B234" i="4" s="1"/>
  <c r="A234" i="4"/>
  <c r="AD234" i="4"/>
  <c r="AF236" i="4" s="1"/>
  <c r="J103" i="3"/>
  <c r="G37" i="2" s="1"/>
  <c r="I75" i="1" s="1"/>
  <c r="J75" i="1" s="1"/>
  <c r="J70" i="1" s="1"/>
  <c r="G154" i="3"/>
  <c r="H13" i="5"/>
  <c r="G151" i="3"/>
  <c r="H6" i="5"/>
  <c r="A413" i="4"/>
  <c r="D413" i="4"/>
  <c r="B413" i="4" s="1"/>
  <c r="AD413" i="4"/>
  <c r="AF415" i="4" s="1"/>
  <c r="F87" i="1"/>
  <c r="G10" i="1"/>
  <c r="F141" i="3"/>
  <c r="L249" i="3"/>
  <c r="F254" i="3"/>
  <c r="C214" i="4"/>
  <c r="AD214" i="4"/>
  <c r="AB216" i="4" s="1"/>
  <c r="L91" i="3"/>
  <c r="H36" i="2" s="1"/>
  <c r="K74" i="1" s="1"/>
  <c r="L74" i="1" s="1"/>
  <c r="F95" i="3"/>
  <c r="A502" i="4"/>
  <c r="E502" i="4"/>
  <c r="B502" i="4" s="1"/>
  <c r="AD502" i="4"/>
  <c r="AJ503" i="4" s="1"/>
  <c r="A327" i="4"/>
  <c r="C327" i="4"/>
  <c r="B327" i="4" s="1"/>
  <c r="AH181" i="4"/>
  <c r="A181" i="4"/>
  <c r="J318" i="3"/>
  <c r="E318" i="3"/>
  <c r="J64" i="1"/>
  <c r="E64" i="1"/>
  <c r="D27" i="4"/>
  <c r="AH27" i="4"/>
  <c r="AB526" i="4"/>
  <c r="AB562" i="4"/>
  <c r="AB598" i="4"/>
  <c r="F32" i="2"/>
  <c r="F64" i="3"/>
  <c r="H291" i="3"/>
  <c r="F291" i="3" s="1"/>
  <c r="E291" i="3"/>
  <c r="H278" i="3"/>
  <c r="E387" i="4"/>
  <c r="B387" i="4" s="1"/>
  <c r="A387" i="4"/>
  <c r="J52" i="3"/>
  <c r="J48" i="3" s="1"/>
  <c r="G29" i="2" s="1"/>
  <c r="I65" i="1" s="1"/>
  <c r="J65" i="1" s="1"/>
  <c r="AF51" i="3"/>
  <c r="AH51" i="3" s="1"/>
  <c r="A235" i="4"/>
  <c r="E235" i="4"/>
  <c r="B235" i="4" s="1"/>
  <c r="AD235" i="4"/>
  <c r="AJ236" i="4" s="1"/>
  <c r="A597" i="4"/>
  <c r="AD597" i="4"/>
  <c r="AF599" i="4" s="1"/>
  <c r="D597" i="4"/>
  <c r="B597" i="4" s="1"/>
  <c r="A332" i="4"/>
  <c r="D332" i="4"/>
  <c r="B332" i="4" s="1"/>
  <c r="A362" i="4"/>
  <c r="E362" i="4"/>
  <c r="B362" i="4" s="1"/>
  <c r="AD362" i="4"/>
  <c r="AJ363" i="4" s="1"/>
  <c r="E213" i="4"/>
  <c r="B213" i="4" s="1"/>
  <c r="A213" i="4"/>
  <c r="A525" i="4"/>
  <c r="D525" i="4"/>
  <c r="B525" i="4" s="1"/>
  <c r="AD525" i="4"/>
  <c r="AF527" i="4" s="1"/>
  <c r="H31" i="3"/>
  <c r="A70" i="4"/>
  <c r="E70" i="4"/>
  <c r="B70" i="4" s="1"/>
  <c r="AD70" i="4"/>
  <c r="AJ71" i="4" s="1"/>
  <c r="AB426" i="4"/>
  <c r="AD426" i="4" s="1"/>
  <c r="AF426" i="4"/>
  <c r="AB447" i="4"/>
  <c r="F315" i="3"/>
  <c r="A233" i="4"/>
  <c r="C233" i="4"/>
  <c r="B233" i="4" s="1"/>
  <c r="AD233" i="4"/>
  <c r="AB236" i="4" s="1"/>
  <c r="F246" i="3"/>
  <c r="H242" i="3"/>
  <c r="G86" i="3"/>
  <c r="H17" i="5"/>
  <c r="AB17" i="4"/>
  <c r="AB46" i="4"/>
  <c r="AB464" i="4"/>
  <c r="AB500" i="4"/>
  <c r="G150" i="3"/>
  <c r="G38" i="3"/>
  <c r="H3" i="5"/>
  <c r="J11" i="3"/>
  <c r="G22" i="2" s="1"/>
  <c r="I54" i="1" s="1"/>
  <c r="J54" i="1" s="1"/>
  <c r="F321" i="3"/>
  <c r="AL214" i="4"/>
  <c r="AJ216" i="4" s="1"/>
  <c r="E214" i="4"/>
  <c r="F107" i="3"/>
  <c r="AD519" i="4"/>
  <c r="C519" i="4"/>
  <c r="B519" i="4" s="1"/>
  <c r="E27" i="4"/>
  <c r="AL27" i="4"/>
  <c r="D571" i="4"/>
  <c r="AH571" i="4"/>
  <c r="H196" i="3"/>
  <c r="E196" i="3"/>
  <c r="D324" i="4"/>
  <c r="B324" i="4" s="1"/>
  <c r="A324" i="4"/>
  <c r="A561" i="4"/>
  <c r="D561" i="4"/>
  <c r="B561" i="4" s="1"/>
  <c r="A532" i="4"/>
  <c r="C532" i="4"/>
  <c r="B532" i="4" s="1"/>
  <c r="AD532" i="4"/>
  <c r="AB535" i="4" s="1"/>
  <c r="J157" i="3"/>
  <c r="J147" i="3" s="1"/>
  <c r="G42" i="2" s="1"/>
  <c r="I85" i="1" s="1"/>
  <c r="J85" i="1" s="1"/>
  <c r="AF156" i="3"/>
  <c r="AH156" i="3" s="1"/>
  <c r="E290" i="3"/>
  <c r="H290" i="3"/>
  <c r="A466" i="4"/>
  <c r="E466" i="4"/>
  <c r="B466" i="4" s="1"/>
  <c r="AD466" i="4"/>
  <c r="AD470" i="4" s="1"/>
  <c r="AJ471" i="4" s="1"/>
  <c r="F311" i="3"/>
  <c r="F65" i="2"/>
  <c r="F332" i="3"/>
  <c r="G69" i="2"/>
  <c r="A211" i="4"/>
  <c r="C211" i="4"/>
  <c r="B211" i="4" s="1"/>
  <c r="C27" i="4"/>
  <c r="B27" i="4" s="1"/>
  <c r="AD27" i="4"/>
  <c r="L88" i="3"/>
  <c r="F88" i="3" s="1"/>
  <c r="E88" i="3"/>
  <c r="K8" i="3"/>
  <c r="L8" i="3" s="1"/>
  <c r="L7" i="3" s="1"/>
  <c r="H21" i="2" s="1"/>
  <c r="K53" i="1" s="1"/>
  <c r="L53" i="1" s="1"/>
  <c r="K12" i="3"/>
  <c r="L12" i="3" s="1"/>
  <c r="L11" i="3" s="1"/>
  <c r="H22" i="2" s="1"/>
  <c r="K54" i="1" s="1"/>
  <c r="L54" i="1" s="1"/>
  <c r="B394" i="4"/>
  <c r="AH563" i="4"/>
  <c r="AF578" i="4" s="1"/>
  <c r="D563" i="4"/>
  <c r="D71" i="4"/>
  <c r="AH71" i="4"/>
  <c r="AF73" i="4" s="1"/>
  <c r="A470" i="4"/>
  <c r="E470" i="4"/>
  <c r="B470" i="4" s="1"/>
  <c r="F63" i="2"/>
  <c r="F225" i="3"/>
  <c r="H221" i="3"/>
  <c r="A604" i="4"/>
  <c r="C604" i="4"/>
  <c r="B604" i="4" s="1"/>
  <c r="AD604" i="4"/>
  <c r="AB607" i="4" s="1"/>
  <c r="E274" i="3"/>
  <c r="H274" i="3"/>
  <c r="A19" i="4"/>
  <c r="E19" i="4"/>
  <c r="B19" i="4" s="1"/>
  <c r="AB375" i="4"/>
  <c r="E58" i="2"/>
  <c r="Y58" i="2" s="1"/>
  <c r="E210" i="3"/>
  <c r="F41" i="3"/>
  <c r="F27" i="2"/>
  <c r="AH314" i="4"/>
  <c r="A314" i="4"/>
  <c r="A147" i="4"/>
  <c r="AH147" i="4"/>
  <c r="G133" i="3"/>
  <c r="G84" i="3"/>
  <c r="H28" i="5"/>
  <c r="AB524" i="4"/>
  <c r="AB560" i="4"/>
  <c r="AB596" i="4"/>
  <c r="E67" i="2"/>
  <c r="Y67" i="2" s="1"/>
  <c r="AL388" i="4"/>
  <c r="E388" i="4"/>
  <c r="A605" i="4"/>
  <c r="D605" i="4"/>
  <c r="B605" i="4" s="1"/>
  <c r="H275" i="3"/>
  <c r="F275" i="3" s="1"/>
  <c r="E275" i="3"/>
  <c r="F261" i="3"/>
  <c r="L256" i="3"/>
  <c r="H58" i="2" s="1"/>
  <c r="AB377" i="4" s="1"/>
  <c r="L289" i="3"/>
  <c r="E289" i="3"/>
  <c r="G524" i="6"/>
  <c r="A568" i="4"/>
  <c r="C568" i="4"/>
  <c r="B568" i="4" s="1"/>
  <c r="AD568" i="4"/>
  <c r="AB571" i="4" s="1"/>
  <c r="A376" i="4"/>
  <c r="D376" i="4"/>
  <c r="B376" i="4" s="1"/>
  <c r="AD376" i="4"/>
  <c r="AF378" i="4" s="1"/>
  <c r="D465" i="4"/>
  <c r="B465" i="4" s="1"/>
  <c r="A465" i="4"/>
  <c r="A48" i="4"/>
  <c r="E48" i="4"/>
  <c r="B48" i="4" s="1"/>
  <c r="AD48" i="4"/>
  <c r="AJ49" i="4" s="1"/>
  <c r="F256" i="3"/>
  <c r="H206" i="3"/>
  <c r="F210" i="3"/>
  <c r="E142" i="3"/>
  <c r="H142" i="3"/>
  <c r="F142" i="3" s="1"/>
  <c r="E106" i="3"/>
  <c r="L106" i="3"/>
  <c r="AB338" i="4"/>
  <c r="AB319" i="4"/>
  <c r="AB339" i="4"/>
  <c r="AB340" i="4"/>
  <c r="AB320" i="4"/>
  <c r="AB325" i="4"/>
  <c r="AB329" i="4"/>
  <c r="AB321" i="4"/>
  <c r="AB333" i="4"/>
  <c r="AJ22" i="3"/>
  <c r="AL22" i="3" s="1"/>
  <c r="L23" i="3"/>
  <c r="L20" i="3" s="1"/>
  <c r="H24" i="2" s="1"/>
  <c r="K56" i="1" s="1"/>
  <c r="L56" i="1" s="1"/>
  <c r="A256" i="4"/>
  <c r="AH256" i="4"/>
  <c r="AB149" i="4"/>
  <c r="AF148" i="4"/>
  <c r="AB148" i="4"/>
  <c r="AD148" i="4" s="1"/>
  <c r="J7" i="3"/>
  <c r="G21" i="2" s="1"/>
  <c r="I53" i="1" s="1"/>
  <c r="J53" i="1" s="1"/>
  <c r="AB105" i="4"/>
  <c r="AD105" i="4" s="1"/>
  <c r="AF105" i="4"/>
  <c r="AF31" i="3"/>
  <c r="AH31" i="3" s="1"/>
  <c r="J32" i="3"/>
  <c r="J25" i="3"/>
  <c r="G25" i="2" s="1"/>
  <c r="I57" i="1" s="1"/>
  <c r="J57" i="1" s="1"/>
  <c r="H155" i="3"/>
  <c r="F155" i="3" s="1"/>
  <c r="E155" i="3"/>
  <c r="A501" i="4"/>
  <c r="D501" i="4"/>
  <c r="B501" i="4" s="1"/>
  <c r="AD501" i="4"/>
  <c r="AF503" i="4" s="1"/>
  <c r="AD19" i="4"/>
  <c r="AJ20" i="4" s="1"/>
  <c r="AD18" i="4"/>
  <c r="AF20" i="4" s="1"/>
  <c r="F263" i="3"/>
  <c r="F59" i="2"/>
  <c r="AB261" i="4"/>
  <c r="AD261" i="4" s="1"/>
  <c r="AF261" i="4"/>
  <c r="E82" i="3"/>
  <c r="H82" i="3"/>
  <c r="H59" i="3"/>
  <c r="F62" i="3"/>
  <c r="G188" i="3"/>
  <c r="H23" i="5"/>
  <c r="G96" i="3"/>
  <c r="H29" i="5"/>
  <c r="G124" i="3"/>
  <c r="H40" i="5"/>
  <c r="I8" i="1" l="1"/>
  <c r="J8" i="1" s="1"/>
  <c r="J79" i="1"/>
  <c r="D578" i="4"/>
  <c r="AH578" i="4"/>
  <c r="D580" i="4" s="1"/>
  <c r="D546" i="4" s="1"/>
  <c r="G18" i="2" s="1"/>
  <c r="I215" i="3" s="1"/>
  <c r="J215" i="3" s="1"/>
  <c r="A149" i="4"/>
  <c r="C149" i="4"/>
  <c r="B149" i="4" s="1"/>
  <c r="AD149" i="4"/>
  <c r="AB152" i="4" s="1"/>
  <c r="AH503" i="4"/>
  <c r="AF505" i="4" s="1"/>
  <c r="D503" i="4"/>
  <c r="AH148" i="4"/>
  <c r="A148" i="4"/>
  <c r="A339" i="4"/>
  <c r="D339" i="4"/>
  <c r="B339" i="4" s="1"/>
  <c r="A377" i="4"/>
  <c r="E377" i="4"/>
  <c r="B377" i="4" s="1"/>
  <c r="AD377" i="4"/>
  <c r="AJ378" i="4" s="1"/>
  <c r="C375" i="4"/>
  <c r="B375" i="4" s="1"/>
  <c r="A375" i="4"/>
  <c r="AD375" i="4"/>
  <c r="AB378" i="4" s="1"/>
  <c r="G75" i="3"/>
  <c r="F196" i="3"/>
  <c r="H193" i="3"/>
  <c r="F61" i="2"/>
  <c r="J63" i="1"/>
  <c r="I7" i="1" s="1"/>
  <c r="J7" i="1" s="1"/>
  <c r="F64" i="1"/>
  <c r="C216" i="4"/>
  <c r="AD216" i="4"/>
  <c r="C218" i="4" s="1"/>
  <c r="AH535" i="4"/>
  <c r="D535" i="4"/>
  <c r="A412" i="4"/>
  <c r="C412" i="4"/>
  <c r="B412" i="4" s="1"/>
  <c r="AD412" i="4"/>
  <c r="AB415" i="4" s="1"/>
  <c r="F167" i="3"/>
  <c r="L163" i="3"/>
  <c r="F82" i="3"/>
  <c r="H77" i="3"/>
  <c r="D338" i="4"/>
  <c r="B338" i="4" s="1"/>
  <c r="A338" i="4"/>
  <c r="AD338" i="4"/>
  <c r="AD339" i="4" s="1"/>
  <c r="AD340" i="4" s="1"/>
  <c r="AF341" i="4" s="1"/>
  <c r="E84" i="3"/>
  <c r="H84" i="3"/>
  <c r="F84" i="3" s="1"/>
  <c r="H38" i="3"/>
  <c r="E38" i="3"/>
  <c r="F318" i="3"/>
  <c r="A186" i="4"/>
  <c r="AH186" i="4"/>
  <c r="C331" i="4"/>
  <c r="B331" i="4" s="1"/>
  <c r="A331" i="4"/>
  <c r="D214" i="4"/>
  <c r="AH214" i="4"/>
  <c r="AF216" i="4" s="1"/>
  <c r="D483" i="4"/>
  <c r="AH483" i="4"/>
  <c r="D485" i="4" s="1"/>
  <c r="D454" i="4" s="1"/>
  <c r="G15" i="2" s="1"/>
  <c r="I83" i="1" s="1"/>
  <c r="J83" i="1" s="1"/>
  <c r="F59" i="3"/>
  <c r="F31" i="2"/>
  <c r="AH378" i="4"/>
  <c r="AF396" i="4" s="1"/>
  <c r="D378" i="4"/>
  <c r="F274" i="3"/>
  <c r="AB275" i="3"/>
  <c r="AD275" i="3" s="1"/>
  <c r="H276" i="3"/>
  <c r="D73" i="4"/>
  <c r="AH73" i="4"/>
  <c r="D75" i="4" s="1"/>
  <c r="D55" i="4" s="1"/>
  <c r="G5" i="2" s="1"/>
  <c r="I43" i="1" s="1"/>
  <c r="J43" i="1" s="1"/>
  <c r="E150" i="3"/>
  <c r="H150" i="3"/>
  <c r="E236" i="4"/>
  <c r="AL236" i="4"/>
  <c r="AJ238" i="4" s="1"/>
  <c r="H57" i="2"/>
  <c r="F249" i="3"/>
  <c r="E154" i="3"/>
  <c r="H154" i="3"/>
  <c r="F154" i="3" s="1"/>
  <c r="AB188" i="4"/>
  <c r="AD188" i="4" s="1"/>
  <c r="AF188" i="4"/>
  <c r="K101" i="1"/>
  <c r="E43" i="2"/>
  <c r="Y43" i="2" s="1"/>
  <c r="D527" i="4"/>
  <c r="AH527" i="4"/>
  <c r="F112" i="3"/>
  <c r="F38" i="2"/>
  <c r="L103" i="3"/>
  <c r="H37" i="2" s="1"/>
  <c r="K75" i="1" s="1"/>
  <c r="L75" i="1" s="1"/>
  <c r="F106" i="3"/>
  <c r="E133" i="3"/>
  <c r="H133" i="3"/>
  <c r="I319" i="3"/>
  <c r="E69" i="2"/>
  <c r="Y69" i="2" s="1"/>
  <c r="AD535" i="4"/>
  <c r="C535" i="4"/>
  <c r="A500" i="4"/>
  <c r="C500" i="4"/>
  <c r="B500" i="4" s="1"/>
  <c r="AD500" i="4"/>
  <c r="AB503" i="4" s="1"/>
  <c r="G68" i="1"/>
  <c r="E32" i="2"/>
  <c r="Y32" i="2" s="1"/>
  <c r="H145" i="3"/>
  <c r="D442" i="4"/>
  <c r="AH442" i="4"/>
  <c r="A598" i="4"/>
  <c r="E598" i="4"/>
  <c r="B598" i="4" s="1"/>
  <c r="AD598" i="4"/>
  <c r="AJ599" i="4" s="1"/>
  <c r="H46" i="2"/>
  <c r="F175" i="3"/>
  <c r="A319" i="4"/>
  <c r="C319" i="4"/>
  <c r="B319" i="4" s="1"/>
  <c r="AD319" i="4"/>
  <c r="AD323" i="4" s="1"/>
  <c r="AD327" i="4" s="1"/>
  <c r="AD331" i="4" s="1"/>
  <c r="AB334" i="4" s="1"/>
  <c r="D599" i="4"/>
  <c r="AH599" i="4"/>
  <c r="AF614" i="4" s="1"/>
  <c r="E151" i="3"/>
  <c r="H151" i="3"/>
  <c r="F151" i="3" s="1"/>
  <c r="A464" i="4"/>
  <c r="C464" i="4"/>
  <c r="B464" i="4" s="1"/>
  <c r="AD464" i="4"/>
  <c r="AD468" i="4" s="1"/>
  <c r="AB471" i="4" s="1"/>
  <c r="AB262" i="4"/>
  <c r="AD262" i="4" s="1"/>
  <c r="AF262" i="4"/>
  <c r="A333" i="4"/>
  <c r="E333" i="4"/>
  <c r="B333" i="4" s="1"/>
  <c r="C571" i="4"/>
  <c r="AD571" i="4"/>
  <c r="E65" i="2"/>
  <c r="Y65" i="2" s="1"/>
  <c r="G217" i="3"/>
  <c r="A46" i="4"/>
  <c r="C46" i="4"/>
  <c r="B46" i="4" s="1"/>
  <c r="AD46" i="4"/>
  <c r="AB49" i="4" s="1"/>
  <c r="AH426" i="4"/>
  <c r="A426" i="4"/>
  <c r="AL363" i="4"/>
  <c r="E363" i="4"/>
  <c r="A562" i="4"/>
  <c r="E562" i="4"/>
  <c r="B562" i="4" s="1"/>
  <c r="AD562" i="4"/>
  <c r="AJ563" i="4" s="1"/>
  <c r="AB144" i="3"/>
  <c r="AD144" i="3" s="1"/>
  <c r="F199" i="3"/>
  <c r="F50" i="2"/>
  <c r="E97" i="3"/>
  <c r="H97" i="3"/>
  <c r="F97" i="3" s="1"/>
  <c r="F309" i="3"/>
  <c r="L302" i="3"/>
  <c r="K104" i="1"/>
  <c r="E45" i="2"/>
  <c r="Y45" i="2" s="1"/>
  <c r="C607" i="4"/>
  <c r="AD607" i="4"/>
  <c r="A447" i="4"/>
  <c r="D447" i="4"/>
  <c r="B447" i="4" s="1"/>
  <c r="AD447" i="4"/>
  <c r="AF448" i="4" s="1"/>
  <c r="E124" i="3"/>
  <c r="H124" i="3"/>
  <c r="AB385" i="4"/>
  <c r="E59" i="2"/>
  <c r="Y59" i="2" s="1"/>
  <c r="A321" i="4"/>
  <c r="E321" i="4"/>
  <c r="B321" i="4" s="1"/>
  <c r="AD321" i="4"/>
  <c r="AD325" i="4" s="1"/>
  <c r="AD329" i="4" s="1"/>
  <c r="AD333" i="4" s="1"/>
  <c r="AJ334" i="4" s="1"/>
  <c r="A17" i="4"/>
  <c r="C17" i="4"/>
  <c r="B17" i="4" s="1"/>
  <c r="AD17" i="4"/>
  <c r="AB20" i="4" s="1"/>
  <c r="AB427" i="4"/>
  <c r="AD427" i="4" s="1"/>
  <c r="AF427" i="4"/>
  <c r="AB428" i="4"/>
  <c r="A526" i="4"/>
  <c r="E526" i="4"/>
  <c r="B526" i="4" s="1"/>
  <c r="AD526" i="4"/>
  <c r="AJ527" i="4" s="1"/>
  <c r="AL503" i="4"/>
  <c r="AJ505" i="4" s="1"/>
  <c r="E503" i="4"/>
  <c r="E10" i="1"/>
  <c r="H10" i="1"/>
  <c r="F10" i="1" s="1"/>
  <c r="AH236" i="4"/>
  <c r="AF238" i="4" s="1"/>
  <c r="D236" i="4"/>
  <c r="E57" i="3"/>
  <c r="H57" i="3"/>
  <c r="L77" i="3"/>
  <c r="H35" i="2" s="1"/>
  <c r="K73" i="1" s="1"/>
  <c r="L73" i="1" s="1"/>
  <c r="AH261" i="4"/>
  <c r="A261" i="4"/>
  <c r="A105" i="4"/>
  <c r="AH105" i="4"/>
  <c r="G60" i="1"/>
  <c r="E27" i="2"/>
  <c r="Y27" i="2" s="1"/>
  <c r="F221" i="3"/>
  <c r="F53" i="2"/>
  <c r="E471" i="4"/>
  <c r="AL471" i="4"/>
  <c r="AJ483" i="4" s="1"/>
  <c r="E71" i="4"/>
  <c r="AL71" i="4"/>
  <c r="AJ73" i="4" s="1"/>
  <c r="L276" i="3"/>
  <c r="L270" i="3" s="1"/>
  <c r="H60" i="2" s="1"/>
  <c r="K70" i="3" s="1"/>
  <c r="L70" i="3" s="1"/>
  <c r="AJ275" i="3"/>
  <c r="AL275" i="3" s="1"/>
  <c r="F273" i="3"/>
  <c r="H134" i="3"/>
  <c r="F134" i="3" s="1"/>
  <c r="E134" i="3"/>
  <c r="F228" i="3"/>
  <c r="F54" i="2"/>
  <c r="AD236" i="4"/>
  <c r="AB238" i="4" s="1"/>
  <c r="C236" i="4"/>
  <c r="B236" i="4" s="1"/>
  <c r="A329" i="4"/>
  <c r="E329" i="4"/>
  <c r="B329" i="4" s="1"/>
  <c r="E96" i="3"/>
  <c r="H96" i="3"/>
  <c r="D20" i="4"/>
  <c r="AH20" i="4"/>
  <c r="AF29" i="4" s="1"/>
  <c r="AF107" i="4"/>
  <c r="AB108" i="4"/>
  <c r="AB107" i="4"/>
  <c r="AD107" i="4" s="1"/>
  <c r="A325" i="4"/>
  <c r="E325" i="4"/>
  <c r="B325" i="4" s="1"/>
  <c r="G47" i="5"/>
  <c r="G529" i="6"/>
  <c r="A596" i="4"/>
  <c r="C596" i="4"/>
  <c r="B596" i="4" s="1"/>
  <c r="AD596" i="4"/>
  <c r="AB599" i="4" s="1"/>
  <c r="E86" i="3"/>
  <c r="H86" i="3"/>
  <c r="F86" i="3" s="1"/>
  <c r="D415" i="4"/>
  <c r="AH415" i="4"/>
  <c r="AD363" i="4"/>
  <c r="C363" i="4"/>
  <c r="B363" i="4" s="1"/>
  <c r="H108" i="3"/>
  <c r="E108" i="3"/>
  <c r="AH49" i="4"/>
  <c r="AF51" i="4" s="1"/>
  <c r="D49" i="4"/>
  <c r="F235" i="3"/>
  <c r="F55" i="2"/>
  <c r="F206" i="3"/>
  <c r="F51" i="2"/>
  <c r="E20" i="4"/>
  <c r="AL20" i="4"/>
  <c r="AJ29" i="4" s="1"/>
  <c r="A320" i="4"/>
  <c r="D320" i="4"/>
  <c r="B320" i="4" s="1"/>
  <c r="AD320" i="4"/>
  <c r="AD324" i="4" s="1"/>
  <c r="AD328" i="4" s="1"/>
  <c r="AD332" i="4" s="1"/>
  <c r="AF334" i="4" s="1"/>
  <c r="AL49" i="4"/>
  <c r="AJ51" i="4" s="1"/>
  <c r="E49" i="4"/>
  <c r="A560" i="4"/>
  <c r="C560" i="4"/>
  <c r="B560" i="4" s="1"/>
  <c r="AD560" i="4"/>
  <c r="AB563" i="4" s="1"/>
  <c r="E216" i="4"/>
  <c r="AL216" i="4"/>
  <c r="E218" i="4" s="1"/>
  <c r="E198" i="4" s="1"/>
  <c r="H9" i="2" s="1"/>
  <c r="K47" i="1" s="1"/>
  <c r="L47" i="1" s="1"/>
  <c r="H51" i="3"/>
  <c r="E51" i="3"/>
  <c r="G218" i="3"/>
  <c r="B214" i="4"/>
  <c r="E188" i="3"/>
  <c r="H188" i="3"/>
  <c r="AB150" i="4"/>
  <c r="AB151" i="4"/>
  <c r="A340" i="4"/>
  <c r="D340" i="4"/>
  <c r="B340" i="4" s="1"/>
  <c r="L292" i="3"/>
  <c r="L286" i="3" s="1"/>
  <c r="H62" i="2" s="1"/>
  <c r="K74" i="3" s="1"/>
  <c r="L74" i="3" s="1"/>
  <c r="AJ291" i="3"/>
  <c r="AL291" i="3" s="1"/>
  <c r="F289" i="3"/>
  <c r="C524" i="4"/>
  <c r="B524" i="4" s="1"/>
  <c r="A524" i="4"/>
  <c r="AD524" i="4"/>
  <c r="AB527" i="4" s="1"/>
  <c r="F290" i="3"/>
  <c r="AB291" i="3"/>
  <c r="AD291" i="3" s="1"/>
  <c r="H292" i="3"/>
  <c r="F242" i="3"/>
  <c r="F56" i="2"/>
  <c r="H32" i="3"/>
  <c r="H25" i="3" s="1"/>
  <c r="AB31" i="3"/>
  <c r="AD31" i="3" s="1"/>
  <c r="C71" i="4"/>
  <c r="AD71" i="4"/>
  <c r="AB73" i="4" s="1"/>
  <c r="A439" i="4"/>
  <c r="C439" i="4"/>
  <c r="B439" i="4" s="1"/>
  <c r="AD439" i="4"/>
  <c r="AB442" i="4" s="1"/>
  <c r="F25" i="2" l="1"/>
  <c r="D150" i="4"/>
  <c r="B150" i="4" s="1"/>
  <c r="A150" i="4"/>
  <c r="AD150" i="4"/>
  <c r="AF152" i="4" s="1"/>
  <c r="AH427" i="4"/>
  <c r="A427" i="4"/>
  <c r="AB190" i="4"/>
  <c r="AB191" i="4"/>
  <c r="AB429" i="4"/>
  <c r="AB430" i="4"/>
  <c r="H44" i="2"/>
  <c r="F163" i="3"/>
  <c r="G71" i="3"/>
  <c r="E151" i="4"/>
  <c r="B151" i="4" s="1"/>
  <c r="A151" i="4"/>
  <c r="AD151" i="4"/>
  <c r="AJ152" i="4" s="1"/>
  <c r="C442" i="4"/>
  <c r="B442" i="4" s="1"/>
  <c r="AD442" i="4"/>
  <c r="L191" i="3"/>
  <c r="F188" i="3"/>
  <c r="AB190" i="3"/>
  <c r="AD190" i="3" s="1"/>
  <c r="D51" i="4"/>
  <c r="AH51" i="4"/>
  <c r="D53" i="4" s="1"/>
  <c r="D33" i="4" s="1"/>
  <c r="G4" i="2" s="1"/>
  <c r="I42" i="1" s="1"/>
  <c r="J42" i="1" s="1"/>
  <c r="E483" i="4"/>
  <c r="AL483" i="4"/>
  <c r="E485" i="4" s="1"/>
  <c r="E454" i="4" s="1"/>
  <c r="H15" i="2" s="1"/>
  <c r="K83" i="1" s="1"/>
  <c r="L83" i="1" s="1"/>
  <c r="H217" i="3"/>
  <c r="F217" i="3" s="1"/>
  <c r="E217" i="3"/>
  <c r="AL51" i="4"/>
  <c r="E53" i="4" s="1"/>
  <c r="E33" i="4" s="1"/>
  <c r="H4" i="2" s="1"/>
  <c r="K42" i="1" s="1"/>
  <c r="L42" i="1" s="1"/>
  <c r="E51" i="4"/>
  <c r="K282" i="3"/>
  <c r="K298" i="3"/>
  <c r="H47" i="5"/>
  <c r="C20" i="4"/>
  <c r="B20" i="4" s="1"/>
  <c r="AD20" i="4"/>
  <c r="AB29" i="4" s="1"/>
  <c r="AL563" i="4"/>
  <c r="E563" i="4"/>
  <c r="D614" i="4"/>
  <c r="AH614" i="4"/>
  <c r="D616" i="4" s="1"/>
  <c r="D582" i="4" s="1"/>
  <c r="G19" i="2" s="1"/>
  <c r="I216" i="3" s="1"/>
  <c r="J216" i="3" s="1"/>
  <c r="H138" i="3"/>
  <c r="F145" i="3"/>
  <c r="F193" i="3"/>
  <c r="F49" i="2"/>
  <c r="D448" i="4"/>
  <c r="B448" i="4" s="1"/>
  <c r="AH448" i="4"/>
  <c r="F133" i="3"/>
  <c r="H128" i="3"/>
  <c r="C527" i="4"/>
  <c r="AD527" i="4"/>
  <c r="AB542" i="4" s="1"/>
  <c r="D334" i="4"/>
  <c r="AH334" i="4"/>
  <c r="F108" i="3"/>
  <c r="H103" i="3"/>
  <c r="AD238" i="4"/>
  <c r="C240" i="4" s="1"/>
  <c r="C238" i="4"/>
  <c r="G17" i="3"/>
  <c r="E53" i="2"/>
  <c r="Y53" i="2" s="1"/>
  <c r="AH238" i="4"/>
  <c r="D240" i="4" s="1"/>
  <c r="D220" i="4" s="1"/>
  <c r="G10" i="2" s="1"/>
  <c r="I48" i="1" s="1"/>
  <c r="J48" i="1" s="1"/>
  <c r="D238" i="4"/>
  <c r="AH396" i="4"/>
  <c r="D398" i="4" s="1"/>
  <c r="D347" i="4" s="1"/>
  <c r="G13" i="2" s="1"/>
  <c r="I59" i="1" s="1"/>
  <c r="J59" i="1" s="1"/>
  <c r="D396" i="4"/>
  <c r="C415" i="4"/>
  <c r="B415" i="4" s="1"/>
  <c r="AD415" i="4"/>
  <c r="F77" i="3"/>
  <c r="F35" i="2"/>
  <c r="E68" i="1"/>
  <c r="H68" i="1"/>
  <c r="F68" i="1" s="1"/>
  <c r="AB606" i="4"/>
  <c r="AB570" i="4"/>
  <c r="K31" i="3"/>
  <c r="AB534" i="4"/>
  <c r="E57" i="2"/>
  <c r="Y57" i="2" s="1"/>
  <c r="B71" i="4"/>
  <c r="H218" i="3"/>
  <c r="AB109" i="4"/>
  <c r="AB110" i="4"/>
  <c r="E334" i="4"/>
  <c r="AL334" i="4"/>
  <c r="AJ343" i="4" s="1"/>
  <c r="AD503" i="4"/>
  <c r="AB505" i="4" s="1"/>
  <c r="C503" i="4"/>
  <c r="B503" i="4" s="1"/>
  <c r="AL238" i="4"/>
  <c r="E240" i="4" s="1"/>
  <c r="E220" i="4" s="1"/>
  <c r="H10" i="2" s="1"/>
  <c r="K48" i="1" s="1"/>
  <c r="L48" i="1" s="1"/>
  <c r="E238" i="4"/>
  <c r="F38" i="3"/>
  <c r="H34" i="3"/>
  <c r="H75" i="3"/>
  <c r="AH505" i="4"/>
  <c r="D507" i="4" s="1"/>
  <c r="D487" i="4" s="1"/>
  <c r="G16" i="2" s="1"/>
  <c r="I84" i="1" s="1"/>
  <c r="J84" i="1" s="1"/>
  <c r="J81" i="1" s="1"/>
  <c r="I9" i="1" s="1"/>
  <c r="J9" i="1" s="1"/>
  <c r="D505" i="4"/>
  <c r="A428" i="4"/>
  <c r="C428" i="4"/>
  <c r="B428" i="4" s="1"/>
  <c r="AD428" i="4"/>
  <c r="AB431" i="4" s="1"/>
  <c r="A188" i="4"/>
  <c r="AH188" i="4"/>
  <c r="G18" i="3"/>
  <c r="E54" i="2"/>
  <c r="Y54" i="2" s="1"/>
  <c r="C334" i="4"/>
  <c r="AD334" i="4"/>
  <c r="AB343" i="4" s="1"/>
  <c r="G76" i="1"/>
  <c r="E38" i="2"/>
  <c r="Y38" i="2" s="1"/>
  <c r="G67" i="1"/>
  <c r="E31" i="2"/>
  <c r="Y31" i="2" s="1"/>
  <c r="E29" i="4"/>
  <c r="AL29" i="4"/>
  <c r="E31" i="4" s="1"/>
  <c r="E4" i="4" s="1"/>
  <c r="H3" i="2" s="1"/>
  <c r="K40" i="1" s="1"/>
  <c r="L40" i="1" s="1"/>
  <c r="A108" i="4"/>
  <c r="C108" i="4"/>
  <c r="B108" i="4" s="1"/>
  <c r="AD108" i="4"/>
  <c r="AB111" i="4" s="1"/>
  <c r="E60" i="1"/>
  <c r="H60" i="1"/>
  <c r="F60" i="1" s="1"/>
  <c r="L104" i="1"/>
  <c r="F104" i="1" s="1"/>
  <c r="E104" i="1"/>
  <c r="AJ396" i="4"/>
  <c r="AF542" i="4"/>
  <c r="AD378" i="4"/>
  <c r="C378" i="4"/>
  <c r="B378" i="4" s="1"/>
  <c r="C152" i="4"/>
  <c r="AD152" i="4"/>
  <c r="AB154" i="4" s="1"/>
  <c r="G8" i="3"/>
  <c r="G12" i="3"/>
  <c r="E50" i="2"/>
  <c r="Y50" i="2" s="1"/>
  <c r="F276" i="3"/>
  <c r="H270" i="3"/>
  <c r="H52" i="3"/>
  <c r="AB51" i="3"/>
  <c r="AD51" i="3" s="1"/>
  <c r="F51" i="3"/>
  <c r="AH107" i="4"/>
  <c r="A107" i="4"/>
  <c r="AL505" i="4"/>
  <c r="E507" i="4" s="1"/>
  <c r="E487" i="4" s="1"/>
  <c r="H16" i="2" s="1"/>
  <c r="K84" i="1" s="1"/>
  <c r="L84" i="1" s="1"/>
  <c r="E505" i="4"/>
  <c r="H64" i="2"/>
  <c r="F302" i="3"/>
  <c r="A262" i="4"/>
  <c r="AH262" i="4"/>
  <c r="F150" i="3"/>
  <c r="AB156" i="3"/>
  <c r="AD156" i="3" s="1"/>
  <c r="H157" i="3"/>
  <c r="H54" i="3"/>
  <c r="F57" i="3"/>
  <c r="G13" i="3"/>
  <c r="G9" i="3"/>
  <c r="E51" i="2"/>
  <c r="Y51" i="2" s="1"/>
  <c r="AH29" i="4"/>
  <c r="D31" i="4" s="1"/>
  <c r="D4" i="4" s="1"/>
  <c r="G3" i="2" s="1"/>
  <c r="I40" i="1" s="1"/>
  <c r="J40" i="1" s="1"/>
  <c r="D29" i="4"/>
  <c r="AL527" i="4"/>
  <c r="E527" i="4"/>
  <c r="AB267" i="4"/>
  <c r="AB287" i="4"/>
  <c r="AB268" i="4"/>
  <c r="AB288" i="4"/>
  <c r="AB286" i="4"/>
  <c r="AB273" i="4"/>
  <c r="AB277" i="4"/>
  <c r="AB269" i="4"/>
  <c r="AB275" i="4"/>
  <c r="AB280" i="4"/>
  <c r="AB272" i="4"/>
  <c r="AB276" i="4"/>
  <c r="AB271" i="4"/>
  <c r="AB279" i="4"/>
  <c r="AB281" i="4"/>
  <c r="K105" i="1"/>
  <c r="E46" i="2"/>
  <c r="Y46" i="2" s="1"/>
  <c r="D216" i="4"/>
  <c r="AH216" i="4"/>
  <c r="D218" i="4" s="1"/>
  <c r="D198" i="4" s="1"/>
  <c r="G9" i="2" s="1"/>
  <c r="I47" i="1" s="1"/>
  <c r="J47" i="1" s="1"/>
  <c r="D341" i="4"/>
  <c r="B341" i="4" s="1"/>
  <c r="AH341" i="4"/>
  <c r="B218" i="4"/>
  <c r="C198" i="4"/>
  <c r="F9" i="2" s="1"/>
  <c r="E73" i="4"/>
  <c r="AL73" i="4"/>
  <c r="E75" i="4" s="1"/>
  <c r="E55" i="4" s="1"/>
  <c r="H5" i="2" s="1"/>
  <c r="K43" i="1" s="1"/>
  <c r="L43" i="1" s="1"/>
  <c r="J319" i="3"/>
  <c r="E319" i="3"/>
  <c r="A385" i="4"/>
  <c r="C385" i="4"/>
  <c r="B385" i="4" s="1"/>
  <c r="AD385" i="4"/>
  <c r="AB388" i="4" s="1"/>
  <c r="C49" i="4"/>
  <c r="B49" i="4" s="1"/>
  <c r="AD49" i="4"/>
  <c r="AB51" i="4" s="1"/>
  <c r="C471" i="4"/>
  <c r="B471" i="4" s="1"/>
  <c r="AD471" i="4"/>
  <c r="AB483" i="4" s="1"/>
  <c r="E599" i="4"/>
  <c r="AL599" i="4"/>
  <c r="L101" i="1"/>
  <c r="E101" i="1"/>
  <c r="B216" i="4"/>
  <c r="E378" i="4"/>
  <c r="AL378" i="4"/>
  <c r="F292" i="3"/>
  <c r="H286" i="3"/>
  <c r="C73" i="4"/>
  <c r="AD73" i="4"/>
  <c r="C75" i="4" s="1"/>
  <c r="G22" i="3"/>
  <c r="E56" i="2"/>
  <c r="Y56" i="2" s="1"/>
  <c r="AD563" i="4"/>
  <c r="AB578" i="4" s="1"/>
  <c r="C563" i="4"/>
  <c r="B563" i="4" s="1"/>
  <c r="G21" i="3"/>
  <c r="E55" i="2"/>
  <c r="Y55" i="2" s="1"/>
  <c r="C599" i="4"/>
  <c r="AD599" i="4"/>
  <c r="AB614" i="4" s="1"/>
  <c r="F96" i="3"/>
  <c r="H91" i="3"/>
  <c r="F124" i="3"/>
  <c r="H120" i="3"/>
  <c r="AB189" i="4"/>
  <c r="A288" i="4" l="1"/>
  <c r="D288" i="4"/>
  <c r="B288" i="4" s="1"/>
  <c r="A430" i="4"/>
  <c r="E430" i="4"/>
  <c r="B430" i="4" s="1"/>
  <c r="AD430" i="4"/>
  <c r="AJ431" i="4" s="1"/>
  <c r="AD578" i="4"/>
  <c r="C580" i="4" s="1"/>
  <c r="C578" i="4"/>
  <c r="F101" i="1"/>
  <c r="F319" i="3"/>
  <c r="J317" i="3"/>
  <c r="A281" i="4"/>
  <c r="E281" i="4"/>
  <c r="B281" i="4" s="1"/>
  <c r="A268" i="4"/>
  <c r="D268" i="4"/>
  <c r="B268" i="4" s="1"/>
  <c r="AD268" i="4"/>
  <c r="AD272" i="4" s="1"/>
  <c r="AD276" i="4" s="1"/>
  <c r="AD280" i="4" s="1"/>
  <c r="AF282" i="4" s="1"/>
  <c r="F54" i="3"/>
  <c r="F30" i="2"/>
  <c r="AD431" i="4"/>
  <c r="C431" i="4"/>
  <c r="C505" i="4"/>
  <c r="B505" i="4" s="1"/>
  <c r="AD505" i="4"/>
  <c r="C507" i="4" s="1"/>
  <c r="A570" i="4"/>
  <c r="E570" i="4"/>
  <c r="B570" i="4" s="1"/>
  <c r="AD570" i="4"/>
  <c r="AJ571" i="4" s="1"/>
  <c r="A429" i="4"/>
  <c r="D429" i="4"/>
  <c r="B429" i="4" s="1"/>
  <c r="AD429" i="4"/>
  <c r="AF431" i="4" s="1"/>
  <c r="L31" i="3"/>
  <c r="E31" i="3"/>
  <c r="A189" i="4"/>
  <c r="C189" i="4"/>
  <c r="B189" i="4" s="1"/>
  <c r="AD189" i="4"/>
  <c r="AB192" i="4" s="1"/>
  <c r="A279" i="4"/>
  <c r="C279" i="4"/>
  <c r="B279" i="4" s="1"/>
  <c r="D287" i="4"/>
  <c r="B287" i="4" s="1"/>
  <c r="A287" i="4"/>
  <c r="F157" i="3"/>
  <c r="H147" i="3"/>
  <c r="E343" i="4"/>
  <c r="AL343" i="4"/>
  <c r="E345" i="4" s="1"/>
  <c r="E295" i="4" s="1"/>
  <c r="H12" i="2" s="1"/>
  <c r="K52" i="1" s="1"/>
  <c r="L52" i="1" s="1"/>
  <c r="E606" i="4"/>
  <c r="B606" i="4" s="1"/>
  <c r="A606" i="4"/>
  <c r="AD606" i="4"/>
  <c r="AJ607" i="4" s="1"/>
  <c r="H17" i="3"/>
  <c r="F17" i="3" s="1"/>
  <c r="E17" i="3"/>
  <c r="L298" i="3"/>
  <c r="E298" i="3"/>
  <c r="F191" i="3"/>
  <c r="L187" i="3"/>
  <c r="A191" i="4"/>
  <c r="E191" i="4"/>
  <c r="B191" i="4" s="1"/>
  <c r="AD191" i="4"/>
  <c r="AJ192" i="4" s="1"/>
  <c r="K103" i="1"/>
  <c r="E44" i="2"/>
  <c r="Y44" i="2" s="1"/>
  <c r="L105" i="1"/>
  <c r="F105" i="1" s="1"/>
  <c r="E105" i="1"/>
  <c r="F120" i="3"/>
  <c r="F39" i="2"/>
  <c r="E22" i="3"/>
  <c r="H22" i="3"/>
  <c r="F22" i="3" s="1"/>
  <c r="A271" i="4"/>
  <c r="C271" i="4"/>
  <c r="B271" i="4" s="1"/>
  <c r="A267" i="4"/>
  <c r="C267" i="4"/>
  <c r="B267" i="4" s="1"/>
  <c r="AD267" i="4"/>
  <c r="AD271" i="4" s="1"/>
  <c r="AD275" i="4" s="1"/>
  <c r="AD279" i="4" s="1"/>
  <c r="AB282" i="4" s="1"/>
  <c r="F52" i="3"/>
  <c r="H48" i="3"/>
  <c r="AH542" i="4"/>
  <c r="D544" i="4" s="1"/>
  <c r="D509" i="4" s="1"/>
  <c r="G17" i="2" s="1"/>
  <c r="I214" i="3" s="1"/>
  <c r="J214" i="3" s="1"/>
  <c r="D542" i="4"/>
  <c r="B238" i="4"/>
  <c r="G108" i="1"/>
  <c r="E49" i="2"/>
  <c r="Y49" i="2" s="1"/>
  <c r="L282" i="3"/>
  <c r="E282" i="3"/>
  <c r="A190" i="4"/>
  <c r="D190" i="4"/>
  <c r="B190" i="4" s="1"/>
  <c r="AD190" i="4"/>
  <c r="AF192" i="4" s="1"/>
  <c r="C55" i="4"/>
  <c r="F5" i="2" s="1"/>
  <c r="B75" i="4"/>
  <c r="Y198" i="4"/>
  <c r="B198" i="4"/>
  <c r="A272" i="4"/>
  <c r="D272" i="4"/>
  <c r="B272" i="4" s="1"/>
  <c r="F270" i="3"/>
  <c r="F60" i="2"/>
  <c r="A109" i="4"/>
  <c r="D109" i="4"/>
  <c r="B109" i="4" s="1"/>
  <c r="AD109" i="4"/>
  <c r="AF111" i="4" s="1"/>
  <c r="G73" i="1"/>
  <c r="E35" i="2"/>
  <c r="Y35" i="2" s="1"/>
  <c r="F103" i="3"/>
  <c r="F37" i="2"/>
  <c r="E152" i="4"/>
  <c r="AL152" i="4"/>
  <c r="AJ154" i="4" s="1"/>
  <c r="A286" i="4"/>
  <c r="D286" i="4"/>
  <c r="B286" i="4" s="1"/>
  <c r="AD286" i="4"/>
  <c r="AD287" i="4" s="1"/>
  <c r="AD288" i="4" s="1"/>
  <c r="AF289" i="4" s="1"/>
  <c r="A534" i="4"/>
  <c r="E534" i="4"/>
  <c r="B534" i="4" s="1"/>
  <c r="AD534" i="4"/>
  <c r="AJ535" i="4" s="1"/>
  <c r="AL396" i="4"/>
  <c r="E398" i="4" s="1"/>
  <c r="E347" i="4" s="1"/>
  <c r="H13" i="2" s="1"/>
  <c r="K59" i="1" s="1"/>
  <c r="L59" i="1" s="1"/>
  <c r="E396" i="4"/>
  <c r="B73" i="4"/>
  <c r="D280" i="4"/>
  <c r="B280" i="4" s="1"/>
  <c r="A280" i="4"/>
  <c r="H76" i="1"/>
  <c r="F76" i="1" s="1"/>
  <c r="E76" i="1"/>
  <c r="F138" i="3"/>
  <c r="F41" i="2"/>
  <c r="D152" i="4"/>
  <c r="AH152" i="4"/>
  <c r="AF154" i="4" s="1"/>
  <c r="H21" i="3"/>
  <c r="E21" i="3"/>
  <c r="B152" i="4"/>
  <c r="A110" i="4"/>
  <c r="E110" i="4"/>
  <c r="B110" i="4" s="1"/>
  <c r="AD110" i="4"/>
  <c r="AJ111" i="4" s="1"/>
  <c r="A275" i="4"/>
  <c r="C275" i="4"/>
  <c r="B275" i="4" s="1"/>
  <c r="C343" i="4"/>
  <c r="AD343" i="4"/>
  <c r="C345" i="4" s="1"/>
  <c r="AB450" i="4"/>
  <c r="AF343" i="4"/>
  <c r="G47" i="1"/>
  <c r="E9" i="2"/>
  <c r="Y9" i="2" s="1"/>
  <c r="C220" i="4"/>
  <c r="F10" i="2" s="1"/>
  <c r="B240" i="4"/>
  <c r="F91" i="3"/>
  <c r="F36" i="2"/>
  <c r="F286" i="3"/>
  <c r="F62" i="2"/>
  <c r="C614" i="4"/>
  <c r="AD614" i="4"/>
  <c r="C616" i="4" s="1"/>
  <c r="A269" i="4"/>
  <c r="E269" i="4"/>
  <c r="B269" i="4" s="1"/>
  <c r="AD269" i="4"/>
  <c r="AD273" i="4" s="1"/>
  <c r="AD277" i="4" s="1"/>
  <c r="AD281" i="4" s="1"/>
  <c r="AJ282" i="4" s="1"/>
  <c r="K183" i="3"/>
  <c r="E64" i="2"/>
  <c r="Y64" i="2" s="1"/>
  <c r="H12" i="3"/>
  <c r="E12" i="3"/>
  <c r="B334" i="4"/>
  <c r="F34" i="3"/>
  <c r="F26" i="2"/>
  <c r="L81" i="1"/>
  <c r="K9" i="1" s="1"/>
  <c r="L9" i="1" s="1"/>
  <c r="AD29" i="4"/>
  <c r="C31" i="4" s="1"/>
  <c r="C29" i="4"/>
  <c r="B29" i="4" s="1"/>
  <c r="A276" i="4"/>
  <c r="D276" i="4"/>
  <c r="B276" i="4" s="1"/>
  <c r="C51" i="4"/>
  <c r="B51" i="4" s="1"/>
  <c r="AD51" i="4"/>
  <c r="C53" i="4" s="1"/>
  <c r="C388" i="4"/>
  <c r="B388" i="4" s="1"/>
  <c r="AD388" i="4"/>
  <c r="AB396" i="4" s="1"/>
  <c r="B599" i="4"/>
  <c r="A277" i="4"/>
  <c r="E277" i="4"/>
  <c r="B277" i="4" s="1"/>
  <c r="E9" i="3"/>
  <c r="H9" i="3"/>
  <c r="F9" i="3" s="1"/>
  <c r="H8" i="3"/>
  <c r="E8" i="3"/>
  <c r="AD111" i="4"/>
  <c r="AB113" i="4" s="1"/>
  <c r="C111" i="4"/>
  <c r="AD542" i="4"/>
  <c r="C544" i="4" s="1"/>
  <c r="C542" i="4"/>
  <c r="H71" i="3"/>
  <c r="G57" i="1"/>
  <c r="F40" i="2"/>
  <c r="F128" i="3"/>
  <c r="C483" i="4"/>
  <c r="B483" i="4" s="1"/>
  <c r="AD483" i="4"/>
  <c r="C485" i="4" s="1"/>
  <c r="E67" i="1"/>
  <c r="H67" i="1"/>
  <c r="F67" i="1" s="1"/>
  <c r="E273" i="4"/>
  <c r="B273" i="4" s="1"/>
  <c r="A273" i="4"/>
  <c r="E13" i="3"/>
  <c r="H13" i="3"/>
  <c r="F13" i="3" s="1"/>
  <c r="C154" i="4"/>
  <c r="AD154" i="4"/>
  <c r="C156" i="4" s="1"/>
  <c r="H18" i="3"/>
  <c r="F18" i="3" s="1"/>
  <c r="E18" i="3"/>
  <c r="B527" i="4"/>
  <c r="C396" i="4" l="1"/>
  <c r="B396" i="4" s="1"/>
  <c r="AD396" i="4"/>
  <c r="C398" i="4" s="1"/>
  <c r="C487" i="4"/>
  <c r="F16" i="2" s="1"/>
  <c r="B507" i="4"/>
  <c r="F48" i="3"/>
  <c r="F29" i="2"/>
  <c r="D343" i="4"/>
  <c r="B343" i="4" s="1"/>
  <c r="AH343" i="4"/>
  <c r="D345" i="4" s="1"/>
  <c r="D295" i="4" s="1"/>
  <c r="G12" i="2" s="1"/>
  <c r="I52" i="1" s="1"/>
  <c r="J52" i="1" s="1"/>
  <c r="AB22" i="3"/>
  <c r="AD22" i="3" s="1"/>
  <c r="H23" i="3"/>
  <c r="F21" i="3"/>
  <c r="E73" i="1"/>
  <c r="H73" i="1"/>
  <c r="F73" i="1" s="1"/>
  <c r="G43" i="1"/>
  <c r="E5" i="2"/>
  <c r="Y5" i="2" s="1"/>
  <c r="B485" i="4"/>
  <c r="C454" i="4"/>
  <c r="F15" i="2" s="1"/>
  <c r="E47" i="1"/>
  <c r="H47" i="1"/>
  <c r="F47" i="1" s="1"/>
  <c r="AL607" i="4"/>
  <c r="AJ614" i="4" s="1"/>
  <c r="E607" i="4"/>
  <c r="B607" i="4" s="1"/>
  <c r="F8" i="3"/>
  <c r="H7" i="3"/>
  <c r="AD450" i="4"/>
  <c r="C452" i="4" s="1"/>
  <c r="C450" i="4"/>
  <c r="AH154" i="4"/>
  <c r="D156" i="4" s="1"/>
  <c r="D117" i="4" s="1"/>
  <c r="G7" i="2" s="1"/>
  <c r="I45" i="1" s="1"/>
  <c r="J45" i="1" s="1"/>
  <c r="D154" i="4"/>
  <c r="D111" i="4"/>
  <c r="B111" i="4" s="1"/>
  <c r="AH111" i="4"/>
  <c r="AF113" i="4" s="1"/>
  <c r="AH192" i="4"/>
  <c r="AF194" i="4" s="1"/>
  <c r="D192" i="4"/>
  <c r="AD282" i="4"/>
  <c r="AB291" i="4" s="1"/>
  <c r="C282" i="4"/>
  <c r="B282" i="4" s="1"/>
  <c r="L103" i="1"/>
  <c r="E103" i="1"/>
  <c r="G66" i="2"/>
  <c r="F317" i="3"/>
  <c r="E282" i="4"/>
  <c r="AL282" i="4"/>
  <c r="AJ291" i="4" s="1"/>
  <c r="B55" i="4"/>
  <c r="Y55" i="4"/>
  <c r="AD192" i="4"/>
  <c r="AB194" i="4" s="1"/>
  <c r="C192" i="4"/>
  <c r="AL535" i="4"/>
  <c r="AJ542" i="4" s="1"/>
  <c r="E535" i="4"/>
  <c r="B535" i="4" s="1"/>
  <c r="G78" i="1"/>
  <c r="E40" i="2"/>
  <c r="Y40" i="2" s="1"/>
  <c r="C4" i="4"/>
  <c r="F3" i="2" s="1"/>
  <c r="B31" i="4"/>
  <c r="C582" i="4"/>
  <c r="F19" i="2" s="1"/>
  <c r="E192" i="4"/>
  <c r="AL192" i="4"/>
  <c r="AJ194" i="4" s="1"/>
  <c r="L183" i="3"/>
  <c r="E183" i="3"/>
  <c r="B156" i="4"/>
  <c r="C117" i="4"/>
  <c r="F7" i="2" s="1"/>
  <c r="G58" i="1"/>
  <c r="E26" i="2"/>
  <c r="Y26" i="2" s="1"/>
  <c r="G74" i="3"/>
  <c r="E62" i="2"/>
  <c r="Y62" i="2" s="1"/>
  <c r="AH289" i="4"/>
  <c r="D289" i="4"/>
  <c r="B289" i="4" s="1"/>
  <c r="G70" i="3"/>
  <c r="E60" i="2"/>
  <c r="Y60" i="2" s="1"/>
  <c r="F147" i="3"/>
  <c r="F42" i="2"/>
  <c r="D431" i="4"/>
  <c r="B431" i="4" s="1"/>
  <c r="AH431" i="4"/>
  <c r="AF450" i="4" s="1"/>
  <c r="E431" i="4"/>
  <c r="AL431" i="4"/>
  <c r="AJ450" i="4" s="1"/>
  <c r="AD113" i="4"/>
  <c r="C115" i="4" s="1"/>
  <c r="C113" i="4"/>
  <c r="C295" i="4"/>
  <c r="F12" i="2" s="1"/>
  <c r="B345" i="4"/>
  <c r="G82" i="1"/>
  <c r="E41" i="2"/>
  <c r="Y41" i="2" s="1"/>
  <c r="L32" i="3"/>
  <c r="F32" i="3" s="1"/>
  <c r="AJ31" i="3"/>
  <c r="AL31" i="3" s="1"/>
  <c r="F31" i="3"/>
  <c r="G66" i="1"/>
  <c r="E30" i="2"/>
  <c r="Y30" i="2" s="1"/>
  <c r="C546" i="4"/>
  <c r="F18" i="2" s="1"/>
  <c r="H57" i="1"/>
  <c r="L284" i="3"/>
  <c r="AJ283" i="3"/>
  <c r="AL283" i="3" s="1"/>
  <c r="F282" i="3"/>
  <c r="H48" i="2"/>
  <c r="F187" i="3"/>
  <c r="AH282" i="4"/>
  <c r="D282" i="4"/>
  <c r="AL111" i="4"/>
  <c r="AJ113" i="4" s="1"/>
  <c r="E111" i="4"/>
  <c r="AL154" i="4"/>
  <c r="E156" i="4" s="1"/>
  <c r="E117" i="4" s="1"/>
  <c r="H7" i="2" s="1"/>
  <c r="K45" i="1" s="1"/>
  <c r="L45" i="1" s="1"/>
  <c r="E154" i="4"/>
  <c r="B154" i="4" s="1"/>
  <c r="E108" i="1"/>
  <c r="H108" i="1"/>
  <c r="AL571" i="4"/>
  <c r="AJ578" i="4" s="1"/>
  <c r="E571" i="4"/>
  <c r="B571" i="4" s="1"/>
  <c r="G74" i="1"/>
  <c r="E36" i="2"/>
  <c r="Y36" i="2" s="1"/>
  <c r="C509" i="4"/>
  <c r="F17" i="2" s="1"/>
  <c r="H11" i="3"/>
  <c r="F12" i="3"/>
  <c r="B220" i="4"/>
  <c r="Y220" i="4"/>
  <c r="G77" i="1"/>
  <c r="E39" i="2"/>
  <c r="Y39" i="2" s="1"/>
  <c r="L300" i="3"/>
  <c r="AJ299" i="3"/>
  <c r="AL299" i="3" s="1"/>
  <c r="F298" i="3"/>
  <c r="C33" i="4"/>
  <c r="F4" i="2" s="1"/>
  <c r="B53" i="4"/>
  <c r="G48" i="1"/>
  <c r="E10" i="2"/>
  <c r="Y10" i="2" s="1"/>
  <c r="G75" i="1"/>
  <c r="E37" i="2"/>
  <c r="Y37" i="2" s="1"/>
  <c r="C291" i="4" l="1"/>
  <c r="AD291" i="4"/>
  <c r="C293" i="4" s="1"/>
  <c r="H20" i="3"/>
  <c r="F23" i="3"/>
  <c r="E75" i="1"/>
  <c r="H75" i="1"/>
  <c r="F75" i="1" s="1"/>
  <c r="E82" i="1"/>
  <c r="H82" i="1"/>
  <c r="E70" i="3"/>
  <c r="H70" i="3"/>
  <c r="F183" i="3"/>
  <c r="AB184" i="3"/>
  <c r="AD184" i="3" s="1"/>
  <c r="L185" i="3"/>
  <c r="B192" i="4"/>
  <c r="G85" i="1"/>
  <c r="E42" i="2"/>
  <c r="Y42" i="2" s="1"/>
  <c r="B117" i="4"/>
  <c r="Y117" i="4"/>
  <c r="AL542" i="4"/>
  <c r="E544" i="4" s="1"/>
  <c r="E542" i="4"/>
  <c r="B542" i="4" s="1"/>
  <c r="E614" i="4"/>
  <c r="B614" i="4" s="1"/>
  <c r="AL614" i="4"/>
  <c r="E616" i="4" s="1"/>
  <c r="Y295" i="4"/>
  <c r="B295" i="4"/>
  <c r="AD194" i="4"/>
  <c r="C196" i="4" s="1"/>
  <c r="C194" i="4"/>
  <c r="B194" i="4" s="1"/>
  <c r="AH194" i="4"/>
  <c r="D196" i="4" s="1"/>
  <c r="D158" i="4" s="1"/>
  <c r="G8" i="2" s="1"/>
  <c r="I46" i="1" s="1"/>
  <c r="J46" i="1" s="1"/>
  <c r="D194" i="4"/>
  <c r="L278" i="3"/>
  <c r="F284" i="3"/>
  <c r="AL113" i="4"/>
  <c r="E115" i="4" s="1"/>
  <c r="E77" i="4" s="1"/>
  <c r="H6" i="2" s="1"/>
  <c r="K44" i="1" s="1"/>
  <c r="L44" i="1" s="1"/>
  <c r="E113" i="4"/>
  <c r="AL194" i="4"/>
  <c r="E196" i="4" s="1"/>
  <c r="E158" i="4" s="1"/>
  <c r="H8" i="2" s="1"/>
  <c r="K46" i="1" s="1"/>
  <c r="L46" i="1" s="1"/>
  <c r="E194" i="4"/>
  <c r="Y454" i="4"/>
  <c r="B454" i="4"/>
  <c r="G65" i="1"/>
  <c r="E29" i="2"/>
  <c r="Y29" i="2" s="1"/>
  <c r="G42" i="1"/>
  <c r="E4" i="2"/>
  <c r="Y4" i="2" s="1"/>
  <c r="C77" i="4"/>
  <c r="F6" i="2" s="1"/>
  <c r="B115" i="4"/>
  <c r="G216" i="3"/>
  <c r="AL291" i="4"/>
  <c r="E293" i="4" s="1"/>
  <c r="E242" i="4" s="1"/>
  <c r="H11" i="2" s="1"/>
  <c r="K51" i="1" s="1"/>
  <c r="L51" i="1" s="1"/>
  <c r="E291" i="4"/>
  <c r="F108" i="1"/>
  <c r="H100" i="1"/>
  <c r="E78" i="1"/>
  <c r="H78" i="1"/>
  <c r="F78" i="1" s="1"/>
  <c r="E48" i="1"/>
  <c r="H48" i="1"/>
  <c r="F48" i="1" s="1"/>
  <c r="G52" i="1"/>
  <c r="E12" i="2"/>
  <c r="Y12" i="2" s="1"/>
  <c r="AH113" i="4"/>
  <c r="D115" i="4" s="1"/>
  <c r="D77" i="4" s="1"/>
  <c r="G6" i="2" s="1"/>
  <c r="I44" i="1" s="1"/>
  <c r="J44" i="1" s="1"/>
  <c r="J39" i="1" s="1"/>
  <c r="I5" i="1" s="1"/>
  <c r="J5" i="1" s="1"/>
  <c r="D113" i="4"/>
  <c r="G215" i="3"/>
  <c r="AF291" i="4"/>
  <c r="AL450" i="4"/>
  <c r="E452" i="4" s="1"/>
  <c r="E400" i="4" s="1"/>
  <c r="H14" i="2" s="1"/>
  <c r="K61" i="1" s="1"/>
  <c r="L61" i="1" s="1"/>
  <c r="E450" i="4"/>
  <c r="E74" i="3"/>
  <c r="H74" i="3"/>
  <c r="B487" i="4"/>
  <c r="Y487" i="4"/>
  <c r="E66" i="1"/>
  <c r="H66" i="1"/>
  <c r="F66" i="1" s="1"/>
  <c r="B4" i="4"/>
  <c r="Y4" i="4"/>
  <c r="G84" i="1"/>
  <c r="E16" i="2"/>
  <c r="Y16" i="2" s="1"/>
  <c r="G45" i="1"/>
  <c r="E7" i="2"/>
  <c r="Y7" i="2" s="1"/>
  <c r="E77" i="1"/>
  <c r="H77" i="1"/>
  <c r="F77" i="1" s="1"/>
  <c r="G214" i="3"/>
  <c r="K107" i="1"/>
  <c r="E48" i="2"/>
  <c r="Y48" i="2" s="1"/>
  <c r="AH450" i="4"/>
  <c r="D452" i="4" s="1"/>
  <c r="D400" i="4" s="1"/>
  <c r="G14" i="2" s="1"/>
  <c r="I61" i="1" s="1"/>
  <c r="J61" i="1" s="1"/>
  <c r="D450" i="4"/>
  <c r="B450" i="4" s="1"/>
  <c r="H58" i="1"/>
  <c r="F58" i="1" s="1"/>
  <c r="E58" i="1"/>
  <c r="G40" i="1"/>
  <c r="E3" i="2"/>
  <c r="Y3" i="2" s="1"/>
  <c r="I218" i="3"/>
  <c r="E66" i="2"/>
  <c r="Y66" i="2" s="1"/>
  <c r="C400" i="4"/>
  <c r="F14" i="2" s="1"/>
  <c r="B452" i="4"/>
  <c r="E43" i="1"/>
  <c r="H43" i="1"/>
  <c r="F43" i="1" s="1"/>
  <c r="C347" i="4"/>
  <c r="F13" i="2" s="1"/>
  <c r="B398" i="4"/>
  <c r="F103" i="1"/>
  <c r="L25" i="3"/>
  <c r="F11" i="3"/>
  <c r="F22" i="2"/>
  <c r="G83" i="1"/>
  <c r="E15" i="2"/>
  <c r="Y15" i="2" s="1"/>
  <c r="Y33" i="4"/>
  <c r="B33" i="4"/>
  <c r="B113" i="4"/>
  <c r="E74" i="1"/>
  <c r="H74" i="1"/>
  <c r="F74" i="1" s="1"/>
  <c r="L294" i="3"/>
  <c r="F300" i="3"/>
  <c r="E578" i="4"/>
  <c r="B578" i="4" s="1"/>
  <c r="AL578" i="4"/>
  <c r="E580" i="4" s="1"/>
  <c r="F7" i="3"/>
  <c r="F21" i="2"/>
  <c r="E84" i="1" l="1"/>
  <c r="H84" i="1"/>
  <c r="F84" i="1" s="1"/>
  <c r="AH291" i="4"/>
  <c r="D293" i="4" s="1"/>
  <c r="D242" i="4" s="1"/>
  <c r="G11" i="2" s="1"/>
  <c r="I51" i="1" s="1"/>
  <c r="J51" i="1" s="1"/>
  <c r="D291" i="4"/>
  <c r="B347" i="4"/>
  <c r="Y347" i="4"/>
  <c r="E582" i="4"/>
  <c r="H19" i="2" s="1"/>
  <c r="B616" i="4"/>
  <c r="H69" i="3"/>
  <c r="F70" i="3"/>
  <c r="H215" i="3"/>
  <c r="F82" i="1"/>
  <c r="H63" i="2"/>
  <c r="F294" i="3"/>
  <c r="G59" i="1"/>
  <c r="E13" i="2"/>
  <c r="Y13" i="2" s="1"/>
  <c r="L107" i="1"/>
  <c r="F107" i="1" s="1"/>
  <c r="E107" i="1"/>
  <c r="H216" i="3"/>
  <c r="L39" i="1"/>
  <c r="K5" i="1" s="1"/>
  <c r="L5" i="1" s="1"/>
  <c r="E509" i="4"/>
  <c r="H17" i="2" s="1"/>
  <c r="B544" i="4"/>
  <c r="Y400" i="4"/>
  <c r="B400" i="4"/>
  <c r="G44" i="1"/>
  <c r="E6" i="2"/>
  <c r="Y6" i="2" s="1"/>
  <c r="G53" i="1"/>
  <c r="E21" i="2"/>
  <c r="Y21" i="2" s="1"/>
  <c r="E83" i="1"/>
  <c r="H83" i="1"/>
  <c r="F83" i="1" s="1"/>
  <c r="G54" i="1"/>
  <c r="E22" i="2"/>
  <c r="Y22" i="2" s="1"/>
  <c r="J218" i="3"/>
  <c r="E218" i="3"/>
  <c r="H73" i="3"/>
  <c r="F74" i="3"/>
  <c r="H42" i="1"/>
  <c r="F42" i="1" s="1"/>
  <c r="E42" i="1"/>
  <c r="H85" i="1"/>
  <c r="F85" i="1" s="1"/>
  <c r="E85" i="1"/>
  <c r="E52" i="1"/>
  <c r="H52" i="1"/>
  <c r="F52" i="1" s="1"/>
  <c r="F20" i="3"/>
  <c r="F24" i="2"/>
  <c r="G61" i="1"/>
  <c r="E14" i="2"/>
  <c r="Y14" i="2" s="1"/>
  <c r="H25" i="2"/>
  <c r="F25" i="3"/>
  <c r="E40" i="1"/>
  <c r="H40" i="1"/>
  <c r="E45" i="1"/>
  <c r="H45" i="1"/>
  <c r="F45" i="1" s="1"/>
  <c r="H65" i="1"/>
  <c r="E65" i="1"/>
  <c r="B196" i="4"/>
  <c r="C158" i="4"/>
  <c r="F8" i="2" s="1"/>
  <c r="F185" i="3"/>
  <c r="L182" i="3"/>
  <c r="B293" i="4"/>
  <c r="C242" i="4"/>
  <c r="F11" i="2" s="1"/>
  <c r="B77" i="4"/>
  <c r="Y77" i="4"/>
  <c r="H214" i="3"/>
  <c r="H61" i="2"/>
  <c r="F278" i="3"/>
  <c r="E546" i="4"/>
  <c r="H18" i="2" s="1"/>
  <c r="B580" i="4"/>
  <c r="G11" i="1"/>
  <c r="B291" i="4"/>
  <c r="E53" i="1" l="1"/>
  <c r="H53" i="1"/>
  <c r="F53" i="1" s="1"/>
  <c r="F33" i="2"/>
  <c r="H213" i="3"/>
  <c r="F40" i="1"/>
  <c r="B582" i="4"/>
  <c r="Y582" i="4"/>
  <c r="F65" i="1"/>
  <c r="H63" i="1"/>
  <c r="Y242" i="4"/>
  <c r="B242" i="4"/>
  <c r="K57" i="1"/>
  <c r="E25" i="2"/>
  <c r="Y25" i="2" s="1"/>
  <c r="F34" i="2"/>
  <c r="H47" i="2"/>
  <c r="F182" i="3"/>
  <c r="Y509" i="4"/>
  <c r="B509" i="4"/>
  <c r="K75" i="3"/>
  <c r="E63" i="2"/>
  <c r="Y63" i="2" s="1"/>
  <c r="K71" i="3"/>
  <c r="E61" i="2"/>
  <c r="Y61" i="2" s="1"/>
  <c r="E44" i="1"/>
  <c r="H44" i="1"/>
  <c r="F44" i="1" s="1"/>
  <c r="G51" i="1"/>
  <c r="E11" i="2"/>
  <c r="Y11" i="2" s="1"/>
  <c r="H11" i="1"/>
  <c r="E61" i="1"/>
  <c r="H61" i="1"/>
  <c r="F61" i="1" s="1"/>
  <c r="F218" i="3"/>
  <c r="J213" i="3"/>
  <c r="G52" i="2" s="1"/>
  <c r="I16" i="3" s="1"/>
  <c r="J16" i="3" s="1"/>
  <c r="J15" i="3" s="1"/>
  <c r="G23" i="2" s="1"/>
  <c r="I55" i="1" s="1"/>
  <c r="J55" i="1" s="1"/>
  <c r="J50" i="1" s="1"/>
  <c r="I6" i="1" s="1"/>
  <c r="J6" i="1" s="1"/>
  <c r="K214" i="3"/>
  <c r="E17" i="2"/>
  <c r="Y17" i="2" s="1"/>
  <c r="Y546" i="4"/>
  <c r="B546" i="4"/>
  <c r="H81" i="1"/>
  <c r="K216" i="3"/>
  <c r="E19" i="2"/>
  <c r="Y19" i="2" s="1"/>
  <c r="E59" i="1"/>
  <c r="H59" i="1"/>
  <c r="F59" i="1" s="1"/>
  <c r="G46" i="1"/>
  <c r="E8" i="2"/>
  <c r="Y8" i="2" s="1"/>
  <c r="G56" i="1"/>
  <c r="E24" i="2"/>
  <c r="Y24" i="2" s="1"/>
  <c r="K215" i="3"/>
  <c r="E18" i="2"/>
  <c r="Y18" i="2" s="1"/>
  <c r="Y158" i="4"/>
  <c r="B158" i="4"/>
  <c r="H54" i="1"/>
  <c r="F54" i="1" s="1"/>
  <c r="E54" i="1"/>
  <c r="J12" i="1" l="1"/>
  <c r="F81" i="1"/>
  <c r="G9" i="1"/>
  <c r="K106" i="1"/>
  <c r="E47" i="2"/>
  <c r="Y47" i="2" s="1"/>
  <c r="F52" i="2"/>
  <c r="E56" i="1"/>
  <c r="H56" i="1"/>
  <c r="F56" i="1" s="1"/>
  <c r="L216" i="3"/>
  <c r="F216" i="3" s="1"/>
  <c r="E216" i="3"/>
  <c r="G72" i="1"/>
  <c r="E51" i="1"/>
  <c r="H51" i="1"/>
  <c r="L57" i="1"/>
  <c r="F57" i="1" s="1"/>
  <c r="E57" i="1"/>
  <c r="G71" i="1"/>
  <c r="L75" i="3"/>
  <c r="E75" i="3"/>
  <c r="L215" i="3"/>
  <c r="F215" i="3" s="1"/>
  <c r="E215" i="3"/>
  <c r="L214" i="3"/>
  <c r="E214" i="3"/>
  <c r="L71" i="3"/>
  <c r="E71" i="3"/>
  <c r="H46" i="1"/>
  <c r="F46" i="1" s="1"/>
  <c r="E46" i="1"/>
  <c r="G7" i="1"/>
  <c r="F63" i="1"/>
  <c r="J13" i="1" l="1"/>
  <c r="L73" i="3"/>
  <c r="F75" i="3"/>
  <c r="G16" i="3"/>
  <c r="H39" i="1"/>
  <c r="F51" i="1"/>
  <c r="L106" i="1"/>
  <c r="E106" i="1"/>
  <c r="E7" i="1"/>
  <c r="H7" i="1"/>
  <c r="F7" i="1" s="1"/>
  <c r="L69" i="3"/>
  <c r="F71" i="3"/>
  <c r="H71" i="1"/>
  <c r="E9" i="1"/>
  <c r="H9" i="1"/>
  <c r="F9" i="1" s="1"/>
  <c r="L213" i="3"/>
  <c r="F214" i="3"/>
  <c r="H72" i="1"/>
  <c r="AB19" i="1"/>
  <c r="AD19" i="1" s="1"/>
  <c r="L17" i="1"/>
  <c r="L20" i="1"/>
  <c r="F20" i="1" s="1"/>
  <c r="AB12" i="1"/>
  <c r="AD12" i="1" s="1"/>
  <c r="AB18" i="1"/>
  <c r="AD18" i="1" s="1"/>
  <c r="AB16" i="1"/>
  <c r="AD16" i="1" s="1"/>
  <c r="L19" i="1"/>
  <c r="F19" i="1" s="1"/>
  <c r="J14" i="1"/>
  <c r="J32" i="1" s="1"/>
  <c r="J36" i="1" s="1"/>
  <c r="J37" i="1" s="1"/>
  <c r="F14" i="1" l="1"/>
  <c r="J4" i="1"/>
  <c r="AB14" i="1"/>
  <c r="AD14" i="1" s="1"/>
  <c r="F106" i="1"/>
  <c r="L100" i="1"/>
  <c r="H33" i="2"/>
  <c r="F69" i="3"/>
  <c r="L16" i="1"/>
  <c r="F16" i="1" s="1"/>
  <c r="F39" i="1"/>
  <c r="G5" i="1"/>
  <c r="L15" i="1"/>
  <c r="F15" i="1" s="1"/>
  <c r="H52" i="2"/>
  <c r="F213" i="3"/>
  <c r="H70" i="1"/>
  <c r="H79" i="1" s="1"/>
  <c r="H16" i="3"/>
  <c r="F17" i="1"/>
  <c r="AB17" i="1"/>
  <c r="AD17" i="1" s="1"/>
  <c r="L18" i="1"/>
  <c r="F18" i="1" s="1"/>
  <c r="AB15" i="1"/>
  <c r="AD15" i="1" s="1"/>
  <c r="H34" i="2"/>
  <c r="F73" i="3"/>
  <c r="E5" i="1" l="1"/>
  <c r="H5" i="1"/>
  <c r="K71" i="1"/>
  <c r="E33" i="2"/>
  <c r="Y33" i="2" s="1"/>
  <c r="G8" i="1"/>
  <c r="K11" i="1"/>
  <c r="F100" i="1"/>
  <c r="H15" i="3"/>
  <c r="K72" i="1"/>
  <c r="E34" i="2"/>
  <c r="Y34" i="2" s="1"/>
  <c r="K16" i="3"/>
  <c r="E52" i="2"/>
  <c r="Y52" i="2" s="1"/>
  <c r="L72" i="1" l="1"/>
  <c r="F72" i="1" s="1"/>
  <c r="E72" i="1"/>
  <c r="L11" i="1"/>
  <c r="F11" i="1" s="1"/>
  <c r="E11" i="1"/>
  <c r="F23" i="2"/>
  <c r="H8" i="1"/>
  <c r="L71" i="1"/>
  <c r="E71" i="1"/>
  <c r="F5" i="1"/>
  <c r="L16" i="3"/>
  <c r="E16" i="3"/>
  <c r="G55" i="1" l="1"/>
  <c r="L70" i="1"/>
  <c r="L79" i="1" s="1"/>
  <c r="F79" i="1" s="1"/>
  <c r="F71" i="1"/>
  <c r="L15" i="3"/>
  <c r="F16" i="3"/>
  <c r="H23" i="2" l="1"/>
  <c r="F15" i="3"/>
  <c r="K8" i="1"/>
  <c r="F70" i="1"/>
  <c r="BI79" i="1" s="1"/>
  <c r="H55" i="1"/>
  <c r="H50" i="1" l="1"/>
  <c r="L8" i="1"/>
  <c r="F8" i="1" s="1"/>
  <c r="E8" i="1"/>
  <c r="K55" i="1"/>
  <c r="E23" i="2"/>
  <c r="Y23" i="2" s="1"/>
  <c r="L55" i="1" l="1"/>
  <c r="E55" i="1"/>
  <c r="G6" i="1"/>
  <c r="H6" i="1" l="1"/>
  <c r="L50" i="1"/>
  <c r="F55" i="1"/>
  <c r="K6" i="1" l="1"/>
  <c r="F50" i="1"/>
  <c r="AB11" i="1"/>
  <c r="AD11" i="1" s="1"/>
  <c r="H12" i="1"/>
  <c r="H4" i="1"/>
  <c r="H13" i="1" l="1"/>
  <c r="H32" i="1"/>
  <c r="L22" i="1"/>
  <c r="F22" i="1" s="1"/>
  <c r="AB20" i="1"/>
  <c r="AD20" i="1" s="1"/>
  <c r="L21" i="1"/>
  <c r="F21" i="1" s="1"/>
  <c r="AB21" i="1"/>
  <c r="AD21" i="1" s="1"/>
  <c r="L6" i="1"/>
  <c r="E6" i="1"/>
  <c r="H36" i="1" l="1"/>
  <c r="L12" i="1"/>
  <c r="F6" i="1"/>
  <c r="H37" i="1" l="1"/>
  <c r="L13" i="1"/>
  <c r="F13" i="1" s="1"/>
  <c r="L24" i="1"/>
  <c r="L25" i="1"/>
  <c r="F25" i="1" s="1"/>
  <c r="AB23" i="1"/>
  <c r="AD23" i="1" s="1"/>
  <c r="L26" i="1"/>
  <c r="F26" i="1" s="1"/>
  <c r="AB24" i="1"/>
  <c r="AD24" i="1" s="1"/>
  <c r="F12" i="1"/>
  <c r="BI13" i="1" s="1"/>
  <c r="AB25" i="1"/>
  <c r="AD25" i="1" s="1"/>
  <c r="AB26" i="1" l="1"/>
  <c r="AD26" i="1" s="1"/>
  <c r="F24" i="1"/>
  <c r="L27" i="1"/>
  <c r="F27" i="1" s="1"/>
  <c r="L28" i="1" l="1"/>
  <c r="F28" i="1" s="1"/>
  <c r="AB27" i="1"/>
  <c r="AD27" i="1" s="1"/>
  <c r="AB31" i="1" l="1"/>
  <c r="AD31" i="1" s="1"/>
  <c r="L32" i="1"/>
  <c r="F32" i="1" l="1"/>
  <c r="L33" i="1" s="1"/>
  <c r="F33" i="1" l="1"/>
  <c r="L4" i="1"/>
  <c r="F4" i="1" s="1"/>
  <c r="L36" i="1"/>
  <c r="L37" i="1" l="1"/>
  <c r="F37" i="1" s="1"/>
  <c r="F36" i="1"/>
  <c r="BI37" i="1" s="1"/>
</calcChain>
</file>

<file path=xl/sharedStrings.xml><?xml version="1.0" encoding="utf-8"?>
<sst xmlns="http://schemas.openxmlformats.org/spreadsheetml/2006/main" count="9169" uniqueCount="1854">
  <si>
    <t>#10 H-Pile인발</t>
  </si>
  <si>
    <t xml:space="preserve">   H-Beam 설치(띠장)</t>
  </si>
  <si>
    <t>경질토사 0-1m</t>
  </si>
  <si>
    <t xml:space="preserve">   매      입      세</t>
  </si>
  <si>
    <t>경질토사 0-1m</t>
  </si>
  <si>
    <t>ZZB110100000</t>
  </si>
  <si>
    <t xml:space="preserve"> '운반차종 : 덤프 15ton'</t>
  </si>
  <si>
    <t xml:space="preserve">  '재  료  비 : '~E00001630008000000.M~/Q=?ma1+</t>
  </si>
  <si>
    <t xml:space="preserve">   KP접합부속(2종)</t>
  </si>
  <si>
    <t>재료비,직접노무비의 2.93%</t>
  </si>
  <si>
    <t>굴삭기(타이어)0.18㎥+덤프 15ton</t>
  </si>
  <si>
    <t xml:space="preserve">  가.진동파일햄머(30Kw)</t>
  </si>
  <si>
    <t xml:space="preserve">   굴삭기(타이어)</t>
  </si>
  <si>
    <t>G0000781100250000</t>
  </si>
  <si>
    <t>F-FUZZB500100000</t>
  </si>
  <si>
    <t>소계의 1%</t>
  </si>
  <si>
    <t xml:space="preserve">   스크레이퍼</t>
  </si>
  <si>
    <t>외송,0.08×1.05×90%(손율)÷3회</t>
  </si>
  <si>
    <t>휘발유</t>
  </si>
  <si>
    <t>QEQTY2</t>
  </si>
  <si>
    <t>(SANG + JUNG + KWAN)*10^-4</t>
  </si>
  <si>
    <t>일위대가_호표</t>
  </si>
  <si>
    <t xml:space="preserve">   PE라이너 가열공</t>
  </si>
  <si>
    <t>F-FUZZD000300000</t>
  </si>
  <si>
    <t>÷45㎡/일당×1/1.0(시공량 할증계수)</t>
  </si>
  <si>
    <t xml:space="preserve">   H-Beam 설치(버팀보)</t>
  </si>
  <si>
    <t>'1일 작업면적 :'              Q=N*A*T=?'㎡/일'</t>
  </si>
  <si>
    <t xml:space="preserve">    '재  료  비 : '~E00006530003000000.M~/Q=?ma3+</t>
  </si>
  <si>
    <t>아스팔트  파쇄물운반(현장→집하장),굴삭기(타이어)0.18㎥+덤프 15ton/㎥당</t>
  </si>
  <si>
    <t>HDD1611</t>
  </si>
  <si>
    <t xml:space="preserve">L+ = </t>
  </si>
  <si>
    <t>H-Pile박기(토사,L=3.5m,H-300×300)/본당</t>
  </si>
  <si>
    <t xml:space="preserve">    '운반시간 :'  t2=(L1/V1+L2/V2+L3/V3)*2*60=?'분'</t>
  </si>
  <si>
    <t>[2]'소      계 : '=?[2]</t>
  </si>
  <si>
    <t xml:space="preserve">1,330 천원  </t>
  </si>
  <si>
    <t>E00002101002500000</t>
  </si>
  <si>
    <t>공사안내표지판(대형)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</si>
  <si>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</si>
  <si>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</si>
  <si>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</si>
  <si>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</si>
  <si>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</si>
  <si>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</si>
  <si>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</si>
  <si>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</si>
  <si>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</si>
  <si>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>No.26  안전칸막이 웬스 설치 및 철거</t>
  </si>
  <si>
    <t>No.16  관세관</t>
  </si>
  <si>
    <t xml:space="preserve">424_1_1 = </t>
  </si>
  <si>
    <t>No.14 관내 CCTV조사 및 보고서작성</t>
  </si>
  <si>
    <t>.sang=818 ,jung=636 ,kwan=659</t>
  </si>
  <si>
    <t>30 kw</t>
  </si>
  <si>
    <t>MDD0007</t>
  </si>
  <si>
    <t>No.48  강판절단</t>
  </si>
  <si>
    <t xml:space="preserve">   형틀목공</t>
  </si>
  <si>
    <t>3.치즐 소모량</t>
  </si>
  <si>
    <t>스플트레일러   4.8m×2.5m</t>
  </si>
  <si>
    <t>1.87 KW</t>
  </si>
  <si>
    <t>수 량</t>
  </si>
  <si>
    <t>덤프트럭 자동덮개시설</t>
  </si>
  <si>
    <t>적용단위</t>
  </si>
  <si>
    <t>No.31  H-Beam 설치(띠장)</t>
  </si>
  <si>
    <t>No.24  교통정리원</t>
  </si>
  <si>
    <t>F-FUZZD000100000</t>
  </si>
  <si>
    <t>HDD1772</t>
  </si>
  <si>
    <t>ZZF000200000</t>
  </si>
  <si>
    <t xml:space="preserve">     Q=60*qt*f*E/Cmt=?'㎥/hr'</t>
  </si>
  <si>
    <t>900삼각 고휘도</t>
  </si>
  <si>
    <t>HDD1772</t>
  </si>
  <si>
    <t xml:space="preserve">   공구손료 및 잡재료비</t>
  </si>
  <si>
    <t>월300㎥초과</t>
  </si>
  <si>
    <t xml:space="preserve">   m당으로 환산</t>
  </si>
  <si>
    <t>250</t>
  </si>
  <si>
    <t xml:space="preserve">   간  접  노  무  비</t>
  </si>
  <si>
    <t>F-FUZZG000100000</t>
  </si>
  <si>
    <t>2.작업보조원</t>
  </si>
  <si>
    <t xml:space="preserve">   연  금  보  험  료</t>
  </si>
  <si>
    <t xml:space="preserve">438_1_1 = </t>
  </si>
  <si>
    <t xml:space="preserve">499_1_1 = </t>
  </si>
  <si>
    <t>'토량환산계수 :'  f=1/1.40={?,'9.99R'}</t>
  </si>
  <si>
    <t>E00001305000700000</t>
  </si>
  <si>
    <t>노임계금액소숫점</t>
  </si>
  <si>
    <t xml:space="preserve">LA2+ = </t>
  </si>
  <si>
    <t>100 KW</t>
  </si>
  <si>
    <t>No.27</t>
  </si>
  <si>
    <t xml:space="preserve">   산업용전력(갑) i</t>
  </si>
  <si>
    <t xml:space="preserve">   관내 CCTV조사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</si>
  <si>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</si>
  <si>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</si>
  <si>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</si>
  <si>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</si>
  <si>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</si>
  <si>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</si>
  <si>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</si>
  <si>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</si>
  <si>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</si>
  <si>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 xml:space="preserve">CM = </t>
  </si>
  <si>
    <t>4.용접부 절단(강판절단 t=15mm 기준)</t>
  </si>
  <si>
    <t>[1]=0</t>
  </si>
  <si>
    <t>특별인부</t>
  </si>
  <si>
    <t xml:space="preserve">   복공철판 설치 및 철거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</si>
  <si>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</si>
  <si>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</si>
  <si>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</si>
  <si>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</si>
  <si>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</si>
  <si>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</si>
  <si>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</si>
  <si>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</si>
  <si>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</si>
  <si>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</si>
  <si>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</si>
  <si>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</si>
  <si>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LA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</si>
  <si>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</si>
  <si>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</si>
  <si>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</si>
  <si>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</si>
  <si>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</si>
  <si>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>LA</t>
  </si>
  <si>
    <t xml:space="preserve">   가솔린엔진</t>
  </si>
  <si>
    <t>교통안전표지판</t>
  </si>
  <si>
    <t>140</t>
  </si>
  <si>
    <t xml:space="preserve">261_1_1+ = </t>
  </si>
  <si>
    <t xml:space="preserve"> '노  무  비 : '~E00000211006000000.L~/Q=?la1+</t>
  </si>
  <si>
    <t>E00007505010000000</t>
  </si>
  <si>
    <t>KP이음관</t>
  </si>
  <si>
    <t>보통인부</t>
  </si>
  <si>
    <t>경    비</t>
  </si>
  <si>
    <t>No.23</t>
  </si>
  <si>
    <t xml:space="preserve">MA5 = </t>
  </si>
  <si>
    <t xml:space="preserve">  CL1=(0.116+0.116+0.107)*2'개'=?'m'</t>
  </si>
  <si>
    <t>#12 강재 운반비(적치장→현장 L=3.0km) | 카고트럭4.5ton|ton</t>
  </si>
  <si>
    <t xml:space="preserve">    '경      비 : '~E00002101002500000.E~/Q=?eq3+</t>
  </si>
  <si>
    <t xml:space="preserve">   Q=3600*q*k*f*E/Cm=?'㎥/hr'</t>
  </si>
  <si>
    <t>본</t>
  </si>
  <si>
    <t>시간당노임산출계수(해상장비:버켓준설선)</t>
  </si>
  <si>
    <t>.sang=1071,jung=536, kwan=691</t>
  </si>
  <si>
    <t>HDD1564</t>
  </si>
  <si>
    <t>화물차운전사</t>
  </si>
  <si>
    <t>노임금액소숫점</t>
  </si>
  <si>
    <t>총원가의 10%</t>
  </si>
  <si>
    <t xml:space="preserve">  '경      비 : '~HDD1572.E~*L1=?eq3+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</si>
  <si>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</si>
  <si>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</si>
  <si>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</si>
  <si>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</si>
  <si>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</si>
  <si>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</si>
  <si>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</si>
  <si>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노임단가소숫점</t>
  </si>
  <si>
    <t>3800 L,1시간 30m기준</t>
  </si>
  <si>
    <t>G0000021100180000</t>
  </si>
  <si>
    <t xml:space="preserve">   총    공   사   비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</si>
  <si>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</si>
  <si>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</si>
  <si>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</si>
  <si>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</si>
  <si>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</si>
  <si>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eq=tot(30)*1</t>
  </si>
  <si>
    <t>#2 되메우기(기계 100%,양호,환토재) | 굴삭기(타이어) 0.18㎥|㎥</t>
  </si>
  <si>
    <t>EQ = 0 * 0/100</t>
  </si>
  <si>
    <t>[]=tot(10,20)*0.2</t>
  </si>
  <si>
    <t>E00007505002500000</t>
  </si>
  <si>
    <t>100</t>
  </si>
  <si>
    <t xml:space="preserve">   주철이형관 철거</t>
  </si>
  <si>
    <t>M22×65mm(너트,와샤포함)</t>
  </si>
  <si>
    <t>No.25  PE Free휌스 살치 및 철거</t>
  </si>
  <si>
    <t>ma=la(10,0,30)*0.03</t>
  </si>
  <si>
    <t xml:space="preserve">   H형강 손료(3개월 미만)</t>
  </si>
  <si>
    <t>100</t>
  </si>
  <si>
    <t>인화지</t>
  </si>
  <si>
    <t>No.21 PE플랜지 성형공</t>
  </si>
  <si>
    <t>eq=la(10,0,20)*0.03</t>
  </si>
  <si>
    <t>90</t>
  </si>
  <si>
    <t xml:space="preserve">255_1_1 = </t>
  </si>
  <si>
    <t xml:space="preserve">   ㎡당 환산</t>
  </si>
  <si>
    <t xml:space="preserve">L2 = </t>
  </si>
  <si>
    <t xml:space="preserve">   '노  무  비 : '~E00000230000400000.L~/Q=?la1+</t>
  </si>
  <si>
    <t xml:space="preserve">496_1_1+ = </t>
  </si>
  <si>
    <t>90</t>
  </si>
  <si>
    <t>QLINCZ</t>
  </si>
  <si>
    <t>아스팔트 포장깨기(t=29cm미만,굴삭기(타이어)0.18㎥+대형브레이커)/㎥당</t>
  </si>
  <si>
    <t>QH21</t>
  </si>
  <si>
    <t>중급기술자</t>
  </si>
  <si>
    <t>경   유</t>
  </si>
  <si>
    <t xml:space="preserve">553_1_1+ = </t>
  </si>
  <si>
    <t>No.8 H형강 손료(3개월 미만)</t>
  </si>
  <si>
    <t>HDD1778</t>
  </si>
  <si>
    <t xml:space="preserve">   용수(일반용)</t>
  </si>
  <si>
    <t>순공사원가의 6%</t>
  </si>
  <si>
    <t xml:space="preserve">   주형받침보 설치 및 철거</t>
  </si>
  <si>
    <t>S/W   SICAS</t>
  </si>
  <si>
    <t xml:space="preserve">   아스팔트 포장깨기(t=20cm미만)</t>
  </si>
  <si>
    <t xml:space="preserve">   총      원      가</t>
  </si>
  <si>
    <t>ZZB300100000</t>
  </si>
  <si>
    <t xml:space="preserve">567_1_1+ = </t>
  </si>
  <si>
    <t>#15 Rib Plate 설치(하향) | 96×(96~20)×12(2개)|개소</t>
  </si>
  <si>
    <t xml:space="preserve"> 운반차종 :덤프트럭 10ton</t>
  </si>
  <si>
    <t>변 수 명</t>
  </si>
  <si>
    <t xml:space="preserve"> '재  료  비 : '~E00002105001000000.M~/Q=?ma3+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</si>
  <si>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</si>
  <si>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</si>
  <si>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</si>
  <si>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</si>
  <si>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</si>
  <si>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No.36 H-Beam 설치(띠장)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</si>
  <si>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</si>
  <si>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</si>
  <si>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</si>
  <si>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</si>
  <si>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</si>
  <si>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</si>
  <si>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</si>
  <si>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#9 H-Pile박기 | 토사,L=3.5m,H-300×300|본</t>
  </si>
  <si>
    <t>HDD1615</t>
  </si>
  <si>
    <t xml:space="preserve">275,488 천원  </t>
  </si>
  <si>
    <t>용수(일반용)</t>
  </si>
  <si>
    <t>유지관리 2-4-9</t>
  </si>
  <si>
    <t xml:space="preserve">   교통안전표지판</t>
  </si>
  <si>
    <t xml:space="preserve">  PL1=0.188*0.2*0.012*7850*1'개'=?'kg'</t>
  </si>
  <si>
    <t>No.30 수채공</t>
  </si>
  <si>
    <t>L001010101000019</t>
  </si>
  <si>
    <t xml:space="preserve">  PL1=(0.096*0.02+0.076*(0.096+0.02)/2)*0.012*7850*2'개'=?'kg'</t>
  </si>
  <si>
    <t>EQ = ( LA(80) + LA(90) ) * 1.01/100</t>
  </si>
  <si>
    <t xml:space="preserve">   잡재료비</t>
  </si>
  <si>
    <t xml:space="preserve">83,693 천원  </t>
  </si>
  <si>
    <t>ma=la(10,0,20)*0.02</t>
  </si>
  <si>
    <t>25 Ton (0.76 M3)</t>
  </si>
  <si>
    <t xml:space="preserve">   유제</t>
  </si>
  <si>
    <t>180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</si>
  <si>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</si>
  <si>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</si>
  <si>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</si>
  <si>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</si>
  <si>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</si>
  <si>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</si>
  <si>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</si>
  <si>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 xml:space="preserve">  '재  료  비 : '~E00002104001000000.M~/Q1=?ma1+</t>
  </si>
  <si>
    <t>10</t>
  </si>
  <si>
    <t xml:space="preserve">255_1_1+ = </t>
  </si>
  <si>
    <t xml:space="preserve">517_1_1 = </t>
  </si>
  <si>
    <t xml:space="preserve">MA4+ = </t>
  </si>
  <si>
    <t>10</t>
  </si>
  <si>
    <t>No.42  CCTV조사보고서 작성</t>
  </si>
  <si>
    <t>D250mm t=5.5mm</t>
  </si>
  <si>
    <t>QYEN2WON</t>
  </si>
  <si>
    <t xml:space="preserve">66,336 천원  </t>
  </si>
  <si>
    <t xml:space="preserve">천원  </t>
  </si>
  <si>
    <t>D250mm t=5.5mm</t>
  </si>
  <si>
    <t xml:space="preserve">423_1_1 = </t>
  </si>
  <si>
    <t>96×(96~20)×12(2개)</t>
  </si>
  <si>
    <t>.sang=1800,jung=1200,kwan=708</t>
  </si>
  <si>
    <t>MDD0003</t>
  </si>
  <si>
    <t xml:space="preserve">531_1_1 = </t>
  </si>
  <si>
    <t xml:space="preserve">559_1_1 = </t>
  </si>
  <si>
    <t xml:space="preserve">     '재  료  비 : '(~E00000602015000000.M~+~E00000610015000000.M~)*(Cmt-t1)/Cmt/Q=?ma1+</t>
  </si>
  <si>
    <t>MDD0183</t>
  </si>
  <si>
    <t>QOPtimeDecOp</t>
  </si>
  <si>
    <t>4.8m×2.5m</t>
  </si>
  <si>
    <t>No.47 볼트 조이기 및 풀기</t>
  </si>
  <si>
    <t>금 액</t>
  </si>
  <si>
    <t xml:space="preserve">EQ3 = </t>
  </si>
  <si>
    <t>금 액</t>
  </si>
  <si>
    <t>[3]'소      계 : '=?[3]</t>
  </si>
  <si>
    <t>No.38  Filler용접(하향)</t>
  </si>
  <si>
    <t xml:space="preserve">   커터(콘크리트및아스팔트용)</t>
  </si>
  <si>
    <t>8.폐기물 처리비</t>
  </si>
  <si>
    <t>G0000443004000000</t>
  </si>
  <si>
    <t xml:space="preserve">523_1_1 = </t>
  </si>
  <si>
    <t>4.8m×2.5m</t>
  </si>
  <si>
    <t xml:space="preserve">  '노  무  비 : '~E00002105001000000.L~/Q=?la3+</t>
  </si>
  <si>
    <t xml:space="preserve">EQ3 = </t>
  </si>
  <si>
    <t xml:space="preserve">    '왕복시간 :' t2=L/V*2*60=?'분'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</si>
  <si>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</si>
  <si>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</si>
  <si>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</si>
  <si>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</si>
  <si>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</si>
  <si>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No.31 H-Beam 설치(띠장)</t>
  </si>
  <si>
    <t>EQ = ( MA(80) + LA(80) + EQ(80) ) * 0.5/100</t>
  </si>
  <si>
    <t>set</t>
  </si>
  <si>
    <t>No.21  PE플랜지 성형공</t>
  </si>
  <si>
    <t xml:space="preserve">1,359 천원  </t>
  </si>
  <si>
    <t>H-200×200용</t>
  </si>
  <si>
    <t xml:space="preserve">    '재  료  비 : '~E00007505010000000.M~*Tb/(Tb+Ts)/Q=?ma3+</t>
  </si>
  <si>
    <t xml:space="preserve">16_1_1 = </t>
  </si>
  <si>
    <t xml:space="preserve">207_1_1 = </t>
  </si>
  <si>
    <t>H-200×200용</t>
  </si>
  <si>
    <t>90×180cm</t>
  </si>
  <si>
    <t>90×180cm</t>
  </si>
  <si>
    <t xml:space="preserve">   PPR플랜트(가열시)</t>
  </si>
  <si>
    <t>.sang=1125,jung=563,kwan=674</t>
  </si>
  <si>
    <t xml:space="preserve">425_1_1+ = </t>
  </si>
  <si>
    <t>eq=tot(30,40)*1</t>
  </si>
  <si>
    <t>재료비의 1.0%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</si>
  <si>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</si>
  <si>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</si>
  <si>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</si>
  <si>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</si>
  <si>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다이아몬드 블레이드</t>
  </si>
  <si>
    <t xml:space="preserve">   스팀슈즈 설치 및 철거</t>
  </si>
  <si>
    <t>#10 H-Pile인발 | 토사,L=3.5m,H-300×300|본</t>
  </si>
  <si>
    <t>QOPtimeDecCnt</t>
  </si>
  <si>
    <t>No.25</t>
  </si>
  <si>
    <t>0.23인×49.9/94=</t>
  </si>
  <si>
    <t>No.28  안전시설물 설치 및 철거</t>
  </si>
  <si>
    <t>ma=la(20,30)*0.03</t>
  </si>
  <si>
    <t xml:space="preserve">107_1_1 = </t>
  </si>
  <si>
    <t>EDD00044825</t>
  </si>
  <si>
    <t xml:space="preserve">   안전칸막이 웬스 설치 및 철거</t>
  </si>
  <si>
    <t xml:space="preserve">   모래</t>
  </si>
  <si>
    <t xml:space="preserve">355_1_1 = </t>
  </si>
  <si>
    <t>프린터   삼성(SL-T2275DW)</t>
  </si>
  <si>
    <t>E00007505005000000</t>
  </si>
  <si>
    <t>MDD0103</t>
  </si>
  <si>
    <t>No.39  Filler용접(하향)</t>
  </si>
  <si>
    <t xml:space="preserve">261_1_1 = </t>
  </si>
  <si>
    <t xml:space="preserve">373_1_1 = </t>
  </si>
  <si>
    <t>No.32  H-Beam 철거(띠장)</t>
  </si>
  <si>
    <t>공 종 명</t>
  </si>
  <si>
    <t xml:space="preserve">     '노  무  비 : '(~E00000602015000000.L~+~E00000610015000000.L~)/Q=?la1+</t>
  </si>
  <si>
    <t>No.3 주형보 설치 및 철거</t>
  </si>
  <si>
    <t xml:space="preserve">  '재  료  비 : '~E00000211006000000.M~/Q=?ma1+</t>
  </si>
  <si>
    <t>No.23  소파보수(포장복구)</t>
  </si>
  <si>
    <t>공 종 명</t>
  </si>
  <si>
    <t xml:space="preserve">   아스팔트 파쇄물운(현장→집하장,L=3.0km)</t>
  </si>
  <si>
    <t>No.9  주철관 절단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</si>
  <si>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</si>
  <si>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</si>
  <si>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</si>
  <si>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</si>
  <si>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</si>
  <si>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</si>
  <si>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</si>
  <si>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</si>
  <si>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</si>
  <si>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</si>
  <si>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</si>
  <si>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</si>
  <si>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</si>
  <si>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MDD0592</t>
  </si>
  <si>
    <t>노임할증계수(터널구간:야간)</t>
  </si>
  <si>
    <t xml:space="preserve">210_1_1+ = </t>
  </si>
  <si>
    <t>/</t>
  </si>
  <si>
    <t xml:space="preserve">   윤활유</t>
  </si>
  <si>
    <t xml:space="preserve">2,954 천원  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</si>
  <si>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</si>
  <si>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</si>
  <si>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</si>
  <si>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</si>
  <si>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</si>
  <si>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</si>
  <si>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</si>
  <si>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</si>
  <si>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 xml:space="preserve">313_1_1+ = </t>
  </si>
  <si>
    <t>경비계금액소숫점</t>
  </si>
  <si>
    <t xml:space="preserve">   덤프트럭</t>
  </si>
  <si>
    <t xml:space="preserve">   m당 환산</t>
  </si>
  <si>
    <t>HDD1613</t>
  </si>
  <si>
    <t>HDD0002</t>
  </si>
  <si>
    <t>LPG</t>
  </si>
  <si>
    <t>LPG</t>
  </si>
  <si>
    <t>H-200×200</t>
  </si>
  <si>
    <t>GDD00080250</t>
  </si>
  <si>
    <t>#9 H-Pile박기</t>
  </si>
  <si>
    <t xml:space="preserve">   공사손해보험료</t>
  </si>
  <si>
    <t xml:space="preserve">   노인장기요양보험료</t>
  </si>
  <si>
    <t>No.44  CCTV조사보고서 작성</t>
  </si>
  <si>
    <t>3.용접(fILLET용접 t=15mm,하향)</t>
  </si>
  <si>
    <t>#15 Rib Plate 설치(하향)</t>
  </si>
  <si>
    <t>2.5 Ton</t>
  </si>
  <si>
    <t>1500×410×900mm</t>
  </si>
  <si>
    <t>L001010101000011</t>
  </si>
  <si>
    <t>MDD0213</t>
  </si>
  <si>
    <t xml:space="preserve">   인력굴착</t>
  </si>
  <si>
    <t>HDD0008</t>
  </si>
  <si>
    <t xml:space="preserve">T3 = </t>
  </si>
  <si>
    <t xml:space="preserve">   아스팔트 스프레이어</t>
  </si>
  <si>
    <t xml:space="preserve">374_1_1 = </t>
  </si>
  <si>
    <t>HDD0008</t>
  </si>
  <si>
    <t>MDD0213</t>
  </si>
  <si>
    <t xml:space="preserve">  '재  료  비 : '~MDD0103~*PL1*0.1=?ma4+</t>
  </si>
  <si>
    <t xml:space="preserve">Q+ = </t>
  </si>
  <si>
    <t>3800 L</t>
  </si>
  <si>
    <t>MDD0107</t>
  </si>
  <si>
    <t>토목 6-8-7</t>
  </si>
  <si>
    <t xml:space="preserve">   기   타    경   비</t>
  </si>
  <si>
    <t>EQ = 0 * 0/100 + 305660</t>
  </si>
  <si>
    <t xml:space="preserve">   진동롤러(자주식)</t>
  </si>
  <si>
    <t>No.46  강판 구멍뚫기</t>
  </si>
  <si>
    <t>크레인(타이어)</t>
  </si>
  <si>
    <t>No.40  강판절단</t>
  </si>
  <si>
    <t>물탱크(살수차)</t>
  </si>
  <si>
    <t xml:space="preserve">   철골공</t>
  </si>
  <si>
    <t>[1..1]'합      계 : '=?[]</t>
  </si>
  <si>
    <t>1.5×0.45×0.88</t>
  </si>
  <si>
    <t>SDD0040</t>
  </si>
  <si>
    <t>3인÷250공/일</t>
  </si>
  <si>
    <t xml:space="preserve">TS = 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</si>
  <si>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</si>
  <si>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</si>
  <si>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</si>
  <si>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</si>
  <si>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</si>
  <si>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</si>
  <si>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</si>
  <si>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 xml:space="preserve">V2 = </t>
  </si>
  <si>
    <t xml:space="preserve">  '경      비 : '~E00002105001000000.E~/Q=?eq1+</t>
  </si>
  <si>
    <t>SDD0212</t>
  </si>
  <si>
    <t>G0000750500250000</t>
  </si>
  <si>
    <t>QUS2WON1</t>
  </si>
  <si>
    <t xml:space="preserve">   고  용  보  험  료</t>
  </si>
  <si>
    <t xml:space="preserve">   H-Pile인발</t>
  </si>
  <si>
    <t>50mm(1.49kw × 10m)</t>
  </si>
  <si>
    <t>컴퓨터(Pentium4)</t>
  </si>
  <si>
    <t xml:space="preserve">   갈매기표지판</t>
  </si>
  <si>
    <t>직접노무비의 2.3%</t>
  </si>
  <si>
    <t>No.41  관내 CCTV조사</t>
  </si>
  <si>
    <t xml:space="preserve">179_1_1+ = </t>
  </si>
  <si>
    <t xml:space="preserve">   건  강  보  험  료</t>
  </si>
  <si>
    <t>F-FUZZE000100000</t>
  </si>
  <si>
    <t>1.상차비(트럭탑재형 크레인 10ton)</t>
  </si>
  <si>
    <t>'상차비 별도 : 터파기 동시상차(작업조건 보통적용)'</t>
  </si>
  <si>
    <t>HDD0006</t>
  </si>
  <si>
    <t>가림막휀스</t>
  </si>
  <si>
    <t>저압전력,300Kw이하</t>
  </si>
  <si>
    <t>용접공</t>
  </si>
  <si>
    <t xml:space="preserve">   플레이트 콤팩터</t>
  </si>
  <si>
    <t xml:space="preserve">44,820 천원  </t>
  </si>
  <si>
    <t xml:space="preserve">   t=10mm로 환산</t>
  </si>
  <si>
    <t>중기야간경비산출계수</t>
  </si>
  <si>
    <t xml:space="preserve">   스팀슈즈</t>
  </si>
  <si>
    <t>비교검토</t>
  </si>
  <si>
    <t xml:space="preserve">246 천원  </t>
  </si>
  <si>
    <t>No.30  수채공</t>
  </si>
  <si>
    <t>No.43  관내 CCTV조사</t>
  </si>
  <si>
    <t xml:space="preserve">   PE Free 휀스</t>
  </si>
  <si>
    <t xml:space="preserve">589_1_1+ = </t>
  </si>
  <si>
    <t>'운반차종 :덤프트럭 10ton'</t>
  </si>
  <si>
    <t>#12 강재 운반비(적치장→현장 L=3.0km)</t>
  </si>
  <si>
    <t>56900017059</t>
  </si>
  <si>
    <t>초급기술자</t>
  </si>
  <si>
    <t>310</t>
  </si>
  <si>
    <t xml:space="preserve">   산업안전보건관리비</t>
  </si>
  <si>
    <t>No.22  아스팔트 포장절단</t>
  </si>
  <si>
    <t xml:space="preserve">PL = </t>
  </si>
  <si>
    <t>유지관리 토목 2-4-3</t>
  </si>
  <si>
    <t>단 가</t>
  </si>
  <si>
    <t>G0000210400100000</t>
  </si>
  <si>
    <t>D250mm,에폭시분체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</si>
  <si>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</si>
  <si>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</si>
  <si>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</si>
  <si>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</si>
  <si>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</si>
  <si>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</si>
  <si>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</si>
  <si>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</si>
  <si>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</si>
  <si>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</si>
  <si>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</si>
  <si>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물탱크(살수차)   5500 L</t>
  </si>
  <si>
    <t>비계공</t>
  </si>
  <si>
    <t xml:space="preserve">   진동롤러(핸드가이드식)</t>
  </si>
  <si>
    <t>No.21</t>
  </si>
  <si>
    <t xml:space="preserve">   마구리판 설치(하향)</t>
  </si>
  <si>
    <t xml:space="preserve">100_1_1 = </t>
  </si>
  <si>
    <t xml:space="preserve">   아스콘</t>
  </si>
  <si>
    <t>노임할증계수(해상장비:주간)</t>
  </si>
  <si>
    <t>EDD00070250</t>
  </si>
  <si>
    <t>S/W</t>
  </si>
  <si>
    <t>DVD-R</t>
  </si>
  <si>
    <t xml:space="preserve">   직  접  공  사  비</t>
  </si>
  <si>
    <t xml:space="preserve">  PL1=0.176*0.096*0.012*7850*2'개'=?'kg'</t>
  </si>
  <si>
    <t>[4]=0</t>
  </si>
  <si>
    <t xml:space="preserve">1,319 천원  </t>
  </si>
  <si>
    <t xml:space="preserve">875 천원  </t>
  </si>
  <si>
    <t>.sang=1286,jung=857,kwan=682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</si>
  <si>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</si>
  <si>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</si>
  <si>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</si>
  <si>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</si>
  <si>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</si>
  <si>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</si>
  <si>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D250mm~D300mm</t>
  </si>
  <si>
    <t>MDD0245</t>
  </si>
  <si>
    <t>QLINCB</t>
  </si>
  <si>
    <t>2.작업보조원(보통인부)</t>
  </si>
  <si>
    <t>E00007811002500000</t>
  </si>
  <si>
    <t>1.철한 : 96×(96-20)×12mm</t>
  </si>
  <si>
    <t xml:space="preserve">Q2+ = </t>
  </si>
  <si>
    <t xml:space="preserve"> ma=ma(10,0,40)*0.05</t>
  </si>
  <si>
    <t>No.17  PE라이너 인입공</t>
  </si>
  <si>
    <t xml:space="preserve">94_1_1 = </t>
  </si>
  <si>
    <t>No.24 교통정리원</t>
  </si>
  <si>
    <t xml:space="preserve">17,252 천원  </t>
  </si>
  <si>
    <t xml:space="preserve"> Q=3600*q*k*f*E/Cm=?'㎥/HR'</t>
  </si>
  <si>
    <t>E00007811002500000</t>
  </si>
  <si>
    <t>비 고</t>
  </si>
  <si>
    <t>1.기계사용료</t>
  </si>
  <si>
    <t>No.8</t>
  </si>
  <si>
    <t xml:space="preserve">HR    </t>
  </si>
  <si>
    <t xml:space="preserve">178_1_1 = </t>
  </si>
  <si>
    <t xml:space="preserve">EQ2+ = </t>
  </si>
  <si>
    <t>L001010101000003</t>
  </si>
  <si>
    <t>기계다짐(양호,환토재),램머 80kg/㎥</t>
  </si>
  <si>
    <t>B-Type(포장 시공 5시간이상),20㎡이하</t>
  </si>
  <si>
    <t>QDM2WON</t>
  </si>
  <si>
    <t>F-FUZZB400100000</t>
  </si>
  <si>
    <t>노임할증계수(터널구간:주간)</t>
  </si>
  <si>
    <t>L001010101000003</t>
  </si>
  <si>
    <t>#8 파쇄물 상차(집하장). | 굴삭기(타이어)0.6㎥|㎥</t>
  </si>
  <si>
    <t xml:space="preserve">T3+ = </t>
  </si>
  <si>
    <t>#.1</t>
  </si>
  <si>
    <t>비 고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</si>
  <si>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</si>
  <si>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</si>
  <si>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</si>
  <si>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</si>
  <si>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</si>
  <si>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</si>
  <si>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</si>
  <si>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</si>
  <si>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 xml:space="preserve">EQ2 = </t>
  </si>
  <si>
    <t xml:space="preserve">600 천원  </t>
  </si>
  <si>
    <t>4.85kw</t>
  </si>
  <si>
    <t>No.6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</si>
  <si>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</si>
  <si>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</si>
  <si>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</si>
  <si>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</si>
  <si>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</si>
  <si>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No.5  띠장 설치 및 철거</t>
  </si>
  <si>
    <t>SDD0056</t>
  </si>
  <si>
    <t>중기가격</t>
  </si>
  <si>
    <t>PPR플랜트(가열시)</t>
  </si>
  <si>
    <t>No.12</t>
  </si>
  <si>
    <t xml:space="preserve">   초급기술자</t>
  </si>
  <si>
    <t xml:space="preserve"> '작업구 1개소당 절단연장 :'</t>
  </si>
  <si>
    <t>플레이트 콤팩터   1.5 Ton</t>
  </si>
  <si>
    <t>E00002104002500000</t>
  </si>
  <si>
    <t>댐퍼(치즐)</t>
  </si>
  <si>
    <t>환율(사용자 환율1)</t>
  </si>
  <si>
    <t>240</t>
  </si>
  <si>
    <t xml:space="preserve">   공사이행보증수수료</t>
  </si>
  <si>
    <t xml:space="preserve">  []=tot(10,0,30)*1.3333</t>
  </si>
  <si>
    <t xml:space="preserve"> eq=tot(10,20,30)</t>
  </si>
  <si>
    <t xml:space="preserve">  '경      비 : '~E00000211006000000.E~/Q=?eq1+</t>
  </si>
  <si>
    <t>HDD0173</t>
  </si>
  <si>
    <t>40mm,보조기층용</t>
  </si>
  <si>
    <t>GDD0007</t>
  </si>
  <si>
    <t>건강보험료의 12.95%</t>
  </si>
  <si>
    <t>직접노무비의 3.545%</t>
  </si>
  <si>
    <t xml:space="preserve">   가림막휀스</t>
  </si>
  <si>
    <t xml:space="preserve">K = </t>
  </si>
  <si>
    <t xml:space="preserve"> '작업구 1개소당 용접연장 :'</t>
  </si>
  <si>
    <t>휘 발 유</t>
  </si>
  <si>
    <t xml:space="preserve">회    </t>
  </si>
  <si>
    <t>인건비의 5%</t>
  </si>
  <si>
    <t xml:space="preserve">PL+ = </t>
  </si>
  <si>
    <t xml:space="preserve">   '재  료  비 : '~E00000211001800000.M~/Q*0.9=?ma1+</t>
  </si>
  <si>
    <t>산 출 근 거</t>
  </si>
  <si>
    <t>스타리아 3인승</t>
  </si>
  <si>
    <t xml:space="preserve">Kwh   </t>
  </si>
  <si>
    <t xml:space="preserve">   버팀보 설치 및 철거</t>
  </si>
  <si>
    <t>HDD1570</t>
  </si>
  <si>
    <t>No.34 H-Beam 설치(버팀보)</t>
  </si>
  <si>
    <t>HDD0995</t>
  </si>
  <si>
    <t xml:space="preserve">181,226 천원  </t>
  </si>
  <si>
    <t>대형 브레이카</t>
  </si>
  <si>
    <t>QDATE</t>
  </si>
  <si>
    <t xml:space="preserve">   기계다짐(양호,환토재)</t>
  </si>
  <si>
    <t>200</t>
  </si>
  <si>
    <t xml:space="preserve">139_1_1+ = </t>
  </si>
  <si>
    <t xml:space="preserve">    '재  료  비 : '~E00002101002500000.M~/Q=?ma3+</t>
  </si>
  <si>
    <t>1일 손료</t>
  </si>
  <si>
    <t>무한궤도 크레인   25 Ton (0.76 M3)</t>
  </si>
  <si>
    <t>모니터</t>
  </si>
  <si>
    <t>MDD0174</t>
  </si>
  <si>
    <t>25 Ton,0.29시간×49.9/94=</t>
  </si>
  <si>
    <t xml:space="preserve">438_1_1+ = </t>
  </si>
  <si>
    <t>EDD00180002</t>
  </si>
  <si>
    <t>GDD00030300</t>
  </si>
  <si>
    <t>G0000720400550000</t>
  </si>
  <si>
    <t>굴삭기(타이어)</t>
  </si>
  <si>
    <t>시간당노임산출계수(터널구간)</t>
  </si>
  <si>
    <t>MA</t>
  </si>
  <si>
    <t xml:space="preserve">138_1_1 = </t>
  </si>
  <si>
    <t xml:space="preserve">   '경      비 : '~HDD1375.E~*0.1=?eq2+</t>
  </si>
  <si>
    <t>D300mm</t>
  </si>
  <si>
    <t>재료비할증계수(주야간)</t>
  </si>
  <si>
    <t>MC-1</t>
  </si>
  <si>
    <t xml:space="preserve">142_1_1 = </t>
  </si>
  <si>
    <t>eq=tot(60)*0.01</t>
  </si>
  <si>
    <t xml:space="preserve">set   </t>
  </si>
  <si>
    <t>0.10인×49.9/94=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</si>
  <si>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</si>
  <si>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</si>
  <si>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</si>
  <si>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</si>
  <si>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</si>
  <si>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</si>
  <si>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</si>
  <si>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GDD00060250</t>
  </si>
  <si>
    <t>0.14인×49.9/94=</t>
  </si>
  <si>
    <t>워터젯트   96 kW</t>
  </si>
  <si>
    <t xml:space="preserve">   잔토처리(현장→사토장,L=20.0km)</t>
  </si>
  <si>
    <t>150</t>
  </si>
  <si>
    <t xml:space="preserve">V3 = </t>
  </si>
  <si>
    <t>합 계</t>
  </si>
  <si>
    <t>E00002105000500000</t>
  </si>
  <si>
    <t>#.11</t>
  </si>
  <si>
    <t>No.27  소형 공사안내간판 설치 및 철거</t>
  </si>
  <si>
    <t xml:space="preserve">97_1_1+ = </t>
  </si>
  <si>
    <t xml:space="preserve">EQ+ = </t>
  </si>
  <si>
    <t>GDD0003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</si>
  <si>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</si>
  <si>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</si>
  <si>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</si>
  <si>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</si>
  <si>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</si>
  <si>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</si>
  <si>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</si>
  <si>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</si>
  <si>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</si>
  <si>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</si>
  <si>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</si>
  <si>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</si>
  <si>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</si>
  <si>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토목 6-2-3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</si>
  <si>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</si>
  <si>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</si>
  <si>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</si>
  <si>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</si>
  <si>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</si>
  <si>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</si>
  <si>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No.18 스팀슈즈 설치 및 철거</t>
  </si>
  <si>
    <t>래머</t>
  </si>
  <si>
    <t xml:space="preserve">T2 = </t>
  </si>
  <si>
    <t>문자</t>
  </si>
  <si>
    <t xml:space="preserve">       합      계 :</t>
  </si>
  <si>
    <t>300×300×10×15</t>
  </si>
  <si>
    <t>L001020701000029</t>
  </si>
  <si>
    <t>인건비의 3&amp;</t>
  </si>
  <si>
    <t>L001020701000029</t>
  </si>
  <si>
    <t xml:space="preserve">   띠장 설치 및 철거</t>
  </si>
  <si>
    <t>t=15mm,수동용접,현장가공</t>
  </si>
  <si>
    <t>[1..2]'합      계 : '=?[]</t>
  </si>
  <si>
    <t xml:space="preserve">   폐기물 처리비</t>
  </si>
  <si>
    <t>No.26 안전칸막이 웬스 설치 및 철거</t>
  </si>
  <si>
    <t>300×300×10×15</t>
  </si>
  <si>
    <t>QH31</t>
  </si>
  <si>
    <t>SDD0037</t>
  </si>
  <si>
    <t>F-FUZZB800100000</t>
  </si>
  <si>
    <t>MDD0093</t>
  </si>
  <si>
    <t>MDD0093</t>
  </si>
  <si>
    <t>SDD0037</t>
  </si>
  <si>
    <t xml:space="preserve">61_1_1+ = </t>
  </si>
  <si>
    <t xml:space="preserve">  Q=3600*q*E/Cm=?'ton/hr'</t>
  </si>
  <si>
    <t>스플트레일러</t>
  </si>
  <si>
    <t>ton</t>
  </si>
  <si>
    <t>GDD00054825</t>
  </si>
  <si>
    <t>GDD00070020</t>
  </si>
  <si>
    <t>OP값</t>
  </si>
  <si>
    <t>E00002105001000000</t>
  </si>
  <si>
    <t>1/2.0m</t>
  </si>
  <si>
    <t>t=8cm,3개월미만</t>
  </si>
  <si>
    <t>80</t>
  </si>
  <si>
    <t>0.6 M3</t>
  </si>
  <si>
    <t>OP값</t>
  </si>
  <si>
    <t>t=8cm,3개월미만</t>
  </si>
  <si>
    <t>노임할증계수(해상장비:야간)</t>
  </si>
  <si>
    <t>트럭탑제형 크레인</t>
  </si>
  <si>
    <t xml:space="preserve">   포장공</t>
  </si>
  <si>
    <t>ZZB600100000</t>
  </si>
  <si>
    <t xml:space="preserve">101_1_1+ = </t>
  </si>
  <si>
    <t>80</t>
  </si>
  <si>
    <t>QLINCF</t>
  </si>
  <si>
    <t xml:space="preserve">135_1_1+ = </t>
  </si>
  <si>
    <t>#7 잔토상차(집하장)</t>
  </si>
  <si>
    <t>산소</t>
  </si>
  <si>
    <t>2.운반(카고트럭 4.5ton)</t>
  </si>
  <si>
    <t>350,t=3.2mm</t>
  </si>
  <si>
    <t xml:space="preserve"> '㎡당 용접연장 :' Q2=L/A=?'m/㎡'</t>
  </si>
  <si>
    <t>MDD0155</t>
  </si>
  <si>
    <t>L001010101000049</t>
  </si>
  <si>
    <t>350,t=3.2mm</t>
  </si>
  <si>
    <t>MDD0155</t>
  </si>
  <si>
    <t>No.18</t>
  </si>
  <si>
    <t>[]=tot(10,20)*0.01</t>
  </si>
  <si>
    <t xml:space="preserve">F1 = </t>
  </si>
  <si>
    <t>운반거리 : 3.0km이내</t>
  </si>
  <si>
    <t xml:space="preserve">  가.상차(굴삭기(타이어)0.6㎥)</t>
  </si>
  <si>
    <t>형틀목공</t>
  </si>
  <si>
    <t>폐기물 처리비</t>
  </si>
  <si>
    <t>중기주야간할증계수</t>
  </si>
  <si>
    <t xml:space="preserve">   PE Free휌스 살치 및 철거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</si>
  <si>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</si>
  <si>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</si>
  <si>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</si>
  <si>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</si>
  <si>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</si>
  <si>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</si>
  <si>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로더 (무한궤도)</t>
  </si>
  <si>
    <t>CCTV카메라차량</t>
  </si>
  <si>
    <t>QMINC3</t>
  </si>
  <si>
    <t>#.5</t>
  </si>
  <si>
    <t>L001010101000007</t>
  </si>
  <si>
    <t>40</t>
  </si>
  <si>
    <t xml:space="preserve">182_1_1 = </t>
  </si>
  <si>
    <t>No.49 볼트 조이기</t>
  </si>
  <si>
    <t>ZZB200100000</t>
  </si>
  <si>
    <t>t=12mm,D21mm</t>
  </si>
  <si>
    <t xml:space="preserve">105_1_1+ = </t>
  </si>
  <si>
    <t>40</t>
  </si>
  <si>
    <t>No.2</t>
  </si>
  <si>
    <t>190</t>
  </si>
  <si>
    <t xml:space="preserve">R = </t>
  </si>
  <si>
    <t xml:space="preserve">    '경      비 : '~E00006530003000000.E~/Q=?eq3+</t>
  </si>
  <si>
    <t xml:space="preserve">     Q=60*qt*E*f/Cmt=?'㎥/hr'</t>
  </si>
  <si>
    <t>No.12 KP죠인트 접합공</t>
  </si>
  <si>
    <t xml:space="preserve">15,000 천원  </t>
  </si>
  <si>
    <t>E0000750500150000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</si>
  <si>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</si>
  <si>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</si>
  <si>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</si>
  <si>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</si>
  <si>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</si>
  <si>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</si>
  <si>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GDD00040300</t>
  </si>
  <si>
    <t>QH1</t>
  </si>
  <si>
    <t>No.16</t>
  </si>
  <si>
    <t>EDD00050250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</si>
  <si>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</si>
  <si>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</si>
  <si>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</si>
  <si>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</si>
  <si>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MDD0307</t>
  </si>
  <si>
    <t>규    격</t>
  </si>
  <si>
    <t>QDECMA</t>
  </si>
  <si>
    <t>.sang=1125, jung=1063, kwan=496</t>
  </si>
  <si>
    <t xml:space="preserve">  '노  무  비 : '~HDD1574.L~*Q2=?la3+</t>
  </si>
  <si>
    <t xml:space="preserve">장    </t>
  </si>
  <si>
    <t xml:space="preserve">   1.토  공</t>
  </si>
  <si>
    <t>HDD1599</t>
  </si>
  <si>
    <t>EQ = ( MA(80) + LA(80) + LA(90) ) * 6.5/100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</si>
  <si>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</si>
  <si>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</si>
  <si>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</si>
  <si>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</si>
  <si>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</si>
  <si>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</si>
  <si>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No.43 관내 CCTV조사</t>
  </si>
  <si>
    <t>HDD1626</t>
  </si>
  <si>
    <t>카고트럭   4.5ton</t>
  </si>
  <si>
    <t xml:space="preserve">N+ = </t>
  </si>
  <si>
    <t xml:space="preserve">  '경      비 : '~HDD1580.E~*CL1=?eq2+</t>
  </si>
  <si>
    <t>No.45 안전시설 재료비 손료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</si>
  <si>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</si>
  <si>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</si>
  <si>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</si>
  <si>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</si>
  <si>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</si>
  <si>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SDD0192</t>
  </si>
  <si>
    <t>중기기초자료</t>
  </si>
  <si>
    <t xml:space="preserve">   PE라이너 인입공</t>
  </si>
  <si>
    <t>[1]'소      계 : '=?[1]</t>
  </si>
  <si>
    <t>QSABUN</t>
  </si>
  <si>
    <t>무연</t>
  </si>
  <si>
    <t>래머   80 kg</t>
  </si>
  <si>
    <t>0.7 Ton</t>
  </si>
  <si>
    <t xml:space="preserve">182_1_1+ = </t>
  </si>
  <si>
    <t>0.7 Ton</t>
  </si>
  <si>
    <t>HDD0077</t>
  </si>
  <si>
    <t>일위대가_산근</t>
  </si>
  <si>
    <t>No.28 안전시설물 설치 및 철거</t>
  </si>
  <si>
    <t>스팀슈즈</t>
  </si>
  <si>
    <t>1.조건</t>
  </si>
  <si>
    <t>D50mm</t>
  </si>
  <si>
    <t>노 무 비</t>
  </si>
  <si>
    <t xml:space="preserve">818 천원  </t>
  </si>
  <si>
    <t>No.4  버팀보 설치 및 철거</t>
  </si>
  <si>
    <t xml:space="preserve">45_1_1+ = 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</si>
  <si>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</si>
  <si>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</si>
  <si>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</si>
  <si>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>No.22 아스팔트 포장절단</t>
  </si>
  <si>
    <t xml:space="preserve">359_1_1 = </t>
  </si>
  <si>
    <t>노 무 비</t>
  </si>
  <si>
    <t>0.20인×49.9/94=</t>
  </si>
  <si>
    <t xml:space="preserve">424_1_1+ = </t>
  </si>
  <si>
    <t>HDD1572</t>
  </si>
  <si>
    <t>E00000602015000000</t>
  </si>
  <si>
    <t>0.08인×49.9/94=</t>
  </si>
  <si>
    <t xml:space="preserve">     '경      비 : '(~E00000602015000000.E~+~E00000610015000000.E~)/Q=?eq1+</t>
  </si>
  <si>
    <t>No.46 강판 구멍뚫기</t>
  </si>
  <si>
    <t>No.11 주철이형관 부설</t>
  </si>
  <si>
    <t>GDD80000004</t>
  </si>
  <si>
    <t xml:space="preserve">m     </t>
  </si>
  <si>
    <t>No.4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</si>
  <si>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</si>
  <si>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</si>
  <si>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</si>
  <si>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</si>
  <si>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</si>
  <si>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</si>
  <si>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</si>
  <si>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E00006540013100000</t>
  </si>
  <si>
    <t>No.10</t>
  </si>
  <si>
    <t>25 Ton,0.33시간×49.9/94=</t>
  </si>
  <si>
    <t xml:space="preserve">LA3 = </t>
  </si>
  <si>
    <t xml:space="preserve">F4 = </t>
  </si>
  <si>
    <t>크레인(타이어)   10 Ton</t>
  </si>
  <si>
    <t>No.20  PE라이너 냉각공</t>
  </si>
  <si>
    <t xml:space="preserve">  '재  료  비 : '~HDD1582.M~*Q3=?ma4+</t>
  </si>
  <si>
    <t>#2 되메우기(기계 100%,양호,환토재)</t>
  </si>
  <si>
    <t>30 KW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</si>
  <si>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</si>
  <si>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</si>
  <si>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</si>
  <si>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</si>
  <si>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</si>
  <si>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1.87 kw</t>
  </si>
  <si>
    <t>G0000021100600000</t>
  </si>
  <si>
    <t>MDD0153</t>
  </si>
  <si>
    <t xml:space="preserve"> [1] 소      계 :  =4,756</t>
  </si>
  <si>
    <t xml:space="preserve">   공구손료 및 기계경비</t>
  </si>
  <si>
    <t>L001010101000001</t>
  </si>
  <si>
    <t xml:space="preserve">MA1+ = </t>
  </si>
  <si>
    <t>#.3</t>
  </si>
  <si>
    <t xml:space="preserve">38,646 천원  </t>
  </si>
  <si>
    <t xml:space="preserve">77,487 천원  </t>
  </si>
  <si>
    <t xml:space="preserve">523_1_1+ = </t>
  </si>
  <si>
    <t>가솔린엔진</t>
  </si>
  <si>
    <t xml:space="preserve">   KP이음관</t>
  </si>
  <si>
    <t>0017</t>
  </si>
  <si>
    <t>0.18 M3,(1.92hr+1.54hr)/10</t>
  </si>
  <si>
    <t>HDD1603</t>
  </si>
  <si>
    <t>HDD0012</t>
  </si>
  <si>
    <t>윈치 자동싱글드럼</t>
  </si>
  <si>
    <t>MDD0055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</si>
  <si>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</si>
  <si>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</si>
  <si>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</si>
  <si>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</si>
  <si>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</si>
  <si>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</si>
  <si>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</si>
  <si>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G0000773000500000</t>
  </si>
  <si>
    <t>덤프트럭</t>
  </si>
  <si>
    <t xml:space="preserve">   잔토상차(집하장)</t>
  </si>
  <si>
    <t xml:space="preserve">   '경      비 : '~E00000230000400000.E~/Q=?eq1+</t>
  </si>
  <si>
    <t xml:space="preserve">    '재  료  비 : '~E00002105001000000.M~*Tb/(Tb+Ts)/Q*0.6=?ma3+</t>
  </si>
  <si>
    <t xml:space="preserve">190 천원  </t>
  </si>
  <si>
    <t>발전기   5KW</t>
  </si>
  <si>
    <t>5 Ton</t>
  </si>
  <si>
    <t>No.14</t>
  </si>
  <si>
    <t>eq=la(10,20,30)*0.03</t>
  </si>
  <si>
    <t>규 격</t>
  </si>
  <si>
    <t xml:space="preserve">  '노  무  비 : '~HDD1580.L~*CL1=?la2+</t>
  </si>
  <si>
    <t>2.작업량</t>
  </si>
  <si>
    <t>토사,L=3.5m,H-300×300</t>
  </si>
  <si>
    <t>커터(콘크리트및아스팔트용)</t>
  </si>
  <si>
    <t>G0000060200250000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</si>
  <si>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</si>
  <si>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</si>
  <si>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</si>
  <si>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</si>
  <si>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</si>
  <si>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</si>
  <si>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</si>
  <si>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</si>
  <si>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</si>
  <si>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</si>
  <si>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 xml:space="preserve">  L=0.3*6'개소(주형받침보 연결부)'+0.3*4'개소(복공철판 연결부)'*3'개소'=?'m/개소'</t>
  </si>
  <si>
    <t>MDD0157</t>
  </si>
  <si>
    <t>No.17 PE라이너 인입공</t>
  </si>
  <si>
    <t>MDD0157</t>
  </si>
  <si>
    <t xml:space="preserve">  '파일 1본당 항타시간 :' Tb=r*L*k=?'본/분'</t>
  </si>
  <si>
    <t>조</t>
  </si>
  <si>
    <t xml:space="preserve">   배관공(수도)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</si>
  <si>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</si>
  <si>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</si>
  <si>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</si>
  <si>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</si>
  <si>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</si>
  <si>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트럭탑재형 크레인</t>
  </si>
  <si>
    <t>4.비굴착갱생공(PPR공법)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</si>
  <si>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</si>
  <si>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</si>
  <si>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</si>
  <si>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</si>
  <si>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</si>
  <si>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</si>
  <si>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</si>
  <si>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0013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</si>
  <si>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</si>
  <si>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</si>
  <si>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</si>
  <si>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</si>
  <si>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</si>
  <si>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</si>
  <si>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</si>
  <si>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</si>
  <si>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#.7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</si>
  <si>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</si>
  <si>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</si>
  <si>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</si>
  <si>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</si>
  <si>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</si>
  <si>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</si>
  <si>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</si>
  <si>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</si>
  <si>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</si>
  <si>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</si>
  <si>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>EDD00180004</t>
  </si>
  <si>
    <t>배관공(수도)</t>
  </si>
  <si>
    <t>[1..5]'합      계 : '=?[]</t>
  </si>
  <si>
    <t>No.50 볼트 풀기</t>
  </si>
  <si>
    <t>G0000210500100000</t>
  </si>
  <si>
    <t xml:space="preserve">   H-Beam 철거(버팀보)</t>
  </si>
  <si>
    <t>12개월 평균값</t>
  </si>
  <si>
    <t>MDD0091</t>
  </si>
  <si>
    <t>QH33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</si>
  <si>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</si>
  <si>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</si>
  <si>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</si>
  <si>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</si>
  <si>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</si>
  <si>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</si>
  <si>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강재 운반비(적치장→현장,카고트럭 4.5ton)/ton당</t>
  </si>
  <si>
    <t xml:space="preserve">E = </t>
  </si>
  <si>
    <t>MDD0091</t>
  </si>
  <si>
    <t>SDD0035</t>
  </si>
  <si>
    <t>HDD0327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</si>
  <si>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</si>
  <si>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</si>
  <si>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</si>
  <si>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</si>
  <si>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</si>
  <si>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96 kw</t>
  </si>
  <si>
    <t>용접봉</t>
  </si>
  <si>
    <t xml:space="preserve">   크레인(타이어)</t>
  </si>
  <si>
    <t xml:space="preserve">   물탱크(살수차)</t>
  </si>
  <si>
    <t>No.48 강판절단</t>
  </si>
  <si>
    <t>HDD0261</t>
  </si>
  <si>
    <t>.sang=900, jung=1000, kwan=485</t>
  </si>
  <si>
    <t>QLINC2</t>
  </si>
  <si>
    <t>재료비의 5%</t>
  </si>
  <si>
    <t>GDD0001</t>
  </si>
  <si>
    <t>#.13</t>
  </si>
  <si>
    <t>비굴착 갱생공(PPR공법)</t>
  </si>
  <si>
    <t>SDD0267</t>
  </si>
  <si>
    <t>규        격</t>
  </si>
  <si>
    <t>ZZB130100000</t>
  </si>
  <si>
    <t>7</t>
  </si>
  <si>
    <t xml:space="preserve">   안전시설 재료비 손료</t>
  </si>
  <si>
    <t xml:space="preserve">210_1_1 = </t>
  </si>
  <si>
    <t xml:space="preserve">   '재  료  비 : '~E00000211001800000.M~/Q=?ma1+</t>
  </si>
  <si>
    <t>램머 80kg</t>
  </si>
  <si>
    <t>중기공식</t>
  </si>
  <si>
    <t xml:space="preserve">ℓ    </t>
  </si>
  <si>
    <t>재료비계금액소숫점</t>
  </si>
  <si>
    <t>EQ = LA(80) * 4.5/100</t>
  </si>
  <si>
    <t xml:space="preserve">   '재  료  비 : '~HDD1375.M~*0.1=?ma2+</t>
  </si>
  <si>
    <t>기존관(320m)기준</t>
  </si>
  <si>
    <t>스크레이퍼</t>
  </si>
  <si>
    <t>No.33  버팀보 연결 및 해체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</si>
  <si>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</si>
  <si>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</si>
  <si>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</si>
  <si>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</si>
  <si>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</si>
  <si>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철골공</t>
  </si>
  <si>
    <t>QDECPEQ</t>
  </si>
  <si>
    <t>t=9mm품의 12/9적용</t>
  </si>
  <si>
    <t>1.5인÷100공/일</t>
  </si>
  <si>
    <t xml:space="preserve">   PVC호스</t>
  </si>
  <si>
    <t xml:space="preserve">422_1_1 = </t>
  </si>
  <si>
    <t>MDD0601</t>
  </si>
  <si>
    <t>갈매기표지판</t>
  </si>
  <si>
    <t>일반기계운전사</t>
  </si>
  <si>
    <t xml:space="preserve">  PL=1.0*1.0*0.025*7850*1.01*0.15/3'회'=?'kg/㎡'</t>
  </si>
  <si>
    <t xml:space="preserve">   일  반  관  리  비</t>
  </si>
  <si>
    <t xml:space="preserve">   산소</t>
  </si>
  <si>
    <t xml:space="preserve"> '㎡당 절단연장 :' Q3=L1/A=?'m/㎡'</t>
  </si>
  <si>
    <t xml:space="preserve">   잔토 소운반(현장→집하장,L=3.0km)</t>
  </si>
  <si>
    <t>No.40 강판절단</t>
  </si>
  <si>
    <t xml:space="preserve">18,829 천원  </t>
  </si>
  <si>
    <t>EDD00010100</t>
  </si>
  <si>
    <t>G0000743113000000</t>
  </si>
  <si>
    <t xml:space="preserve">  '재  료  비 : '~HDD1580.M~*CL1=?ma2+</t>
  </si>
  <si>
    <t>ma=la(10,0,30)*0.02</t>
  </si>
  <si>
    <t xml:space="preserve">40,000 천원  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</si>
  <si>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</si>
  <si>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</si>
  <si>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</si>
  <si>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</si>
  <si>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</si>
  <si>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</si>
  <si>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QDECCLA</t>
  </si>
  <si>
    <t xml:space="preserve">232_1_1 = </t>
  </si>
  <si>
    <t>커터(콘크리트및아스팔트용)   320-400 MM</t>
  </si>
  <si>
    <t>아스팔트 스프레이어   400 L</t>
  </si>
  <si>
    <t>노임할증계수(일반구간:주간)</t>
  </si>
  <si>
    <t>[3]=0</t>
  </si>
  <si>
    <t xml:space="preserve">   엑셀 수식이 적용됩니다. (단축키 F9 키) 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</si>
  <si>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</si>
  <si>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</si>
  <si>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</si>
  <si>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</si>
  <si>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</si>
  <si>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철근D22mm,2회 사용</t>
  </si>
  <si>
    <t>#6 아스팔트 파쇄물운(현장→집하장,L=3.0km)</t>
  </si>
  <si>
    <t>아스팔트 스프레이어</t>
  </si>
  <si>
    <t xml:space="preserve">   KP플랜지소켓관</t>
  </si>
  <si>
    <t>eq=la(10,0,30)*0.03</t>
  </si>
  <si>
    <t xml:space="preserve">   트럭탑제형 크레인</t>
  </si>
  <si>
    <t xml:space="preserve">45_1_1 = </t>
  </si>
  <si>
    <t xml:space="preserve">  작업구 1개소당 용접연장 :</t>
  </si>
  <si>
    <t>일반공사 직종</t>
  </si>
  <si>
    <t xml:space="preserve">T4 = </t>
  </si>
  <si>
    <t>굴삭기(타이어) 0.18㎥+대형브레이커</t>
  </si>
  <si>
    <t>일반공사 직종</t>
  </si>
  <si>
    <t>덤프트럭   15 Ton</t>
  </si>
  <si>
    <t xml:space="preserve">E1 = </t>
  </si>
  <si>
    <t xml:space="preserve">  '재  료  비 : '~MDD0094~*PL1*1.1*0.15=?ma1+</t>
  </si>
  <si>
    <t>HDD0045</t>
  </si>
  <si>
    <t>삼성(SL-T2275DW)</t>
  </si>
  <si>
    <t>HDD0537</t>
  </si>
  <si>
    <t>H-200×200용(1면),t=12mm</t>
  </si>
  <si>
    <t>t=12mm</t>
  </si>
  <si>
    <t>단    가</t>
  </si>
  <si>
    <t xml:space="preserve">559_1_1+ = </t>
  </si>
  <si>
    <t xml:space="preserve">   용접공</t>
  </si>
  <si>
    <t xml:space="preserve">EQ = </t>
  </si>
  <si>
    <t>No.33 버팀보 연결 및 해체</t>
  </si>
  <si>
    <t>신설관(520m)기준</t>
  </si>
  <si>
    <t>EDD00060210</t>
  </si>
  <si>
    <t>270</t>
  </si>
  <si>
    <t>F-FUZZB300100000</t>
  </si>
  <si>
    <t xml:space="preserve">   건설용펌프(자흡식)</t>
  </si>
  <si>
    <t>#5 잔토처리(현장→사토장,L=20.0km) | 굴삭기(타이어)0.6㎥+덤프 15ton|㎥</t>
  </si>
  <si>
    <t>2.인력터파기(10%)</t>
  </si>
  <si>
    <t>HDD1752</t>
  </si>
  <si>
    <t>진동롤러(자주식)   2.5 Ton</t>
  </si>
  <si>
    <t>MDD0104</t>
  </si>
  <si>
    <t>노무비의 1.01%</t>
  </si>
  <si>
    <t>No.37 H-Beam 철거(띠장)</t>
  </si>
  <si>
    <t>EDD00030300</t>
  </si>
  <si>
    <t>400 L</t>
  </si>
  <si>
    <t>아스콘</t>
  </si>
  <si>
    <t>QUS2WON2</t>
  </si>
  <si>
    <t xml:space="preserve">   KP죠인트 접합공</t>
  </si>
  <si>
    <t>노무비,경비,일반관리비의 15%</t>
  </si>
  <si>
    <t>No.49  볼트 조이기</t>
  </si>
  <si>
    <t xml:space="preserve">   경비로적용</t>
  </si>
  <si>
    <t xml:space="preserve">   일반기계운전사</t>
  </si>
  <si>
    <t xml:space="preserve">TC+ = </t>
  </si>
  <si>
    <t>복공철판 설치 및 철거(강판 t=25mm)/㎡당</t>
  </si>
  <si>
    <t>HDD0005</t>
  </si>
  <si>
    <t>[]=tot(10,0,30)*0.5</t>
  </si>
  <si>
    <t>H-Pile인발(토사,L=3.5m,H-300×300)/본당</t>
  </si>
  <si>
    <t>2.0×1.2</t>
  </si>
  <si>
    <t>No.7 토류판 설치 및 철거(3회사용)</t>
  </si>
  <si>
    <t>G0000163000800000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</si>
  <si>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</si>
  <si>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</si>
  <si>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</si>
  <si>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</si>
  <si>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</si>
  <si>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</si>
  <si>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</si>
  <si>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</si>
  <si>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알막오일(GS),0.05÷100개소당</t>
  </si>
  <si>
    <t xml:space="preserve">232_1_1+ = </t>
  </si>
  <si>
    <t xml:space="preserve">229_1_1 = </t>
  </si>
  <si>
    <t>No.23 소파보수(포장복구)</t>
  </si>
  <si>
    <t>공통 5-1-3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</si>
  <si>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</si>
  <si>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</si>
  <si>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</si>
  <si>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</si>
  <si>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</si>
  <si>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HDD0109</t>
  </si>
  <si>
    <t>강판 t=25mm</t>
  </si>
  <si>
    <t>E00004430040000000</t>
  </si>
  <si>
    <t xml:space="preserve">  다.발전기(100Kw)</t>
  </si>
  <si>
    <t xml:space="preserve">   전체 합계</t>
  </si>
  <si>
    <t>3.용접(Fillet t=6mm,하향)</t>
  </si>
  <si>
    <t xml:space="preserve">EQ1+ = </t>
  </si>
  <si>
    <t>HDD1756</t>
  </si>
  <si>
    <t xml:space="preserve">   다이아몬드 블레이드</t>
  </si>
  <si>
    <t>굴삭기(타이어)   0.6 M3</t>
  </si>
  <si>
    <t xml:space="preserve">58,200 천원  </t>
  </si>
  <si>
    <t>ZZB500100000</t>
  </si>
  <si>
    <t>160</t>
  </si>
  <si>
    <t>SDD0141</t>
  </si>
  <si>
    <t>HDD0253</t>
  </si>
  <si>
    <t>1인/일</t>
  </si>
  <si>
    <t>.sang=1286, jung=786, kwan=682</t>
  </si>
  <si>
    <t>No.19 PE라이너 가열공</t>
  </si>
  <si>
    <t xml:space="preserve">       소      계 :</t>
  </si>
  <si>
    <t xml:space="preserve">175_1_1 = </t>
  </si>
  <si>
    <t xml:space="preserve">188_1_1 = </t>
  </si>
  <si>
    <t>HDD0253</t>
  </si>
  <si>
    <t>SDD0141</t>
  </si>
  <si>
    <t xml:space="preserve">    '덤프트럭의 1회 싸이클시간 :' Cmt=t1+t2+t3+t4+t5=?'분'</t>
  </si>
  <si>
    <t>F-FUZZB110100000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</si>
  <si>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</si>
  <si>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</si>
  <si>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</si>
  <si>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</si>
  <si>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</si>
  <si>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</si>
  <si>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>토목 6-2-4</t>
  </si>
  <si>
    <t xml:space="preserve">   로더(무한궤도)</t>
  </si>
  <si>
    <t>No.2  주형받침보 설치 및 철거</t>
  </si>
  <si>
    <t>수량</t>
  </si>
  <si>
    <t>HDD1758</t>
  </si>
  <si>
    <t>플랜지성형기   D250mm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</si>
  <si>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</si>
  <si>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</si>
  <si>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</si>
  <si>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</si>
  <si>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</si>
  <si>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</si>
  <si>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</si>
  <si>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</si>
  <si>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</si>
  <si>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</si>
  <si>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</si>
  <si>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</si>
  <si>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</si>
  <si>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</si>
  <si>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QEQTY3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</si>
  <si>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</si>
  <si>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</si>
  <si>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</si>
  <si>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</si>
  <si>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4.0ton</t>
  </si>
  <si>
    <t xml:space="preserve">인    </t>
  </si>
  <si>
    <t>환율(마르크화)</t>
  </si>
  <si>
    <t>ZZG000100000</t>
  </si>
  <si>
    <t xml:space="preserve">392_1_1+ = </t>
  </si>
  <si>
    <t>파쇄물 상차(집하장) 굴삭기(타이어)0.6㎥/㎥</t>
  </si>
  <si>
    <t xml:space="preserve">  나.운반(덤프트럭 15ton)</t>
  </si>
  <si>
    <t>No.35 H-Beam 철거(버팀보)</t>
  </si>
  <si>
    <t>건설용펌프(자흡식)   50mm(1.49kw × 10m)</t>
  </si>
  <si>
    <t>EDD00160450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</si>
  <si>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</si>
  <si>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</si>
  <si>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</si>
  <si>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</si>
  <si>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</si>
  <si>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</si>
  <si>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</si>
  <si>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</si>
  <si>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ZZD000100000</t>
  </si>
  <si>
    <t xml:space="preserve">   관내 CCTV조사 및 보고서작성</t>
  </si>
  <si>
    <t>카고트럭</t>
  </si>
  <si>
    <t>E00000610015000000</t>
  </si>
  <si>
    <t>[1..4]'합      계 : '=?[]</t>
  </si>
  <si>
    <t>G0000750500150000</t>
  </si>
  <si>
    <t>플랜지관</t>
  </si>
  <si>
    <t>EQ = ( MA(80) + LA(80) + LA(90) + EQ(80) + EQ(100) + EQ(110) + EQ(120) + EQ(130) + EQ(140) + EQ(150) + EQ(160) + EQ(170) + EQ(180) + EQ(190) + EQ(200) + EQ(210) ) * 6/100</t>
  </si>
  <si>
    <t>30</t>
  </si>
  <si>
    <t>5500 L</t>
  </si>
  <si>
    <t>No.26</t>
  </si>
  <si>
    <t>÷520m</t>
  </si>
  <si>
    <t>No.36  H-Beam 설치(띠장)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</si>
  <si>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</si>
  <si>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</si>
  <si>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</si>
  <si>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</si>
  <si>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</si>
  <si>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</si>
  <si>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</si>
  <si>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</si>
  <si>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</si>
  <si>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</si>
  <si>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</si>
  <si>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</si>
  <si>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</si>
  <si>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컴퓨터,프린트,S/W</t>
  </si>
  <si>
    <t>개</t>
  </si>
  <si>
    <t xml:space="preserve">135_1_1 = </t>
  </si>
  <si>
    <t xml:space="preserve">  현장 ----도시고속도로 입구 ---- 사토장입구 ---- 사토장(내부)</t>
  </si>
  <si>
    <t>HDD0410</t>
  </si>
  <si>
    <t>T</t>
  </si>
  <si>
    <t>380×380×700mm</t>
  </si>
  <si>
    <t>QUS2WON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</si>
  <si>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</si>
  <si>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</si>
  <si>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</si>
  <si>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</si>
  <si>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</si>
  <si>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</si>
  <si>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</si>
  <si>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HDD0007</t>
  </si>
  <si>
    <t>개소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</si>
  <si>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</si>
  <si>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</si>
  <si>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</si>
  <si>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</si>
  <si>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</si>
  <si>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>No.38 Filler용접(하향)</t>
  </si>
  <si>
    <t>No.27 소형 공사안내간판 설치 및 철거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</si>
  <si>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</si>
  <si>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</si>
  <si>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</si>
  <si>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</si>
  <si>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</si>
  <si>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ZZE000100000</t>
  </si>
  <si>
    <t xml:space="preserve">   소   계</t>
  </si>
  <si>
    <t xml:space="preserve">   인화지</t>
  </si>
  <si>
    <t>*</t>
  </si>
  <si>
    <t xml:space="preserve">603_1_1 = </t>
  </si>
  <si>
    <t xml:space="preserve">  '노  무  비 : '~HDD1582.L~*Q3=?la4+</t>
  </si>
  <si>
    <t>No.32 H-Beam 철거(띠장)</t>
  </si>
  <si>
    <t>GDD00020000</t>
  </si>
  <si>
    <t xml:space="preserve">   관세관</t>
  </si>
  <si>
    <t xml:space="preserve">   6.사급자재비</t>
  </si>
  <si>
    <t xml:space="preserve">    '토량환산계수 :' f=1/1.4={?,'9.99R'}</t>
  </si>
  <si>
    <t>회</t>
  </si>
  <si>
    <t>No.15  관내 CCTV조사 및 보고서작성</t>
  </si>
  <si>
    <t xml:space="preserve">496_1_1 = </t>
  </si>
  <si>
    <t xml:space="preserve">  '적하시간 :' t3=Cm/60*n+10'분'=?'분'</t>
  </si>
  <si>
    <t>0.4 M3용</t>
  </si>
  <si>
    <t>ZZF000100000</t>
  </si>
  <si>
    <t>F-FUZZD000200000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</si>
  <si>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</si>
  <si>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</si>
  <si>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</si>
  <si>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</si>
  <si>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HDD1750</t>
  </si>
  <si>
    <t>HDD0141</t>
  </si>
  <si>
    <t>No.20</t>
  </si>
  <si>
    <t xml:space="preserve">  '항타시간 :' r=0.03*N+0.6=?'분/m'</t>
  </si>
  <si>
    <t>주자재의 50%적용</t>
  </si>
  <si>
    <t>HDD1582</t>
  </si>
  <si>
    <t xml:space="preserve">   발전기</t>
  </si>
  <si>
    <t>경비단가소숫점</t>
  </si>
  <si>
    <t>간선(배관-손료포함)</t>
  </si>
  <si>
    <t>0.004÷30%=</t>
  </si>
  <si>
    <t>노임할증계수(터널구간:주야간)</t>
  </si>
  <si>
    <t xml:space="preserve">   동력분무기</t>
  </si>
  <si>
    <t xml:space="preserve">  '재  료  비 : '~HDD1574.M~*Q2=?ma3+</t>
  </si>
  <si>
    <t xml:space="preserve">13_1_1+ = 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</si>
  <si>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</si>
  <si>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</si>
  <si>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</si>
  <si>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</si>
  <si>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</si>
  <si>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28,750 천원  </t>
  </si>
  <si>
    <t>QCODE</t>
  </si>
  <si>
    <t>No.37  H-Beam 철거(띠장)</t>
  </si>
  <si>
    <t>KSE4301, ∮3.2mm</t>
  </si>
  <si>
    <t>E00007210048500000</t>
  </si>
  <si>
    <t>관로조사 촬영장비</t>
  </si>
  <si>
    <t>4.5ton</t>
  </si>
  <si>
    <t>3.용접(Fillet,하향) t=6mm</t>
  </si>
  <si>
    <t xml:space="preserve">EQ1 = 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</si>
  <si>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</si>
  <si>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</si>
  <si>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</si>
  <si>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</si>
  <si>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</si>
  <si>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</si>
  <si>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>D250mm 주철관</t>
  </si>
  <si>
    <t>No.13  플랜지죠인트 접합</t>
  </si>
  <si>
    <t xml:space="preserve">MA2 = </t>
  </si>
  <si>
    <t xml:space="preserve">  '파일 1본당 시공시간 :'  Tc=(Tb+Ts)/F=?'mim/본당'</t>
  </si>
  <si>
    <t>터파기(기계 90%+인력 10%,보통)굴삭기(타이어)0.18㎥/㎥당</t>
  </si>
  <si>
    <t>SDD0162</t>
  </si>
  <si>
    <t>G0000210100250000</t>
  </si>
  <si>
    <t>건설부분</t>
  </si>
  <si>
    <t xml:space="preserve">TC = </t>
  </si>
  <si>
    <t xml:space="preserve">141_1_1 = </t>
  </si>
  <si>
    <t xml:space="preserve">QT+ = </t>
  </si>
  <si>
    <t>No.25 PE Free휌스 살치 및 철거</t>
  </si>
  <si>
    <t>M1510150520282163</t>
  </si>
  <si>
    <t>G0000210500050000</t>
  </si>
  <si>
    <t>프로판가스</t>
  </si>
  <si>
    <t xml:space="preserve">  L1=0.3*4'개소(복공철판 연결부)'*3'회'=?'m/개소'</t>
  </si>
  <si>
    <t>t=20cm이하</t>
  </si>
  <si>
    <t>F/M1</t>
  </si>
  <si>
    <t>고철</t>
  </si>
  <si>
    <t xml:space="preserve">ton   </t>
  </si>
  <si>
    <t>QDECPLA</t>
  </si>
  <si>
    <t>QLINCY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</si>
  <si>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</si>
  <si>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</si>
  <si>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</si>
  <si>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</si>
  <si>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</si>
  <si>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</si>
  <si>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</si>
  <si>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</si>
  <si>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</si>
  <si>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</si>
  <si>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</si>
  <si>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 xml:space="preserve">353_1_1 = </t>
  </si>
  <si>
    <t xml:space="preserve">    '경      비 : '~E00007505010000000.E~/Q=?eq3+</t>
  </si>
  <si>
    <t>No.6 철근 보걸이 설치 및 해체</t>
  </si>
  <si>
    <t>56900017058</t>
  </si>
  <si>
    <t>재 료 비</t>
  </si>
  <si>
    <t>경비금액소숫점</t>
  </si>
  <si>
    <t xml:space="preserve">   소파보수(포장복구)</t>
  </si>
  <si>
    <t>1인÷250공/일</t>
  </si>
  <si>
    <t xml:space="preserve">   윈치 자동싱글드럼</t>
  </si>
  <si>
    <t>D22mm</t>
  </si>
  <si>
    <t>유지관리 토목 2-4-9</t>
  </si>
  <si>
    <t>무한궤도 크레인</t>
  </si>
  <si>
    <t>시간당노임산출계수(장대터널)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</si>
  <si>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</si>
  <si>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</si>
  <si>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</si>
  <si>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</si>
  <si>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</si>
  <si>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</si>
  <si>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 xml:space="preserve">A+ = </t>
  </si>
  <si>
    <t xml:space="preserve">Q = </t>
  </si>
  <si>
    <t xml:space="preserve">    '노  무  비 : '~E00002101002500000.L~/Q=?la3+</t>
  </si>
  <si>
    <t>공업용휘발유</t>
  </si>
  <si>
    <t>저유황</t>
  </si>
  <si>
    <t>G0000721004850000</t>
  </si>
  <si>
    <t>1.5 Ton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</si>
  <si>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</si>
  <si>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</si>
  <si>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</si>
  <si>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</si>
  <si>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</si>
  <si>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</si>
  <si>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</si>
  <si>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</si>
  <si>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</si>
  <si>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</si>
  <si>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3.기계경비</t>
  </si>
  <si>
    <t xml:space="preserve"> 상차비 별도 : 터파기 동시상차(작업조건 보통적용)</t>
  </si>
  <si>
    <t>윈치 자동싱글드럼   3 Ton (22.38kW)</t>
  </si>
  <si>
    <t>GDD06040045</t>
  </si>
  <si>
    <t xml:space="preserve">   DVD-R</t>
  </si>
  <si>
    <t>No.34  H-Beam 설치(버팀보)</t>
  </si>
  <si>
    <t>[]=tot(10,20)*0.5</t>
  </si>
  <si>
    <t xml:space="preserve">308_1_1 = </t>
  </si>
  <si>
    <t>M1510150620282203</t>
  </si>
  <si>
    <t>G0000061001500000</t>
  </si>
  <si>
    <t>MDD0182</t>
  </si>
  <si>
    <t xml:space="preserve">   1일 손료로 적용</t>
  </si>
  <si>
    <t xml:space="preserve">   경비로 적용</t>
  </si>
  <si>
    <t>10 Ton</t>
  </si>
  <si>
    <t xml:space="preserve">LA5 = </t>
  </si>
  <si>
    <t>'운반장소 : 사토장(L=10km)'</t>
  </si>
  <si>
    <t xml:space="preserve"> ※야간운행시 차량의 운행속도는 35km/hr을 적용한다.</t>
  </si>
  <si>
    <t>[1..3]'합      계 : '=?[]</t>
  </si>
  <si>
    <t>KP접합부속(2종)</t>
  </si>
  <si>
    <t>No.16 관세관</t>
  </si>
  <si>
    <t>2.가시설공</t>
  </si>
  <si>
    <t>No.29  살수 및 청소</t>
  </si>
  <si>
    <t xml:space="preserve">181_1_1 = </t>
  </si>
  <si>
    <t xml:space="preserve">750 천원  </t>
  </si>
  <si>
    <t>3 Ton (22.38kW)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</si>
  <si>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</si>
  <si>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</si>
  <si>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</si>
  <si>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</si>
  <si>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</si>
  <si>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</si>
  <si>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</si>
  <si>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</si>
  <si>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</si>
  <si>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</si>
  <si>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 xml:space="preserve">   관갱생용 PE라이너</t>
  </si>
  <si>
    <t xml:space="preserve">T1 = </t>
  </si>
  <si>
    <t>H-300×300×10×15</t>
  </si>
  <si>
    <t>QEQTY1</t>
  </si>
  <si>
    <t xml:space="preserve">   교통정리원</t>
  </si>
  <si>
    <t>화폐변환</t>
  </si>
  <si>
    <t>No.44 CCTV조사보고서 작성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</si>
  <si>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</si>
  <si>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</si>
  <si>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</si>
  <si>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</si>
  <si>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</si>
  <si>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</si>
  <si>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No.50  볼트 풀기</t>
  </si>
  <si>
    <t>#1 터파기(기계90%+인력10%,보통) | 굴삭기(타이어) 0.18㎥|㎥</t>
  </si>
  <si>
    <t>SDD0045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</si>
  <si>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</si>
  <si>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</si>
  <si>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</si>
  <si>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</si>
  <si>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</si>
  <si>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</si>
  <si>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</si>
  <si>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 xml:space="preserve">  나.무한궤도 크레인(25ton)</t>
  </si>
  <si>
    <t xml:space="preserve">  '경      비 : '~E00002105001000000.E~/Q=?eq3+</t>
  </si>
  <si>
    <t xml:space="preserve">PL1+ = 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</si>
  <si>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</si>
  <si>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</si>
  <si>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</si>
  <si>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>HDD1754</t>
  </si>
  <si>
    <t>No.20 PE라이너 냉각공</t>
  </si>
  <si>
    <t xml:space="preserve">   H-Pile박기</t>
  </si>
  <si>
    <t>LA = LA(80) * 13.7/100</t>
  </si>
  <si>
    <t>hr</t>
  </si>
  <si>
    <t>장</t>
  </si>
  <si>
    <t>No.39 Filler용접(하향)</t>
  </si>
  <si>
    <t>서울시 상수도사업본부 품적용</t>
  </si>
  <si>
    <t xml:space="preserve">   m당환산</t>
  </si>
  <si>
    <t xml:space="preserve">   관로조사 촬영장비 차량</t>
  </si>
  <si>
    <t xml:space="preserve">   Filler용접(하향)</t>
  </si>
  <si>
    <t xml:space="preserve">    소      계 :</t>
  </si>
  <si>
    <t>20mm≤ t ≤30mm</t>
  </si>
  <si>
    <t>노임할증계수(장대터널:야간)</t>
  </si>
  <si>
    <t>중기주간경비산출계수</t>
  </si>
  <si>
    <t>전역변수</t>
  </si>
  <si>
    <t>5.포 장 공</t>
  </si>
  <si>
    <t xml:space="preserve">   주철관 절단</t>
  </si>
  <si>
    <t xml:space="preserve">   파쇄물 상차(집하장).</t>
  </si>
  <si>
    <t xml:space="preserve">   '노  무  비 : '~E00000211001800000.L~/Q*0.9=?la1+</t>
  </si>
  <si>
    <t>No.13 플랜지죠인트 접합</t>
  </si>
  <si>
    <t>HDD1621</t>
  </si>
  <si>
    <t>No.10 주철이형관 철거</t>
  </si>
  <si>
    <t xml:space="preserve">112,684 천원  </t>
  </si>
  <si>
    <t>MDD0265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</si>
  <si>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</si>
  <si>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</si>
  <si>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</si>
  <si>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</si>
  <si>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</si>
  <si>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</si>
  <si>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</si>
  <si>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</si>
  <si>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</si>
  <si>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</si>
  <si>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</si>
  <si>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</si>
  <si>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스크레이퍼   D300mm</t>
  </si>
  <si>
    <t>E00000602002500000</t>
  </si>
  <si>
    <t>형    식</t>
  </si>
  <si>
    <t xml:space="preserve"> [1..1] 합      계 :  =4,756</t>
  </si>
  <si>
    <t>굴삭기(타이어)   0.18 M3</t>
  </si>
  <si>
    <t>모니터   LG(29WL500)</t>
  </si>
  <si>
    <t>ZZB800100000</t>
  </si>
  <si>
    <t>0.57 M3</t>
  </si>
  <si>
    <t xml:space="preserve">   플랜지관</t>
  </si>
  <si>
    <t>명        칭</t>
  </si>
  <si>
    <t>QDECCMA</t>
  </si>
  <si>
    <t xml:space="preserve">   Q=60/Tc=?'본/hr'</t>
  </si>
  <si>
    <t>KP플랜지소켓관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</si>
  <si>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</si>
  <si>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</si>
  <si>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</si>
  <si>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</si>
  <si>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</si>
  <si>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</si>
  <si>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</si>
  <si>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</si>
  <si>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</si>
  <si>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#.10</t>
  </si>
  <si>
    <t>GDD0002</t>
  </si>
  <si>
    <t xml:space="preserve">1,546 천원  </t>
  </si>
  <si>
    <t>15 Ton</t>
  </si>
  <si>
    <t xml:space="preserve">2,917 천원  </t>
  </si>
  <si>
    <t>굴삭기(타이어)0.6㎥</t>
  </si>
  <si>
    <t xml:space="preserve">   PE라이너 냉각공</t>
  </si>
  <si>
    <t xml:space="preserve">499_1_1+ = </t>
  </si>
  <si>
    <t>No.17</t>
  </si>
  <si>
    <t>F-FUZZB200100000</t>
  </si>
  <si>
    <t>No.19  PE라이너 가열공</t>
  </si>
  <si>
    <t xml:space="preserve"> [1..1]'합      계 : '=?[]</t>
  </si>
  <si>
    <t xml:space="preserve"> 운반속도 :</t>
  </si>
  <si>
    <t>유지관리 토목 2-1-2</t>
  </si>
  <si>
    <t>8×10"</t>
  </si>
  <si>
    <t>중기사용료목록</t>
  </si>
  <si>
    <t xml:space="preserve">   용접봉</t>
  </si>
  <si>
    <t>E00003430040000000</t>
  </si>
  <si>
    <t>8×10"</t>
  </si>
  <si>
    <t xml:space="preserve">   Rib Plate 설치(하향)</t>
  </si>
  <si>
    <t xml:space="preserve">  '토량환산계수 :' f=1/1.15=?</t>
  </si>
  <si>
    <t xml:space="preserve">TB = </t>
  </si>
  <si>
    <t>EQ = EQ(120) * 12.95/100</t>
  </si>
  <si>
    <t>발전기   50 KW</t>
  </si>
  <si>
    <t xml:space="preserve">  '적재시간 :' t1=Cm/60*n+10'분'=?'분'</t>
  </si>
  <si>
    <t>No.3</t>
  </si>
  <si>
    <t>260</t>
  </si>
  <si>
    <t xml:space="preserve">359_1_1+ = </t>
  </si>
  <si>
    <t xml:space="preserve">262_1_1 = </t>
  </si>
  <si>
    <t>서울시 상수도사업본부품 적용</t>
  </si>
  <si>
    <t xml:space="preserve">Q1 = </t>
  </si>
  <si>
    <t xml:space="preserve">    '적재기계의 싸이클 횟수:' n=qt/(q1*k1)=?'회'</t>
  </si>
  <si>
    <t xml:space="preserve">  운반차종 : 덤프 15ton</t>
  </si>
  <si>
    <t>EDD00060200</t>
  </si>
  <si>
    <t>GDD80000003</t>
  </si>
  <si>
    <t>MDD0052</t>
  </si>
  <si>
    <t>SDD0307</t>
  </si>
  <si>
    <t>D250mm</t>
  </si>
  <si>
    <t>D250mm</t>
  </si>
  <si>
    <t>D13mm 이상</t>
  </si>
  <si>
    <t>.sang=918 ,jung=459, kwan=680</t>
  </si>
  <si>
    <t>50 KW</t>
  </si>
  <si>
    <t>SDD0307</t>
  </si>
  <si>
    <t xml:space="preserve">  '노  무  비 : '~HDD1572.L~*L1=?la3+</t>
  </si>
  <si>
    <t>MDD0052</t>
  </si>
  <si>
    <t>ℓ</t>
  </si>
  <si>
    <t>운반조건</t>
  </si>
  <si>
    <t>QMINC2</t>
  </si>
  <si>
    <t>#.4</t>
  </si>
  <si>
    <t xml:space="preserve">   5.포 장 공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</si>
  <si>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</si>
  <si>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</si>
  <si>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</si>
  <si>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</si>
  <si>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</si>
  <si>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 xml:space="preserve">308_1_1+ = </t>
  </si>
  <si>
    <t>#14 파쇄물 걷기 및 싣기</t>
  </si>
  <si>
    <t>E00007204003800000</t>
  </si>
  <si>
    <t xml:space="preserve">MA3 = </t>
  </si>
  <si>
    <t>L001010101000048</t>
  </si>
  <si>
    <t>220</t>
  </si>
  <si>
    <t>G0000023000040000</t>
  </si>
  <si>
    <t>.sang=1125,jung=1375,kwan=674</t>
  </si>
  <si>
    <t>MDD0154</t>
  </si>
  <si>
    <t>E00007204003800000</t>
  </si>
  <si>
    <t>MDD0154</t>
  </si>
  <si>
    <t>덤프트럭 자동덮개시설   15 Ton</t>
  </si>
  <si>
    <t>식</t>
  </si>
  <si>
    <t>No.19</t>
  </si>
  <si>
    <t>0.16인×49.9/94=</t>
  </si>
  <si>
    <t>[4]'소      계 : '=?[4]</t>
  </si>
  <si>
    <t>.sang=1500,jung=1833, kwan=589</t>
  </si>
  <si>
    <t>.sang=1286,jung=714,kwan=682</t>
  </si>
  <si>
    <t xml:space="preserve">   플랜지죠인트 접합</t>
  </si>
  <si>
    <t xml:space="preserve">139_1_1 = </t>
  </si>
  <si>
    <t>No.13</t>
  </si>
  <si>
    <t>공통 5-1-2</t>
  </si>
  <si>
    <t>No.12  KP죠인트 접합공</t>
  </si>
  <si>
    <t>토목 6-2-1</t>
  </si>
  <si>
    <t xml:space="preserve">38,469 천원  </t>
  </si>
  <si>
    <t>공종 5-1-4</t>
  </si>
  <si>
    <t>중기야간할증계수</t>
  </si>
  <si>
    <t xml:space="preserve">   소형 공사안내간판 설치 및 철거</t>
  </si>
  <si>
    <t>4.상,하차 보조원</t>
  </si>
  <si>
    <t>ZZB400100000</t>
  </si>
  <si>
    <t>E00006530003000000</t>
  </si>
  <si>
    <t>No.11  주철이형관 부설</t>
  </si>
  <si>
    <t>170</t>
  </si>
  <si>
    <t>PPR플랜트(가열시)   2.0ton/hr</t>
  </si>
  <si>
    <t>환율(엔화)</t>
  </si>
  <si>
    <t xml:space="preserve">   프로판가스</t>
  </si>
  <si>
    <t>MDD0058</t>
  </si>
  <si>
    <t xml:space="preserve">LA4 = </t>
  </si>
  <si>
    <t>No.18  스팀슈즈 설치 및 철거</t>
  </si>
  <si>
    <t>No.7</t>
  </si>
  <si>
    <t>ZZB130200000</t>
  </si>
  <si>
    <t>No.9</t>
  </si>
  <si>
    <t xml:space="preserve">MA = </t>
  </si>
  <si>
    <t>25 Ton,0.20시간×49.9/94=</t>
  </si>
  <si>
    <t>[1..1]'합     계 : '=?[]</t>
  </si>
  <si>
    <t>경 비</t>
  </si>
  <si>
    <t>L001010101000002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</si>
  <si>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</si>
  <si>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</si>
  <si>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</si>
  <si>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</si>
  <si>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</si>
  <si>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</si>
  <si>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</si>
  <si>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 xml:space="preserve">   수중모터 펌프</t>
  </si>
  <si>
    <t>강모래(세사)</t>
  </si>
  <si>
    <t>강모래(세사)</t>
  </si>
  <si>
    <t>eq=tot(10)</t>
  </si>
  <si>
    <t>로더(무한궤도)   0.57 M3</t>
  </si>
  <si>
    <t>부설품의 50%</t>
  </si>
  <si>
    <t>1.토  공</t>
  </si>
  <si>
    <t xml:space="preserve">  '작업반장 :'~L001010101000001~*1'인'/8/Q=?la4+</t>
  </si>
  <si>
    <t xml:space="preserve">   수채공</t>
  </si>
  <si>
    <t xml:space="preserve">531_1_1+ = </t>
  </si>
  <si>
    <t>130</t>
  </si>
  <si>
    <t>QLINCC</t>
  </si>
  <si>
    <t xml:space="preserve">P = </t>
  </si>
  <si>
    <t xml:space="preserve">  '노  무  비 : '~E00000211006000000.L~/Q=?la1+</t>
  </si>
  <si>
    <t>스팀슈즈   D250mm</t>
  </si>
  <si>
    <t xml:space="preserve">567_1_1 = </t>
  </si>
  <si>
    <t>프린터</t>
  </si>
  <si>
    <t>G0000774000800000</t>
  </si>
  <si>
    <t>F</t>
  </si>
  <si>
    <t>동력분무기</t>
  </si>
  <si>
    <t>F</t>
  </si>
  <si>
    <t>#13 아스팔트 포장깨기(t=20cm미만) | 굴삭기(타이어) 0.18㎥+대형브레이커|㎥</t>
  </si>
  <si>
    <t>[1..1]'소      계 : '=?[]</t>
  </si>
  <si>
    <t>로더(무한궤도)</t>
  </si>
  <si>
    <t>E00000211006000000</t>
  </si>
  <si>
    <t>재료비단가소숫점</t>
  </si>
  <si>
    <t>노무비</t>
  </si>
  <si>
    <t>60</t>
  </si>
  <si>
    <t>H 1200×2000(∮31.8)</t>
  </si>
  <si>
    <t>환율(장비가격10만불이상)</t>
  </si>
  <si>
    <t>EQ = ( MA(80) + LA(80) ) * 2.93/100</t>
  </si>
  <si>
    <t xml:space="preserve">LA1+ = </t>
  </si>
  <si>
    <t xml:space="preserve">      </t>
  </si>
  <si>
    <t xml:space="preserve">6,200 천원  </t>
  </si>
  <si>
    <t xml:space="preserve">202,854 천원  </t>
  </si>
  <si>
    <t>소   계</t>
  </si>
  <si>
    <t>수중모터 펌프</t>
  </si>
  <si>
    <t xml:space="preserve">256_1_1+ = </t>
  </si>
  <si>
    <t xml:space="preserve">V1 = </t>
  </si>
  <si>
    <t>SDD0368</t>
  </si>
  <si>
    <t>EDD00180003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</si>
  <si>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</si>
  <si>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</si>
  <si>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</si>
  <si>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</si>
  <si>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</si>
  <si>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 xml:space="preserve">107_1_1+ = </t>
  </si>
  <si>
    <t>HDD1571</t>
  </si>
  <si>
    <t>20</t>
  </si>
  <si>
    <t>SICAS</t>
  </si>
  <si>
    <t>0.014÷30%=</t>
  </si>
  <si>
    <t>H-형강</t>
  </si>
  <si>
    <t>삼성(DM500)</t>
  </si>
  <si>
    <t>유지 토목 2-1-9</t>
  </si>
  <si>
    <t>유지 토목 2-1-9</t>
  </si>
  <si>
    <t>320-400 MM</t>
  </si>
  <si>
    <t>No.9 주철관 절단</t>
  </si>
  <si>
    <t>#.14</t>
  </si>
  <si>
    <t xml:space="preserve">       합     계 :</t>
  </si>
  <si>
    <t xml:space="preserve">355_1_1+ = </t>
  </si>
  <si>
    <t>0</t>
  </si>
  <si>
    <t>eq=tot(10,20)</t>
  </si>
  <si>
    <t xml:space="preserve">  CL1'(마구리판 1개)'=(0.188+0.2)*1'개'=?'m'</t>
  </si>
  <si>
    <t>HDD1800</t>
  </si>
  <si>
    <t>크레인(타이어)   25 Ton</t>
  </si>
  <si>
    <t>재료비금액소숫점</t>
  </si>
  <si>
    <t>0012</t>
  </si>
  <si>
    <t xml:space="preserve">   고장력볼트</t>
  </si>
  <si>
    <t xml:space="preserve">R+ = </t>
  </si>
  <si>
    <t xml:space="preserve">LA1 = </t>
  </si>
  <si>
    <t xml:space="preserve">  L1'(Rib판 2개)'=(0.096+0.096)*2'양면'*2'개'=?'m'</t>
  </si>
  <si>
    <t xml:space="preserve">  작업구 1개소당 절단연장 :</t>
  </si>
  <si>
    <t>1.기계경비(래머 80kg)</t>
  </si>
  <si>
    <t>재료비할증계수(야간)</t>
  </si>
  <si>
    <t xml:space="preserve">   스플트레일러</t>
  </si>
  <si>
    <t>#.6</t>
  </si>
  <si>
    <t xml:space="preserve">   손료로 적용</t>
  </si>
  <si>
    <t>#8 파쇄물 상차(집하장).</t>
  </si>
  <si>
    <t xml:space="preserve">    '토량환산계수 :' f=1/1.25=?</t>
  </si>
  <si>
    <t xml:space="preserve">384_1_1 = </t>
  </si>
  <si>
    <t xml:space="preserve"> 가.굴삭기(타이어) 0.18㎥</t>
  </si>
  <si>
    <t>No.14  관내 CCTV조사 및 보고서작성</t>
  </si>
  <si>
    <t>G0000720400380000</t>
  </si>
  <si>
    <t xml:space="preserve">426_1_1+ = </t>
  </si>
  <si>
    <t>QLINCE</t>
  </si>
  <si>
    <t>MDD0156</t>
  </si>
  <si>
    <t>No.41 관내 CCTV조사</t>
  </si>
  <si>
    <t xml:space="preserve">   스티프너 설치</t>
  </si>
  <si>
    <t>#4 잔토 소운반(현장→집하장,L=3.0km)</t>
  </si>
  <si>
    <t>#1 터파기(기계90%+인력10%,보통)</t>
  </si>
  <si>
    <t xml:space="preserve">EQ4+ = </t>
  </si>
  <si>
    <t>MDD0156</t>
  </si>
  <si>
    <t>중 기 명</t>
  </si>
  <si>
    <t>환율(IMF특별인출권)</t>
  </si>
  <si>
    <t>ZZC000100000</t>
  </si>
  <si>
    <t>ZZB120100000</t>
  </si>
  <si>
    <t>F-FUZZA000200000</t>
  </si>
  <si>
    <t>[2]=0</t>
  </si>
  <si>
    <t>No.15</t>
  </si>
  <si>
    <t>3.관접합공</t>
  </si>
  <si>
    <t xml:space="preserve">383_1_1+ = </t>
  </si>
  <si>
    <t>No.15 관내 CCTV조사 및 보고서작성</t>
  </si>
  <si>
    <t>플랜지성형기</t>
  </si>
  <si>
    <t>스프링날</t>
  </si>
  <si>
    <t>G0000210400250000</t>
  </si>
  <si>
    <t xml:space="preserve">   파쇄물 걷기 및 싣기</t>
  </si>
  <si>
    <t>EQ = LA(80) * 2.3/100</t>
  </si>
  <si>
    <t xml:space="preserve">427_1_1 = </t>
  </si>
  <si>
    <t xml:space="preserve">   '노  무  비 : '~EDD00160450.L~/Q1=?la2+</t>
  </si>
  <si>
    <t>MDD0158</t>
  </si>
  <si>
    <t>알막오일(GS)</t>
  </si>
  <si>
    <t>포장공</t>
  </si>
  <si>
    <t>#.8</t>
  </si>
  <si>
    <t>No.1</t>
  </si>
  <si>
    <t xml:space="preserve">16_1_1+ = </t>
  </si>
  <si>
    <t>#6 아스팔트 파쇄물운(현장→집하장,L=3.0km) | 굴삭기(타이어)0.18㎥+덤프 15ton|㎥</t>
  </si>
  <si>
    <t>4.85Kw</t>
  </si>
  <si>
    <t>중기전역변수</t>
  </si>
  <si>
    <t xml:space="preserve">   안전시설물 설치 및 철거</t>
  </si>
  <si>
    <t xml:space="preserve">314_1_1+ = </t>
  </si>
  <si>
    <t xml:space="preserve">   '경      비 : '~E00000211001800000.E~/Q=?eq1+</t>
  </si>
  <si>
    <t>GDD80000001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</si>
  <si>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</si>
  <si>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</si>
  <si>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</si>
  <si>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</si>
  <si>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</si>
  <si>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</si>
  <si>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</si>
  <si>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</si>
  <si>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SDD0074</t>
  </si>
  <si>
    <t>No.30</t>
  </si>
  <si>
    <t xml:space="preserve">  '보통인부 :' ~L001010101000002~*2'인'*(t1+t3)/450*2'(상,하차)'/4.5=?la4+</t>
  </si>
  <si>
    <t xml:space="preserve">   '재  료  비 : '~EDD00160450.M~*(Cmt-t1)/Cmt/Q1=?ma2+</t>
  </si>
  <si>
    <t>일</t>
  </si>
  <si>
    <t>HDD1592</t>
  </si>
  <si>
    <t xml:space="preserve">7,500 천원  </t>
  </si>
  <si>
    <t xml:space="preserve">   볼트 풀기</t>
  </si>
  <si>
    <t>No.47  볼트 조이기 및 풀기</t>
  </si>
  <si>
    <t xml:space="preserve">  '왕복시간 :' t2=(L/V)*60*2=?'분'</t>
  </si>
  <si>
    <t>CCTV카메라</t>
  </si>
  <si>
    <t>#.12</t>
  </si>
  <si>
    <t>기계13-2-2</t>
  </si>
  <si>
    <t>기계 13-2-4</t>
  </si>
  <si>
    <t>80 mm</t>
  </si>
  <si>
    <t xml:space="preserve">개    </t>
  </si>
  <si>
    <t>작업반장</t>
  </si>
  <si>
    <t>QLINC3</t>
  </si>
  <si>
    <t>노임</t>
  </si>
  <si>
    <t>QH32</t>
  </si>
  <si>
    <t>외송</t>
  </si>
  <si>
    <t>#3 기계다짐(양호,환토재) | 램머 80kg|㎥</t>
  </si>
  <si>
    <t xml:space="preserve">13,705 천원  </t>
  </si>
  <si>
    <t>노임할증계수(일반구간:야간)</t>
  </si>
  <si>
    <t xml:space="preserve">T5 = </t>
  </si>
  <si>
    <t>eq=la(10)*0.05</t>
  </si>
  <si>
    <t>축시용</t>
  </si>
  <si>
    <t xml:space="preserve">3,130 천원  </t>
  </si>
  <si>
    <t>QDECPMA</t>
  </si>
  <si>
    <t>#11 복공철판 설치 및 철거 | 강판 t=25mm|㎡</t>
  </si>
  <si>
    <t>이형철근(보통)</t>
  </si>
  <si>
    <t xml:space="preserve">CL1+ = </t>
  </si>
  <si>
    <t xml:space="preserve">422_1_1+ = </t>
  </si>
  <si>
    <t>[5]'소      계 : '=?[5]</t>
  </si>
  <si>
    <t>인</t>
  </si>
  <si>
    <t>HDD1623</t>
  </si>
  <si>
    <t>MDD0229</t>
  </si>
  <si>
    <t>시간당노임산출계수(일반구간)</t>
  </si>
  <si>
    <t>F-FUZZB130100000</t>
  </si>
  <si>
    <t xml:space="preserve"> ma=la(10,20)*0.02</t>
  </si>
  <si>
    <t xml:space="preserve">463,640 천원  </t>
  </si>
  <si>
    <t>25 KW</t>
  </si>
  <si>
    <t>진동롤러(자주식)</t>
  </si>
  <si>
    <t>단 위</t>
  </si>
  <si>
    <t>No.7  토류판 설치 및 철거(3회사용)</t>
  </si>
  <si>
    <t xml:space="preserve"> '재  료  비 : '~E00000211006000000.M~/Q=?ma1+</t>
  </si>
  <si>
    <t>#13 아스팔트 포장깨기(t=20cm미만)</t>
  </si>
  <si>
    <t xml:space="preserve">   주형보 설치 및 철거</t>
  </si>
  <si>
    <t xml:space="preserve">L = </t>
  </si>
  <si>
    <t>5KW EU 30i</t>
  </si>
  <si>
    <t>(0.38인+0.30인)/10</t>
  </si>
  <si>
    <t>(0.73인+0.58인)/10</t>
  </si>
  <si>
    <t xml:space="preserve">Q3+ = </t>
  </si>
  <si>
    <t>1.기계경비(트럭탑재형 크레인 10ton)</t>
  </si>
  <si>
    <t>.sang=1125 ,jung=1000 ,kwan=674</t>
  </si>
  <si>
    <t>0.18 m3</t>
  </si>
  <si>
    <t>MDD0179</t>
  </si>
  <si>
    <t>100000000001</t>
  </si>
  <si>
    <t xml:space="preserve">EQ3+ = </t>
  </si>
  <si>
    <t xml:space="preserve">T2+ = </t>
  </si>
  <si>
    <t>No.42 CCTV조사보고서 작성</t>
  </si>
  <si>
    <t>E00007730005000000</t>
  </si>
  <si>
    <t>모래</t>
  </si>
  <si>
    <t>2</t>
  </si>
  <si>
    <t>인건비의 2%</t>
  </si>
  <si>
    <t>1.기계경비(90%)</t>
  </si>
  <si>
    <t>HDD1629</t>
  </si>
  <si>
    <t>PPR플랜트(냉각시)   2.0ton/hr</t>
  </si>
  <si>
    <t xml:space="preserve">61_1_1 = </t>
  </si>
  <si>
    <t xml:space="preserve"> '토량환산계수 :' f=1/1.25=?</t>
  </si>
  <si>
    <t>살수차 3,800ℓ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</si>
  <si>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</si>
  <si>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</si>
  <si>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</si>
  <si>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</si>
  <si>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</si>
  <si>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</si>
  <si>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</si>
  <si>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</si>
  <si>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</si>
  <si>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</si>
  <si>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</si>
  <si>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</si>
  <si>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G0000173000150000</t>
  </si>
  <si>
    <t>F-FUZZB140100000</t>
  </si>
  <si>
    <t xml:space="preserve">  차량위 1인,차량아래 1인</t>
  </si>
  <si>
    <t>H-200,5m이하</t>
  </si>
  <si>
    <t>잡유</t>
  </si>
  <si>
    <t>EDD00180001</t>
  </si>
  <si>
    <t xml:space="preserve">㎥    </t>
  </si>
  <si>
    <t>합    계</t>
  </si>
  <si>
    <t>#.2</t>
  </si>
  <si>
    <t>No.35  H-Beam 철거(버팀보)</t>
  </si>
  <si>
    <t xml:space="preserve">383_1_1 = </t>
  </si>
  <si>
    <t xml:space="preserve">188_1_1+ = </t>
  </si>
  <si>
    <t xml:space="preserve">L1 = </t>
  </si>
  <si>
    <t>발전기   100 KW</t>
  </si>
  <si>
    <t>.sang=703, jung=508, kwan=420</t>
  </si>
  <si>
    <t xml:space="preserve">   플랜지접합부속</t>
  </si>
  <si>
    <t xml:space="preserve">   주철이형관 부설</t>
  </si>
  <si>
    <t xml:space="preserve">   하도급대금지급보증수수료</t>
  </si>
  <si>
    <t>0016</t>
  </si>
  <si>
    <t>.sang=1125,jung=1000,kwan=674</t>
  </si>
  <si>
    <t xml:space="preserve">   환  경  보  전  비</t>
  </si>
  <si>
    <t xml:space="preserve">   7.부 대 공</t>
  </si>
  <si>
    <t xml:space="preserve">QT = </t>
  </si>
  <si>
    <t>가솔린엔진   1.87 KW</t>
  </si>
  <si>
    <t>G0000750501000000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</si>
  <si>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</si>
  <si>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</si>
  <si>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</si>
  <si>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</si>
  <si>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</si>
  <si>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</si>
  <si>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</si>
  <si>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 xml:space="preserve">   강재 운반비(적치장→현장 L=3.0km)</t>
  </si>
  <si>
    <t xml:space="preserve">   컴퓨터,프린트,S/W</t>
  </si>
  <si>
    <t>25 Ton,0.23시간×49.9/94=</t>
  </si>
  <si>
    <t>1/1.5m</t>
  </si>
  <si>
    <t xml:space="preserve">    '노  무  비 : '~E00006530003000000.L~/Q=?la3+</t>
  </si>
  <si>
    <t xml:space="preserve">1,570 천원  </t>
  </si>
  <si>
    <t>PPR플랜트</t>
  </si>
  <si>
    <t>L001010101000040</t>
  </si>
  <si>
    <t>No.29 살수 및 청소</t>
  </si>
  <si>
    <t>[]=tot(10,0,90)*0.0222*1.0</t>
  </si>
  <si>
    <t>G0000130500070000</t>
  </si>
  <si>
    <t xml:space="preserve">EQ5 = </t>
  </si>
  <si>
    <t>25 Ton (0.76 m3)</t>
  </si>
  <si>
    <t>No.11</t>
  </si>
  <si>
    <t xml:space="preserve"> '1회당 유호다짐면적 :' A=0.28*0.33={?,'9.999R'}'㎡'</t>
  </si>
  <si>
    <t>H-300×300</t>
  </si>
  <si>
    <t>H-300×300</t>
  </si>
  <si>
    <t>No.45  안전시설 재료비 손료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</si>
  <si>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</si>
  <si>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</si>
  <si>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</si>
  <si>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</si>
  <si>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</si>
  <si>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</si>
  <si>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>No.10  주철이형관 철거</t>
  </si>
  <si>
    <t xml:space="preserve">  '노  무  비 : '~E00001630008000000.L~/Q=?la1+</t>
  </si>
  <si>
    <t>#78</t>
  </si>
  <si>
    <t>No.5</t>
  </si>
  <si>
    <t xml:space="preserve">   기계경비 및 잡재료비</t>
  </si>
  <si>
    <t>No.1  인력굴착</t>
  </si>
  <si>
    <t xml:space="preserve">  L1'(마구리판 1개)'=(0.2+0.176+0.192)*2*1'개'=?'m'</t>
  </si>
  <si>
    <t>2.강판절단(t=12mm)</t>
  </si>
  <si>
    <t>D250~D300mm</t>
  </si>
  <si>
    <t>PVC호스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</si>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</sst>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9" formatCode="General;\-General\,&quot;&quot;;@"/>
    <numFmt numFmtId="180" formatCode="#,##0.00####;\-#,##0.00####;@"/>
    <numFmt numFmtId="181" formatCode="#,###.000;\-#,###.000;&quot;&quot;;@"/>
    <numFmt numFmtId="182" formatCode="#,###.00;\-#,###.00;&quot;&quot;;@"/>
    <numFmt numFmtId="183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9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179" fontId="0" fillId="0" borderId="3" xfId="0" applyNumberFormat="1" applyBorder="1" applyAlignment="1">
      <alignment vertical="center"/>
    </xf>
    <xf numFmtId="179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80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9" fontId="0" fillId="0" borderId="6" xfId="0" applyNumberFormat="1" applyBorder="1" applyAlignment="1">
      <alignment vertical="center"/>
    </xf>
    <xf numFmtId="179" fontId="0" fillId="0" borderId="1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79" fontId="0" fillId="5" borderId="14" xfId="0" applyNumberFormat="1" applyFill="1" applyBorder="1" applyAlignment="1">
      <alignment horizontal="center" vertical="center"/>
    </xf>
    <xf numFmtId="179" fontId="0" fillId="5" borderId="15" xfId="0" applyNumberFormat="1" applyFill="1" applyBorder="1" applyAlignment="1">
      <alignment horizontal="center" vertical="center"/>
    </xf>
    <xf numFmtId="179" fontId="0" fillId="5" borderId="16" xfId="0" applyNumberFormat="1" applyFill="1" applyBorder="1" applyAlignment="1">
      <alignment horizontal="center" vertical="center"/>
    </xf>
    <xf numFmtId="179" fontId="0" fillId="5" borderId="16" xfId="0" applyNumberFormat="1" applyFill="1" applyBorder="1" applyAlignment="1">
      <alignment horizontal="center" vertical="center" wrapText="1"/>
    </xf>
    <xf numFmtId="179" fontId="0" fillId="0" borderId="10" xfId="0" applyNumberFormat="1" applyBorder="1" applyAlignment="1">
      <alignment vertical="center" wrapText="1"/>
    </xf>
    <xf numFmtId="179" fontId="0" fillId="0" borderId="13" xfId="0" applyNumberFormat="1" applyBorder="1" applyAlignment="1">
      <alignment vertical="center" wrapText="1"/>
    </xf>
    <xf numFmtId="179" fontId="0" fillId="5" borderId="15" xfId="0" applyNumberFormat="1" applyFill="1" applyBorder="1" applyAlignment="1">
      <alignment horizontal="center" vertical="center" wrapText="1"/>
    </xf>
    <xf numFmtId="181" fontId="0" fillId="0" borderId="1" xfId="0" applyNumberFormat="1" applyBorder="1" applyAlignment="1">
      <alignment vertical="center"/>
    </xf>
    <xf numFmtId="181" fontId="0" fillId="0" borderId="12" xfId="0" applyNumberFormat="1" applyBorder="1" applyAlignment="1">
      <alignment vertical="center"/>
    </xf>
    <xf numFmtId="182" fontId="0" fillId="0" borderId="1" xfId="0" applyNumberFormat="1" applyBorder="1" applyAlignment="1">
      <alignment vertical="center"/>
    </xf>
    <xf numFmtId="183" fontId="0" fillId="0" borderId="1" xfId="0" applyNumberFormat="1" applyBorder="1" applyAlignment="1">
      <alignment vertical="center"/>
    </xf>
    <xf numFmtId="182" fontId="0" fillId="0" borderId="12" xfId="0" applyNumberFormat="1" applyBorder="1" applyAlignment="1">
      <alignment vertical="center"/>
    </xf>
    <xf numFmtId="183" fontId="0" fillId="0" borderId="12" xfId="0" applyNumberFormat="1" applyBorder="1" applyAlignment="1">
      <alignment vertical="center"/>
    </xf>
    <xf numFmtId="179" fontId="0" fillId="5" borderId="2" xfId="0" applyNumberFormat="1" applyFill="1" applyBorder="1" applyAlignment="1">
      <alignment horizontal="center" vertical="center"/>
    </xf>
    <xf numFmtId="183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82" fontId="0" fillId="0" borderId="0" xfId="0" applyNumberFormat="1" applyAlignment="1">
      <alignment vertical="center"/>
    </xf>
    <xf numFmtId="183" fontId="0" fillId="0" borderId="3" xfId="0" applyNumberFormat="1" applyBorder="1" applyAlignment="1">
      <alignment vertical="center"/>
    </xf>
    <xf numFmtId="183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9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9" fontId="0" fillId="0" borderId="18" xfId="0" applyNumberFormat="1" applyBorder="1" applyAlignment="1">
      <alignment vertical="center"/>
    </xf>
    <xf numFmtId="179" fontId="0" fillId="0" borderId="19" xfId="0" applyNumberFormat="1" applyBorder="1" applyAlignment="1">
      <alignment vertical="center" wrapText="1"/>
    </xf>
    <xf numFmtId="183" fontId="0" fillId="0" borderId="19" xfId="0" applyNumberFormat="1" applyBorder="1" applyAlignment="1">
      <alignment vertical="center" wrapText="1"/>
    </xf>
    <xf numFmtId="179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9" fontId="0" fillId="0" borderId="6" xfId="0" applyNumberFormat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179" fontId="0" fillId="0" borderId="12" xfId="0" applyNumberFormat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79" fontId="0" fillId="0" borderId="10" xfId="0" applyNumberFormat="1" applyBorder="1" applyAlignment="1">
      <alignment horizontal="center" vertical="center" wrapText="1"/>
    </xf>
    <xf numFmtId="179" fontId="0" fillId="0" borderId="13" xfId="0" applyNumberFormat="1" applyBorder="1" applyAlignment="1">
      <alignment horizontal="center" vertical="center" wrapText="1"/>
    </xf>
    <xf numFmtId="179" fontId="0" fillId="5" borderId="7" xfId="0" applyNumberFormat="1" applyFill="1" applyBorder="1" applyAlignment="1">
      <alignment horizontal="center" vertical="center"/>
    </xf>
    <xf numFmtId="179" fontId="0" fillId="5" borderId="11" xfId="0" applyNumberFormat="1" applyFill="1" applyBorder="1" applyAlignment="1">
      <alignment horizontal="center" vertical="center"/>
    </xf>
    <xf numFmtId="179" fontId="0" fillId="5" borderId="8" xfId="0" applyNumberFormat="1" applyFill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79" fontId="0" fillId="5" borderId="9" xfId="0" applyNumberFormat="1" applyFill="1" applyBorder="1" applyAlignment="1">
      <alignment horizontal="center" vertical="center" wrapText="1"/>
    </xf>
    <xf numFmtId="179" fontId="0" fillId="5" borderId="13" xfId="0" applyNumberForma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179" fontId="6" fillId="0" borderId="6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horizontal="center" vertical="center"/>
    </xf>
    <xf numFmtId="183" fontId="6" fillId="0" borderId="1" xfId="0" applyNumberFormat="1" applyFont="1" applyBorder="1" applyAlignment="1">
      <alignment vertical="center"/>
    </xf>
    <xf numFmtId="179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2"/>
  <sheetViews>
    <sheetView tabSelected="1" workbookViewId="0">
      <selection activeCell="BL85" sqref="BL85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style="55" customWidth="1"/>
    <col min="5" max="12" width="13" customWidth="1"/>
    <col min="13" max="13" width="10" customWidth="1"/>
    <col min="14" max="59" width="0" hidden="1" customWidth="1"/>
    <col min="61" max="61" width="9.6640625" bestFit="1" customWidth="1"/>
  </cols>
  <sheetData>
    <row r="1" spans="1:61" ht="18.399999999999999" customHeight="1" x14ac:dyDescent="0.15">
      <c r="A1" t="s">
        <v>232</v>
      </c>
    </row>
    <row r="2" spans="1:61" ht="18.399999999999999" customHeight="1" x14ac:dyDescent="0.15">
      <c r="A2" s="48" t="s">
        <v>320</v>
      </c>
      <c r="B2" s="50" t="s">
        <v>859</v>
      </c>
      <c r="C2" s="50" t="s">
        <v>1119</v>
      </c>
      <c r="D2" s="50" t="s">
        <v>728</v>
      </c>
      <c r="E2" s="50" t="s">
        <v>1791</v>
      </c>
      <c r="F2" s="50" t="s">
        <v>1850</v>
      </c>
      <c r="G2" s="50" t="s">
        <v>1307</v>
      </c>
      <c r="H2" s="50" t="s">
        <v>1850</v>
      </c>
      <c r="I2" s="50" t="s">
        <v>780</v>
      </c>
      <c r="J2" s="50" t="s">
        <v>1850</v>
      </c>
      <c r="K2" s="50" t="s">
        <v>128</v>
      </c>
      <c r="L2" s="50" t="s">
        <v>1850</v>
      </c>
      <c r="M2" s="52" t="s">
        <v>499</v>
      </c>
    </row>
    <row r="3" spans="1:61" ht="18.399999999999999" customHeight="1" x14ac:dyDescent="0.15">
      <c r="A3" s="49" t="s">
        <v>1850</v>
      </c>
      <c r="B3" s="51" t="s">
        <v>1850</v>
      </c>
      <c r="C3" s="51" t="s">
        <v>1850</v>
      </c>
      <c r="D3" s="51" t="s">
        <v>1850</v>
      </c>
      <c r="E3" s="45" t="s">
        <v>448</v>
      </c>
      <c r="F3" s="45" t="s">
        <v>261</v>
      </c>
      <c r="G3" s="45" t="s">
        <v>448</v>
      </c>
      <c r="H3" s="45" t="s">
        <v>261</v>
      </c>
      <c r="I3" s="45" t="s">
        <v>448</v>
      </c>
      <c r="J3" s="45" t="s">
        <v>261</v>
      </c>
      <c r="K3" s="45" t="s">
        <v>448</v>
      </c>
      <c r="L3" s="45" t="s">
        <v>261</v>
      </c>
      <c r="M3" s="53" t="s">
        <v>1850</v>
      </c>
      <c r="S3" s="1" t="s">
        <v>617</v>
      </c>
      <c r="T3" s="1" t="s">
        <v>1379</v>
      </c>
      <c r="U3" s="1" t="s">
        <v>670</v>
      </c>
      <c r="V3" s="1" t="s">
        <v>274</v>
      </c>
      <c r="W3" s="1" t="s">
        <v>113</v>
      </c>
      <c r="X3" s="1" t="s">
        <v>587</v>
      </c>
      <c r="Y3" s="1" t="s">
        <v>1300</v>
      </c>
    </row>
    <row r="4" spans="1:61" ht="18.399999999999999" customHeight="1" x14ac:dyDescent="0.15">
      <c r="A4" s="11" t="s">
        <v>952</v>
      </c>
      <c r="B4" s="2" t="s">
        <v>1270</v>
      </c>
      <c r="C4" s="2">
        <v>1</v>
      </c>
      <c r="D4" s="1" t="s">
        <v>1529</v>
      </c>
      <c r="F4" s="24">
        <f t="shared" ref="F4:F36" si="0">H4+J4+L4</f>
        <v>62640552</v>
      </c>
      <c r="H4" s="24">
        <f>TRUNC(H5+H6+H7+H8+H9+H10+H11+H14+H15+H16+H17+H18+H19+H20+H21+H22+H23+H24+H25+H26+H27+H28+H29+H30+H31+H33+H34+H35,0)</f>
        <v>12326286</v>
      </c>
      <c r="J4" s="24">
        <f>TRUNC(J5+J6+J7+J8+J9+J10+J11+J14+J15+J16+J17+J18+J19+J20+J21+J22+J23+J24+J25+J26+J27+J28+J29+J30+J31+J33+J34+J35,0)</f>
        <v>23856117</v>
      </c>
      <c r="L4" s="24">
        <f>TRUNC(L5+L6+L7+L8+L9+L10+L11+L14+L15+L16+L17+L18+L19+L20+L21+L22+L23+L24+L25+L26+L27+L28+L29+L30+L31+L33+L34+L35,0)</f>
        <v>26458149</v>
      </c>
      <c r="M4" s="18" t="s">
        <v>1850</v>
      </c>
      <c r="N4" t="s">
        <v>1850</v>
      </c>
      <c r="O4" t="s">
        <v>1332</v>
      </c>
    </row>
    <row r="5" spans="1:61" ht="18.399999999999999" customHeight="1" x14ac:dyDescent="0.15">
      <c r="A5" s="11" t="s">
        <v>744</v>
      </c>
      <c r="B5" s="2" t="s">
        <v>1850</v>
      </c>
      <c r="C5" s="2">
        <v>1</v>
      </c>
      <c r="D5" s="1" t="s">
        <v>1529</v>
      </c>
      <c r="E5" s="24">
        <f t="shared" ref="E5:E36" si="1">G5+I5+K5</f>
        <v>604977</v>
      </c>
      <c r="F5" s="24">
        <f t="shared" si="0"/>
        <v>604977</v>
      </c>
      <c r="G5" s="24">
        <f>H39</f>
        <v>64673</v>
      </c>
      <c r="H5" s="24">
        <f t="shared" ref="H5:H11" si="2">TRUNC(G5*C5,0)</f>
        <v>64673</v>
      </c>
      <c r="I5" s="24">
        <f>J39</f>
        <v>445600</v>
      </c>
      <c r="J5" s="24">
        <f t="shared" ref="J5:J11" si="3">TRUNC(I5*C5,0)</f>
        <v>445600</v>
      </c>
      <c r="K5" s="24">
        <f>L39</f>
        <v>94704</v>
      </c>
      <c r="L5" s="24">
        <f t="shared" ref="L5:L11" si="4">TRUNC(K5*C5,0)</f>
        <v>94704</v>
      </c>
      <c r="M5" s="18" t="s">
        <v>1850</v>
      </c>
      <c r="N5" t="s">
        <v>1850</v>
      </c>
      <c r="P5" t="s">
        <v>239</v>
      </c>
      <c r="Q5" t="s">
        <v>1850</v>
      </c>
      <c r="R5" t="s">
        <v>698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118</v>
      </c>
      <c r="B6" s="2" t="s">
        <v>1850</v>
      </c>
      <c r="C6" s="2">
        <v>1</v>
      </c>
      <c r="D6" s="1" t="s">
        <v>1529</v>
      </c>
      <c r="E6" s="24">
        <f t="shared" si="1"/>
        <v>7379495</v>
      </c>
      <c r="F6" s="24">
        <f t="shared" si="0"/>
        <v>7379495</v>
      </c>
      <c r="G6" s="24">
        <f>H50</f>
        <v>1315817</v>
      </c>
      <c r="H6" s="24">
        <f t="shared" si="2"/>
        <v>1315817</v>
      </c>
      <c r="I6" s="24">
        <f>J50</f>
        <v>5421494</v>
      </c>
      <c r="J6" s="24">
        <f t="shared" si="3"/>
        <v>5421494</v>
      </c>
      <c r="K6" s="24">
        <f>L50</f>
        <v>642184</v>
      </c>
      <c r="L6" s="24">
        <f t="shared" si="4"/>
        <v>642184</v>
      </c>
      <c r="M6" s="18" t="s">
        <v>1850</v>
      </c>
      <c r="N6" t="s">
        <v>1850</v>
      </c>
      <c r="P6" t="s">
        <v>1619</v>
      </c>
      <c r="Q6" t="s">
        <v>1850</v>
      </c>
      <c r="R6" t="s">
        <v>1637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625</v>
      </c>
      <c r="B7" s="2" t="s">
        <v>1850</v>
      </c>
      <c r="C7" s="2">
        <v>1</v>
      </c>
      <c r="D7" s="1" t="s">
        <v>1529</v>
      </c>
      <c r="E7" s="24">
        <f t="shared" si="1"/>
        <v>880590</v>
      </c>
      <c r="F7" s="24">
        <f t="shared" si="0"/>
        <v>880590</v>
      </c>
      <c r="G7" s="24">
        <f>H63</f>
        <v>50064</v>
      </c>
      <c r="H7" s="24">
        <f t="shared" si="2"/>
        <v>50064</v>
      </c>
      <c r="I7" s="24">
        <f>J63</f>
        <v>769724</v>
      </c>
      <c r="J7" s="24">
        <f t="shared" si="3"/>
        <v>769724</v>
      </c>
      <c r="K7" s="24">
        <f>L63</f>
        <v>60802</v>
      </c>
      <c r="L7" s="24">
        <f t="shared" si="4"/>
        <v>60802</v>
      </c>
      <c r="M7" s="18" t="s">
        <v>1850</v>
      </c>
      <c r="N7" t="s">
        <v>1850</v>
      </c>
      <c r="P7" t="s">
        <v>1167</v>
      </c>
      <c r="Q7" t="s">
        <v>1850</v>
      </c>
      <c r="R7" t="s">
        <v>896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912</v>
      </c>
      <c r="B8" s="2" t="s">
        <v>1850</v>
      </c>
      <c r="C8" s="2">
        <v>1</v>
      </c>
      <c r="D8" s="1" t="s">
        <v>1529</v>
      </c>
      <c r="E8" s="24">
        <f t="shared" si="1"/>
        <v>24860922</v>
      </c>
      <c r="F8" s="24">
        <f t="shared" si="0"/>
        <v>24860922</v>
      </c>
      <c r="G8" s="24">
        <f>H70</f>
        <v>8932162</v>
      </c>
      <c r="H8" s="24">
        <f t="shared" si="2"/>
        <v>8932162</v>
      </c>
      <c r="I8" s="24">
        <f>J70</f>
        <v>13379982</v>
      </c>
      <c r="J8" s="24">
        <f t="shared" si="3"/>
        <v>13379982</v>
      </c>
      <c r="K8" s="24">
        <f>L70</f>
        <v>2548778</v>
      </c>
      <c r="L8" s="24">
        <f t="shared" si="4"/>
        <v>2548778</v>
      </c>
      <c r="M8" s="18" t="s">
        <v>1850</v>
      </c>
      <c r="N8" t="s">
        <v>1850</v>
      </c>
      <c r="P8" t="s">
        <v>715</v>
      </c>
      <c r="Q8" t="s">
        <v>1850</v>
      </c>
      <c r="R8" t="s">
        <v>1567</v>
      </c>
      <c r="BI8" s="41" t="str">
        <f>HYPERLINK("#내역서!A68","0014 →")</f>
        <v>0014 →</v>
      </c>
    </row>
    <row r="9" spans="1:61" ht="18.399999999999999" customHeight="1" x14ac:dyDescent="0.15">
      <c r="A9" s="11" t="s">
        <v>1511</v>
      </c>
      <c r="B9" s="2" t="s">
        <v>1850</v>
      </c>
      <c r="C9" s="2">
        <v>1</v>
      </c>
      <c r="D9" s="1" t="s">
        <v>1529</v>
      </c>
      <c r="E9" s="24">
        <f t="shared" si="1"/>
        <v>1023198</v>
      </c>
      <c r="F9" s="24">
        <f t="shared" si="0"/>
        <v>1023198</v>
      </c>
      <c r="G9" s="24">
        <f>H81</f>
        <v>81401</v>
      </c>
      <c r="H9" s="24">
        <f t="shared" si="2"/>
        <v>81401</v>
      </c>
      <c r="I9" s="24">
        <f>J81</f>
        <v>843982</v>
      </c>
      <c r="J9" s="24">
        <f t="shared" si="3"/>
        <v>843982</v>
      </c>
      <c r="K9" s="24">
        <f>L81</f>
        <v>97815</v>
      </c>
      <c r="L9" s="24">
        <f t="shared" si="4"/>
        <v>97815</v>
      </c>
      <c r="M9" s="18" t="s">
        <v>1850</v>
      </c>
      <c r="N9" t="s">
        <v>1850</v>
      </c>
      <c r="P9" t="s">
        <v>207</v>
      </c>
      <c r="Q9" t="s">
        <v>1850</v>
      </c>
      <c r="R9" t="s">
        <v>517</v>
      </c>
      <c r="BI9" s="41" t="str">
        <f>HYPERLINK("#내역서!A78","0015 →")</f>
        <v>0015 →</v>
      </c>
    </row>
    <row r="10" spans="1:61" ht="18.399999999999999" customHeight="1" x14ac:dyDescent="0.15">
      <c r="A10" s="11" t="s">
        <v>1223</v>
      </c>
      <c r="B10" s="2" t="s">
        <v>1850</v>
      </c>
      <c r="C10" s="2">
        <v>1</v>
      </c>
      <c r="D10" s="1" t="s">
        <v>1529</v>
      </c>
      <c r="E10" s="24">
        <f t="shared" si="1"/>
        <v>1781955</v>
      </c>
      <c r="F10" s="24">
        <f t="shared" si="0"/>
        <v>1781955</v>
      </c>
      <c r="G10" s="24">
        <f>H87</f>
        <v>1781955</v>
      </c>
      <c r="H10" s="24">
        <f t="shared" si="2"/>
        <v>1781955</v>
      </c>
      <c r="I10" s="24">
        <f>J87</f>
        <v>0</v>
      </c>
      <c r="J10" s="24">
        <f t="shared" si="3"/>
        <v>0</v>
      </c>
      <c r="K10" s="24">
        <f>L87</f>
        <v>0</v>
      </c>
      <c r="L10" s="24">
        <f t="shared" si="4"/>
        <v>0</v>
      </c>
      <c r="M10" s="18" t="s">
        <v>1850</v>
      </c>
      <c r="N10" t="s">
        <v>1850</v>
      </c>
      <c r="P10" t="s">
        <v>1598</v>
      </c>
      <c r="Q10" t="s">
        <v>1850</v>
      </c>
      <c r="R10" t="s">
        <v>1802</v>
      </c>
      <c r="BI10" s="41" t="str">
        <f>HYPERLINK("#내역서!A84","0016 →")</f>
        <v>0016 →</v>
      </c>
    </row>
    <row r="11" spans="1:61" ht="18.399999999999999" customHeight="1" x14ac:dyDescent="0.15">
      <c r="A11" s="11" t="s">
        <v>1805</v>
      </c>
      <c r="B11" s="2" t="s">
        <v>1850</v>
      </c>
      <c r="C11" s="2">
        <v>1</v>
      </c>
      <c r="D11" s="1" t="s">
        <v>1529</v>
      </c>
      <c r="E11" s="24">
        <f t="shared" si="1"/>
        <v>1476182</v>
      </c>
      <c r="F11" s="24">
        <f t="shared" si="0"/>
        <v>1476182</v>
      </c>
      <c r="G11" s="24">
        <f>H100</f>
        <v>100214</v>
      </c>
      <c r="H11" s="24">
        <f t="shared" si="2"/>
        <v>100214</v>
      </c>
      <c r="I11" s="24">
        <f>J100</f>
        <v>120852</v>
      </c>
      <c r="J11" s="24">
        <f t="shared" si="3"/>
        <v>120852</v>
      </c>
      <c r="K11" s="24">
        <f>L100</f>
        <v>1255116</v>
      </c>
      <c r="L11" s="24">
        <f t="shared" si="4"/>
        <v>1255116</v>
      </c>
      <c r="M11" s="18" t="s">
        <v>1850</v>
      </c>
      <c r="N11" t="s">
        <v>1850</v>
      </c>
      <c r="P11" t="s">
        <v>1137</v>
      </c>
      <c r="Q11" t="s">
        <v>1850</v>
      </c>
      <c r="R11" t="s">
        <v>836</v>
      </c>
      <c r="AA11" s="33" t="s">
        <v>1396</v>
      </c>
      <c r="AB11" s="8">
        <f>(내역서!H5+내역서!H6+내역서!H7+내역서!H8+내역서!H9+내역서!H10+내역서!H11)</f>
        <v>12326286</v>
      </c>
      <c r="AC11" s="33" t="s">
        <v>1559</v>
      </c>
      <c r="AD11" s="7">
        <f t="shared" ref="AD11:AD35" si="5">$AB11</f>
        <v>12326286</v>
      </c>
      <c r="BI11" s="41" t="str">
        <f>HYPERLINK("#내역서!A97","0017 →")</f>
        <v>0017 →</v>
      </c>
    </row>
    <row r="12" spans="1:61" ht="18.399999999999999" customHeight="1" x14ac:dyDescent="0.15">
      <c r="A12" s="11" t="s">
        <v>473</v>
      </c>
      <c r="B12" s="2" t="s">
        <v>1850</v>
      </c>
      <c r="C12" s="2">
        <v>1</v>
      </c>
      <c r="D12" s="1" t="s">
        <v>1529</v>
      </c>
      <c r="E12" s="24">
        <f t="shared" si="1"/>
        <v>0</v>
      </c>
      <c r="F12" s="24">
        <f t="shared" si="0"/>
        <v>38007319</v>
      </c>
      <c r="G12" s="1"/>
      <c r="H12" s="24">
        <f>TRUNC((H5+H6+H7+H8+H9+H10+H11),0)</f>
        <v>12326286</v>
      </c>
      <c r="I12" s="1"/>
      <c r="J12" s="24">
        <f>TRUNC((J5+J6+J7+J8+J9+J10+J11),0)</f>
        <v>20981634</v>
      </c>
      <c r="K12" s="1"/>
      <c r="L12" s="24">
        <f>TRUNC((L5+L6+L7+L8+L9+L10+L11),0)</f>
        <v>4699399</v>
      </c>
      <c r="M12" s="18" t="s">
        <v>1850</v>
      </c>
      <c r="N12" t="s">
        <v>1850</v>
      </c>
      <c r="P12" t="s">
        <v>668</v>
      </c>
      <c r="Q12" t="s">
        <v>1217</v>
      </c>
      <c r="R12" t="s">
        <v>1589</v>
      </c>
      <c r="X12" t="s">
        <v>726</v>
      </c>
      <c r="AA12" s="33" t="s">
        <v>213</v>
      </c>
      <c r="AB12" s="8">
        <f>내역서!J12*13.7/100</f>
        <v>2874483.858</v>
      </c>
      <c r="AC12" s="33" t="s">
        <v>762</v>
      </c>
      <c r="AD12" s="7">
        <f t="shared" si="5"/>
        <v>2874483.858</v>
      </c>
    </row>
    <row r="13" spans="1:61" ht="18.399999999999999" customHeight="1" x14ac:dyDescent="0.15">
      <c r="A13" s="56" t="s">
        <v>1851</v>
      </c>
      <c r="B13" s="57"/>
      <c r="C13" s="57"/>
      <c r="D13" s="58"/>
      <c r="E13" s="59"/>
      <c r="F13" s="59">
        <f t="shared" si="0"/>
        <v>316726</v>
      </c>
      <c r="G13" s="58"/>
      <c r="H13" s="59">
        <f>TRUNC(H12/$C$74,0)</f>
        <v>102719</v>
      </c>
      <c r="I13" s="58"/>
      <c r="J13" s="59">
        <f>TRUNC(J12/$C$74,0)</f>
        <v>174846</v>
      </c>
      <c r="K13" s="58"/>
      <c r="L13" s="59">
        <f>TRUNC(L12/$C$74,0)</f>
        <v>39161</v>
      </c>
      <c r="M13" s="60"/>
      <c r="AA13" s="61"/>
      <c r="AB13" s="8"/>
      <c r="AC13" s="61"/>
      <c r="AD13" s="7"/>
      <c r="BI13" s="59">
        <f>TRUNC(F12/$C$74,0)</f>
        <v>316727</v>
      </c>
    </row>
    <row r="14" spans="1:61" ht="18.399999999999999" customHeight="1" x14ac:dyDescent="0.15">
      <c r="A14" s="11" t="s">
        <v>73</v>
      </c>
      <c r="B14" s="2" t="s">
        <v>144</v>
      </c>
      <c r="C14" s="2">
        <v>1</v>
      </c>
      <c r="D14" s="1" t="s">
        <v>1529</v>
      </c>
      <c r="E14" s="24">
        <f t="shared" si="1"/>
        <v>0</v>
      </c>
      <c r="F14" s="24">
        <f t="shared" si="0"/>
        <v>2874483</v>
      </c>
      <c r="G14" s="1"/>
      <c r="H14" s="24">
        <v>0</v>
      </c>
      <c r="I14" s="1"/>
      <c r="J14" s="24">
        <f>TRUNC((J12*13.7/100),0)</f>
        <v>2874483</v>
      </c>
      <c r="K14" s="1"/>
      <c r="L14" s="24">
        <v>0</v>
      </c>
      <c r="M14" s="18" t="s">
        <v>1850</v>
      </c>
      <c r="N14" t="s">
        <v>846</v>
      </c>
      <c r="P14" t="s">
        <v>174</v>
      </c>
      <c r="Q14" t="s">
        <v>1850</v>
      </c>
      <c r="R14" t="s">
        <v>1667</v>
      </c>
      <c r="X14" t="s">
        <v>1406</v>
      </c>
      <c r="AA14" s="33" t="s">
        <v>615</v>
      </c>
      <c r="AB14" s="8">
        <f>(내역서!J12+내역서!J14)*3.56/100</f>
        <v>849277.76519999991</v>
      </c>
      <c r="AC14" s="33" t="s">
        <v>1036</v>
      </c>
      <c r="AD14" s="7">
        <f t="shared" si="5"/>
        <v>849277.76519999991</v>
      </c>
    </row>
    <row r="15" spans="1:61" ht="18.399999999999999" customHeight="1" x14ac:dyDescent="0.15">
      <c r="A15" s="11" t="s">
        <v>516</v>
      </c>
      <c r="B15" s="2" t="s">
        <v>1373</v>
      </c>
      <c r="C15" s="2">
        <v>1</v>
      </c>
      <c r="D15" s="1" t="s">
        <v>1529</v>
      </c>
      <c r="E15" s="24">
        <f t="shared" si="1"/>
        <v>0</v>
      </c>
      <c r="F15" s="24">
        <f t="shared" si="0"/>
        <v>849277</v>
      </c>
      <c r="G15" s="1"/>
      <c r="H15" s="24">
        <v>0</v>
      </c>
      <c r="I15" s="1"/>
      <c r="J15" s="24">
        <v>0</v>
      </c>
      <c r="K15" s="1"/>
      <c r="L15" s="24">
        <f>TRUNC(((J12+J14)*3.56/100),0)</f>
        <v>849277</v>
      </c>
      <c r="M15" s="18" t="s">
        <v>1850</v>
      </c>
      <c r="N15" t="s">
        <v>5</v>
      </c>
      <c r="P15" t="s">
        <v>170</v>
      </c>
      <c r="Q15" t="s">
        <v>1850</v>
      </c>
      <c r="R15" t="s">
        <v>1109</v>
      </c>
      <c r="X15" t="s">
        <v>1430</v>
      </c>
      <c r="AA15" s="33" t="s">
        <v>615</v>
      </c>
      <c r="AB15" s="8">
        <f>(내역서!J12+내역서!J14)*1.01/100</f>
        <v>240946.78170000002</v>
      </c>
      <c r="AC15" s="33" t="s">
        <v>1036</v>
      </c>
      <c r="AD15" s="7">
        <f t="shared" si="5"/>
        <v>240946.78170000002</v>
      </c>
    </row>
    <row r="16" spans="1:61" ht="18.399999999999999" customHeight="1" x14ac:dyDescent="0.15">
      <c r="A16" s="11" t="s">
        <v>412</v>
      </c>
      <c r="B16" s="2" t="s">
        <v>1048</v>
      </c>
      <c r="C16" s="2">
        <v>1</v>
      </c>
      <c r="D16" s="1" t="s">
        <v>1529</v>
      </c>
      <c r="E16" s="24">
        <f t="shared" si="1"/>
        <v>0</v>
      </c>
      <c r="F16" s="24">
        <f t="shared" si="0"/>
        <v>240946</v>
      </c>
      <c r="G16" s="1"/>
      <c r="H16" s="24">
        <v>0</v>
      </c>
      <c r="I16" s="1"/>
      <c r="J16" s="24">
        <v>0</v>
      </c>
      <c r="K16" s="1"/>
      <c r="L16" s="24">
        <f>TRUNC(((J12+J14)*1.01/100),0)</f>
        <v>240946</v>
      </c>
      <c r="M16" s="18" t="s">
        <v>1850</v>
      </c>
      <c r="N16" t="s">
        <v>1666</v>
      </c>
      <c r="P16" t="s">
        <v>633</v>
      </c>
      <c r="Q16" t="s">
        <v>1850</v>
      </c>
      <c r="R16" t="s">
        <v>845</v>
      </c>
      <c r="X16" t="s">
        <v>224</v>
      </c>
      <c r="AA16" s="33" t="s">
        <v>615</v>
      </c>
      <c r="AB16" s="8">
        <f>내역서!J12*3.545/100</f>
        <v>743798.9253</v>
      </c>
      <c r="AC16" s="33" t="s">
        <v>1036</v>
      </c>
      <c r="AD16" s="7">
        <f t="shared" si="5"/>
        <v>743798.9253</v>
      </c>
    </row>
    <row r="17" spans="1:30" ht="18.399999999999999" customHeight="1" x14ac:dyDescent="0.15">
      <c r="A17" s="11" t="s">
        <v>420</v>
      </c>
      <c r="B17" s="2" t="s">
        <v>553</v>
      </c>
      <c r="C17" s="2">
        <v>1</v>
      </c>
      <c r="D17" s="1" t="s">
        <v>1529</v>
      </c>
      <c r="E17" s="24">
        <f t="shared" si="1"/>
        <v>0</v>
      </c>
      <c r="F17" s="24">
        <f t="shared" si="0"/>
        <v>743798</v>
      </c>
      <c r="G17" s="1"/>
      <c r="H17" s="24">
        <v>0</v>
      </c>
      <c r="I17" s="1"/>
      <c r="J17" s="24">
        <v>0</v>
      </c>
      <c r="K17" s="1"/>
      <c r="L17" s="24">
        <f>TRUNC((J12*3.545/100),0)</f>
        <v>743798</v>
      </c>
      <c r="M17" s="18" t="s">
        <v>1850</v>
      </c>
      <c r="N17" t="s">
        <v>955</v>
      </c>
      <c r="P17" t="s">
        <v>1131</v>
      </c>
      <c r="Q17" t="s">
        <v>1850</v>
      </c>
      <c r="R17" t="s">
        <v>1739</v>
      </c>
      <c r="X17" t="s">
        <v>1773</v>
      </c>
      <c r="AA17" s="33" t="s">
        <v>615</v>
      </c>
      <c r="AB17" s="8">
        <f>내역서!L17*12.95/100</f>
        <v>96321.841</v>
      </c>
      <c r="AC17" s="33" t="s">
        <v>1036</v>
      </c>
      <c r="AD17" s="7">
        <f t="shared" si="5"/>
        <v>96321.841</v>
      </c>
    </row>
    <row r="18" spans="1:30" ht="18.399999999999999" customHeight="1" x14ac:dyDescent="0.15">
      <c r="A18" s="11" t="s">
        <v>367</v>
      </c>
      <c r="B18" s="2" t="s">
        <v>552</v>
      </c>
      <c r="C18" s="2">
        <v>1</v>
      </c>
      <c r="D18" s="1" t="s">
        <v>1529</v>
      </c>
      <c r="E18" s="24">
        <f t="shared" si="1"/>
        <v>0</v>
      </c>
      <c r="F18" s="24">
        <f t="shared" si="0"/>
        <v>96321</v>
      </c>
      <c r="G18" s="1"/>
      <c r="H18" s="24">
        <v>0</v>
      </c>
      <c r="I18" s="1"/>
      <c r="J18" s="24">
        <v>0</v>
      </c>
      <c r="K18" s="1"/>
      <c r="L18" s="24">
        <f>TRUNC((L17*12.95/100),0)</f>
        <v>96321</v>
      </c>
      <c r="M18" s="18" t="s">
        <v>1850</v>
      </c>
      <c r="N18" t="s">
        <v>1557</v>
      </c>
      <c r="P18" t="s">
        <v>1581</v>
      </c>
      <c r="Q18" t="s">
        <v>1850</v>
      </c>
      <c r="R18" t="s">
        <v>479</v>
      </c>
      <c r="X18" t="s">
        <v>1484</v>
      </c>
      <c r="AA18" s="33" t="s">
        <v>615</v>
      </c>
      <c r="AB18" s="8">
        <f>내역서!J12*4.5/100</f>
        <v>944173.53</v>
      </c>
      <c r="AC18" s="33" t="s">
        <v>1036</v>
      </c>
      <c r="AD18" s="7">
        <f t="shared" si="5"/>
        <v>944173.53</v>
      </c>
    </row>
    <row r="19" spans="1:30" ht="18.399999999999999" customHeight="1" x14ac:dyDescent="0.15">
      <c r="A19" s="11" t="s">
        <v>76</v>
      </c>
      <c r="B19" s="2" t="s">
        <v>820</v>
      </c>
      <c r="C19" s="2">
        <v>1</v>
      </c>
      <c r="D19" s="1" t="s">
        <v>1529</v>
      </c>
      <c r="E19" s="24">
        <f t="shared" si="1"/>
        <v>0</v>
      </c>
      <c r="F19" s="24">
        <f t="shared" si="0"/>
        <v>944173</v>
      </c>
      <c r="G19" s="1"/>
      <c r="H19" s="24">
        <v>0</v>
      </c>
      <c r="I19" s="1"/>
      <c r="J19" s="24">
        <v>0</v>
      </c>
      <c r="K19" s="1"/>
      <c r="L19" s="24">
        <f>TRUNC((J12*4.5/100),0)</f>
        <v>944173</v>
      </c>
      <c r="M19" s="18" t="s">
        <v>1850</v>
      </c>
      <c r="N19" t="s">
        <v>761</v>
      </c>
      <c r="P19" t="s">
        <v>122</v>
      </c>
      <c r="Q19" t="s">
        <v>1850</v>
      </c>
      <c r="R19" t="s">
        <v>1785</v>
      </c>
      <c r="X19" t="s">
        <v>964</v>
      </c>
      <c r="AA19" s="33" t="s">
        <v>615</v>
      </c>
      <c r="AB19" s="8">
        <f>내역서!J12*2.3/100</f>
        <v>482577.58199999994</v>
      </c>
      <c r="AC19" s="33" t="s">
        <v>1036</v>
      </c>
      <c r="AD19" s="7">
        <f t="shared" si="5"/>
        <v>482577.58199999994</v>
      </c>
    </row>
    <row r="20" spans="1:30" ht="18.399999999999999" customHeight="1" x14ac:dyDescent="0.15">
      <c r="A20" s="11" t="s">
        <v>1694</v>
      </c>
      <c r="B20" s="2" t="s">
        <v>417</v>
      </c>
      <c r="C20" s="2">
        <v>1</v>
      </c>
      <c r="D20" s="1" t="s">
        <v>1529</v>
      </c>
      <c r="E20" s="24">
        <f t="shared" si="1"/>
        <v>0</v>
      </c>
      <c r="F20" s="24">
        <f t="shared" si="0"/>
        <v>482577</v>
      </c>
      <c r="G20" s="1"/>
      <c r="H20" s="24">
        <v>0</v>
      </c>
      <c r="I20" s="1"/>
      <c r="J20" s="24">
        <v>0</v>
      </c>
      <c r="K20" s="1"/>
      <c r="L20" s="24">
        <f>TRUNC((J12*2.3/100),0)</f>
        <v>482577</v>
      </c>
      <c r="M20" s="18" t="s">
        <v>1850</v>
      </c>
      <c r="N20" t="s">
        <v>712</v>
      </c>
      <c r="P20" t="s">
        <v>608</v>
      </c>
      <c r="Q20" t="s">
        <v>1850</v>
      </c>
      <c r="R20" t="s">
        <v>1471</v>
      </c>
      <c r="X20" t="s">
        <v>1677</v>
      </c>
      <c r="AA20" s="33" t="s">
        <v>615</v>
      </c>
      <c r="AB20" s="8">
        <f>(내역서!H12+내역서!J12)*2.93/100</f>
        <v>975922.0560000001</v>
      </c>
      <c r="AC20" s="33" t="s">
        <v>1036</v>
      </c>
      <c r="AD20" s="7">
        <f t="shared" si="5"/>
        <v>975922.0560000001</v>
      </c>
    </row>
    <row r="21" spans="1:30" ht="18.399999999999999" customHeight="1" x14ac:dyDescent="0.15">
      <c r="A21" s="11" t="s">
        <v>444</v>
      </c>
      <c r="B21" s="2" t="s">
        <v>9</v>
      </c>
      <c r="C21" s="2">
        <v>1</v>
      </c>
      <c r="D21" s="1" t="s">
        <v>1529</v>
      </c>
      <c r="E21" s="24">
        <f t="shared" si="1"/>
        <v>0</v>
      </c>
      <c r="F21" s="24">
        <f t="shared" si="0"/>
        <v>975922</v>
      </c>
      <c r="G21" s="1"/>
      <c r="H21" s="24">
        <v>0</v>
      </c>
      <c r="I21" s="1"/>
      <c r="J21" s="24">
        <v>0</v>
      </c>
      <c r="K21" s="1"/>
      <c r="L21" s="24">
        <f>TRUNC(((H12+J12)*2.93/100),0)</f>
        <v>975922</v>
      </c>
      <c r="M21" s="18" t="s">
        <v>1850</v>
      </c>
      <c r="N21" t="s">
        <v>195</v>
      </c>
      <c r="P21" t="s">
        <v>1097</v>
      </c>
      <c r="Q21" t="s">
        <v>1850</v>
      </c>
      <c r="R21" t="s">
        <v>1041</v>
      </c>
      <c r="X21" t="s">
        <v>1601</v>
      </c>
      <c r="AA21" s="33" t="s">
        <v>615</v>
      </c>
      <c r="AB21" s="8">
        <f>(내역서!H12+내역서!J12+내역서!J14)*6.5/100</f>
        <v>2351856.1949999998</v>
      </c>
      <c r="AC21" s="33" t="s">
        <v>1036</v>
      </c>
      <c r="AD21" s="7">
        <f t="shared" si="5"/>
        <v>2351856.1949999998</v>
      </c>
    </row>
    <row r="22" spans="1:30" ht="18.399999999999999" customHeight="1" x14ac:dyDescent="0.15">
      <c r="A22" s="11" t="s">
        <v>387</v>
      </c>
      <c r="B22" s="2" t="s">
        <v>1331</v>
      </c>
      <c r="C22" s="2">
        <v>1</v>
      </c>
      <c r="D22" s="1" t="s">
        <v>1529</v>
      </c>
      <c r="E22" s="24">
        <f t="shared" si="1"/>
        <v>0</v>
      </c>
      <c r="F22" s="24">
        <f t="shared" si="0"/>
        <v>2351856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2351856</v>
      </c>
      <c r="M22" s="18" t="s">
        <v>1850</v>
      </c>
      <c r="N22" t="s">
        <v>1546</v>
      </c>
      <c r="P22" t="s">
        <v>1549</v>
      </c>
      <c r="Q22" t="s">
        <v>1850</v>
      </c>
      <c r="R22" t="s">
        <v>509</v>
      </c>
      <c r="X22" t="s">
        <v>746</v>
      </c>
      <c r="AA22" s="33" t="s">
        <v>615</v>
      </c>
      <c r="AB22" s="8">
        <f>0*0/100</f>
        <v>0</v>
      </c>
      <c r="AC22" s="33" t="s">
        <v>1036</v>
      </c>
      <c r="AD22" s="7">
        <f t="shared" si="5"/>
        <v>0</v>
      </c>
    </row>
    <row r="23" spans="1:30" ht="18.399999999999999" customHeight="1" x14ac:dyDescent="0.15">
      <c r="A23" s="11" t="s">
        <v>545</v>
      </c>
      <c r="B23" s="2" t="s">
        <v>1850</v>
      </c>
      <c r="C23" s="2">
        <v>1</v>
      </c>
      <c r="D23" s="1" t="s">
        <v>1529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1850</v>
      </c>
      <c r="N23" t="s">
        <v>1096</v>
      </c>
      <c r="P23" t="s">
        <v>230</v>
      </c>
      <c r="Q23" t="s">
        <v>1850</v>
      </c>
      <c r="R23" t="s">
        <v>14</v>
      </c>
      <c r="X23" t="s">
        <v>161</v>
      </c>
      <c r="AA23" s="33" t="s">
        <v>615</v>
      </c>
      <c r="AB23" s="8">
        <f>(내역서!H12+내역서!J12+내역서!L12)*0.081/100</f>
        <v>30785.928390000001</v>
      </c>
      <c r="AC23" s="33" t="s">
        <v>1036</v>
      </c>
      <c r="AD23" s="7">
        <f t="shared" si="5"/>
        <v>30785.928390000001</v>
      </c>
    </row>
    <row r="24" spans="1:30" ht="18.399999999999999" customHeight="1" x14ac:dyDescent="0.15">
      <c r="A24" s="11" t="s">
        <v>1801</v>
      </c>
      <c r="B24" s="2" t="s">
        <v>1317</v>
      </c>
      <c r="C24" s="2">
        <v>1</v>
      </c>
      <c r="D24" s="1" t="s">
        <v>1529</v>
      </c>
      <c r="E24" s="24">
        <f t="shared" si="1"/>
        <v>0</v>
      </c>
      <c r="F24" s="24">
        <f t="shared" si="0"/>
        <v>30785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30785</v>
      </c>
      <c r="M24" s="18" t="s">
        <v>1850</v>
      </c>
      <c r="N24" t="s">
        <v>675</v>
      </c>
      <c r="P24" t="s">
        <v>717</v>
      </c>
      <c r="Q24" t="s">
        <v>1850</v>
      </c>
      <c r="R24" t="s">
        <v>1437</v>
      </c>
      <c r="X24" t="s">
        <v>1386</v>
      </c>
      <c r="AA24" s="33" t="s">
        <v>615</v>
      </c>
      <c r="AB24" s="8">
        <f>(내역서!H12+내역서!J12+내역서!L12)*0.5/100</f>
        <v>190036.595</v>
      </c>
      <c r="AC24" s="33" t="s">
        <v>1036</v>
      </c>
      <c r="AD24" s="7">
        <f t="shared" si="5"/>
        <v>190036.595</v>
      </c>
    </row>
    <row r="25" spans="1:30" ht="18.399999999999999" customHeight="1" x14ac:dyDescent="0.15">
      <c r="A25" s="11" t="s">
        <v>1804</v>
      </c>
      <c r="B25" s="2" t="s">
        <v>1110</v>
      </c>
      <c r="C25" s="2">
        <v>1</v>
      </c>
      <c r="D25" s="1" t="s">
        <v>1529</v>
      </c>
      <c r="E25" s="24">
        <f t="shared" si="1"/>
        <v>0</v>
      </c>
      <c r="F25" s="24">
        <f t="shared" si="0"/>
        <v>190036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190036</v>
      </c>
      <c r="M25" s="18" t="s">
        <v>1850</v>
      </c>
      <c r="N25" t="s">
        <v>158</v>
      </c>
      <c r="P25" t="s">
        <v>573</v>
      </c>
      <c r="Q25" t="s">
        <v>1850</v>
      </c>
      <c r="R25" t="s">
        <v>1009</v>
      </c>
      <c r="X25" t="s">
        <v>280</v>
      </c>
      <c r="AA25" s="33" t="s">
        <v>615</v>
      </c>
      <c r="AB25" s="8">
        <f>(내역서!H12+내역서!J12+내역서!L12)*0.51/100</f>
        <v>193837.32690000001</v>
      </c>
      <c r="AC25" s="33" t="s">
        <v>1036</v>
      </c>
      <c r="AD25" s="7">
        <f t="shared" si="5"/>
        <v>193837.32690000001</v>
      </c>
    </row>
    <row r="26" spans="1:30" ht="18.399999999999999" customHeight="1" x14ac:dyDescent="0.15">
      <c r="A26" s="11" t="s">
        <v>1338</v>
      </c>
      <c r="B26" s="2" t="s">
        <v>404</v>
      </c>
      <c r="C26" s="2">
        <v>1</v>
      </c>
      <c r="D26" s="1" t="s">
        <v>1529</v>
      </c>
      <c r="E26" s="24">
        <f t="shared" si="1"/>
        <v>0</v>
      </c>
      <c r="F26" s="24">
        <f t="shared" si="0"/>
        <v>193837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193837</v>
      </c>
      <c r="M26" s="18" t="s">
        <v>1850</v>
      </c>
      <c r="N26" t="s">
        <v>1446</v>
      </c>
      <c r="P26" t="s">
        <v>95</v>
      </c>
      <c r="Q26" t="s">
        <v>1850</v>
      </c>
      <c r="R26" t="s">
        <v>654</v>
      </c>
      <c r="X26" t="s">
        <v>734</v>
      </c>
      <c r="AA26" s="33" t="s">
        <v>615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2878879.8</v>
      </c>
      <c r="AC26" s="33" t="s">
        <v>1036</v>
      </c>
      <c r="AD26" s="7">
        <f t="shared" si="5"/>
        <v>2878879.8</v>
      </c>
    </row>
    <row r="27" spans="1:30" ht="18.399999999999999" customHeight="1" x14ac:dyDescent="0.15">
      <c r="A27" s="11" t="s">
        <v>984</v>
      </c>
      <c r="B27" s="2" t="s">
        <v>190</v>
      </c>
      <c r="C27" s="2">
        <v>1</v>
      </c>
      <c r="D27" s="1" t="s">
        <v>1529</v>
      </c>
      <c r="E27" s="24">
        <f t="shared" si="1"/>
        <v>0</v>
      </c>
      <c r="F27" s="24">
        <f t="shared" si="0"/>
        <v>2878879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2878879</v>
      </c>
      <c r="M27" s="18" t="s">
        <v>1850</v>
      </c>
      <c r="N27" t="s">
        <v>1665</v>
      </c>
      <c r="P27" t="s">
        <v>1522</v>
      </c>
      <c r="Q27" t="s">
        <v>1850</v>
      </c>
      <c r="R27" t="s">
        <v>844</v>
      </c>
      <c r="X27" t="s">
        <v>1166</v>
      </c>
      <c r="AA27" s="33" t="s">
        <v>615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5780088.4500000002</v>
      </c>
      <c r="AC27" s="33" t="s">
        <v>1036</v>
      </c>
      <c r="AD27" s="7">
        <f t="shared" si="5"/>
        <v>5780088.4500000002</v>
      </c>
    </row>
    <row r="28" spans="1:30" ht="18.399999999999999" customHeight="1" x14ac:dyDescent="0.15">
      <c r="A28" s="11" t="s">
        <v>725</v>
      </c>
      <c r="B28" s="2" t="s">
        <v>1055</v>
      </c>
      <c r="C28" s="2">
        <v>1</v>
      </c>
      <c r="D28" s="1" t="s">
        <v>1529</v>
      </c>
      <c r="E28" s="24">
        <f t="shared" si="1"/>
        <v>0</v>
      </c>
      <c r="F28" s="24">
        <f t="shared" si="0"/>
        <v>5780088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5780088</v>
      </c>
      <c r="M28" s="18" t="s">
        <v>1850</v>
      </c>
      <c r="N28" t="s">
        <v>1159</v>
      </c>
      <c r="P28" t="s">
        <v>1068</v>
      </c>
      <c r="Q28" t="s">
        <v>1850</v>
      </c>
      <c r="R28" t="s">
        <v>63</v>
      </c>
      <c r="X28" t="s">
        <v>1400</v>
      </c>
      <c r="AA28" s="33" t="s">
        <v>615</v>
      </c>
      <c r="AB28" s="8">
        <f>0*0/100</f>
        <v>0</v>
      </c>
      <c r="AC28" s="33" t="s">
        <v>1036</v>
      </c>
      <c r="AD28" s="7">
        <f t="shared" si="5"/>
        <v>0</v>
      </c>
    </row>
    <row r="29" spans="1:30" ht="18.399999999999999" customHeight="1" x14ac:dyDescent="0.15">
      <c r="A29" s="11" t="s">
        <v>349</v>
      </c>
      <c r="B29" s="2" t="s">
        <v>1850</v>
      </c>
      <c r="C29" s="2">
        <v>1</v>
      </c>
      <c r="D29" s="1" t="s">
        <v>1529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1850</v>
      </c>
      <c r="N29" t="s">
        <v>403</v>
      </c>
      <c r="P29" t="s">
        <v>544</v>
      </c>
      <c r="Q29" t="s">
        <v>1850</v>
      </c>
      <c r="R29" t="s">
        <v>1231</v>
      </c>
      <c r="X29" t="s">
        <v>161</v>
      </c>
      <c r="AA29" s="33" t="s">
        <v>615</v>
      </c>
      <c r="AB29" s="8">
        <f>0*0/100+305660</f>
        <v>305660</v>
      </c>
      <c r="AC29" s="33" t="s">
        <v>1036</v>
      </c>
      <c r="AD29" s="7">
        <f t="shared" si="5"/>
        <v>305660</v>
      </c>
    </row>
    <row r="30" spans="1:30" ht="18.399999999999999" customHeight="1" x14ac:dyDescent="0.15">
      <c r="A30" s="11" t="s">
        <v>649</v>
      </c>
      <c r="B30" s="2" t="s">
        <v>1850</v>
      </c>
      <c r="C30" s="2">
        <v>1</v>
      </c>
      <c r="D30" s="1" t="s">
        <v>1529</v>
      </c>
      <c r="E30" s="24">
        <f t="shared" si="1"/>
        <v>0</v>
      </c>
      <c r="F30" s="24">
        <f t="shared" si="0"/>
        <v>305660</v>
      </c>
      <c r="G30" s="1"/>
      <c r="H30" s="24">
        <v>0</v>
      </c>
      <c r="I30" s="1"/>
      <c r="J30" s="24">
        <v>0</v>
      </c>
      <c r="K30" s="1"/>
      <c r="L30" s="24">
        <f>TRUNC((0*0/100+305660),0)</f>
        <v>305660</v>
      </c>
      <c r="M30" s="18" t="s">
        <v>1850</v>
      </c>
      <c r="N30" t="s">
        <v>1081</v>
      </c>
      <c r="P30" t="s">
        <v>72</v>
      </c>
      <c r="Q30" t="s">
        <v>1850</v>
      </c>
      <c r="R30" t="s">
        <v>23</v>
      </c>
      <c r="X30" t="s">
        <v>388</v>
      </c>
      <c r="AA30" s="33" t="s">
        <v>615</v>
      </c>
      <c r="AB30" s="8">
        <f>0*0/100</f>
        <v>0</v>
      </c>
      <c r="AC30" s="33" t="s">
        <v>1036</v>
      </c>
      <c r="AD30" s="7">
        <f t="shared" si="5"/>
        <v>0</v>
      </c>
    </row>
    <row r="31" spans="1:30" ht="18.399999999999999" customHeight="1" x14ac:dyDescent="0.15">
      <c r="A31" s="11" t="s">
        <v>366</v>
      </c>
      <c r="B31" s="2" t="s">
        <v>1850</v>
      </c>
      <c r="C31" s="2">
        <v>1</v>
      </c>
      <c r="D31" s="1" t="s">
        <v>1529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1850</v>
      </c>
      <c r="N31" t="s">
        <v>1214</v>
      </c>
      <c r="P31" t="s">
        <v>1488</v>
      </c>
      <c r="Q31" t="s">
        <v>1850</v>
      </c>
      <c r="R31" t="s">
        <v>421</v>
      </c>
      <c r="X31" t="s">
        <v>161</v>
      </c>
      <c r="AA31" s="33" t="s">
        <v>615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56945957</v>
      </c>
      <c r="AC31" s="33" t="s">
        <v>1036</v>
      </c>
      <c r="AD31" s="7">
        <f t="shared" si="5"/>
        <v>56945957</v>
      </c>
    </row>
    <row r="32" spans="1:30" ht="18.399999999999999" customHeight="1" x14ac:dyDescent="0.15">
      <c r="A32" s="11" t="s">
        <v>194</v>
      </c>
      <c r="B32" s="2"/>
      <c r="C32" s="2">
        <v>1</v>
      </c>
      <c r="D32" s="1" t="s">
        <v>1529</v>
      </c>
      <c r="E32" s="24">
        <f t="shared" si="1"/>
        <v>0</v>
      </c>
      <c r="F32" s="24">
        <f t="shared" si="0"/>
        <v>56945957</v>
      </c>
      <c r="G32" s="1"/>
      <c r="H32" s="24">
        <f>TRUNC((+H12+H14+H15+H16+H17+H18+H19+H20+H21+H22+H23+H24+H25+H26+H27+H28+H29+H30+H31),0)</f>
        <v>12326286</v>
      </c>
      <c r="I32" s="1"/>
      <c r="J32" s="24">
        <f>TRUNC((+J12+J14+J15+J16+J17+J18+J19+J20+J21+J22+J23+J24+J25+J26+J27+J28+J29+J30+J31),0)</f>
        <v>23856117</v>
      </c>
      <c r="K32" s="1"/>
      <c r="L32" s="24">
        <f>TRUNC((+L12+L14+L15+L16+L17+L18+L19+L20+L21+L22+L23+L24+L25+L26+L27+L28+L29+L30+L31),0)</f>
        <v>20763554</v>
      </c>
      <c r="M32" s="18" t="s">
        <v>1850</v>
      </c>
      <c r="N32" t="s">
        <v>1217</v>
      </c>
      <c r="P32" t="s">
        <v>1040</v>
      </c>
      <c r="Q32" t="s">
        <v>1217</v>
      </c>
      <c r="R32" t="s">
        <v>724</v>
      </c>
      <c r="X32" t="s">
        <v>786</v>
      </c>
      <c r="AA32" s="33" t="s">
        <v>615</v>
      </c>
      <c r="AB32" s="8">
        <f>[1]내역서!L32*10/100</f>
        <v>1916542.3</v>
      </c>
      <c r="AC32" s="33" t="s">
        <v>1036</v>
      </c>
      <c r="AD32" s="7">
        <f t="shared" si="5"/>
        <v>1916542.3</v>
      </c>
    </row>
    <row r="33" spans="1:61" ht="18.399999999999999" customHeight="1" x14ac:dyDescent="0.15">
      <c r="A33" s="11" t="s">
        <v>1779</v>
      </c>
      <c r="B33" s="2" t="s">
        <v>141</v>
      </c>
      <c r="C33" s="2">
        <v>1</v>
      </c>
      <c r="D33" s="1" t="s">
        <v>1529</v>
      </c>
      <c r="E33" s="24">
        <f t="shared" si="1"/>
        <v>0</v>
      </c>
      <c r="F33" s="24">
        <f t="shared" si="0"/>
        <v>5694595</v>
      </c>
      <c r="G33" s="1"/>
      <c r="H33" s="24">
        <v>0</v>
      </c>
      <c r="I33" s="1"/>
      <c r="J33" s="24">
        <v>0</v>
      </c>
      <c r="K33" s="1"/>
      <c r="L33" s="24">
        <f>TRUNC((F32*10/100),0)</f>
        <v>5694595</v>
      </c>
      <c r="M33" s="18" t="s">
        <v>1850</v>
      </c>
      <c r="N33" t="s">
        <v>1230</v>
      </c>
      <c r="P33" t="s">
        <v>523</v>
      </c>
      <c r="Q33" t="s">
        <v>1850</v>
      </c>
      <c r="R33" t="s">
        <v>402</v>
      </c>
      <c r="X33" t="s">
        <v>903</v>
      </c>
      <c r="AA33" s="33" t="s">
        <v>615</v>
      </c>
      <c r="AB33" s="8">
        <f>0*0/100</f>
        <v>0</v>
      </c>
      <c r="AC33" s="33" t="s">
        <v>1036</v>
      </c>
      <c r="AD33" s="7">
        <f t="shared" si="5"/>
        <v>0</v>
      </c>
    </row>
    <row r="34" spans="1:61" ht="18.399999999999999" customHeight="1" x14ac:dyDescent="0.15">
      <c r="A34" s="11" t="s">
        <v>3</v>
      </c>
      <c r="B34" s="2" t="s">
        <v>1850</v>
      </c>
      <c r="C34" s="2">
        <v>1</v>
      </c>
      <c r="D34" s="1" t="s">
        <v>1529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1850</v>
      </c>
      <c r="N34" t="s">
        <v>65</v>
      </c>
      <c r="P34" t="s">
        <v>41</v>
      </c>
      <c r="Q34" t="s">
        <v>1850</v>
      </c>
      <c r="R34" t="s">
        <v>1152</v>
      </c>
      <c r="X34" t="s">
        <v>161</v>
      </c>
      <c r="AA34" s="33" t="s">
        <v>615</v>
      </c>
      <c r="AB34" s="8">
        <f>0*0/100</f>
        <v>0</v>
      </c>
      <c r="AC34" s="33" t="s">
        <v>1036</v>
      </c>
      <c r="AD34" s="7">
        <f t="shared" si="5"/>
        <v>0</v>
      </c>
    </row>
    <row r="35" spans="1:61" ht="18.399999999999999" customHeight="1" x14ac:dyDescent="0.15">
      <c r="A35" s="11" t="s">
        <v>231</v>
      </c>
      <c r="B35" s="2" t="s">
        <v>1850</v>
      </c>
      <c r="C35" s="2">
        <v>1</v>
      </c>
      <c r="D35" s="1" t="s">
        <v>1529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1850</v>
      </c>
      <c r="N35" t="s">
        <v>1144</v>
      </c>
      <c r="P35" t="s">
        <v>936</v>
      </c>
      <c r="Q35" t="s">
        <v>1850</v>
      </c>
      <c r="R35" t="s">
        <v>74</v>
      </c>
      <c r="X35" t="s">
        <v>161</v>
      </c>
      <c r="AA35" s="33" t="s">
        <v>615</v>
      </c>
      <c r="AB35" s="8">
        <f>[1]내역서!L32+[1]내역서!L33+[1]내역서!L34+[1]내역서!L35</f>
        <v>24307794</v>
      </c>
      <c r="AC35" s="33" t="s">
        <v>1036</v>
      </c>
      <c r="AD35" s="7">
        <f t="shared" si="5"/>
        <v>24307794</v>
      </c>
    </row>
    <row r="36" spans="1:61" ht="18.399999999999999" customHeight="1" x14ac:dyDescent="0.15">
      <c r="A36" s="11" t="s">
        <v>153</v>
      </c>
      <c r="B36" s="2"/>
      <c r="C36" s="2">
        <v>1</v>
      </c>
      <c r="D36" s="1" t="s">
        <v>1529</v>
      </c>
      <c r="E36" s="24">
        <f t="shared" si="1"/>
        <v>0</v>
      </c>
      <c r="F36" s="24">
        <f t="shared" si="0"/>
        <v>62640552</v>
      </c>
      <c r="G36" s="1"/>
      <c r="H36" s="24">
        <f>TRUNC((H32+H33+H34+H35),0)</f>
        <v>12326286</v>
      </c>
      <c r="I36" s="1"/>
      <c r="J36" s="24">
        <f>TRUNC((J32+J33+J34+J35),0)</f>
        <v>23856117</v>
      </c>
      <c r="K36" s="1"/>
      <c r="L36" s="24">
        <f>TRUNC((L32+L33+L34+L35),0)</f>
        <v>26458149</v>
      </c>
      <c r="M36" s="18" t="s">
        <v>1850</v>
      </c>
      <c r="N36" t="s">
        <v>1217</v>
      </c>
      <c r="P36" t="s">
        <v>443</v>
      </c>
      <c r="Q36" t="s">
        <v>1217</v>
      </c>
      <c r="R36" t="s">
        <v>724</v>
      </c>
      <c r="X36" t="s">
        <v>752</v>
      </c>
    </row>
    <row r="37" spans="1:61" s="62" customFormat="1" ht="18.399999999999999" customHeight="1" x14ac:dyDescent="0.15">
      <c r="A37" s="56" t="s">
        <v>1852</v>
      </c>
      <c r="B37" s="57"/>
      <c r="C37" s="57"/>
      <c r="D37" s="58"/>
      <c r="E37" s="59"/>
      <c r="F37" s="59">
        <f>H37+J37+L37</f>
        <v>522003</v>
      </c>
      <c r="G37" s="58"/>
      <c r="H37" s="59">
        <f>TRUNC(H36/$C$74,0)</f>
        <v>102719</v>
      </c>
      <c r="I37" s="58"/>
      <c r="J37" s="59">
        <f>TRUNC(J36/$C$74,0)</f>
        <v>198800</v>
      </c>
      <c r="K37" s="58"/>
      <c r="L37" s="59">
        <f>TRUNC(L36/$C$74,0)</f>
        <v>220484</v>
      </c>
      <c r="M37" s="60"/>
      <c r="AA37" s="63"/>
      <c r="AB37" s="64"/>
      <c r="AC37" s="63"/>
      <c r="AD37" s="65"/>
      <c r="BI37" s="59">
        <f>TRUNC(F36/$C$74,0)</f>
        <v>522004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1577</v>
      </c>
      <c r="B39" s="2" t="s">
        <v>1850</v>
      </c>
      <c r="C39" s="2">
        <v>1</v>
      </c>
      <c r="D39" s="1" t="s">
        <v>1529</v>
      </c>
      <c r="F39" s="24">
        <f t="shared" ref="F39:F48" si="6">H39+J39+L39</f>
        <v>604977</v>
      </c>
      <c r="H39" s="24">
        <f>TRUNC(H40+H41+H42+H43+H44+H45+H46+H47+H48,0)</f>
        <v>64673</v>
      </c>
      <c r="J39" s="24">
        <f>TRUNC(J40+J41+J42+J43+J44+J45+J46+J47+J48,0)</f>
        <v>445600</v>
      </c>
      <c r="L39" s="24">
        <f>TRUNC(L40+L41+L42+L43+L44+L45+L46+L47+L48,0)</f>
        <v>94704</v>
      </c>
      <c r="M39" s="18" t="s">
        <v>1850</v>
      </c>
      <c r="N39" t="s">
        <v>1850</v>
      </c>
      <c r="O39" t="s">
        <v>698</v>
      </c>
    </row>
    <row r="40" spans="1:61" ht="18.399999999999999" customHeight="1" x14ac:dyDescent="0.15">
      <c r="A40" s="11" t="s">
        <v>1436</v>
      </c>
      <c r="B40" s="2" t="s">
        <v>915</v>
      </c>
      <c r="C40" s="2">
        <v>6.5</v>
      </c>
      <c r="D40" s="1" t="s">
        <v>1372</v>
      </c>
      <c r="E40" s="24">
        <f t="shared" ref="E40:E48" si="7">G40+I40+K40</f>
        <v>13584</v>
      </c>
      <c r="F40" s="24">
        <f t="shared" si="6"/>
        <v>88295</v>
      </c>
      <c r="G40" s="24">
        <f>일위대가목록!F3</f>
        <v>1089</v>
      </c>
      <c r="H40" s="24">
        <f t="shared" ref="H40:H48" si="8">TRUNC(G40*C40,0)</f>
        <v>7078</v>
      </c>
      <c r="I40" s="24">
        <f>일위대가목록!G3</f>
        <v>10747</v>
      </c>
      <c r="J40" s="24">
        <f t="shared" ref="J40:J48" si="9">TRUNC(I40*C40,0)</f>
        <v>69855</v>
      </c>
      <c r="K40" s="24">
        <f>일위대가목록!H3</f>
        <v>1748</v>
      </c>
      <c r="L40" s="24">
        <f t="shared" ref="L40:L48" si="10">TRUNC(K40*C40,0)</f>
        <v>11362</v>
      </c>
      <c r="M40" s="18" t="s">
        <v>514</v>
      </c>
      <c r="N40" t="s">
        <v>1850</v>
      </c>
      <c r="P40" t="s">
        <v>239</v>
      </c>
      <c r="Q40" t="s">
        <v>1850</v>
      </c>
      <c r="R40" t="s">
        <v>1275</v>
      </c>
      <c r="T40" t="s">
        <v>1589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375</v>
      </c>
      <c r="B41" s="2" t="s">
        <v>2</v>
      </c>
      <c r="C41" s="2">
        <v>2.62</v>
      </c>
      <c r="D41" s="1" t="s">
        <v>1372</v>
      </c>
      <c r="E41" s="24">
        <f t="shared" si="7"/>
        <v>43041</v>
      </c>
      <c r="F41" s="24">
        <f t="shared" si="6"/>
        <v>112767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112767</v>
      </c>
      <c r="K41" s="24">
        <f>일위대가목록!H20</f>
        <v>0</v>
      </c>
      <c r="L41" s="24">
        <f t="shared" si="10"/>
        <v>0</v>
      </c>
      <c r="M41" s="18" t="s">
        <v>1684</v>
      </c>
      <c r="N41" t="s">
        <v>1850</v>
      </c>
      <c r="P41" t="s">
        <v>1619</v>
      </c>
      <c r="Q41" t="s">
        <v>1850</v>
      </c>
      <c r="R41" t="s">
        <v>895</v>
      </c>
      <c r="T41" t="s">
        <v>1190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1837</v>
      </c>
      <c r="B42" s="2" t="s">
        <v>915</v>
      </c>
      <c r="C42" s="2">
        <v>6.12</v>
      </c>
      <c r="D42" s="1" t="s">
        <v>1372</v>
      </c>
      <c r="E42" s="24">
        <f t="shared" si="7"/>
        <v>2155</v>
      </c>
      <c r="F42" s="24">
        <f t="shared" si="6"/>
        <v>13187</v>
      </c>
      <c r="G42" s="24">
        <f>일위대가목록!F4</f>
        <v>253</v>
      </c>
      <c r="H42" s="24">
        <f t="shared" si="8"/>
        <v>1548</v>
      </c>
      <c r="I42" s="24">
        <f>일위대가목록!G4</f>
        <v>1496</v>
      </c>
      <c r="J42" s="24">
        <f t="shared" si="9"/>
        <v>9155</v>
      </c>
      <c r="K42" s="24">
        <f>일위대가목록!H4</f>
        <v>406</v>
      </c>
      <c r="L42" s="24">
        <f t="shared" si="10"/>
        <v>2484</v>
      </c>
      <c r="M42" s="18" t="s">
        <v>1792</v>
      </c>
      <c r="N42" t="s">
        <v>1850</v>
      </c>
      <c r="P42" t="s">
        <v>1167</v>
      </c>
      <c r="Q42" t="s">
        <v>1850</v>
      </c>
      <c r="R42" t="s">
        <v>764</v>
      </c>
      <c r="T42" t="s">
        <v>1589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572</v>
      </c>
      <c r="B43" s="2" t="s">
        <v>960</v>
      </c>
      <c r="C43" s="2">
        <v>6.12</v>
      </c>
      <c r="D43" s="1" t="s">
        <v>1372</v>
      </c>
      <c r="E43" s="24">
        <f t="shared" si="7"/>
        <v>5736</v>
      </c>
      <c r="F43" s="24">
        <f t="shared" si="6"/>
        <v>35103</v>
      </c>
      <c r="G43" s="24">
        <f>일위대가목록!F5</f>
        <v>180</v>
      </c>
      <c r="H43" s="24">
        <f t="shared" si="8"/>
        <v>1101</v>
      </c>
      <c r="I43" s="24">
        <f>일위대가목록!G5</f>
        <v>5476</v>
      </c>
      <c r="J43" s="24">
        <f t="shared" si="9"/>
        <v>33513</v>
      </c>
      <c r="K43" s="24">
        <f>일위대가목록!H5</f>
        <v>80</v>
      </c>
      <c r="L43" s="24">
        <f t="shared" si="10"/>
        <v>489</v>
      </c>
      <c r="M43" s="18" t="s">
        <v>830</v>
      </c>
      <c r="N43" t="s">
        <v>1850</v>
      </c>
      <c r="P43" t="s">
        <v>709</v>
      </c>
      <c r="Q43" t="s">
        <v>1850</v>
      </c>
      <c r="R43" t="s">
        <v>409</v>
      </c>
      <c r="T43" t="s">
        <v>1589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987</v>
      </c>
      <c r="B44" s="2" t="s">
        <v>10</v>
      </c>
      <c r="C44" s="2">
        <v>9.1199999999999992</v>
      </c>
      <c r="D44" s="1" t="s">
        <v>1372</v>
      </c>
      <c r="E44" s="24">
        <f t="shared" si="7"/>
        <v>15179</v>
      </c>
      <c r="F44" s="24">
        <f t="shared" si="6"/>
        <v>138430</v>
      </c>
      <c r="G44" s="24">
        <f>일위대가목록!F6</f>
        <v>1231</v>
      </c>
      <c r="H44" s="24">
        <f t="shared" si="8"/>
        <v>11226</v>
      </c>
      <c r="I44" s="24">
        <f>일위대가목록!G6</f>
        <v>10257</v>
      </c>
      <c r="J44" s="24">
        <f t="shared" si="9"/>
        <v>93543</v>
      </c>
      <c r="K44" s="24">
        <f>일위대가목록!H6</f>
        <v>3691</v>
      </c>
      <c r="L44" s="24">
        <f t="shared" si="10"/>
        <v>33661</v>
      </c>
      <c r="M44" s="18" t="s">
        <v>1510</v>
      </c>
      <c r="N44" t="s">
        <v>1850</v>
      </c>
      <c r="P44" t="s">
        <v>207</v>
      </c>
      <c r="Q44" t="s">
        <v>1850</v>
      </c>
      <c r="R44" t="s">
        <v>1432</v>
      </c>
      <c r="T44" t="s">
        <v>1589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607</v>
      </c>
      <c r="B45" s="2" t="s">
        <v>88</v>
      </c>
      <c r="C45" s="2">
        <v>9.1199999999999992</v>
      </c>
      <c r="D45" s="1" t="s">
        <v>1372</v>
      </c>
      <c r="E45" s="24">
        <f t="shared" si="7"/>
        <v>17730</v>
      </c>
      <c r="F45" s="24">
        <f t="shared" si="6"/>
        <v>161696</v>
      </c>
      <c r="G45" s="24">
        <f>일위대가목록!F7</f>
        <v>3985</v>
      </c>
      <c r="H45" s="24">
        <f t="shared" si="8"/>
        <v>36343</v>
      </c>
      <c r="I45" s="24">
        <f>일위대가목록!G7</f>
        <v>10108</v>
      </c>
      <c r="J45" s="24">
        <f t="shared" si="9"/>
        <v>92184</v>
      </c>
      <c r="K45" s="24">
        <f>일위대가목록!H7</f>
        <v>3637</v>
      </c>
      <c r="L45" s="24">
        <f t="shared" si="10"/>
        <v>33169</v>
      </c>
      <c r="M45" s="18" t="s">
        <v>707</v>
      </c>
      <c r="N45" t="s">
        <v>1850</v>
      </c>
      <c r="P45" t="s">
        <v>1598</v>
      </c>
      <c r="Q45" t="s">
        <v>1850</v>
      </c>
      <c r="R45" t="s">
        <v>953</v>
      </c>
      <c r="T45" t="s">
        <v>1589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326</v>
      </c>
      <c r="B46" s="2" t="s">
        <v>10</v>
      </c>
      <c r="C46" s="2">
        <v>2.1</v>
      </c>
      <c r="D46" s="1" t="s">
        <v>1372</v>
      </c>
      <c r="E46" s="24">
        <f t="shared" si="7"/>
        <v>17066</v>
      </c>
      <c r="F46" s="24">
        <f t="shared" si="6"/>
        <v>35837</v>
      </c>
      <c r="G46" s="24">
        <f>일위대가목록!F8</f>
        <v>1703</v>
      </c>
      <c r="H46" s="24">
        <f t="shared" si="8"/>
        <v>3576</v>
      </c>
      <c r="I46" s="24">
        <f>일위대가목록!G8</f>
        <v>11298</v>
      </c>
      <c r="J46" s="24">
        <f t="shared" si="9"/>
        <v>23725</v>
      </c>
      <c r="K46" s="24">
        <f>일위대가목록!H8</f>
        <v>4065</v>
      </c>
      <c r="L46" s="24">
        <f t="shared" si="10"/>
        <v>8536</v>
      </c>
      <c r="M46" s="18" t="s">
        <v>1646</v>
      </c>
      <c r="N46" t="s">
        <v>1850</v>
      </c>
      <c r="P46" t="s">
        <v>1137</v>
      </c>
      <c r="Q46" t="s">
        <v>1850</v>
      </c>
      <c r="R46" t="s">
        <v>1504</v>
      </c>
      <c r="T46" t="s">
        <v>1589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851</v>
      </c>
      <c r="B47" s="2" t="s">
        <v>1467</v>
      </c>
      <c r="C47" s="2">
        <v>9.1199999999999992</v>
      </c>
      <c r="D47" s="1" t="s">
        <v>1372</v>
      </c>
      <c r="E47" s="24">
        <f t="shared" si="7"/>
        <v>1061</v>
      </c>
      <c r="F47" s="24">
        <f t="shared" si="6"/>
        <v>9675</v>
      </c>
      <c r="G47" s="24">
        <f>일위대가목록!F9</f>
        <v>205</v>
      </c>
      <c r="H47" s="24">
        <f t="shared" si="8"/>
        <v>1869</v>
      </c>
      <c r="I47" s="24">
        <f>일위대가목록!G9</f>
        <v>586</v>
      </c>
      <c r="J47" s="24">
        <f t="shared" si="9"/>
        <v>5344</v>
      </c>
      <c r="K47" s="24">
        <f>일위대가목록!H9</f>
        <v>270</v>
      </c>
      <c r="L47" s="24">
        <f t="shared" si="10"/>
        <v>2462</v>
      </c>
      <c r="M47" s="18" t="s">
        <v>905</v>
      </c>
      <c r="N47" t="s">
        <v>1850</v>
      </c>
      <c r="P47" t="s">
        <v>668</v>
      </c>
      <c r="Q47" t="s">
        <v>1850</v>
      </c>
      <c r="R47" t="s">
        <v>520</v>
      </c>
      <c r="T47" t="s">
        <v>1589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1421</v>
      </c>
      <c r="B48" s="2" t="s">
        <v>1467</v>
      </c>
      <c r="C48" s="2">
        <v>2.1</v>
      </c>
      <c r="D48" s="1" t="s">
        <v>1372</v>
      </c>
      <c r="E48" s="24">
        <f t="shared" si="7"/>
        <v>4756</v>
      </c>
      <c r="F48" s="24">
        <f t="shared" si="6"/>
        <v>9987</v>
      </c>
      <c r="G48" s="24">
        <f>일위대가목록!F10</f>
        <v>920</v>
      </c>
      <c r="H48" s="24">
        <f t="shared" si="8"/>
        <v>1932</v>
      </c>
      <c r="I48" s="24">
        <f>일위대가목록!G10</f>
        <v>2626</v>
      </c>
      <c r="J48" s="24">
        <f t="shared" si="9"/>
        <v>5514</v>
      </c>
      <c r="K48" s="24">
        <f>일위대가목록!H10</f>
        <v>1210</v>
      </c>
      <c r="L48" s="24">
        <f t="shared" si="10"/>
        <v>2541</v>
      </c>
      <c r="M48" s="18" t="s">
        <v>1683</v>
      </c>
      <c r="N48" t="s">
        <v>1850</v>
      </c>
      <c r="P48" t="s">
        <v>174</v>
      </c>
      <c r="Q48" t="s">
        <v>1850</v>
      </c>
      <c r="R48" t="s">
        <v>894</v>
      </c>
      <c r="T48" t="s">
        <v>1589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1359</v>
      </c>
      <c r="B50" s="2" t="s">
        <v>1850</v>
      </c>
      <c r="C50" s="2">
        <v>1</v>
      </c>
      <c r="D50" s="1" t="s">
        <v>1529</v>
      </c>
      <c r="F50" s="24">
        <f t="shared" ref="F50:F61" si="11">H50+J50+L50</f>
        <v>7379495</v>
      </c>
      <c r="H50" s="24">
        <f>TRUNC(H51+H52+H53+H54+H55+H56+H57+H58+H59+H60+H61,0)</f>
        <v>1315817</v>
      </c>
      <c r="J50" s="24">
        <f>TRUNC(J51+J52+J53+J54+J55+J56+J57+J58+J59+J60+J61,0)</f>
        <v>5421494</v>
      </c>
      <c r="L50" s="24">
        <f>TRUNC(L51+L52+L53+L54+L55+L56+L57+L58+L59+L60+L61,0)</f>
        <v>642184</v>
      </c>
      <c r="M50" s="18" t="s">
        <v>1850</v>
      </c>
      <c r="N50" t="s">
        <v>1850</v>
      </c>
      <c r="O50" t="s">
        <v>1637</v>
      </c>
    </row>
    <row r="51" spans="1:61" ht="18.399999999999999" customHeight="1" x14ac:dyDescent="0.15">
      <c r="A51" s="11" t="s">
        <v>1405</v>
      </c>
      <c r="B51" s="2" t="s">
        <v>862</v>
      </c>
      <c r="C51" s="2">
        <v>6</v>
      </c>
      <c r="D51" s="1" t="s">
        <v>135</v>
      </c>
      <c r="E51" s="24">
        <f t="shared" ref="E51:E61" si="12">G51+I51+K51</f>
        <v>93058</v>
      </c>
      <c r="F51" s="24">
        <f t="shared" si="11"/>
        <v>558348</v>
      </c>
      <c r="G51" s="24">
        <f>일위대가목록!F11</f>
        <v>7852</v>
      </c>
      <c r="H51" s="24">
        <f t="shared" ref="H51:H61" si="13">TRUNC(G51*C51,0)</f>
        <v>47112</v>
      </c>
      <c r="I51" s="24">
        <f>일위대가목록!G11</f>
        <v>66755</v>
      </c>
      <c r="J51" s="24">
        <f t="shared" ref="J51:J61" si="14">TRUNC(I51*C51,0)</f>
        <v>400530</v>
      </c>
      <c r="K51" s="24">
        <f>일위대가목록!H11</f>
        <v>18451</v>
      </c>
      <c r="L51" s="24">
        <f t="shared" ref="L51:L61" si="15">TRUNC(K51*C51,0)</f>
        <v>110706</v>
      </c>
      <c r="M51" s="18" t="s">
        <v>843</v>
      </c>
      <c r="N51" t="s">
        <v>1850</v>
      </c>
      <c r="P51" t="s">
        <v>239</v>
      </c>
      <c r="Q51" t="s">
        <v>1850</v>
      </c>
      <c r="R51" t="s">
        <v>534</v>
      </c>
      <c r="T51" t="s">
        <v>1589</v>
      </c>
      <c r="BI51" s="41" t="str">
        <f>HYPERLINK("#일위대가목록!A11","SDD0056 →")</f>
        <v>SDD0056 →</v>
      </c>
    </row>
    <row r="52" spans="1:61" ht="18.399999999999999" customHeight="1" x14ac:dyDescent="0.15">
      <c r="A52" s="11" t="s">
        <v>413</v>
      </c>
      <c r="B52" s="2" t="s">
        <v>862</v>
      </c>
      <c r="C52" s="2">
        <v>6</v>
      </c>
      <c r="D52" s="1" t="s">
        <v>135</v>
      </c>
      <c r="E52" s="24">
        <f t="shared" si="12"/>
        <v>47123</v>
      </c>
      <c r="F52" s="24">
        <f t="shared" si="11"/>
        <v>282738</v>
      </c>
      <c r="G52" s="24">
        <f>일위대가목록!F12</f>
        <v>3857</v>
      </c>
      <c r="H52" s="24">
        <f t="shared" si="13"/>
        <v>23142</v>
      </c>
      <c r="I52" s="24">
        <f>일위대가목록!G12</f>
        <v>33912</v>
      </c>
      <c r="J52" s="24">
        <f t="shared" si="14"/>
        <v>203472</v>
      </c>
      <c r="K52" s="24">
        <f>일위대가목록!H12</f>
        <v>9354</v>
      </c>
      <c r="L52" s="24">
        <f t="shared" si="15"/>
        <v>56124</v>
      </c>
      <c r="M52" s="18" t="s">
        <v>1462</v>
      </c>
      <c r="N52" t="s">
        <v>1850</v>
      </c>
      <c r="P52" t="s">
        <v>1619</v>
      </c>
      <c r="Q52" t="s">
        <v>1850</v>
      </c>
      <c r="R52" t="s">
        <v>1701</v>
      </c>
      <c r="T52" t="s">
        <v>1589</v>
      </c>
      <c r="BI52" s="41" t="str">
        <f>HYPERLINK("#일위대가목록!A12","SDD0074 →")</f>
        <v>SDD0074 →</v>
      </c>
    </row>
    <row r="53" spans="1:61" ht="18.399999999999999" customHeight="1" x14ac:dyDescent="0.15">
      <c r="A53" s="11" t="s">
        <v>191</v>
      </c>
      <c r="B53" s="2" t="s">
        <v>1831</v>
      </c>
      <c r="C53" s="2">
        <v>2</v>
      </c>
      <c r="D53" s="1" t="s">
        <v>135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716</v>
      </c>
      <c r="N53" t="s">
        <v>1850</v>
      </c>
      <c r="P53" t="s">
        <v>1167</v>
      </c>
      <c r="Q53" t="s">
        <v>1850</v>
      </c>
      <c r="R53" t="s">
        <v>1424</v>
      </c>
      <c r="T53" t="s">
        <v>1190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1748</v>
      </c>
      <c r="B54" s="2" t="s">
        <v>1831</v>
      </c>
      <c r="C54" s="2">
        <v>3</v>
      </c>
      <c r="D54" s="1" t="s">
        <v>135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1487</v>
      </c>
      <c r="N54" t="s">
        <v>1850</v>
      </c>
      <c r="P54" t="s">
        <v>709</v>
      </c>
      <c r="Q54" t="s">
        <v>1850</v>
      </c>
      <c r="R54" t="s">
        <v>1736</v>
      </c>
      <c r="T54" t="s">
        <v>1190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565</v>
      </c>
      <c r="B55" s="2" t="s">
        <v>363</v>
      </c>
      <c r="C55" s="2">
        <v>2</v>
      </c>
      <c r="D55" s="1" t="s">
        <v>135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800</v>
      </c>
      <c r="N55" t="s">
        <v>1850</v>
      </c>
      <c r="P55" t="s">
        <v>207</v>
      </c>
      <c r="Q55" t="s">
        <v>1850</v>
      </c>
      <c r="R55" t="s">
        <v>754</v>
      </c>
      <c r="T55" t="s">
        <v>1190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646</v>
      </c>
      <c r="B56" s="2" t="s">
        <v>363</v>
      </c>
      <c r="C56" s="2">
        <v>9</v>
      </c>
      <c r="D56" s="1" t="s">
        <v>1134</v>
      </c>
      <c r="E56" s="24">
        <f t="shared" si="12"/>
        <v>36068</v>
      </c>
      <c r="F56" s="24">
        <f t="shared" si="11"/>
        <v>324612</v>
      </c>
      <c r="G56" s="24">
        <f>일위대가목록!F24</f>
        <v>683</v>
      </c>
      <c r="H56" s="24">
        <f t="shared" si="13"/>
        <v>6147</v>
      </c>
      <c r="I56" s="24">
        <f>일위대가목록!G24</f>
        <v>31180</v>
      </c>
      <c r="J56" s="24">
        <f t="shared" si="14"/>
        <v>280620</v>
      </c>
      <c r="K56" s="24">
        <f>일위대가목록!H24</f>
        <v>4205</v>
      </c>
      <c r="L56" s="24">
        <f t="shared" si="15"/>
        <v>37845</v>
      </c>
      <c r="M56" s="18" t="s">
        <v>1843</v>
      </c>
      <c r="N56" t="s">
        <v>1850</v>
      </c>
      <c r="P56" t="s">
        <v>1598</v>
      </c>
      <c r="Q56" t="s">
        <v>1850</v>
      </c>
      <c r="R56" t="s">
        <v>1767</v>
      </c>
      <c r="T56" t="s">
        <v>1190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1453</v>
      </c>
      <c r="B57" s="2" t="s">
        <v>1013</v>
      </c>
      <c r="C57" s="2">
        <v>10</v>
      </c>
      <c r="D57" s="1" t="s">
        <v>1201</v>
      </c>
      <c r="E57" s="24">
        <f t="shared" si="12"/>
        <v>45920</v>
      </c>
      <c r="F57" s="24">
        <f t="shared" si="11"/>
        <v>459200</v>
      </c>
      <c r="G57" s="24">
        <f>일위대가목록!F25</f>
        <v>1921</v>
      </c>
      <c r="H57" s="24">
        <f t="shared" si="13"/>
        <v>19210</v>
      </c>
      <c r="I57" s="24">
        <f>일위대가목록!G25</f>
        <v>43423</v>
      </c>
      <c r="J57" s="24">
        <f t="shared" si="14"/>
        <v>434230</v>
      </c>
      <c r="K57" s="24">
        <f>일위대가목록!H25</f>
        <v>576</v>
      </c>
      <c r="L57" s="24">
        <f t="shared" si="15"/>
        <v>5760</v>
      </c>
      <c r="M57" s="18" t="s">
        <v>527</v>
      </c>
      <c r="N57" t="s">
        <v>1850</v>
      </c>
      <c r="P57" t="s">
        <v>1137</v>
      </c>
      <c r="Q57" t="s">
        <v>1850</v>
      </c>
      <c r="R57" t="s">
        <v>518</v>
      </c>
      <c r="T57" t="s">
        <v>1190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528</v>
      </c>
      <c r="B58" s="2" t="s">
        <v>671</v>
      </c>
      <c r="C58" s="2">
        <v>16.55</v>
      </c>
      <c r="D58" s="1" t="s">
        <v>1393</v>
      </c>
      <c r="E58" s="24">
        <f t="shared" si="12"/>
        <v>91992</v>
      </c>
      <c r="F58" s="24">
        <f t="shared" si="11"/>
        <v>1522467</v>
      </c>
      <c r="G58" s="24">
        <f>일위대가목록!F26</f>
        <v>20211</v>
      </c>
      <c r="H58" s="24">
        <f t="shared" si="13"/>
        <v>334492</v>
      </c>
      <c r="I58" s="24">
        <f>일위대가목록!G26</f>
        <v>66551</v>
      </c>
      <c r="J58" s="24">
        <f t="shared" si="14"/>
        <v>1101419</v>
      </c>
      <c r="K58" s="24">
        <f>일위대가목록!H26</f>
        <v>5230</v>
      </c>
      <c r="L58" s="24">
        <f t="shared" si="15"/>
        <v>86556</v>
      </c>
      <c r="M58" s="18" t="s">
        <v>1556</v>
      </c>
      <c r="N58" t="s">
        <v>1850</v>
      </c>
      <c r="P58" t="s">
        <v>668</v>
      </c>
      <c r="Q58" t="s">
        <v>1850</v>
      </c>
      <c r="R58" t="s">
        <v>143</v>
      </c>
      <c r="T58" t="s">
        <v>1190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100</v>
      </c>
      <c r="B59" s="2" t="s">
        <v>1086</v>
      </c>
      <c r="C59" s="2">
        <v>10.5</v>
      </c>
      <c r="D59" s="1" t="s">
        <v>1393</v>
      </c>
      <c r="E59" s="24">
        <f t="shared" si="12"/>
        <v>93969</v>
      </c>
      <c r="F59" s="24">
        <f t="shared" si="11"/>
        <v>986673</v>
      </c>
      <c r="G59" s="24">
        <f>일위대가목록!F13</f>
        <v>16145</v>
      </c>
      <c r="H59" s="24">
        <f t="shared" si="13"/>
        <v>169522</v>
      </c>
      <c r="I59" s="24">
        <f>일위대가목록!G13</f>
        <v>71033</v>
      </c>
      <c r="J59" s="24">
        <f t="shared" si="14"/>
        <v>745846</v>
      </c>
      <c r="K59" s="24">
        <f>일위대가목록!H13</f>
        <v>6791</v>
      </c>
      <c r="L59" s="24">
        <f t="shared" si="15"/>
        <v>71305</v>
      </c>
      <c r="M59" s="18" t="s">
        <v>612</v>
      </c>
      <c r="N59" t="s">
        <v>1850</v>
      </c>
      <c r="P59" t="s">
        <v>174</v>
      </c>
      <c r="Q59" t="s">
        <v>1850</v>
      </c>
      <c r="R59" t="s">
        <v>1389</v>
      </c>
      <c r="T59" t="s">
        <v>1589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169</v>
      </c>
      <c r="B60" s="2" t="s">
        <v>1376</v>
      </c>
      <c r="C60" s="2">
        <v>3334.55</v>
      </c>
      <c r="D60" s="1" t="s">
        <v>1133</v>
      </c>
      <c r="E60" s="24">
        <f t="shared" si="12"/>
        <v>186</v>
      </c>
      <c r="F60" s="24">
        <f t="shared" si="11"/>
        <v>620226</v>
      </c>
      <c r="G60" s="24">
        <f>일위대가목록!F27</f>
        <v>186</v>
      </c>
      <c r="H60" s="24">
        <f t="shared" si="13"/>
        <v>620226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501</v>
      </c>
      <c r="N60" t="s">
        <v>1850</v>
      </c>
      <c r="P60" t="s">
        <v>164</v>
      </c>
      <c r="Q60" t="s">
        <v>1850</v>
      </c>
      <c r="R60" t="s">
        <v>1706</v>
      </c>
      <c r="T60" t="s">
        <v>1190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1816</v>
      </c>
      <c r="B61" s="2" t="s">
        <v>890</v>
      </c>
      <c r="C61" s="2">
        <v>3.3340000000000001</v>
      </c>
      <c r="D61" s="1" t="s">
        <v>661</v>
      </c>
      <c r="E61" s="24">
        <f t="shared" si="12"/>
        <v>37685</v>
      </c>
      <c r="F61" s="24">
        <f t="shared" si="11"/>
        <v>125641</v>
      </c>
      <c r="G61" s="24">
        <f>일위대가목록!F14</f>
        <v>3177</v>
      </c>
      <c r="H61" s="24">
        <f t="shared" si="13"/>
        <v>10592</v>
      </c>
      <c r="I61" s="24">
        <f>일위대가목록!G14</f>
        <v>28094</v>
      </c>
      <c r="J61" s="24">
        <f t="shared" si="14"/>
        <v>93665</v>
      </c>
      <c r="K61" s="24">
        <f>일위대가목록!H14</f>
        <v>6414</v>
      </c>
      <c r="L61" s="24">
        <f t="shared" si="15"/>
        <v>21384</v>
      </c>
      <c r="M61" s="18" t="s">
        <v>1712</v>
      </c>
      <c r="N61" t="s">
        <v>1850</v>
      </c>
      <c r="P61" t="s">
        <v>633</v>
      </c>
      <c r="Q61" t="s">
        <v>1850</v>
      </c>
      <c r="R61" t="s">
        <v>1610</v>
      </c>
      <c r="T61" t="s">
        <v>1589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1670</v>
      </c>
      <c r="B63" s="2" t="s">
        <v>1850</v>
      </c>
      <c r="C63" s="2">
        <v>1</v>
      </c>
      <c r="D63" s="1" t="s">
        <v>1529</v>
      </c>
      <c r="F63" s="24">
        <f t="shared" ref="F63:F68" si="16">H63+J63+L63</f>
        <v>880590</v>
      </c>
      <c r="H63" s="24">
        <f>TRUNC(H64+H65+H66+H67+H68,0)</f>
        <v>50064</v>
      </c>
      <c r="J63" s="24">
        <f>TRUNC(J64+J65+J66+J67+J68,0)</f>
        <v>769724</v>
      </c>
      <c r="L63" s="24">
        <f>TRUNC(L64+L65+L66+L67+L68,0)</f>
        <v>60802</v>
      </c>
      <c r="M63" s="18" t="s">
        <v>1850</v>
      </c>
      <c r="N63" t="s">
        <v>1850</v>
      </c>
      <c r="O63" t="s">
        <v>899</v>
      </c>
    </row>
    <row r="64" spans="1:61" ht="18.399999999999999" customHeight="1" x14ac:dyDescent="0.15">
      <c r="A64" s="11" t="s">
        <v>1420</v>
      </c>
      <c r="B64" s="2" t="s">
        <v>1500</v>
      </c>
      <c r="C64" s="2">
        <v>2</v>
      </c>
      <c r="D64" s="1" t="s">
        <v>1201</v>
      </c>
      <c r="E64" s="24">
        <f>G64+I64+K64</f>
        <v>35745</v>
      </c>
      <c r="F64" s="24">
        <f t="shared" si="16"/>
        <v>71490</v>
      </c>
      <c r="G64" s="24">
        <f>일위대가목록!F28</f>
        <v>0</v>
      </c>
      <c r="H64" s="24">
        <f>TRUNC(G64*C64,0)</f>
        <v>0</v>
      </c>
      <c r="I64" s="24">
        <f>일위대가목록!G28</f>
        <v>34043</v>
      </c>
      <c r="J64" s="24">
        <f>TRUNC(I64*C64,0)</f>
        <v>68086</v>
      </c>
      <c r="K64" s="24">
        <f>일위대가목록!H28</f>
        <v>1702</v>
      </c>
      <c r="L64" s="24">
        <f>TRUNC(K64*C64,0)</f>
        <v>3404</v>
      </c>
      <c r="M64" s="18" t="s">
        <v>1558</v>
      </c>
      <c r="N64" t="s">
        <v>1850</v>
      </c>
      <c r="P64" t="s">
        <v>239</v>
      </c>
      <c r="Q64" t="s">
        <v>1850</v>
      </c>
      <c r="R64" t="s">
        <v>946</v>
      </c>
      <c r="T64" t="s">
        <v>1190</v>
      </c>
      <c r="BI64" s="41" t="str">
        <f>HYPERLINK("#일위대가목록!A28","HDD0261 →")</f>
        <v>HDD0261 →</v>
      </c>
    </row>
    <row r="65" spans="1:61" ht="18.399999999999999" customHeight="1" x14ac:dyDescent="0.15">
      <c r="A65" s="11" t="s">
        <v>165</v>
      </c>
      <c r="B65" s="2" t="s">
        <v>1500</v>
      </c>
      <c r="C65" s="2">
        <v>1</v>
      </c>
      <c r="D65" s="1" t="s">
        <v>1201</v>
      </c>
      <c r="E65" s="24">
        <f>G65+I65+K65</f>
        <v>46651</v>
      </c>
      <c r="F65" s="24">
        <f t="shared" si="16"/>
        <v>46651</v>
      </c>
      <c r="G65" s="24">
        <f>일위대가목록!F29</f>
        <v>4024</v>
      </c>
      <c r="H65" s="24">
        <f>TRUNC(G65*C65,0)</f>
        <v>4024</v>
      </c>
      <c r="I65" s="24">
        <f>일위대가목록!G29</f>
        <v>37409</v>
      </c>
      <c r="J65" s="24">
        <f>TRUNC(I65*C65,0)</f>
        <v>37409</v>
      </c>
      <c r="K65" s="24">
        <f>일위대가목록!H29</f>
        <v>5218</v>
      </c>
      <c r="L65" s="24">
        <f>TRUNC(K65*C65,0)</f>
        <v>5218</v>
      </c>
      <c r="M65" s="18" t="s">
        <v>809</v>
      </c>
      <c r="N65" t="s">
        <v>1850</v>
      </c>
      <c r="P65" t="s">
        <v>1619</v>
      </c>
      <c r="Q65" t="s">
        <v>1850</v>
      </c>
      <c r="R65" t="s">
        <v>568</v>
      </c>
      <c r="T65" t="s">
        <v>1190</v>
      </c>
      <c r="BI65" s="41" t="str">
        <f>HYPERLINK("#일위대가목록!A29","HDD0995 →")</f>
        <v>HDD0995 →</v>
      </c>
    </row>
    <row r="66" spans="1:61" ht="18.399999999999999" customHeight="1" x14ac:dyDescent="0.15">
      <c r="A66" s="11" t="s">
        <v>1800</v>
      </c>
      <c r="B66" s="2" t="s">
        <v>1500</v>
      </c>
      <c r="C66" s="2">
        <v>5</v>
      </c>
      <c r="D66" s="1" t="s">
        <v>1201</v>
      </c>
      <c r="E66" s="24">
        <f>G66+I66+K66</f>
        <v>93303</v>
      </c>
      <c r="F66" s="24">
        <f t="shared" si="16"/>
        <v>466515</v>
      </c>
      <c r="G66" s="24">
        <f>일위대가목록!F30</f>
        <v>8048</v>
      </c>
      <c r="H66" s="24">
        <f>TRUNC(G66*C66,0)</f>
        <v>40240</v>
      </c>
      <c r="I66" s="24">
        <f>일위대가목록!G30</f>
        <v>74819</v>
      </c>
      <c r="J66" s="24">
        <f>TRUNC(I66*C66,0)</f>
        <v>374095</v>
      </c>
      <c r="K66" s="24">
        <f>일위대가목록!H30</f>
        <v>10436</v>
      </c>
      <c r="L66" s="24">
        <f>TRUNC(K66*C66,0)</f>
        <v>52180</v>
      </c>
      <c r="M66" s="18" t="s">
        <v>1829</v>
      </c>
      <c r="N66" t="s">
        <v>1850</v>
      </c>
      <c r="P66" t="s">
        <v>1167</v>
      </c>
      <c r="Q66" t="s">
        <v>1850</v>
      </c>
      <c r="R66" t="s">
        <v>1030</v>
      </c>
      <c r="T66" t="s">
        <v>1190</v>
      </c>
      <c r="BI66" s="41" t="str">
        <f>HYPERLINK("#일위대가목록!A30","HDD0537 →")</f>
        <v>HDD0537 →</v>
      </c>
    </row>
    <row r="67" spans="1:61" ht="18.399999999999999" customHeight="1" x14ac:dyDescent="0.15">
      <c r="A67" s="11" t="s">
        <v>1054</v>
      </c>
      <c r="B67" s="2" t="s">
        <v>1500</v>
      </c>
      <c r="C67" s="2">
        <v>4</v>
      </c>
      <c r="D67" s="1" t="s">
        <v>1201</v>
      </c>
      <c r="E67" s="24">
        <f>G67+I67+K67</f>
        <v>50712</v>
      </c>
      <c r="F67" s="24">
        <f t="shared" si="16"/>
        <v>202848</v>
      </c>
      <c r="G67" s="24">
        <f>일위대가목록!F31</f>
        <v>994</v>
      </c>
      <c r="H67" s="24">
        <f>TRUNC(G67*C67,0)</f>
        <v>3976</v>
      </c>
      <c r="I67" s="24">
        <f>일위대가목록!G31</f>
        <v>49718</v>
      </c>
      <c r="J67" s="24">
        <f>TRUNC(I67*C67,0)</f>
        <v>198872</v>
      </c>
      <c r="K67" s="24">
        <f>일위대가목록!H31</f>
        <v>0</v>
      </c>
      <c r="L67" s="24">
        <f>TRUNC(K67*C67,0)</f>
        <v>0</v>
      </c>
      <c r="M67" s="18" t="s">
        <v>537</v>
      </c>
      <c r="N67" t="s">
        <v>1850</v>
      </c>
      <c r="P67" t="s">
        <v>709</v>
      </c>
      <c r="Q67" t="s">
        <v>1850</v>
      </c>
      <c r="R67" t="s">
        <v>935</v>
      </c>
      <c r="T67" t="s">
        <v>1190</v>
      </c>
      <c r="BI67" s="41" t="str">
        <f>HYPERLINK("#일위대가목록!A31","HDD0327 →")</f>
        <v>HDD0327 →</v>
      </c>
    </row>
    <row r="68" spans="1:61" ht="18.399999999999999" customHeight="1" x14ac:dyDescent="0.15">
      <c r="A68" s="11" t="s">
        <v>1535</v>
      </c>
      <c r="B68" s="2" t="s">
        <v>1500</v>
      </c>
      <c r="C68" s="2">
        <v>2</v>
      </c>
      <c r="D68" s="1" t="s">
        <v>1201</v>
      </c>
      <c r="E68" s="24">
        <f>G68+I68+K68</f>
        <v>46543</v>
      </c>
      <c r="F68" s="24">
        <f t="shared" si="16"/>
        <v>93086</v>
      </c>
      <c r="G68" s="24">
        <f>일위대가목록!F32</f>
        <v>912</v>
      </c>
      <c r="H68" s="24">
        <f>TRUNC(G68*C68,0)</f>
        <v>1824</v>
      </c>
      <c r="I68" s="24">
        <f>일위대가목록!G32</f>
        <v>45631</v>
      </c>
      <c r="J68" s="24">
        <f>TRUNC(I68*C68,0)</f>
        <v>91262</v>
      </c>
      <c r="K68" s="24">
        <f>일위대가목록!H32</f>
        <v>0</v>
      </c>
      <c r="L68" s="24">
        <f>TRUNC(K68*C68,0)</f>
        <v>0</v>
      </c>
      <c r="M68" s="18" t="s">
        <v>1537</v>
      </c>
      <c r="N68" t="s">
        <v>1850</v>
      </c>
      <c r="P68" t="s">
        <v>207</v>
      </c>
      <c r="Q68" t="s">
        <v>1850</v>
      </c>
      <c r="R68" t="s">
        <v>1189</v>
      </c>
      <c r="T68" t="s">
        <v>1190</v>
      </c>
      <c r="BI68" s="41" t="str">
        <f>HYPERLINK("#일위대가목록!A32","HDD0410 →")</f>
        <v>HDD0410 →</v>
      </c>
    </row>
    <row r="69" spans="1:61" ht="18.399999999999999" customHeight="1" x14ac:dyDescent="0.15">
      <c r="A69" s="4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6"/>
    </row>
    <row r="70" spans="1:61" ht="18.399999999999999" customHeight="1" x14ac:dyDescent="0.15">
      <c r="A70" s="11" t="s">
        <v>888</v>
      </c>
      <c r="B70" s="2" t="s">
        <v>1850</v>
      </c>
      <c r="C70" s="2">
        <v>1</v>
      </c>
      <c r="D70" s="1" t="s">
        <v>1529</v>
      </c>
      <c r="F70" s="24">
        <f t="shared" ref="F70:F78" si="17">H70+J70+L70</f>
        <v>24860922</v>
      </c>
      <c r="H70" s="24">
        <f>TRUNC(H71+H72+H73+H74+H75+H76+H77+H78,0)</f>
        <v>8932162</v>
      </c>
      <c r="J70" s="24">
        <f>TRUNC(J71+J72+J73+J74+J75+J76+J77+J78,0)</f>
        <v>13379982</v>
      </c>
      <c r="L70" s="24">
        <f>TRUNC(L71+L72+L73+L74+L75+L76+L77+L78,0)</f>
        <v>2548778</v>
      </c>
      <c r="M70" s="18" t="s">
        <v>1850</v>
      </c>
      <c r="N70" t="s">
        <v>1850</v>
      </c>
      <c r="O70" t="s">
        <v>1567</v>
      </c>
    </row>
    <row r="71" spans="1:61" ht="18.399999999999999" customHeight="1" x14ac:dyDescent="0.15">
      <c r="A71" s="11" t="s">
        <v>1160</v>
      </c>
      <c r="B71" s="2" t="s">
        <v>966</v>
      </c>
      <c r="C71" s="2">
        <v>120</v>
      </c>
      <c r="D71" s="1" t="s">
        <v>1134</v>
      </c>
      <c r="E71" s="24">
        <f t="shared" ref="E71:E78" si="18">G71+I71+K71</f>
        <v>4884</v>
      </c>
      <c r="F71" s="24">
        <f t="shared" si="17"/>
        <v>586080</v>
      </c>
      <c r="G71" s="24">
        <f>일위대가목록!F33</f>
        <v>255</v>
      </c>
      <c r="H71" s="24">
        <f t="shared" ref="H71:H78" si="19">TRUNC(G71*C71,0)</f>
        <v>30600</v>
      </c>
      <c r="I71" s="24">
        <f>일위대가목록!G33</f>
        <v>3858</v>
      </c>
      <c r="J71" s="24">
        <f t="shared" ref="J71:J78" si="20">TRUNC(I71*C71,0)</f>
        <v>462960</v>
      </c>
      <c r="K71" s="24">
        <f>일위대가목록!H33</f>
        <v>771</v>
      </c>
      <c r="L71" s="24">
        <f t="shared" ref="L71:L78" si="21">TRUNC(K71*C71,0)</f>
        <v>92520</v>
      </c>
      <c r="M71" s="18" t="s">
        <v>857</v>
      </c>
      <c r="N71" t="s">
        <v>1850</v>
      </c>
      <c r="P71" t="s">
        <v>239</v>
      </c>
      <c r="Q71" t="s">
        <v>1850</v>
      </c>
      <c r="R71" t="s">
        <v>376</v>
      </c>
      <c r="T71" t="s">
        <v>1190</v>
      </c>
      <c r="BI71" s="41" t="str">
        <f>HYPERLINK("#일위대가목록!A33","HDD0008 →")</f>
        <v>HDD0008 →</v>
      </c>
    </row>
    <row r="72" spans="1:61" ht="18.399999999999999" customHeight="1" x14ac:dyDescent="0.15">
      <c r="A72" s="11" t="s">
        <v>1160</v>
      </c>
      <c r="B72" s="2" t="s">
        <v>1038</v>
      </c>
      <c r="C72" s="2">
        <v>240</v>
      </c>
      <c r="D72" s="1" t="s">
        <v>1134</v>
      </c>
      <c r="E72" s="24">
        <f t="shared" si="18"/>
        <v>2992</v>
      </c>
      <c r="F72" s="24">
        <f t="shared" si="17"/>
        <v>718080</v>
      </c>
      <c r="G72" s="24">
        <f>일위대가목록!F34</f>
        <v>156</v>
      </c>
      <c r="H72" s="24">
        <f t="shared" si="19"/>
        <v>37440</v>
      </c>
      <c r="I72" s="24">
        <f>일위대가목록!G34</f>
        <v>2364</v>
      </c>
      <c r="J72" s="24">
        <f t="shared" si="20"/>
        <v>567360</v>
      </c>
      <c r="K72" s="24">
        <f>일위대가목록!H34</f>
        <v>472</v>
      </c>
      <c r="L72" s="24">
        <f t="shared" si="21"/>
        <v>113280</v>
      </c>
      <c r="M72" s="18" t="s">
        <v>1669</v>
      </c>
      <c r="N72" t="s">
        <v>1850</v>
      </c>
      <c r="P72" t="s">
        <v>1619</v>
      </c>
      <c r="Q72" t="s">
        <v>1850</v>
      </c>
      <c r="R72" t="s">
        <v>1200</v>
      </c>
      <c r="T72" t="s">
        <v>1190</v>
      </c>
      <c r="BI72" s="41" t="str">
        <f>HYPERLINK("#일위대가목록!A34","HDD0007 →")</f>
        <v>HDD0007 →</v>
      </c>
    </row>
    <row r="73" spans="1:61" ht="18.399999999999999" customHeight="1" x14ac:dyDescent="0.15">
      <c r="A73" s="11" t="s">
        <v>1222</v>
      </c>
      <c r="B73" s="2" t="s">
        <v>1848</v>
      </c>
      <c r="C73" s="2">
        <v>120</v>
      </c>
      <c r="D73" s="1" t="s">
        <v>1134</v>
      </c>
      <c r="E73" s="24">
        <f t="shared" si="18"/>
        <v>33220</v>
      </c>
      <c r="F73" s="24">
        <f t="shared" si="17"/>
        <v>3986400</v>
      </c>
      <c r="G73" s="24">
        <f>일위대가목록!F35</f>
        <v>4021</v>
      </c>
      <c r="H73" s="24">
        <f t="shared" si="19"/>
        <v>482520</v>
      </c>
      <c r="I73" s="24">
        <f>일위대가목록!G35</f>
        <v>23158</v>
      </c>
      <c r="J73" s="24">
        <f t="shared" si="20"/>
        <v>2778960</v>
      </c>
      <c r="K73" s="24">
        <f>일위대가목록!H35</f>
        <v>6041</v>
      </c>
      <c r="L73" s="24">
        <f t="shared" si="21"/>
        <v>724920</v>
      </c>
      <c r="M73" s="18" t="s">
        <v>732</v>
      </c>
      <c r="N73" t="s">
        <v>1850</v>
      </c>
      <c r="P73" t="s">
        <v>1167</v>
      </c>
      <c r="Q73" t="s">
        <v>1850</v>
      </c>
      <c r="R73" t="s">
        <v>839</v>
      </c>
      <c r="T73" t="s">
        <v>1190</v>
      </c>
      <c r="BI73" s="41" t="str">
        <f>HYPERLINK("#일위대가목록!A35","HDD0012 →")</f>
        <v>HDD0012 →</v>
      </c>
    </row>
    <row r="74" spans="1:61" ht="18.399999999999999" customHeight="1" x14ac:dyDescent="0.15">
      <c r="A74" s="11" t="s">
        <v>766</v>
      </c>
      <c r="B74" s="2" t="s">
        <v>1500</v>
      </c>
      <c r="C74" s="2">
        <v>120</v>
      </c>
      <c r="D74" s="1" t="s">
        <v>1134</v>
      </c>
      <c r="E74" s="24">
        <f t="shared" si="18"/>
        <v>74863</v>
      </c>
      <c r="F74" s="24">
        <f t="shared" si="17"/>
        <v>8983560</v>
      </c>
      <c r="G74" s="24">
        <f>일위대가목록!F36</f>
        <v>55336</v>
      </c>
      <c r="H74" s="24">
        <f t="shared" si="19"/>
        <v>6640320</v>
      </c>
      <c r="I74" s="24">
        <f>일위대가목록!G36</f>
        <v>17404</v>
      </c>
      <c r="J74" s="24">
        <f t="shared" si="20"/>
        <v>2088480</v>
      </c>
      <c r="K74" s="24">
        <f>일위대가목록!H36</f>
        <v>2123</v>
      </c>
      <c r="L74" s="24">
        <f t="shared" si="21"/>
        <v>254760</v>
      </c>
      <c r="M74" s="18" t="s">
        <v>1470</v>
      </c>
      <c r="N74" t="s">
        <v>1850</v>
      </c>
      <c r="P74" t="s">
        <v>709</v>
      </c>
      <c r="Q74" t="s">
        <v>1850</v>
      </c>
      <c r="R74" t="s">
        <v>1028</v>
      </c>
      <c r="T74" t="s">
        <v>1190</v>
      </c>
      <c r="BI74" s="41" t="str">
        <f>HYPERLINK("#일위대가목록!A36","HDD0045 →")</f>
        <v>HDD0045 →</v>
      </c>
    </row>
    <row r="75" spans="1:61" ht="18.399999999999999" customHeight="1" x14ac:dyDescent="0.15">
      <c r="A75" s="11" t="s">
        <v>301</v>
      </c>
      <c r="B75" s="2" t="s">
        <v>1500</v>
      </c>
      <c r="C75" s="2">
        <v>2</v>
      </c>
      <c r="D75" s="1" t="s">
        <v>1201</v>
      </c>
      <c r="E75" s="24">
        <f t="shared" si="18"/>
        <v>504070</v>
      </c>
      <c r="F75" s="24">
        <f t="shared" si="17"/>
        <v>1008140</v>
      </c>
      <c r="G75" s="24">
        <f>일위대가목록!F37</f>
        <v>147064</v>
      </c>
      <c r="H75" s="24">
        <f t="shared" si="19"/>
        <v>294128</v>
      </c>
      <c r="I75" s="24">
        <f>일위대가목록!G37</f>
        <v>260630</v>
      </c>
      <c r="J75" s="24">
        <f t="shared" si="20"/>
        <v>521260</v>
      </c>
      <c r="K75" s="24">
        <f>일위대가목록!H37</f>
        <v>96376</v>
      </c>
      <c r="L75" s="24">
        <f t="shared" si="21"/>
        <v>192752</v>
      </c>
      <c r="M75" s="18" t="s">
        <v>689</v>
      </c>
      <c r="N75" t="s">
        <v>1850</v>
      </c>
      <c r="P75" t="s">
        <v>207</v>
      </c>
      <c r="Q75" t="s">
        <v>1850</v>
      </c>
      <c r="R75" t="s">
        <v>774</v>
      </c>
      <c r="T75" t="s">
        <v>1190</v>
      </c>
      <c r="BI75" s="41" t="str">
        <f>HYPERLINK("#일위대가목록!A37","HDD0077 →")</f>
        <v>HDD0077 →</v>
      </c>
    </row>
    <row r="76" spans="1:61" ht="18.399999999999999" customHeight="1" x14ac:dyDescent="0.15">
      <c r="A76" s="11" t="s">
        <v>22</v>
      </c>
      <c r="B76" s="2" t="s">
        <v>1500</v>
      </c>
      <c r="C76" s="2">
        <v>120</v>
      </c>
      <c r="D76" s="1" t="s">
        <v>1134</v>
      </c>
      <c r="E76" s="24">
        <f t="shared" si="18"/>
        <v>51842</v>
      </c>
      <c r="F76" s="24">
        <f t="shared" si="17"/>
        <v>6221040</v>
      </c>
      <c r="G76" s="24">
        <f>일위대가목록!F38</f>
        <v>10943</v>
      </c>
      <c r="H76" s="24">
        <f t="shared" si="19"/>
        <v>1313160</v>
      </c>
      <c r="I76" s="24">
        <f>일위대가목록!G38</f>
        <v>34464</v>
      </c>
      <c r="J76" s="24">
        <f t="shared" si="20"/>
        <v>4135680</v>
      </c>
      <c r="K76" s="24">
        <f>일위대가목록!H38</f>
        <v>6435</v>
      </c>
      <c r="L76" s="24">
        <f t="shared" si="21"/>
        <v>772200</v>
      </c>
      <c r="M76" s="18" t="s">
        <v>1530</v>
      </c>
      <c r="N76" t="s">
        <v>1850</v>
      </c>
      <c r="P76" t="s">
        <v>1598</v>
      </c>
      <c r="Q76" t="s">
        <v>1850</v>
      </c>
      <c r="R76" t="s">
        <v>1085</v>
      </c>
      <c r="T76" t="s">
        <v>1190</v>
      </c>
      <c r="BI76" s="41" t="str">
        <f>HYPERLINK("#일위대가목록!A38","HDD0109 →")</f>
        <v>HDD0109 →</v>
      </c>
    </row>
    <row r="77" spans="1:61" ht="18.399999999999999" customHeight="1" x14ac:dyDescent="0.15">
      <c r="A77" s="11" t="s">
        <v>1468</v>
      </c>
      <c r="B77" s="2" t="s">
        <v>1500</v>
      </c>
      <c r="C77" s="2">
        <v>120</v>
      </c>
      <c r="D77" s="1" t="s">
        <v>1134</v>
      </c>
      <c r="E77" s="24">
        <f t="shared" si="18"/>
        <v>19938</v>
      </c>
      <c r="F77" s="24">
        <f t="shared" si="17"/>
        <v>2392560</v>
      </c>
      <c r="G77" s="24">
        <f>일위대가목록!F39</f>
        <v>859</v>
      </c>
      <c r="H77" s="24">
        <f t="shared" si="19"/>
        <v>103080</v>
      </c>
      <c r="I77" s="24">
        <f>일위대가목록!G39</f>
        <v>16131</v>
      </c>
      <c r="J77" s="24">
        <f t="shared" si="20"/>
        <v>1935720</v>
      </c>
      <c r="K77" s="24">
        <f>일위대가목록!H39</f>
        <v>2948</v>
      </c>
      <c r="L77" s="24">
        <f t="shared" si="21"/>
        <v>353760</v>
      </c>
      <c r="M77" s="18" t="s">
        <v>1238</v>
      </c>
      <c r="N77" t="s">
        <v>1850</v>
      </c>
      <c r="P77" t="s">
        <v>1137</v>
      </c>
      <c r="Q77" t="s">
        <v>1850</v>
      </c>
      <c r="R77" t="s">
        <v>1237</v>
      </c>
      <c r="T77" t="s">
        <v>1190</v>
      </c>
      <c r="BI77" s="41" t="str">
        <f>HYPERLINK("#일위대가목록!A39","HDD0141 →")</f>
        <v>HDD0141 →</v>
      </c>
    </row>
    <row r="78" spans="1:61" ht="18.399999999999999" customHeight="1" x14ac:dyDescent="0.15">
      <c r="A78" s="11" t="s">
        <v>1302</v>
      </c>
      <c r="B78" s="2" t="s">
        <v>1500</v>
      </c>
      <c r="C78" s="2">
        <v>2</v>
      </c>
      <c r="D78" s="1" t="s">
        <v>1201</v>
      </c>
      <c r="E78" s="24">
        <f t="shared" si="18"/>
        <v>482531</v>
      </c>
      <c r="F78" s="24">
        <f t="shared" si="17"/>
        <v>965062</v>
      </c>
      <c r="G78" s="24">
        <f>일위대가목록!F40</f>
        <v>15457</v>
      </c>
      <c r="H78" s="24">
        <f t="shared" si="19"/>
        <v>30914</v>
      </c>
      <c r="I78" s="24">
        <f>일위대가목록!G40</f>
        <v>444781</v>
      </c>
      <c r="J78" s="24">
        <f t="shared" si="20"/>
        <v>889562</v>
      </c>
      <c r="K78" s="24">
        <f>일위대가목록!H40</f>
        <v>22293</v>
      </c>
      <c r="L78" s="24">
        <f t="shared" si="21"/>
        <v>44586</v>
      </c>
      <c r="M78" s="18" t="s">
        <v>465</v>
      </c>
      <c r="N78" t="s">
        <v>1850</v>
      </c>
      <c r="P78" t="s">
        <v>668</v>
      </c>
      <c r="Q78" t="s">
        <v>1850</v>
      </c>
      <c r="R78" t="s">
        <v>549</v>
      </c>
      <c r="T78" t="s">
        <v>1190</v>
      </c>
      <c r="BI78" s="41" t="str">
        <f>HYPERLINK("#일위대가목록!A40","HDD0173 →")</f>
        <v>HDD0173 →</v>
      </c>
    </row>
    <row r="79" spans="1:61" s="62" customFormat="1" ht="18.399999999999999" customHeight="1" x14ac:dyDescent="0.15">
      <c r="A79" s="56" t="s">
        <v>1853</v>
      </c>
      <c r="B79" s="57"/>
      <c r="C79" s="57"/>
      <c r="D79" s="58"/>
      <c r="E79" s="59"/>
      <c r="F79" s="59">
        <f>H79+J79+L79</f>
        <v>207172</v>
      </c>
      <c r="G79" s="58"/>
      <c r="H79" s="59">
        <f>TRUNC(H70/$C$74,0)</f>
        <v>74434</v>
      </c>
      <c r="I79" s="58"/>
      <c r="J79" s="59">
        <f>TRUNC(J70/$C$74,0)</f>
        <v>111499</v>
      </c>
      <c r="K79" s="58"/>
      <c r="L79" s="59">
        <f>TRUNC(L70/$C$74,0)</f>
        <v>21239</v>
      </c>
      <c r="M79" s="60"/>
      <c r="AA79" s="63"/>
      <c r="AB79" s="64"/>
      <c r="AC79" s="63"/>
      <c r="AD79" s="65"/>
      <c r="BI79" s="59">
        <f>TRUNC(F70/$C$74,0)</f>
        <v>207174</v>
      </c>
    </row>
    <row r="80" spans="1:61" ht="18.399999999999999" customHeight="1" x14ac:dyDescent="0.15">
      <c r="A80" s="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6"/>
    </row>
    <row r="81" spans="1:61" ht="18.399999999999999" customHeight="1" x14ac:dyDescent="0.15">
      <c r="A81" s="11" t="s">
        <v>1419</v>
      </c>
      <c r="B81" s="2" t="s">
        <v>1850</v>
      </c>
      <c r="C81" s="2">
        <v>1</v>
      </c>
      <c r="D81" s="1" t="s">
        <v>1529</v>
      </c>
      <c r="F81" s="24">
        <f>H81+J81+L81</f>
        <v>1023198</v>
      </c>
      <c r="H81" s="24">
        <f>TRUNC(H82+H83+H84+H85,0)</f>
        <v>81401</v>
      </c>
      <c r="J81" s="24">
        <f>TRUNC(J82+J83+J84+J85,0)</f>
        <v>843982</v>
      </c>
      <c r="L81" s="24">
        <f>TRUNC(L82+L83+L84+L85,0)</f>
        <v>97815</v>
      </c>
      <c r="M81" s="18" t="s">
        <v>1850</v>
      </c>
      <c r="N81" t="s">
        <v>1850</v>
      </c>
      <c r="O81" t="s">
        <v>517</v>
      </c>
    </row>
    <row r="82" spans="1:61" ht="18.399999999999999" customHeight="1" x14ac:dyDescent="0.15">
      <c r="A82" s="11" t="s">
        <v>1182</v>
      </c>
      <c r="B82" s="2" t="s">
        <v>1286</v>
      </c>
      <c r="C82" s="2">
        <v>13</v>
      </c>
      <c r="D82" s="1" t="s">
        <v>1134</v>
      </c>
      <c r="E82" s="24">
        <f>G82+I82+K82</f>
        <v>1948</v>
      </c>
      <c r="F82" s="24">
        <f>H82+J82+L82</f>
        <v>25324</v>
      </c>
      <c r="G82" s="24">
        <f>일위대가목록!F41</f>
        <v>582</v>
      </c>
      <c r="H82" s="24">
        <f>TRUNC(G82*C82,0)</f>
        <v>7566</v>
      </c>
      <c r="I82" s="24">
        <f>일위대가목록!G41</f>
        <v>1296</v>
      </c>
      <c r="J82" s="24">
        <f>TRUNC(I82*C82,0)</f>
        <v>16848</v>
      </c>
      <c r="K82" s="24">
        <f>일위대가목록!H41</f>
        <v>70</v>
      </c>
      <c r="L82" s="24">
        <f>TRUNC(K82*C82,0)</f>
        <v>910</v>
      </c>
      <c r="M82" s="18" t="s">
        <v>995</v>
      </c>
      <c r="N82" t="s">
        <v>1850</v>
      </c>
      <c r="P82" t="s">
        <v>239</v>
      </c>
      <c r="Q82" t="s">
        <v>1850</v>
      </c>
      <c r="R82" t="s">
        <v>1115</v>
      </c>
      <c r="T82" t="s">
        <v>1190</v>
      </c>
      <c r="BI82" s="41" t="str">
        <f>HYPERLINK("#일위대가목록!A41","HDD1362 →")</f>
        <v>HDD1362 →</v>
      </c>
    </row>
    <row r="83" spans="1:61" ht="18.399999999999999" customHeight="1" x14ac:dyDescent="0.15">
      <c r="A83" s="11" t="s">
        <v>193</v>
      </c>
      <c r="B83" s="2" t="s">
        <v>1023</v>
      </c>
      <c r="C83" s="2">
        <v>2.1</v>
      </c>
      <c r="D83" s="1" t="s">
        <v>1372</v>
      </c>
      <c r="E83" s="24">
        <f>G83+I83+K83</f>
        <v>27516</v>
      </c>
      <c r="F83" s="24">
        <f>H83+J83+L83</f>
        <v>57782</v>
      </c>
      <c r="G83" s="24">
        <f>일위대가목록!F15</f>
        <v>3929</v>
      </c>
      <c r="H83" s="24">
        <f>TRUNC(G83*C83,0)</f>
        <v>8250</v>
      </c>
      <c r="I83" s="24">
        <f>일위대가목록!G15</f>
        <v>18632</v>
      </c>
      <c r="J83" s="24">
        <f>TRUNC(I83*C83,0)</f>
        <v>39127</v>
      </c>
      <c r="K83" s="24">
        <f>일위대가목록!H15</f>
        <v>4955</v>
      </c>
      <c r="L83" s="24">
        <f>TRUNC(K83*C83,0)</f>
        <v>10405</v>
      </c>
      <c r="M83" s="18" t="s">
        <v>951</v>
      </c>
      <c r="N83" t="s">
        <v>1850</v>
      </c>
      <c r="P83" t="s">
        <v>1619</v>
      </c>
      <c r="Q83" t="s">
        <v>1850</v>
      </c>
      <c r="R83" t="s">
        <v>1135</v>
      </c>
      <c r="T83" t="s">
        <v>1589</v>
      </c>
      <c r="BI83" s="41" t="str">
        <f>HYPERLINK("#일위대가목록!A15","SDD0101 →")</f>
        <v>SDD0101 →</v>
      </c>
    </row>
    <row r="84" spans="1:61" ht="18.399999999999999" customHeight="1" x14ac:dyDescent="0.15">
      <c r="A84" s="11" t="s">
        <v>1676</v>
      </c>
      <c r="B84" s="2" t="s">
        <v>915</v>
      </c>
      <c r="C84" s="2">
        <v>2.1</v>
      </c>
      <c r="D84" s="1" t="s">
        <v>1372</v>
      </c>
      <c r="E84" s="24">
        <f>G84+I84+K84</f>
        <v>12614</v>
      </c>
      <c r="F84" s="24">
        <f>H84+J84+L84</f>
        <v>26488</v>
      </c>
      <c r="G84" s="24">
        <f>일위대가목록!F16</f>
        <v>1481</v>
      </c>
      <c r="H84" s="24">
        <f>TRUNC(G84*C84,0)</f>
        <v>3110</v>
      </c>
      <c r="I84" s="24">
        <f>일위대가목록!G16</f>
        <v>8757</v>
      </c>
      <c r="J84" s="24">
        <f>TRUNC(I84*C84,0)</f>
        <v>18389</v>
      </c>
      <c r="K84" s="24">
        <f>일위대가목록!H16</f>
        <v>2376</v>
      </c>
      <c r="L84" s="24">
        <f>TRUNC(K84*C84,0)</f>
        <v>4989</v>
      </c>
      <c r="M84" s="18" t="s">
        <v>1628</v>
      </c>
      <c r="N84" t="s">
        <v>1850</v>
      </c>
      <c r="P84" t="s">
        <v>1167</v>
      </c>
      <c r="Q84" t="s">
        <v>1850</v>
      </c>
      <c r="R84" t="s">
        <v>1107</v>
      </c>
      <c r="T84" t="s">
        <v>1589</v>
      </c>
      <c r="BI84" s="41" t="str">
        <f>HYPERLINK("#일위대가목록!A16","SDD0141 →")</f>
        <v>SDD0141 →</v>
      </c>
    </row>
    <row r="85" spans="1:61" ht="18.399999999999999" customHeight="1" x14ac:dyDescent="0.15">
      <c r="A85" s="11" t="s">
        <v>1309</v>
      </c>
      <c r="B85" s="2" t="s">
        <v>507</v>
      </c>
      <c r="C85" s="2">
        <v>10.5</v>
      </c>
      <c r="D85" s="1" t="s">
        <v>1393</v>
      </c>
      <c r="E85" s="24">
        <f>G85+I85+K85</f>
        <v>87010</v>
      </c>
      <c r="F85" s="24">
        <f>H85+J85+L85</f>
        <v>913604</v>
      </c>
      <c r="G85" s="24">
        <f>일위대가목록!F42</f>
        <v>5950</v>
      </c>
      <c r="H85" s="24">
        <f>TRUNC(G85*C85,0)</f>
        <v>62475</v>
      </c>
      <c r="I85" s="24">
        <f>일위대가목록!G42</f>
        <v>73297</v>
      </c>
      <c r="J85" s="24">
        <f>TRUNC(I85*C85,0)</f>
        <v>769618</v>
      </c>
      <c r="K85" s="24">
        <f>일위대가목록!H42</f>
        <v>7763</v>
      </c>
      <c r="L85" s="24">
        <f>TRUNC(K85*C85,0)</f>
        <v>81511</v>
      </c>
      <c r="M85" s="18" t="s">
        <v>129</v>
      </c>
      <c r="N85" t="s">
        <v>1850</v>
      </c>
      <c r="P85" t="s">
        <v>709</v>
      </c>
      <c r="Q85" t="s">
        <v>1850</v>
      </c>
      <c r="R85" t="s">
        <v>1634</v>
      </c>
      <c r="T85" t="s">
        <v>1190</v>
      </c>
      <c r="BI85" s="41" t="str">
        <f>HYPERLINK("#일위대가목록!A42","HDD1800 →")</f>
        <v>HDD1800 →</v>
      </c>
    </row>
    <row r="86" spans="1:61" ht="18.399999999999999" customHeight="1" x14ac:dyDescent="0.15">
      <c r="A86" s="4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6"/>
    </row>
    <row r="87" spans="1:61" ht="18.399999999999999" customHeight="1" x14ac:dyDescent="0.15">
      <c r="A87" s="11" t="s">
        <v>1253</v>
      </c>
      <c r="B87" s="2" t="s">
        <v>1850</v>
      </c>
      <c r="C87" s="2">
        <v>1</v>
      </c>
      <c r="D87" s="1" t="s">
        <v>1529</v>
      </c>
      <c r="F87" s="24">
        <f t="shared" ref="F87:F98" si="22">H87+J87+L87</f>
        <v>1781955</v>
      </c>
      <c r="H87" s="24">
        <f>TRUNC(H88+H89+H90+H91+H92+H93+H94+H95+H96+H97+H98,0)</f>
        <v>1781955</v>
      </c>
      <c r="J87" s="24">
        <f>TRUNC(J88+J89+J90+J91+J92+J93+J94+J95+J96+J97+J98,0)</f>
        <v>0</v>
      </c>
      <c r="L87" s="24">
        <f>TRUNC(L88+L89+L90+L91+L92+L93+L94+L95+L96+L97+L98,0)</f>
        <v>0</v>
      </c>
      <c r="M87" s="18" t="s">
        <v>1850</v>
      </c>
      <c r="N87" t="s">
        <v>1850</v>
      </c>
      <c r="O87" t="s">
        <v>1802</v>
      </c>
    </row>
    <row r="88" spans="1:61" ht="18.399999999999999" customHeight="1" x14ac:dyDescent="0.15">
      <c r="A88" s="11" t="s">
        <v>311</v>
      </c>
      <c r="B88" s="2" t="s">
        <v>1572</v>
      </c>
      <c r="C88" s="2">
        <v>8.1300000000000008</v>
      </c>
      <c r="D88" s="1" t="s">
        <v>1372</v>
      </c>
      <c r="E88" s="24">
        <f t="shared" ref="E88:E98" si="23">G88+I88+K88</f>
        <v>36000</v>
      </c>
      <c r="F88" s="24">
        <f t="shared" si="22"/>
        <v>292680</v>
      </c>
      <c r="G88" s="24">
        <f>자재!D9</f>
        <v>36000</v>
      </c>
      <c r="H88" s="24">
        <f t="shared" ref="H88:H98" si="24">TRUNC(G88*C88,0)</f>
        <v>292680</v>
      </c>
      <c r="I88" s="24">
        <v>0</v>
      </c>
      <c r="J88" s="24"/>
      <c r="K88" s="24">
        <v>0</v>
      </c>
      <c r="L88" s="24"/>
      <c r="M88" s="18" t="s">
        <v>1336</v>
      </c>
      <c r="N88" t="s">
        <v>1850</v>
      </c>
      <c r="P88" t="s">
        <v>239</v>
      </c>
      <c r="Q88" t="s">
        <v>1850</v>
      </c>
      <c r="R88" t="s">
        <v>1336</v>
      </c>
      <c r="BI88" s="41" t="str">
        <f>HYPERLINK("#자재!A9","MDD0084 →")</f>
        <v>MDD0084 →</v>
      </c>
    </row>
    <row r="89" spans="1:61" ht="18.399999999999999" customHeight="1" x14ac:dyDescent="0.15">
      <c r="A89" s="11" t="s">
        <v>211</v>
      </c>
      <c r="B89" s="2" t="s">
        <v>550</v>
      </c>
      <c r="C89" s="2">
        <v>4.8</v>
      </c>
      <c r="D89" s="1" t="s">
        <v>1372</v>
      </c>
      <c r="E89" s="24">
        <f t="shared" si="23"/>
        <v>24000</v>
      </c>
      <c r="F89" s="24">
        <f t="shared" si="22"/>
        <v>115200</v>
      </c>
      <c r="G89" s="24">
        <f>자재!D26</f>
        <v>24000</v>
      </c>
      <c r="H89" s="24">
        <f t="shared" si="24"/>
        <v>115200</v>
      </c>
      <c r="I89" s="24">
        <v>0</v>
      </c>
      <c r="J89" s="24"/>
      <c r="K89" s="24">
        <v>0</v>
      </c>
      <c r="L89" s="24"/>
      <c r="M89" s="18" t="s">
        <v>1757</v>
      </c>
      <c r="N89" t="s">
        <v>1850</v>
      </c>
      <c r="P89" t="s">
        <v>1619</v>
      </c>
      <c r="Q89" t="s">
        <v>1850</v>
      </c>
      <c r="R89" t="s">
        <v>1757</v>
      </c>
      <c r="BI89" s="41" t="str">
        <f>HYPERLINK("#자재!A26","MDD0179 →")</f>
        <v>MDD0179 →</v>
      </c>
    </row>
    <row r="90" spans="1:61" ht="18.399999999999999" customHeight="1" x14ac:dyDescent="0.15">
      <c r="A90" s="11" t="s">
        <v>229</v>
      </c>
      <c r="B90" s="2" t="s">
        <v>602</v>
      </c>
      <c r="C90" s="2">
        <v>8.11</v>
      </c>
      <c r="D90" s="1" t="s">
        <v>1507</v>
      </c>
      <c r="E90" s="24">
        <f t="shared" si="23"/>
        <v>1447</v>
      </c>
      <c r="F90" s="24">
        <f t="shared" si="22"/>
        <v>11735</v>
      </c>
      <c r="G90" s="24">
        <f>자재!D27</f>
        <v>1447</v>
      </c>
      <c r="H90" s="24">
        <f t="shared" si="24"/>
        <v>11735</v>
      </c>
      <c r="I90" s="24">
        <v>0</v>
      </c>
      <c r="J90" s="24"/>
      <c r="K90" s="24">
        <v>0</v>
      </c>
      <c r="L90" s="24"/>
      <c r="M90" s="18" t="s">
        <v>1155</v>
      </c>
      <c r="N90" t="s">
        <v>1850</v>
      </c>
      <c r="P90" t="s">
        <v>1167</v>
      </c>
      <c r="Q90" t="s">
        <v>1850</v>
      </c>
      <c r="R90" t="s">
        <v>1155</v>
      </c>
      <c r="BI90" s="41" t="str">
        <f>HYPERLINK("#자재!A27","MDD0180 →")</f>
        <v>MDD0180 →</v>
      </c>
    </row>
    <row r="91" spans="1:61" ht="18.399999999999999" customHeight="1" x14ac:dyDescent="0.15">
      <c r="A91" s="11" t="s">
        <v>229</v>
      </c>
      <c r="B91" s="2" t="s">
        <v>1459</v>
      </c>
      <c r="C91" s="2">
        <v>3.24</v>
      </c>
      <c r="D91" s="1" t="s">
        <v>1507</v>
      </c>
      <c r="E91" s="24">
        <f t="shared" si="23"/>
        <v>750</v>
      </c>
      <c r="F91" s="24">
        <f t="shared" si="22"/>
        <v>2430</v>
      </c>
      <c r="G91" s="24">
        <f>자재!D28</f>
        <v>750</v>
      </c>
      <c r="H91" s="24">
        <f t="shared" si="24"/>
        <v>2430</v>
      </c>
      <c r="I91" s="24">
        <v>0</v>
      </c>
      <c r="J91" s="24"/>
      <c r="K91" s="24">
        <v>0</v>
      </c>
      <c r="L91" s="24"/>
      <c r="M91" s="18" t="s">
        <v>92</v>
      </c>
      <c r="N91" t="s">
        <v>1850</v>
      </c>
      <c r="P91" t="s">
        <v>709</v>
      </c>
      <c r="Q91" t="s">
        <v>1850</v>
      </c>
      <c r="R91" t="s">
        <v>92</v>
      </c>
      <c r="BI91" s="41" t="str">
        <f>HYPERLINK("#자재!A28","MDD0181 →")</f>
        <v>MDD0181 →</v>
      </c>
    </row>
    <row r="92" spans="1:61" ht="18.399999999999999" customHeight="1" x14ac:dyDescent="0.15">
      <c r="A92" s="11" t="s">
        <v>468</v>
      </c>
      <c r="B92" s="2" t="s">
        <v>1842</v>
      </c>
      <c r="C92" s="2">
        <v>1.27</v>
      </c>
      <c r="D92" s="1" t="s">
        <v>661</v>
      </c>
      <c r="E92" s="24">
        <f t="shared" si="23"/>
        <v>96000</v>
      </c>
      <c r="F92" s="24">
        <f t="shared" si="22"/>
        <v>121920</v>
      </c>
      <c r="G92" s="24">
        <f>자재!D29</f>
        <v>96000</v>
      </c>
      <c r="H92" s="24">
        <f t="shared" si="24"/>
        <v>121920</v>
      </c>
      <c r="I92" s="24">
        <v>0</v>
      </c>
      <c r="J92" s="24"/>
      <c r="K92" s="24">
        <v>0</v>
      </c>
      <c r="L92" s="24"/>
      <c r="M92" s="18" t="s">
        <v>1349</v>
      </c>
      <c r="N92" t="s">
        <v>1850</v>
      </c>
      <c r="P92" t="s">
        <v>207</v>
      </c>
      <c r="Q92" t="s">
        <v>1850</v>
      </c>
      <c r="R92" t="s">
        <v>1349</v>
      </c>
      <c r="BI92" s="41" t="str">
        <f>HYPERLINK("#자재!A29","MDD0182 →")</f>
        <v>MDD0182 →</v>
      </c>
    </row>
    <row r="93" spans="1:61" ht="18.399999999999999" customHeight="1" x14ac:dyDescent="0.15">
      <c r="A93" s="11" t="s">
        <v>468</v>
      </c>
      <c r="B93" s="2" t="s">
        <v>45</v>
      </c>
      <c r="C93" s="2">
        <v>3.81</v>
      </c>
      <c r="D93" s="1" t="s">
        <v>661</v>
      </c>
      <c r="E93" s="24">
        <f t="shared" si="23"/>
        <v>77000</v>
      </c>
      <c r="F93" s="24">
        <f t="shared" si="22"/>
        <v>293370</v>
      </c>
      <c r="G93" s="24">
        <f>자재!D30</f>
        <v>77000</v>
      </c>
      <c r="H93" s="24">
        <f t="shared" si="24"/>
        <v>293370</v>
      </c>
      <c r="I93" s="24">
        <v>0</v>
      </c>
      <c r="J93" s="24"/>
      <c r="K93" s="24">
        <v>0</v>
      </c>
      <c r="L93" s="24"/>
      <c r="M93" s="18" t="s">
        <v>257</v>
      </c>
      <c r="N93" t="s">
        <v>1850</v>
      </c>
      <c r="P93" t="s">
        <v>1598</v>
      </c>
      <c r="Q93" t="s">
        <v>1850</v>
      </c>
      <c r="R93" t="s">
        <v>257</v>
      </c>
      <c r="BI93" s="41" t="str">
        <f>HYPERLINK("#자재!A30","MDD0183 →")</f>
        <v>MDD0183 →</v>
      </c>
    </row>
    <row r="94" spans="1:61" ht="18.399999999999999" customHeight="1" x14ac:dyDescent="0.15">
      <c r="A94" s="11" t="s">
        <v>1016</v>
      </c>
      <c r="B94" s="2" t="s">
        <v>450</v>
      </c>
      <c r="C94" s="2">
        <v>2</v>
      </c>
      <c r="D94" s="1" t="s">
        <v>1180</v>
      </c>
      <c r="E94" s="24">
        <f t="shared" si="23"/>
        <v>134340</v>
      </c>
      <c r="F94" s="24">
        <f t="shared" si="22"/>
        <v>268680</v>
      </c>
      <c r="G94" s="24">
        <f>자재!D31</f>
        <v>134340</v>
      </c>
      <c r="H94" s="24">
        <f t="shared" si="24"/>
        <v>268680</v>
      </c>
      <c r="I94" s="24">
        <v>0</v>
      </c>
      <c r="J94" s="24"/>
      <c r="K94" s="24">
        <v>0</v>
      </c>
      <c r="L94" s="24"/>
      <c r="M94" s="18" t="s">
        <v>374</v>
      </c>
      <c r="N94" t="s">
        <v>1850</v>
      </c>
      <c r="P94" t="s">
        <v>1137</v>
      </c>
      <c r="Q94" t="s">
        <v>1850</v>
      </c>
      <c r="R94" t="s">
        <v>374</v>
      </c>
      <c r="BI94" s="41" t="str">
        <f>HYPERLINK("#자재!A31","MDD0213 →")</f>
        <v>MDD0213 →</v>
      </c>
    </row>
    <row r="95" spans="1:61" ht="18.399999999999999" customHeight="1" x14ac:dyDescent="0.15">
      <c r="A95" s="11" t="s">
        <v>1448</v>
      </c>
      <c r="B95" s="2" t="s">
        <v>450</v>
      </c>
      <c r="C95" s="2">
        <v>2</v>
      </c>
      <c r="D95" s="1" t="s">
        <v>1180</v>
      </c>
      <c r="E95" s="24">
        <f t="shared" si="23"/>
        <v>138740</v>
      </c>
      <c r="F95" s="24">
        <f t="shared" si="22"/>
        <v>277480</v>
      </c>
      <c r="G95" s="24">
        <f>자재!D32</f>
        <v>138740</v>
      </c>
      <c r="H95" s="24">
        <f t="shared" si="24"/>
        <v>277480</v>
      </c>
      <c r="I95" s="24">
        <v>0</v>
      </c>
      <c r="J95" s="24"/>
      <c r="K95" s="24">
        <v>0</v>
      </c>
      <c r="L95" s="24"/>
      <c r="M95" s="18" t="s">
        <v>1737</v>
      </c>
      <c r="N95" t="s">
        <v>1850</v>
      </c>
      <c r="P95" t="s">
        <v>668</v>
      </c>
      <c r="Q95" t="s">
        <v>1850</v>
      </c>
      <c r="R95" t="s">
        <v>1737</v>
      </c>
      <c r="BI95" s="41" t="str">
        <f>HYPERLINK("#자재!A32","MDD0229 →")</f>
        <v>MDD0229 →</v>
      </c>
    </row>
    <row r="96" spans="1:61" ht="18.399999999999999" customHeight="1" x14ac:dyDescent="0.15">
      <c r="A96" s="11" t="s">
        <v>835</v>
      </c>
      <c r="B96" s="2" t="s">
        <v>450</v>
      </c>
      <c r="C96" s="2">
        <v>1</v>
      </c>
      <c r="D96" s="1" t="s">
        <v>1180</v>
      </c>
      <c r="E96" s="24">
        <f t="shared" si="23"/>
        <v>140940</v>
      </c>
      <c r="F96" s="24">
        <f t="shared" si="22"/>
        <v>140940</v>
      </c>
      <c r="G96" s="24">
        <f>자재!D33</f>
        <v>140940</v>
      </c>
      <c r="H96" s="24">
        <f t="shared" si="24"/>
        <v>140940</v>
      </c>
      <c r="I96" s="24">
        <v>0</v>
      </c>
      <c r="J96" s="24"/>
      <c r="K96" s="24">
        <v>0</v>
      </c>
      <c r="L96" s="24"/>
      <c r="M96" s="18" t="s">
        <v>486</v>
      </c>
      <c r="N96" t="s">
        <v>1850</v>
      </c>
      <c r="P96" t="s">
        <v>174</v>
      </c>
      <c r="Q96" t="s">
        <v>1850</v>
      </c>
      <c r="R96" t="s">
        <v>486</v>
      </c>
      <c r="BI96" s="41" t="str">
        <f>HYPERLINK("#자재!A33","MDD0245 →")</f>
        <v>MDD0245 →</v>
      </c>
    </row>
    <row r="97" spans="1:61" ht="18.399999999999999" customHeight="1" x14ac:dyDescent="0.15">
      <c r="A97" s="11" t="s">
        <v>8</v>
      </c>
      <c r="B97" s="2" t="s">
        <v>1500</v>
      </c>
      <c r="C97" s="2">
        <v>4</v>
      </c>
      <c r="D97" s="1" t="s">
        <v>880</v>
      </c>
      <c r="E97" s="24">
        <f t="shared" si="23"/>
        <v>52240</v>
      </c>
      <c r="F97" s="24">
        <f t="shared" si="22"/>
        <v>208960</v>
      </c>
      <c r="G97" s="24">
        <f>자재!D34</f>
        <v>52240</v>
      </c>
      <c r="H97" s="24">
        <f t="shared" si="24"/>
        <v>208960</v>
      </c>
      <c r="I97" s="24">
        <v>0</v>
      </c>
      <c r="J97" s="24"/>
      <c r="K97" s="24">
        <v>0</v>
      </c>
      <c r="L97" s="24"/>
      <c r="M97" s="18" t="s">
        <v>1427</v>
      </c>
      <c r="N97" t="s">
        <v>1850</v>
      </c>
      <c r="P97" t="s">
        <v>164</v>
      </c>
      <c r="Q97" t="s">
        <v>1850</v>
      </c>
      <c r="R97" t="s">
        <v>1427</v>
      </c>
      <c r="BI97" s="41" t="str">
        <f>HYPERLINK("#자재!A34","MDD0265 →")</f>
        <v>MDD0265 →</v>
      </c>
    </row>
    <row r="98" spans="1:61" ht="18.399999999999999" customHeight="1" x14ac:dyDescent="0.15">
      <c r="A98" s="11" t="s">
        <v>1799</v>
      </c>
      <c r="B98" s="2" t="s">
        <v>1500</v>
      </c>
      <c r="C98" s="2">
        <v>2</v>
      </c>
      <c r="D98" s="1" t="s">
        <v>880</v>
      </c>
      <c r="E98" s="24">
        <f t="shared" si="23"/>
        <v>24280</v>
      </c>
      <c r="F98" s="24">
        <f t="shared" si="22"/>
        <v>48560</v>
      </c>
      <c r="G98" s="24">
        <f>자재!D35</f>
        <v>24280</v>
      </c>
      <c r="H98" s="24">
        <f t="shared" si="24"/>
        <v>48560</v>
      </c>
      <c r="I98" s="24">
        <v>0</v>
      </c>
      <c r="J98" s="24"/>
      <c r="K98" s="24">
        <v>0</v>
      </c>
      <c r="L98" s="24"/>
      <c r="M98" s="18" t="s">
        <v>738</v>
      </c>
      <c r="N98" t="s">
        <v>1850</v>
      </c>
      <c r="P98" t="s">
        <v>633</v>
      </c>
      <c r="Q98" t="s">
        <v>1850</v>
      </c>
      <c r="R98" t="s">
        <v>738</v>
      </c>
      <c r="BI98" s="41" t="str">
        <f>HYPERLINK("#자재!A35","MDD0307 →")</f>
        <v>MDD0307 →</v>
      </c>
    </row>
    <row r="99" spans="1:61" ht="18.399999999999999" customHeight="1" x14ac:dyDescent="0.15">
      <c r="A99" s="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6"/>
    </row>
    <row r="100" spans="1:61" ht="18.399999999999999" customHeight="1" x14ac:dyDescent="0.15">
      <c r="A100" s="11" t="s">
        <v>1778</v>
      </c>
      <c r="B100" s="2" t="s">
        <v>1850</v>
      </c>
      <c r="C100" s="2">
        <v>1</v>
      </c>
      <c r="D100" s="1" t="s">
        <v>1529</v>
      </c>
      <c r="F100" s="24">
        <f t="shared" ref="F100:F108" si="25">H100+J100+L100</f>
        <v>1476182</v>
      </c>
      <c r="H100" s="24">
        <f>TRUNC(H101+H102+H103+H104+H105+H106+H107+H108,0)</f>
        <v>100214</v>
      </c>
      <c r="J100" s="24">
        <f>TRUNC(J101+J102+J103+J104+J105+J106+J107+J108,0)</f>
        <v>120852</v>
      </c>
      <c r="L100" s="24">
        <f>TRUNC(L101+L102+L103+L104+L105+L106+L107+L108,0)</f>
        <v>1255116</v>
      </c>
      <c r="M100" s="18" t="s">
        <v>1850</v>
      </c>
      <c r="N100" t="s">
        <v>1850</v>
      </c>
      <c r="O100" t="s">
        <v>836</v>
      </c>
    </row>
    <row r="101" spans="1:61" ht="18.399999999999999" customHeight="1" x14ac:dyDescent="0.15">
      <c r="A101" s="11" t="s">
        <v>1378</v>
      </c>
      <c r="B101" s="2" t="s">
        <v>1850</v>
      </c>
      <c r="C101" s="2">
        <v>5</v>
      </c>
      <c r="D101" s="1" t="s">
        <v>1735</v>
      </c>
      <c r="E101" s="24">
        <f t="shared" ref="E101:E108" si="26">G101+I101+K101</f>
        <v>165545</v>
      </c>
      <c r="F101" s="24">
        <f t="shared" si="25"/>
        <v>827725</v>
      </c>
      <c r="G101" s="24">
        <f>일위대가목록!F43</f>
        <v>0</v>
      </c>
      <c r="H101" s="24">
        <f t="shared" ref="H101:H108" si="27">TRUNC(G101*C101,0)</f>
        <v>0</v>
      </c>
      <c r="I101" s="24">
        <f>일위대가목록!G43</f>
        <v>0</v>
      </c>
      <c r="J101" s="24">
        <f>TRUNC(I101*C101,0)</f>
        <v>0</v>
      </c>
      <c r="K101" s="24">
        <f>일위대가목록!H43</f>
        <v>165545</v>
      </c>
      <c r="L101" s="24">
        <f>TRUNC(K101*C101,0)</f>
        <v>827725</v>
      </c>
      <c r="M101" s="18" t="s">
        <v>1316</v>
      </c>
      <c r="N101" t="s">
        <v>1850</v>
      </c>
      <c r="P101" t="s">
        <v>239</v>
      </c>
      <c r="Q101" t="s">
        <v>1850</v>
      </c>
      <c r="R101" t="s">
        <v>188</v>
      </c>
      <c r="T101" t="s">
        <v>1190</v>
      </c>
      <c r="BI101" s="41" t="str">
        <f>HYPERLINK("#일위대가목록!A43","HDD1778 →")</f>
        <v>HDD1778 →</v>
      </c>
    </row>
    <row r="102" spans="1:61" ht="18.399999999999999" customHeight="1" x14ac:dyDescent="0.15">
      <c r="A102" s="11" t="s">
        <v>749</v>
      </c>
      <c r="B102" s="2" t="s">
        <v>289</v>
      </c>
      <c r="C102" s="2">
        <v>1</v>
      </c>
      <c r="D102" s="1" t="s">
        <v>880</v>
      </c>
      <c r="E102" s="24">
        <f t="shared" si="26"/>
        <v>95000</v>
      </c>
      <c r="F102" s="24">
        <f t="shared" si="25"/>
        <v>95000</v>
      </c>
      <c r="G102" s="24">
        <f>자재!D21</f>
        <v>95000</v>
      </c>
      <c r="H102" s="24">
        <f t="shared" si="27"/>
        <v>95000</v>
      </c>
      <c r="I102" s="24">
        <v>0</v>
      </c>
      <c r="J102" s="24"/>
      <c r="K102" s="24">
        <v>0</v>
      </c>
      <c r="L102" s="24"/>
      <c r="M102" s="18" t="s">
        <v>1662</v>
      </c>
      <c r="N102" t="s">
        <v>1850</v>
      </c>
      <c r="P102" t="s">
        <v>1619</v>
      </c>
      <c r="Q102" t="s">
        <v>1850</v>
      </c>
      <c r="R102" t="s">
        <v>1662</v>
      </c>
      <c r="BI102" s="41" t="str">
        <f>HYPERLINK("#자재!A21","MDD0156 →")</f>
        <v>MDD0156 →</v>
      </c>
    </row>
    <row r="103" spans="1:61" ht="18.399999999999999" customHeight="1" x14ac:dyDescent="0.15">
      <c r="A103" s="11" t="s">
        <v>697</v>
      </c>
      <c r="B103" s="2" t="s">
        <v>396</v>
      </c>
      <c r="C103" s="2">
        <v>18</v>
      </c>
      <c r="D103" s="1" t="s">
        <v>1134</v>
      </c>
      <c r="E103" s="24">
        <f t="shared" si="26"/>
        <v>1540</v>
      </c>
      <c r="F103" s="24">
        <f t="shared" si="25"/>
        <v>27720</v>
      </c>
      <c r="G103" s="24">
        <f>일위대가목록!F44</f>
        <v>0</v>
      </c>
      <c r="H103" s="24">
        <f t="shared" si="27"/>
        <v>0</v>
      </c>
      <c r="I103" s="24">
        <f>일위대가목록!G44</f>
        <v>0</v>
      </c>
      <c r="J103" s="24">
        <f t="shared" ref="J103:J108" si="28">TRUNC(I103*C103,0)</f>
        <v>0</v>
      </c>
      <c r="K103" s="24">
        <f>일위대가목록!H44</f>
        <v>1540</v>
      </c>
      <c r="L103" s="24">
        <f t="shared" ref="L103:L108" si="29">TRUNC(K103*C103,0)</f>
        <v>27720</v>
      </c>
      <c r="M103" s="18" t="s">
        <v>304</v>
      </c>
      <c r="N103" t="s">
        <v>1850</v>
      </c>
      <c r="P103" t="s">
        <v>1167</v>
      </c>
      <c r="Q103" t="s">
        <v>1850</v>
      </c>
      <c r="R103" t="s">
        <v>1045</v>
      </c>
      <c r="T103" t="s">
        <v>1190</v>
      </c>
      <c r="BI103" s="41" t="str">
        <f>HYPERLINK("#일위대가목록!A44","HDD1752 →")</f>
        <v>HDD1752 →</v>
      </c>
    </row>
    <row r="104" spans="1:61" ht="18.399999999999999" customHeight="1" x14ac:dyDescent="0.15">
      <c r="A104" s="11" t="s">
        <v>310</v>
      </c>
      <c r="B104" s="2" t="s">
        <v>1064</v>
      </c>
      <c r="C104" s="2">
        <v>12</v>
      </c>
      <c r="D104" s="1" t="s">
        <v>1134</v>
      </c>
      <c r="E104" s="24">
        <f t="shared" si="26"/>
        <v>2455</v>
      </c>
      <c r="F104" s="24">
        <f t="shared" si="25"/>
        <v>29460</v>
      </c>
      <c r="G104" s="24">
        <f>일위대가목록!F45</f>
        <v>0</v>
      </c>
      <c r="H104" s="24">
        <f t="shared" si="27"/>
        <v>0</v>
      </c>
      <c r="I104" s="24">
        <f>일위대가목록!G45</f>
        <v>0</v>
      </c>
      <c r="J104" s="24">
        <f t="shared" si="28"/>
        <v>0</v>
      </c>
      <c r="K104" s="24">
        <f>일위대가목록!H45</f>
        <v>2455</v>
      </c>
      <c r="L104" s="24">
        <f t="shared" si="29"/>
        <v>29460</v>
      </c>
      <c r="M104" s="18" t="s">
        <v>1169</v>
      </c>
      <c r="N104" t="s">
        <v>1850</v>
      </c>
      <c r="P104" t="s">
        <v>709</v>
      </c>
      <c r="Q104" t="s">
        <v>1850</v>
      </c>
      <c r="R104" t="s">
        <v>1403</v>
      </c>
      <c r="T104" t="s">
        <v>1190</v>
      </c>
      <c r="BI104" s="41" t="str">
        <f>HYPERLINK("#일위대가목록!A45","HDD1754 →")</f>
        <v>HDD1754 →</v>
      </c>
    </row>
    <row r="105" spans="1:61" ht="18.399999999999999" customHeight="1" x14ac:dyDescent="0.15">
      <c r="A105" s="11" t="s">
        <v>1544</v>
      </c>
      <c r="B105" s="2" t="s">
        <v>598</v>
      </c>
      <c r="C105" s="2">
        <v>2</v>
      </c>
      <c r="D105" s="1" t="s">
        <v>1201</v>
      </c>
      <c r="E105" s="24">
        <f t="shared" si="26"/>
        <v>2595</v>
      </c>
      <c r="F105" s="24">
        <f t="shared" si="25"/>
        <v>5190</v>
      </c>
      <c r="G105" s="24">
        <f>일위대가목록!F46</f>
        <v>0</v>
      </c>
      <c r="H105" s="24">
        <f t="shared" si="27"/>
        <v>0</v>
      </c>
      <c r="I105" s="24">
        <f>일위대가목록!G46</f>
        <v>0</v>
      </c>
      <c r="J105" s="24">
        <f t="shared" si="28"/>
        <v>0</v>
      </c>
      <c r="K105" s="24">
        <f>일위대가목록!H46</f>
        <v>2595</v>
      </c>
      <c r="L105" s="24">
        <f t="shared" si="29"/>
        <v>5190</v>
      </c>
      <c r="M105" s="18" t="s">
        <v>84</v>
      </c>
      <c r="N105" t="s">
        <v>1850</v>
      </c>
      <c r="P105" t="s">
        <v>207</v>
      </c>
      <c r="Q105" t="s">
        <v>1850</v>
      </c>
      <c r="R105" t="s">
        <v>1236</v>
      </c>
      <c r="T105" t="s">
        <v>1190</v>
      </c>
      <c r="BI105" s="41" t="str">
        <f>HYPERLINK("#일위대가목록!A46","HDD1750 →")</f>
        <v>HDD1750 →</v>
      </c>
    </row>
    <row r="106" spans="1:61" ht="18.399999999999999" customHeight="1" x14ac:dyDescent="0.15">
      <c r="A106" s="11" t="s">
        <v>1689</v>
      </c>
      <c r="B106" s="2" t="s">
        <v>1244</v>
      </c>
      <c r="C106" s="2">
        <v>5</v>
      </c>
      <c r="D106" s="1" t="s">
        <v>1705</v>
      </c>
      <c r="E106" s="24">
        <f t="shared" si="26"/>
        <v>61963</v>
      </c>
      <c r="F106" s="24">
        <f t="shared" si="25"/>
        <v>309815</v>
      </c>
      <c r="G106" s="24">
        <f>일위대가목록!F47</f>
        <v>0</v>
      </c>
      <c r="H106" s="24">
        <f t="shared" si="27"/>
        <v>0</v>
      </c>
      <c r="I106" s="24">
        <f>일위대가목록!G47</f>
        <v>0</v>
      </c>
      <c r="J106" s="24">
        <f t="shared" si="28"/>
        <v>0</v>
      </c>
      <c r="K106" s="24">
        <f>일위대가목록!H47</f>
        <v>61963</v>
      </c>
      <c r="L106" s="24">
        <f t="shared" si="29"/>
        <v>309815</v>
      </c>
      <c r="M106" s="18" t="s">
        <v>1157</v>
      </c>
      <c r="N106" t="s">
        <v>1850</v>
      </c>
      <c r="P106" t="s">
        <v>1598</v>
      </c>
      <c r="Q106" t="s">
        <v>1850</v>
      </c>
      <c r="R106" t="s">
        <v>1120</v>
      </c>
      <c r="T106" t="s">
        <v>1190</v>
      </c>
      <c r="BI106" s="41" t="str">
        <f>HYPERLINK("#일위대가목록!A47","HDD1758 →")</f>
        <v>HDD1758 →</v>
      </c>
    </row>
    <row r="107" spans="1:61" ht="18.399999999999999" customHeight="1" x14ac:dyDescent="0.15">
      <c r="A107" s="11" t="s">
        <v>889</v>
      </c>
      <c r="B107" s="2" t="s">
        <v>1771</v>
      </c>
      <c r="C107" s="2">
        <v>18</v>
      </c>
      <c r="D107" s="1" t="s">
        <v>1393</v>
      </c>
      <c r="E107" s="24">
        <f t="shared" si="26"/>
        <v>3027</v>
      </c>
      <c r="F107" s="24">
        <f t="shared" si="25"/>
        <v>54486</v>
      </c>
      <c r="G107" s="24">
        <f>일위대가목록!F48</f>
        <v>0</v>
      </c>
      <c r="H107" s="24">
        <f t="shared" si="27"/>
        <v>0</v>
      </c>
      <c r="I107" s="24">
        <f>일위대가목록!G48</f>
        <v>0</v>
      </c>
      <c r="J107" s="24">
        <f t="shared" si="28"/>
        <v>0</v>
      </c>
      <c r="K107" s="24">
        <f>일위대가목록!H48</f>
        <v>3027</v>
      </c>
      <c r="L107" s="24">
        <f t="shared" si="29"/>
        <v>54486</v>
      </c>
      <c r="M107" s="18" t="s">
        <v>90</v>
      </c>
      <c r="N107" t="s">
        <v>1850</v>
      </c>
      <c r="P107" t="s">
        <v>1137</v>
      </c>
      <c r="Q107" t="s">
        <v>1850</v>
      </c>
      <c r="R107" t="s">
        <v>64</v>
      </c>
      <c r="T107" t="s">
        <v>1190</v>
      </c>
      <c r="BI107" s="41" t="str">
        <f>HYPERLINK("#일위대가목록!A48","HDD1772 →")</f>
        <v>HDD1772 →</v>
      </c>
    </row>
    <row r="108" spans="1:61" ht="18.399999999999999" customHeight="1" x14ac:dyDescent="0.15">
      <c r="A108" s="11" t="s">
        <v>1579</v>
      </c>
      <c r="B108" s="2" t="s">
        <v>779</v>
      </c>
      <c r="C108" s="2">
        <v>6</v>
      </c>
      <c r="D108" s="1" t="s">
        <v>337</v>
      </c>
      <c r="E108" s="24">
        <f t="shared" si="26"/>
        <v>21131</v>
      </c>
      <c r="F108" s="24">
        <f t="shared" si="25"/>
        <v>126786</v>
      </c>
      <c r="G108" s="24">
        <f>일위대가목록!F49</f>
        <v>869</v>
      </c>
      <c r="H108" s="24">
        <f t="shared" si="27"/>
        <v>5214</v>
      </c>
      <c r="I108" s="24">
        <f>일위대가목록!G49</f>
        <v>20142</v>
      </c>
      <c r="J108" s="24">
        <f t="shared" si="28"/>
        <v>120852</v>
      </c>
      <c r="K108" s="24">
        <f>일위대가목록!H49</f>
        <v>120</v>
      </c>
      <c r="L108" s="24">
        <f t="shared" si="29"/>
        <v>720</v>
      </c>
      <c r="M108" s="18" t="s">
        <v>1702</v>
      </c>
      <c r="N108" t="s">
        <v>1850</v>
      </c>
      <c r="P108" t="s">
        <v>668</v>
      </c>
      <c r="Q108" t="s">
        <v>1850</v>
      </c>
      <c r="R108" t="s">
        <v>1106</v>
      </c>
      <c r="T108" t="s">
        <v>1190</v>
      </c>
      <c r="BI108" s="41" t="str">
        <f>HYPERLINK("#일위대가목록!A49","HDD0253 →")</f>
        <v>HDD0253 →</v>
      </c>
    </row>
    <row r="109" spans="1:61" ht="18.399999999999999" customHeight="1" x14ac:dyDescent="0.15">
      <c r="A109" s="4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6"/>
    </row>
    <row r="110" spans="1:61" ht="18.399999999999999" customHeight="1" x14ac:dyDescent="0.15">
      <c r="A110" s="11" t="s">
        <v>267</v>
      </c>
      <c r="B110" s="2" t="s">
        <v>1850</v>
      </c>
      <c r="C110" s="2">
        <v>1</v>
      </c>
      <c r="D110" s="1" t="s">
        <v>1529</v>
      </c>
      <c r="F110" s="24">
        <f>H110+J110+L110</f>
        <v>305660</v>
      </c>
      <c r="H110" s="24">
        <f>TRUNC(H111,0)</f>
        <v>0</v>
      </c>
      <c r="J110" s="24">
        <f>TRUNC(J111,0)</f>
        <v>0</v>
      </c>
      <c r="L110" s="24">
        <f>TRUNC(L111,0)</f>
        <v>305660</v>
      </c>
      <c r="M110" s="18" t="s">
        <v>1850</v>
      </c>
      <c r="N110" t="s">
        <v>1850</v>
      </c>
      <c r="O110" t="s">
        <v>1836</v>
      </c>
    </row>
    <row r="111" spans="1:61" ht="18.399999999999999" customHeight="1" x14ac:dyDescent="0.15">
      <c r="A111" s="11" t="s">
        <v>649</v>
      </c>
      <c r="B111" s="2" t="s">
        <v>1129</v>
      </c>
      <c r="C111" s="2">
        <v>4.93</v>
      </c>
      <c r="D111" s="1" t="s">
        <v>661</v>
      </c>
      <c r="E111" s="24">
        <f>G111+I111+K111</f>
        <v>62000</v>
      </c>
      <c r="F111" s="24">
        <f>H111+J111+L111</f>
        <v>305660</v>
      </c>
      <c r="G111" s="24">
        <f>경비!D6</f>
        <v>0</v>
      </c>
      <c r="H111" s="24">
        <f>TRUNC(G111*C111,0)</f>
        <v>0</v>
      </c>
      <c r="I111" s="24">
        <f>경비!E6</f>
        <v>0</v>
      </c>
      <c r="J111" s="24">
        <f>TRUNC(I111*C111,0)</f>
        <v>0</v>
      </c>
      <c r="K111" s="24">
        <f>경비!F6</f>
        <v>62000</v>
      </c>
      <c r="L111" s="24">
        <f>TRUNC(K111*C111,0)</f>
        <v>305660</v>
      </c>
      <c r="M111" s="18" t="s">
        <v>551</v>
      </c>
      <c r="N111" t="s">
        <v>1850</v>
      </c>
      <c r="P111" t="s">
        <v>239</v>
      </c>
      <c r="Q111" t="s">
        <v>1850</v>
      </c>
      <c r="R111" t="s">
        <v>551</v>
      </c>
      <c r="BI111" s="41" t="str">
        <f>HYPERLINK("#경비!A6","GDD0007 →")</f>
        <v>GDD0007 →</v>
      </c>
    </row>
    <row r="112" spans="1:61" ht="18.399999999999999" customHeight="1" x14ac:dyDescent="0.15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333</v>
      </c>
    </row>
    <row r="2" spans="1:10" ht="18.399999999999999" customHeight="1" x14ac:dyDescent="0.15">
      <c r="A2" s="14" t="s">
        <v>1337</v>
      </c>
      <c r="B2" s="15" t="s">
        <v>739</v>
      </c>
      <c r="C2" s="15" t="s">
        <v>1744</v>
      </c>
      <c r="D2" s="15" t="s">
        <v>1307</v>
      </c>
      <c r="E2" s="15" t="s">
        <v>789</v>
      </c>
      <c r="F2" s="15" t="s">
        <v>128</v>
      </c>
      <c r="G2" s="15" t="s">
        <v>1791</v>
      </c>
      <c r="H2" s="17" t="s">
        <v>515</v>
      </c>
    </row>
    <row r="3" spans="1:10" ht="18.399999999999999" customHeight="1" x14ac:dyDescent="0.15">
      <c r="A3" s="11" t="s">
        <v>217</v>
      </c>
      <c r="B3" s="2" t="s">
        <v>70</v>
      </c>
      <c r="C3" s="2" t="s">
        <v>1289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1850</v>
      </c>
      <c r="I3" t="s">
        <v>1850</v>
      </c>
      <c r="J3" t="s">
        <v>950</v>
      </c>
    </row>
    <row r="4" spans="1:10" ht="18.399999999999999" customHeight="1" x14ac:dyDescent="0.15">
      <c r="A4" s="11" t="s">
        <v>1385</v>
      </c>
      <c r="B4" s="2" t="s">
        <v>426</v>
      </c>
      <c r="C4" s="2" t="s">
        <v>564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926</v>
      </c>
      <c r="I4" t="s">
        <v>1850</v>
      </c>
      <c r="J4" t="s">
        <v>1463</v>
      </c>
    </row>
    <row r="5" spans="1:10" ht="18.399999999999999" customHeight="1" x14ac:dyDescent="0.15">
      <c r="A5" s="11" t="s">
        <v>217</v>
      </c>
      <c r="B5" s="2" t="s">
        <v>70</v>
      </c>
      <c r="C5" s="2" t="s">
        <v>1289</v>
      </c>
      <c r="D5" s="21">
        <v>0</v>
      </c>
      <c r="E5" s="21">
        <v>0</v>
      </c>
      <c r="F5" s="21">
        <v>1940</v>
      </c>
      <c r="G5" s="21">
        <f>D5+E5+F5</f>
        <v>1940</v>
      </c>
      <c r="H5" s="18" t="s">
        <v>1850</v>
      </c>
      <c r="I5" t="s">
        <v>1850</v>
      </c>
      <c r="J5" t="s">
        <v>616</v>
      </c>
    </row>
    <row r="6" spans="1:10" ht="18.399999999999999" customHeight="1" x14ac:dyDescent="0.15">
      <c r="A6" s="12" t="s">
        <v>695</v>
      </c>
      <c r="B6" s="13" t="s">
        <v>1129</v>
      </c>
      <c r="C6" s="13" t="s">
        <v>1289</v>
      </c>
      <c r="D6" s="22">
        <v>0</v>
      </c>
      <c r="E6" s="22">
        <v>0</v>
      </c>
      <c r="F6" s="22">
        <v>62000</v>
      </c>
      <c r="G6" s="22">
        <f>D6+E6+F6</f>
        <v>62000</v>
      </c>
      <c r="H6" s="19" t="s">
        <v>1850</v>
      </c>
      <c r="I6" t="s">
        <v>1850</v>
      </c>
      <c r="J6" t="s">
        <v>551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1418</v>
      </c>
    </row>
    <row r="2" spans="1:5" ht="18.399999999999999" customHeight="1" x14ac:dyDescent="0.15">
      <c r="A2" s="14" t="s">
        <v>199</v>
      </c>
      <c r="B2" s="15" t="s">
        <v>1442</v>
      </c>
      <c r="C2" s="15" t="s">
        <v>354</v>
      </c>
      <c r="D2" s="20" t="s">
        <v>455</v>
      </c>
      <c r="E2" s="16" t="s">
        <v>60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1688</v>
      </c>
    </row>
    <row r="2" spans="1:4" ht="18.399999999999999" customHeight="1" x14ac:dyDescent="0.15">
      <c r="A2" s="14" t="s">
        <v>199</v>
      </c>
      <c r="B2" s="15" t="s">
        <v>1442</v>
      </c>
      <c r="C2" s="15" t="s">
        <v>354</v>
      </c>
      <c r="D2" s="17" t="s">
        <v>455</v>
      </c>
    </row>
    <row r="3" spans="1:4" ht="18.399999999999999" customHeight="1" x14ac:dyDescent="0.15">
      <c r="A3" s="11" t="s">
        <v>1256</v>
      </c>
      <c r="B3" s="2" t="s">
        <v>640</v>
      </c>
      <c r="C3" s="2" t="s">
        <v>1758</v>
      </c>
      <c r="D3" s="18" t="s">
        <v>1850</v>
      </c>
    </row>
    <row r="4" spans="1:4" ht="18.399999999999999" customHeight="1" x14ac:dyDescent="0.15">
      <c r="A4" s="11" t="s">
        <v>1192</v>
      </c>
      <c r="B4" s="2" t="s">
        <v>1815</v>
      </c>
      <c r="C4" s="2">
        <v>1289</v>
      </c>
      <c r="D4" s="18" t="s">
        <v>819</v>
      </c>
    </row>
    <row r="5" spans="1:4" ht="18.399999999999999" customHeight="1" x14ac:dyDescent="0.15">
      <c r="A5" s="11" t="s">
        <v>411</v>
      </c>
      <c r="B5" s="2" t="s">
        <v>1815</v>
      </c>
      <c r="C5" s="2">
        <v>1289</v>
      </c>
      <c r="D5" s="18" t="s">
        <v>1600</v>
      </c>
    </row>
    <row r="6" spans="1:4" ht="18.399999999999999" customHeight="1" x14ac:dyDescent="0.15">
      <c r="A6" s="11" t="s">
        <v>246</v>
      </c>
      <c r="B6" s="2" t="s">
        <v>1815</v>
      </c>
      <c r="C6" s="2">
        <v>0</v>
      </c>
      <c r="D6" s="18" t="s">
        <v>1551</v>
      </c>
    </row>
    <row r="7" spans="1:4" ht="18.399999999999999" customHeight="1" x14ac:dyDescent="0.15">
      <c r="A7" s="11" t="s">
        <v>508</v>
      </c>
      <c r="B7" s="2" t="s">
        <v>1815</v>
      </c>
      <c r="C7" s="2">
        <v>0</v>
      </c>
      <c r="D7" s="18" t="s">
        <v>1143</v>
      </c>
    </row>
    <row r="8" spans="1:4" ht="18.399999999999999" customHeight="1" x14ac:dyDescent="0.15">
      <c r="A8" s="11" t="s">
        <v>911</v>
      </c>
      <c r="B8" s="2" t="s">
        <v>1815</v>
      </c>
      <c r="C8" s="2">
        <v>0</v>
      </c>
      <c r="D8" s="18" t="s">
        <v>1664</v>
      </c>
    </row>
    <row r="9" spans="1:4" ht="18.399999999999999" customHeight="1" x14ac:dyDescent="0.15">
      <c r="A9" s="11" t="s">
        <v>334</v>
      </c>
      <c r="B9" s="2" t="s">
        <v>1815</v>
      </c>
      <c r="C9" s="2">
        <v>0</v>
      </c>
      <c r="D9" s="18" t="s">
        <v>842</v>
      </c>
    </row>
    <row r="10" spans="1:4" ht="18.399999999999999" customHeight="1" x14ac:dyDescent="0.15">
      <c r="A10" s="11" t="s">
        <v>1377</v>
      </c>
      <c r="B10" s="2" t="s">
        <v>640</v>
      </c>
      <c r="C10" s="2" t="s">
        <v>20</v>
      </c>
      <c r="D10" s="18" t="s">
        <v>1417</v>
      </c>
    </row>
    <row r="11" spans="1:4" ht="18.399999999999999" customHeight="1" x14ac:dyDescent="0.15">
      <c r="A11" s="11" t="s">
        <v>19</v>
      </c>
      <c r="B11" s="2" t="s">
        <v>640</v>
      </c>
      <c r="C11" s="2" t="s">
        <v>20</v>
      </c>
      <c r="D11" s="18" t="s">
        <v>431</v>
      </c>
    </row>
    <row r="12" spans="1:4" ht="18.399999999999999" customHeight="1" x14ac:dyDescent="0.15">
      <c r="A12" s="11" t="s">
        <v>1136</v>
      </c>
      <c r="B12" s="2" t="s">
        <v>640</v>
      </c>
      <c r="C12" s="2" t="s">
        <v>1008</v>
      </c>
      <c r="D12" s="18" t="s">
        <v>1367</v>
      </c>
    </row>
    <row r="13" spans="1:4" ht="18.399999999999999" customHeight="1" x14ac:dyDescent="0.15">
      <c r="A13" s="11" t="s">
        <v>94</v>
      </c>
      <c r="B13" s="2" t="s">
        <v>1815</v>
      </c>
      <c r="C13" s="2">
        <v>1.25</v>
      </c>
      <c r="D13" s="18" t="s">
        <v>1543</v>
      </c>
    </row>
    <row r="14" spans="1:4" ht="18.399999999999999" customHeight="1" x14ac:dyDescent="0.15">
      <c r="A14" s="11" t="s">
        <v>1151</v>
      </c>
      <c r="B14" s="2" t="s">
        <v>1815</v>
      </c>
      <c r="C14" s="2">
        <v>1.071</v>
      </c>
      <c r="D14" s="18" t="s">
        <v>696</v>
      </c>
    </row>
    <row r="15" spans="1:4" ht="18.399999999999999" customHeight="1" x14ac:dyDescent="0.15">
      <c r="A15" s="11" t="s">
        <v>975</v>
      </c>
      <c r="B15" s="2" t="s">
        <v>640</v>
      </c>
      <c r="C15" s="2" t="s">
        <v>1631</v>
      </c>
      <c r="D15" s="18" t="s">
        <v>1243</v>
      </c>
    </row>
    <row r="16" spans="1:4" ht="18.399999999999999" customHeight="1" x14ac:dyDescent="0.15">
      <c r="A16" s="11" t="s">
        <v>1252</v>
      </c>
      <c r="B16" s="2" t="s">
        <v>640</v>
      </c>
      <c r="C16" s="2" t="s">
        <v>1631</v>
      </c>
      <c r="D16" s="18" t="s">
        <v>1308</v>
      </c>
    </row>
    <row r="17" spans="1:4" ht="18.399999999999999" customHeight="1" x14ac:dyDescent="0.15">
      <c r="A17" s="11" t="s">
        <v>401</v>
      </c>
      <c r="B17" s="2" t="s">
        <v>640</v>
      </c>
      <c r="C17" s="2" t="s">
        <v>1631</v>
      </c>
      <c r="D17" s="18" t="s">
        <v>356</v>
      </c>
    </row>
    <row r="18" spans="1:4" ht="18.399999999999999" customHeight="1" x14ac:dyDescent="0.15">
      <c r="A18" s="11" t="s">
        <v>731</v>
      </c>
      <c r="B18" s="2" t="s">
        <v>640</v>
      </c>
      <c r="C18" s="5">
        <f t="shared" ref="C18:C23" si="0">25/20 * 16/12 * 1/8</f>
        <v>0.20833333333333334</v>
      </c>
      <c r="D18" s="18" t="s">
        <v>1738</v>
      </c>
    </row>
    <row r="19" spans="1:4" ht="18.399999999999999" customHeight="1" x14ac:dyDescent="0.15">
      <c r="A19" s="11" t="s">
        <v>1693</v>
      </c>
      <c r="B19" s="2" t="s">
        <v>640</v>
      </c>
      <c r="C19" s="5">
        <f t="shared" si="0"/>
        <v>0.20833333333333334</v>
      </c>
      <c r="D19" s="18" t="s">
        <v>586</v>
      </c>
    </row>
    <row r="20" spans="1:4" ht="18.399999999999999" customHeight="1" x14ac:dyDescent="0.15">
      <c r="A20" s="11" t="s">
        <v>183</v>
      </c>
      <c r="B20" s="2" t="s">
        <v>640</v>
      </c>
      <c r="C20" s="5">
        <f t="shared" si="0"/>
        <v>0.20833333333333334</v>
      </c>
      <c r="D20" s="18" t="s">
        <v>1315</v>
      </c>
    </row>
    <row r="21" spans="1:4" ht="18.399999999999999" customHeight="1" x14ac:dyDescent="0.15">
      <c r="A21" s="11" t="s">
        <v>652</v>
      </c>
      <c r="B21" s="2" t="s">
        <v>640</v>
      </c>
      <c r="C21" s="5">
        <f t="shared" si="0"/>
        <v>0.20833333333333334</v>
      </c>
      <c r="D21" s="18" t="s">
        <v>818</v>
      </c>
    </row>
    <row r="22" spans="1:4" ht="18.399999999999999" customHeight="1" x14ac:dyDescent="0.15">
      <c r="A22" s="11" t="s">
        <v>1720</v>
      </c>
      <c r="B22" s="2" t="s">
        <v>640</v>
      </c>
      <c r="C22" s="5">
        <f t="shared" si="0"/>
        <v>0.20833333333333334</v>
      </c>
      <c r="D22" s="18" t="s">
        <v>1429</v>
      </c>
    </row>
    <row r="23" spans="1:4" ht="18.399999999999999" customHeight="1" x14ac:dyDescent="0.15">
      <c r="A23" s="11" t="s">
        <v>924</v>
      </c>
      <c r="B23" s="2" t="s">
        <v>640</v>
      </c>
      <c r="C23" s="5">
        <f t="shared" si="0"/>
        <v>0.20833333333333334</v>
      </c>
      <c r="D23" s="18" t="s">
        <v>136</v>
      </c>
    </row>
    <row r="24" spans="1:4" ht="18.399999999999999" customHeight="1" x14ac:dyDescent="0.15">
      <c r="A24" s="11" t="s">
        <v>1460</v>
      </c>
      <c r="B24" s="2" t="s">
        <v>1815</v>
      </c>
      <c r="C24" s="2">
        <v>1</v>
      </c>
      <c r="D24" s="18" t="s">
        <v>1005</v>
      </c>
    </row>
    <row r="25" spans="1:4" ht="18.399999999999999" customHeight="1" x14ac:dyDescent="0.15">
      <c r="A25" s="11" t="s">
        <v>948</v>
      </c>
      <c r="B25" s="2" t="s">
        <v>1815</v>
      </c>
      <c r="C25" s="2">
        <v>1.5</v>
      </c>
      <c r="D25" s="18" t="s">
        <v>1724</v>
      </c>
    </row>
    <row r="26" spans="1:4" ht="18.399999999999999" customHeight="1" x14ac:dyDescent="0.15">
      <c r="A26" s="11" t="s">
        <v>1718</v>
      </c>
      <c r="B26" s="2" t="s">
        <v>1815</v>
      </c>
      <c r="C26" s="2">
        <v>1.1599999999999999</v>
      </c>
      <c r="D26" s="18" t="s">
        <v>1772</v>
      </c>
    </row>
    <row r="27" spans="1:4" ht="18.399999999999999" customHeight="1" x14ac:dyDescent="0.15">
      <c r="A27" s="11" t="s">
        <v>1814</v>
      </c>
      <c r="B27" s="2" t="s">
        <v>1815</v>
      </c>
      <c r="C27" s="2">
        <v>1.6</v>
      </c>
      <c r="D27" s="18" t="s">
        <v>510</v>
      </c>
    </row>
    <row r="28" spans="1:4" ht="18.399999999999999" customHeight="1" x14ac:dyDescent="0.15">
      <c r="A28" s="11" t="s">
        <v>487</v>
      </c>
      <c r="B28" s="2" t="s">
        <v>1815</v>
      </c>
      <c r="C28" s="2">
        <v>1.6</v>
      </c>
      <c r="D28" s="18" t="s">
        <v>342</v>
      </c>
    </row>
    <row r="29" spans="1:4" ht="18.399999999999999" customHeight="1" x14ac:dyDescent="0.15">
      <c r="A29" s="11" t="s">
        <v>1582</v>
      </c>
      <c r="B29" s="2" t="s">
        <v>1815</v>
      </c>
      <c r="C29" s="2">
        <v>1.6</v>
      </c>
      <c r="D29" s="18" t="s">
        <v>1246</v>
      </c>
    </row>
    <row r="30" spans="1:4" ht="18.399999999999999" customHeight="1" x14ac:dyDescent="0.15">
      <c r="A30" s="11" t="s">
        <v>872</v>
      </c>
      <c r="B30" s="2" t="s">
        <v>1815</v>
      </c>
      <c r="C30" s="2">
        <v>1.94</v>
      </c>
      <c r="D30" s="18" t="s">
        <v>1254</v>
      </c>
    </row>
    <row r="31" spans="1:4" ht="18.399999999999999" customHeight="1" x14ac:dyDescent="0.15">
      <c r="A31" s="11" t="s">
        <v>1655</v>
      </c>
      <c r="B31" s="2" t="s">
        <v>1815</v>
      </c>
      <c r="C31" s="2">
        <v>1.94</v>
      </c>
      <c r="D31" s="18" t="s">
        <v>1416</v>
      </c>
    </row>
    <row r="32" spans="1:4" ht="18.399999999999999" customHeight="1" x14ac:dyDescent="0.15">
      <c r="A32" s="11" t="s">
        <v>678</v>
      </c>
      <c r="B32" s="2" t="s">
        <v>1815</v>
      </c>
      <c r="C32" s="2">
        <v>1.94</v>
      </c>
      <c r="D32" s="18" t="s">
        <v>348</v>
      </c>
    </row>
    <row r="33" spans="1:4" ht="18.399999999999999" customHeight="1" x14ac:dyDescent="0.15">
      <c r="A33" s="11" t="s">
        <v>454</v>
      </c>
      <c r="B33" s="2" t="s">
        <v>1815</v>
      </c>
      <c r="C33" s="2">
        <v>1</v>
      </c>
      <c r="D33" s="18" t="s">
        <v>469</v>
      </c>
    </row>
    <row r="34" spans="1:4" ht="18.399999999999999" customHeight="1" x14ac:dyDescent="0.15">
      <c r="A34" s="11" t="s">
        <v>1291</v>
      </c>
      <c r="B34" s="2" t="s">
        <v>1815</v>
      </c>
      <c r="C34" s="2">
        <v>1</v>
      </c>
      <c r="D34" s="18" t="s">
        <v>672</v>
      </c>
    </row>
    <row r="35" spans="1:4" ht="18.399999999999999" customHeight="1" x14ac:dyDescent="0.15">
      <c r="A35" s="11" t="s">
        <v>181</v>
      </c>
      <c r="B35" s="2" t="s">
        <v>1815</v>
      </c>
      <c r="C35" s="2">
        <v>1</v>
      </c>
      <c r="D35" s="18" t="s">
        <v>1124</v>
      </c>
    </row>
    <row r="36" spans="1:4" ht="18.399999999999999" customHeight="1" x14ac:dyDescent="0.15">
      <c r="A36" s="11" t="s">
        <v>1290</v>
      </c>
      <c r="B36" s="2" t="s">
        <v>640</v>
      </c>
      <c r="C36" s="2" t="s">
        <v>1631</v>
      </c>
      <c r="D36" s="18" t="s">
        <v>150</v>
      </c>
    </row>
    <row r="37" spans="1:4" ht="18.399999999999999" customHeight="1" x14ac:dyDescent="0.15">
      <c r="A37" s="11" t="s">
        <v>1001</v>
      </c>
      <c r="B37" s="2" t="s">
        <v>640</v>
      </c>
      <c r="C37" s="2" t="s">
        <v>1631</v>
      </c>
      <c r="D37" s="18" t="s">
        <v>140</v>
      </c>
    </row>
    <row r="38" spans="1:4" ht="18.399999999999999" customHeight="1" x14ac:dyDescent="0.15">
      <c r="A38" s="11" t="s">
        <v>233</v>
      </c>
      <c r="B38" s="2" t="s">
        <v>640</v>
      </c>
      <c r="C38" s="2" t="s">
        <v>1631</v>
      </c>
      <c r="D38" s="18" t="s">
        <v>81</v>
      </c>
    </row>
    <row r="39" spans="1:4" ht="18.399999999999999" customHeight="1" x14ac:dyDescent="0.15">
      <c r="A39" s="11" t="s">
        <v>1509</v>
      </c>
      <c r="B39" s="2" t="s">
        <v>1815</v>
      </c>
      <c r="C39" s="2">
        <v>1.1100000000000001</v>
      </c>
      <c r="D39" s="18" t="s">
        <v>1644</v>
      </c>
    </row>
    <row r="40" spans="1:4" ht="18.399999999999999" customHeight="1" x14ac:dyDescent="0.15">
      <c r="A40" s="11" t="s">
        <v>706</v>
      </c>
      <c r="B40" s="2" t="s">
        <v>1815</v>
      </c>
      <c r="C40" s="2">
        <v>1.1200000000000001</v>
      </c>
      <c r="D40" s="18" t="s">
        <v>591</v>
      </c>
    </row>
    <row r="41" spans="1:4" ht="18.399999999999999" customHeight="1" x14ac:dyDescent="0.15">
      <c r="A41" s="11" t="s">
        <v>1729</v>
      </c>
      <c r="B41" s="2" t="s">
        <v>640</v>
      </c>
      <c r="C41" s="2" t="s">
        <v>1764</v>
      </c>
      <c r="D41" s="18" t="s">
        <v>1596</v>
      </c>
    </row>
    <row r="42" spans="1:4" ht="18.399999999999999" customHeight="1" x14ac:dyDescent="0.15">
      <c r="A42" s="11" t="s">
        <v>1450</v>
      </c>
      <c r="B42" s="2" t="s">
        <v>640</v>
      </c>
      <c r="C42" s="2" t="s">
        <v>1764</v>
      </c>
      <c r="D42" s="18" t="s">
        <v>1636</v>
      </c>
    </row>
    <row r="43" spans="1:4" ht="18.399999999999999" customHeight="1" x14ac:dyDescent="0.15">
      <c r="A43" s="11" t="s">
        <v>740</v>
      </c>
      <c r="B43" s="2" t="s">
        <v>640</v>
      </c>
      <c r="C43" s="2" t="s">
        <v>1764</v>
      </c>
      <c r="D43" s="18" t="s">
        <v>963</v>
      </c>
    </row>
    <row r="44" spans="1:4" ht="18.399999999999999" customHeight="1" x14ac:dyDescent="0.15">
      <c r="A44" s="11" t="s">
        <v>1395</v>
      </c>
      <c r="B44" s="2" t="s">
        <v>640</v>
      </c>
      <c r="C44" s="2" t="s">
        <v>1631</v>
      </c>
      <c r="D44" s="18" t="s">
        <v>1850</v>
      </c>
    </row>
    <row r="45" spans="1:4" ht="18.399999999999999" customHeight="1" x14ac:dyDescent="0.15">
      <c r="A45" s="11" t="s">
        <v>768</v>
      </c>
      <c r="B45" s="2" t="s">
        <v>640</v>
      </c>
      <c r="C45" s="2" t="s">
        <v>1850</v>
      </c>
      <c r="D45" s="18" t="s">
        <v>1850</v>
      </c>
    </row>
    <row r="46" spans="1:4" ht="18.399999999999999" customHeight="1" x14ac:dyDescent="0.15">
      <c r="A46" s="11" t="s">
        <v>571</v>
      </c>
      <c r="B46" s="2" t="s">
        <v>640</v>
      </c>
      <c r="C46" s="2" t="s">
        <v>1850</v>
      </c>
      <c r="D46" s="18" t="s">
        <v>1850</v>
      </c>
    </row>
    <row r="47" spans="1:4" ht="18.399999999999999" customHeight="1" x14ac:dyDescent="0.15">
      <c r="A47" s="11" t="s">
        <v>1053</v>
      </c>
      <c r="B47" s="2" t="s">
        <v>1815</v>
      </c>
      <c r="C47" s="2">
        <v>1289</v>
      </c>
      <c r="D47" s="18" t="s">
        <v>543</v>
      </c>
    </row>
    <row r="48" spans="1:4" ht="18.399999999999999" customHeight="1" x14ac:dyDescent="0.15">
      <c r="A48" s="11" t="s">
        <v>210</v>
      </c>
      <c r="B48" s="2" t="s">
        <v>1815</v>
      </c>
      <c r="C48" s="2">
        <v>1289</v>
      </c>
      <c r="D48" s="18" t="s">
        <v>1250</v>
      </c>
    </row>
    <row r="49" spans="1:4" ht="18.399999999999999" customHeight="1" x14ac:dyDescent="0.15">
      <c r="A49" s="11" t="s">
        <v>303</v>
      </c>
      <c r="B49" s="2" t="s">
        <v>640</v>
      </c>
      <c r="C49" s="2" t="s">
        <v>956</v>
      </c>
      <c r="D49" s="18" t="s">
        <v>1850</v>
      </c>
    </row>
    <row r="50" spans="1:4" ht="18.399999999999999" customHeight="1" x14ac:dyDescent="0.15">
      <c r="A50" s="12" t="s">
        <v>258</v>
      </c>
      <c r="B50" s="13" t="s">
        <v>640</v>
      </c>
      <c r="C50" s="13" t="s">
        <v>1631</v>
      </c>
      <c r="D50" s="19" t="s">
        <v>1850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1251</v>
      </c>
    </row>
    <row r="2" spans="1:27" ht="18.399999999999999" customHeight="1" x14ac:dyDescent="0.15">
      <c r="A2" s="14" t="s">
        <v>320</v>
      </c>
      <c r="B2" s="15" t="s">
        <v>739</v>
      </c>
      <c r="C2" s="15" t="s">
        <v>58</v>
      </c>
      <c r="D2" s="15" t="s">
        <v>1744</v>
      </c>
      <c r="E2" s="15" t="s">
        <v>1791</v>
      </c>
      <c r="F2" s="15" t="s">
        <v>1307</v>
      </c>
      <c r="G2" s="15" t="s">
        <v>780</v>
      </c>
      <c r="H2" s="15" t="s">
        <v>128</v>
      </c>
      <c r="I2" s="17" t="s">
        <v>499</v>
      </c>
      <c r="T2" s="1" t="s">
        <v>1179</v>
      </c>
      <c r="U2" s="1" t="s">
        <v>1597</v>
      </c>
      <c r="V2" s="1" t="s">
        <v>1562</v>
      </c>
      <c r="W2" s="1" t="s">
        <v>610</v>
      </c>
      <c r="Y2" s="1" t="s">
        <v>433</v>
      </c>
    </row>
    <row r="3" spans="1:27" ht="18.399999999999999" customHeight="1" x14ac:dyDescent="0.15">
      <c r="A3" s="11" t="s">
        <v>1660</v>
      </c>
      <c r="B3" s="2" t="s">
        <v>915</v>
      </c>
      <c r="C3" s="2">
        <v>1</v>
      </c>
      <c r="D3" s="2" t="s">
        <v>1372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1850</v>
      </c>
      <c r="J3" t="s">
        <v>1850</v>
      </c>
      <c r="K3" t="s">
        <v>1275</v>
      </c>
      <c r="L3" t="s">
        <v>1589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816</v>
      </c>
      <c r="B4" s="2" t="s">
        <v>915</v>
      </c>
      <c r="C4" s="2">
        <v>1</v>
      </c>
      <c r="D4" s="2" t="s">
        <v>1372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1850</v>
      </c>
      <c r="J4" t="s">
        <v>1850</v>
      </c>
      <c r="K4" t="s">
        <v>764</v>
      </c>
      <c r="L4" t="s">
        <v>1589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1213</v>
      </c>
      <c r="B5" s="2" t="s">
        <v>960</v>
      </c>
      <c r="C5" s="2">
        <v>1</v>
      </c>
      <c r="D5" s="2" t="s">
        <v>1372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1850</v>
      </c>
      <c r="J5" t="s">
        <v>1850</v>
      </c>
      <c r="K5" t="s">
        <v>409</v>
      </c>
      <c r="L5" t="s">
        <v>1589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1659</v>
      </c>
      <c r="B6" s="2" t="s">
        <v>10</v>
      </c>
      <c r="C6" s="2">
        <v>1</v>
      </c>
      <c r="D6" s="2" t="s">
        <v>1372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1850</v>
      </c>
      <c r="J6" t="s">
        <v>1850</v>
      </c>
      <c r="K6" t="s">
        <v>1432</v>
      </c>
      <c r="L6" t="s">
        <v>1589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1178</v>
      </c>
      <c r="B7" s="2" t="s">
        <v>88</v>
      </c>
      <c r="C7" s="2">
        <v>1</v>
      </c>
      <c r="D7" s="2" t="s">
        <v>1372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1850</v>
      </c>
      <c r="J7" t="s">
        <v>1850</v>
      </c>
      <c r="K7" t="s">
        <v>953</v>
      </c>
      <c r="L7" t="s">
        <v>1589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1014</v>
      </c>
      <c r="B8" s="2" t="s">
        <v>10</v>
      </c>
      <c r="C8" s="2">
        <v>1</v>
      </c>
      <c r="D8" s="2" t="s">
        <v>1372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1850</v>
      </c>
      <c r="J8" t="s">
        <v>1850</v>
      </c>
      <c r="K8" t="s">
        <v>1504</v>
      </c>
      <c r="L8" t="s">
        <v>1589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680</v>
      </c>
      <c r="B9" s="2" t="s">
        <v>1467</v>
      </c>
      <c r="C9" s="2">
        <v>1</v>
      </c>
      <c r="D9" s="2" t="s">
        <v>1372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1850</v>
      </c>
      <c r="J9" t="s">
        <v>1850</v>
      </c>
      <c r="K9" t="s">
        <v>520</v>
      </c>
      <c r="L9" t="s">
        <v>1589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1648</v>
      </c>
      <c r="B10" s="2" t="s">
        <v>1467</v>
      </c>
      <c r="C10" s="2">
        <v>1</v>
      </c>
      <c r="D10" s="2" t="s">
        <v>1372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1850</v>
      </c>
      <c r="J10" t="s">
        <v>1850</v>
      </c>
      <c r="K10" t="s">
        <v>901</v>
      </c>
      <c r="L10" t="s">
        <v>1589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365</v>
      </c>
      <c r="B11" s="2" t="s">
        <v>862</v>
      </c>
      <c r="C11" s="2">
        <v>1</v>
      </c>
      <c r="D11" s="2" t="s">
        <v>135</v>
      </c>
      <c r="E11" s="24">
        <f t="shared" si="0"/>
        <v>93058</v>
      </c>
      <c r="F11" s="24">
        <f>일위대가_산근!C242</f>
        <v>7852</v>
      </c>
      <c r="G11" s="24">
        <f>일위대가_산근!D242</f>
        <v>66755</v>
      </c>
      <c r="H11" s="24">
        <f>일위대가_산근!E242</f>
        <v>18451</v>
      </c>
      <c r="I11" s="18" t="s">
        <v>1850</v>
      </c>
      <c r="J11" t="s">
        <v>1850</v>
      </c>
      <c r="K11" t="s">
        <v>534</v>
      </c>
      <c r="L11" t="s">
        <v>1589</v>
      </c>
      <c r="T11" s="24">
        <v>7852</v>
      </c>
      <c r="U11" s="24">
        <v>66755</v>
      </c>
      <c r="V11" s="24">
        <v>18451</v>
      </c>
      <c r="W11" s="24">
        <v>93058</v>
      </c>
      <c r="Y11" s="7" t="b">
        <f t="shared" si="1"/>
        <v>1</v>
      </c>
      <c r="AA11" s="29" t="str">
        <f>HYPERLINK("#일위대가_산근!A242","SDD0056 →")</f>
        <v>SDD0056 →</v>
      </c>
    </row>
    <row r="12" spans="1:27" ht="18.399999999999999" customHeight="1" x14ac:dyDescent="0.15">
      <c r="A12" s="11" t="s">
        <v>0</v>
      </c>
      <c r="B12" s="2" t="s">
        <v>862</v>
      </c>
      <c r="C12" s="2">
        <v>1</v>
      </c>
      <c r="D12" s="2" t="s">
        <v>135</v>
      </c>
      <c r="E12" s="24">
        <f t="shared" si="0"/>
        <v>47123</v>
      </c>
      <c r="F12" s="24">
        <f>일위대가_산근!C295</f>
        <v>3857</v>
      </c>
      <c r="G12" s="24">
        <f>일위대가_산근!D295</f>
        <v>33912</v>
      </c>
      <c r="H12" s="24">
        <f>일위대가_산근!E295</f>
        <v>9354</v>
      </c>
      <c r="I12" s="18" t="s">
        <v>1850</v>
      </c>
      <c r="J12" t="s">
        <v>1850</v>
      </c>
      <c r="K12" t="s">
        <v>1701</v>
      </c>
      <c r="L12" t="s">
        <v>1589</v>
      </c>
      <c r="T12" s="24">
        <v>3857</v>
      </c>
      <c r="U12" s="24">
        <v>33912</v>
      </c>
      <c r="V12" s="24">
        <v>9354</v>
      </c>
      <c r="W12" s="24">
        <v>47123</v>
      </c>
      <c r="Y12" s="7" t="b">
        <f t="shared" si="1"/>
        <v>1</v>
      </c>
      <c r="AA12" s="29" t="str">
        <f>HYPERLINK("#일위대가_산근!A295","SDD0074 →")</f>
        <v>SDD0074 →</v>
      </c>
    </row>
    <row r="13" spans="1:27" ht="18.399999999999999" customHeight="1" x14ac:dyDescent="0.15">
      <c r="A13" s="11" t="s">
        <v>1381</v>
      </c>
      <c r="B13" s="2" t="s">
        <v>1086</v>
      </c>
      <c r="C13" s="2">
        <v>1</v>
      </c>
      <c r="D13" s="2" t="s">
        <v>1393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1850</v>
      </c>
      <c r="J13" t="s">
        <v>1850</v>
      </c>
      <c r="K13" t="s">
        <v>1389</v>
      </c>
      <c r="L13" t="s">
        <v>1589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440</v>
      </c>
      <c r="B14" s="2" t="s">
        <v>890</v>
      </c>
      <c r="C14" s="2">
        <v>1</v>
      </c>
      <c r="D14" s="2" t="s">
        <v>661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1850</v>
      </c>
      <c r="J14" t="s">
        <v>1850</v>
      </c>
      <c r="K14" t="s">
        <v>1610</v>
      </c>
      <c r="L14" t="s">
        <v>1589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1747</v>
      </c>
      <c r="B15" s="2" t="s">
        <v>1023</v>
      </c>
      <c r="C15" s="2">
        <v>1</v>
      </c>
      <c r="D15" s="2" t="s">
        <v>1372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1850</v>
      </c>
      <c r="J15" t="s">
        <v>1850</v>
      </c>
      <c r="K15" t="s">
        <v>1135</v>
      </c>
      <c r="L15" t="s">
        <v>1589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1518</v>
      </c>
      <c r="B16" s="2" t="s">
        <v>915</v>
      </c>
      <c r="C16" s="2">
        <v>1</v>
      </c>
      <c r="D16" s="2" t="s">
        <v>1372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1850</v>
      </c>
      <c r="J16" t="s">
        <v>1850</v>
      </c>
      <c r="K16" t="s">
        <v>1107</v>
      </c>
      <c r="L16" t="s">
        <v>1589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370</v>
      </c>
      <c r="B17" s="2" t="s">
        <v>251</v>
      </c>
      <c r="C17" s="2">
        <v>1</v>
      </c>
      <c r="D17" s="2" t="s">
        <v>1201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1850</v>
      </c>
      <c r="J17" t="s">
        <v>1850</v>
      </c>
      <c r="K17" t="s">
        <v>934</v>
      </c>
      <c r="L17" t="s">
        <v>1589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927</v>
      </c>
      <c r="B18" s="2" t="s">
        <v>1031</v>
      </c>
      <c r="C18" s="2">
        <v>1</v>
      </c>
      <c r="D18" s="2" t="s">
        <v>1201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1850</v>
      </c>
      <c r="J18" t="s">
        <v>1850</v>
      </c>
      <c r="K18" t="s">
        <v>657</v>
      </c>
      <c r="L18" t="s">
        <v>1589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145</v>
      </c>
      <c r="B19" s="2" t="s">
        <v>519</v>
      </c>
      <c r="C19" s="2">
        <v>1</v>
      </c>
      <c r="D19" s="2" t="s">
        <v>1201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1850</v>
      </c>
      <c r="J19" t="s">
        <v>1850</v>
      </c>
      <c r="K19" t="s">
        <v>397</v>
      </c>
      <c r="L19" t="s">
        <v>1589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1835</v>
      </c>
      <c r="B20" s="2" t="s">
        <v>2</v>
      </c>
      <c r="C20" s="2">
        <v>1</v>
      </c>
      <c r="D20" s="2" t="s">
        <v>1372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1128</v>
      </c>
      <c r="J20" t="s">
        <v>1850</v>
      </c>
      <c r="K20" t="s">
        <v>902</v>
      </c>
      <c r="L20" t="s">
        <v>1190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1071</v>
      </c>
      <c r="B21" s="2" t="s">
        <v>1831</v>
      </c>
      <c r="C21" s="2">
        <v>1</v>
      </c>
      <c r="D21" s="2" t="s">
        <v>135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1079</v>
      </c>
      <c r="J21" t="s">
        <v>1850</v>
      </c>
      <c r="K21" t="s">
        <v>1424</v>
      </c>
      <c r="L21" t="s">
        <v>1190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322</v>
      </c>
      <c r="B22" s="2" t="s">
        <v>1831</v>
      </c>
      <c r="C22" s="2">
        <v>1</v>
      </c>
      <c r="D22" s="2" t="s">
        <v>135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1079</v>
      </c>
      <c r="J22" t="s">
        <v>1850</v>
      </c>
      <c r="K22" t="s">
        <v>1736</v>
      </c>
      <c r="L22" t="s">
        <v>1190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1334</v>
      </c>
      <c r="B23" s="2" t="s">
        <v>363</v>
      </c>
      <c r="C23" s="2">
        <v>1</v>
      </c>
      <c r="D23" s="2" t="s">
        <v>135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1850</v>
      </c>
      <c r="J23" t="s">
        <v>1850</v>
      </c>
      <c r="K23" t="s">
        <v>754</v>
      </c>
      <c r="L23" t="s">
        <v>1190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1365</v>
      </c>
      <c r="B24" s="2" t="s">
        <v>363</v>
      </c>
      <c r="C24" s="2">
        <v>1</v>
      </c>
      <c r="D24" s="2" t="s">
        <v>1134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1850</v>
      </c>
      <c r="J24" t="s">
        <v>1850</v>
      </c>
      <c r="K24" t="s">
        <v>1767</v>
      </c>
      <c r="L24" t="s">
        <v>1190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1305</v>
      </c>
      <c r="B25" s="2" t="s">
        <v>1013</v>
      </c>
      <c r="C25" s="2">
        <v>1</v>
      </c>
      <c r="D25" s="2" t="s">
        <v>1201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1850</v>
      </c>
      <c r="J25" t="s">
        <v>1850</v>
      </c>
      <c r="K25" t="s">
        <v>518</v>
      </c>
      <c r="L25" t="s">
        <v>1190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1065</v>
      </c>
      <c r="B26" s="2" t="s">
        <v>671</v>
      </c>
      <c r="C26" s="2">
        <v>1</v>
      </c>
      <c r="D26" s="2" t="s">
        <v>1393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1542</v>
      </c>
      <c r="J26" t="s">
        <v>1850</v>
      </c>
      <c r="K26" t="s">
        <v>143</v>
      </c>
      <c r="L26" t="s">
        <v>1190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187</v>
      </c>
      <c r="B27" s="2" t="s">
        <v>1376</v>
      </c>
      <c r="C27" s="2">
        <v>1</v>
      </c>
      <c r="D27" s="2" t="s">
        <v>1133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1850</v>
      </c>
      <c r="J27" t="s">
        <v>1850</v>
      </c>
      <c r="K27" t="s">
        <v>1706</v>
      </c>
      <c r="L27" t="s">
        <v>1190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1627</v>
      </c>
      <c r="B28" s="2" t="s">
        <v>1500</v>
      </c>
      <c r="C28" s="2">
        <v>1</v>
      </c>
      <c r="D28" s="2" t="s">
        <v>1201</v>
      </c>
      <c r="E28" s="24">
        <f t="shared" si="0"/>
        <v>35745</v>
      </c>
      <c r="F28" s="24">
        <f>일위대가_호표!H44</f>
        <v>0</v>
      </c>
      <c r="G28" s="24">
        <f>일위대가_호표!J44</f>
        <v>34043</v>
      </c>
      <c r="H28" s="24">
        <f>일위대가_호표!L44</f>
        <v>1702</v>
      </c>
      <c r="I28" s="18" t="s">
        <v>1116</v>
      </c>
      <c r="J28" t="s">
        <v>1850</v>
      </c>
      <c r="K28" t="s">
        <v>946</v>
      </c>
      <c r="L28" t="s">
        <v>1190</v>
      </c>
      <c r="T28" s="24">
        <v>0</v>
      </c>
      <c r="U28" s="24">
        <v>34043</v>
      </c>
      <c r="V28" s="24">
        <v>1702</v>
      </c>
      <c r="W28" s="24">
        <v>35745</v>
      </c>
      <c r="Y28" s="7" t="b">
        <f t="shared" si="1"/>
        <v>1</v>
      </c>
      <c r="AA28" s="29" t="str">
        <f>HYPERLINK("#일위대가_호표!A44","HDD0261 →")</f>
        <v>HDD0261 →</v>
      </c>
    </row>
    <row r="29" spans="1:27" ht="18.399999999999999" customHeight="1" x14ac:dyDescent="0.15">
      <c r="A29" s="11" t="s">
        <v>1425</v>
      </c>
      <c r="B29" s="2" t="s">
        <v>1500</v>
      </c>
      <c r="C29" s="2">
        <v>1</v>
      </c>
      <c r="D29" s="2" t="s">
        <v>1201</v>
      </c>
      <c r="E29" s="24">
        <f t="shared" si="0"/>
        <v>46651</v>
      </c>
      <c r="F29" s="24">
        <f>일위대가_호표!H48</f>
        <v>4024</v>
      </c>
      <c r="G29" s="24">
        <f>일위대가_호표!J48</f>
        <v>37409</v>
      </c>
      <c r="H29" s="24">
        <f>일위대가_호표!L48</f>
        <v>5218</v>
      </c>
      <c r="I29" s="18" t="s">
        <v>1540</v>
      </c>
      <c r="J29" t="s">
        <v>1850</v>
      </c>
      <c r="K29" t="s">
        <v>568</v>
      </c>
      <c r="L29" t="s">
        <v>1190</v>
      </c>
      <c r="T29" s="24">
        <v>4024</v>
      </c>
      <c r="U29" s="24">
        <v>37410</v>
      </c>
      <c r="V29" s="24">
        <v>5218</v>
      </c>
      <c r="W29" s="24">
        <v>46652</v>
      </c>
      <c r="Y29" s="7" t="b">
        <f t="shared" si="1"/>
        <v>0</v>
      </c>
      <c r="AA29" s="29" t="str">
        <f>HYPERLINK("#일위대가_호표!A48","HDD0995 →")</f>
        <v>HDD0995 →</v>
      </c>
    </row>
    <row r="30" spans="1:27" ht="18.399999999999999" customHeight="1" x14ac:dyDescent="0.15">
      <c r="A30" s="11" t="s">
        <v>797</v>
      </c>
      <c r="B30" s="2" t="s">
        <v>1500</v>
      </c>
      <c r="C30" s="2">
        <v>1</v>
      </c>
      <c r="D30" s="2" t="s">
        <v>1201</v>
      </c>
      <c r="E30" s="24">
        <f t="shared" si="0"/>
        <v>93303</v>
      </c>
      <c r="F30" s="24">
        <f>일위대가_호표!H54</f>
        <v>8048</v>
      </c>
      <c r="G30" s="24">
        <f>일위대가_호표!J54</f>
        <v>74819</v>
      </c>
      <c r="H30" s="24">
        <f>일위대가_호표!L54</f>
        <v>10436</v>
      </c>
      <c r="I30" s="18" t="s">
        <v>1540</v>
      </c>
      <c r="J30" t="s">
        <v>1850</v>
      </c>
      <c r="K30" t="s">
        <v>1030</v>
      </c>
      <c r="L30" t="s">
        <v>1190</v>
      </c>
      <c r="T30" s="24">
        <v>8049</v>
      </c>
      <c r="U30" s="24">
        <v>74820</v>
      </c>
      <c r="V30" s="24">
        <v>10436</v>
      </c>
      <c r="W30" s="24">
        <v>93305</v>
      </c>
      <c r="Y30" s="7" t="b">
        <f t="shared" si="1"/>
        <v>0</v>
      </c>
      <c r="AA30" s="29" t="str">
        <f>HYPERLINK("#일위대가_호표!A54","HDD0537 →")</f>
        <v>HDD0537 →</v>
      </c>
    </row>
    <row r="31" spans="1:27" ht="18.399999999999999" customHeight="1" x14ac:dyDescent="0.15">
      <c r="A31" s="11" t="s">
        <v>721</v>
      </c>
      <c r="B31" s="2" t="s">
        <v>1500</v>
      </c>
      <c r="C31" s="2">
        <v>1</v>
      </c>
      <c r="D31" s="2" t="s">
        <v>1201</v>
      </c>
      <c r="E31" s="24">
        <f t="shared" si="0"/>
        <v>50712</v>
      </c>
      <c r="F31" s="24">
        <f>일위대가_호표!H59</f>
        <v>994</v>
      </c>
      <c r="G31" s="24">
        <f>일위대가_호표!J59</f>
        <v>49718</v>
      </c>
      <c r="H31" s="24">
        <f>일위대가_호표!L59</f>
        <v>0</v>
      </c>
      <c r="I31" s="18" t="s">
        <v>630</v>
      </c>
      <c r="J31" t="s">
        <v>1850</v>
      </c>
      <c r="K31" t="s">
        <v>935</v>
      </c>
      <c r="L31" t="s">
        <v>1190</v>
      </c>
      <c r="T31" s="24">
        <v>994</v>
      </c>
      <c r="U31" s="24">
        <v>49718</v>
      </c>
      <c r="V31" s="24">
        <v>0</v>
      </c>
      <c r="W31" s="24">
        <v>50712</v>
      </c>
      <c r="Y31" s="7" t="b">
        <f t="shared" si="1"/>
        <v>1</v>
      </c>
      <c r="AA31" s="29" t="str">
        <f>HYPERLINK("#일위대가_호표!A59","HDD0327 →")</f>
        <v>HDD0327 →</v>
      </c>
    </row>
    <row r="32" spans="1:27" ht="18.399999999999999" customHeight="1" x14ac:dyDescent="0.15">
      <c r="A32" s="11" t="s">
        <v>1423</v>
      </c>
      <c r="B32" s="2" t="s">
        <v>1500</v>
      </c>
      <c r="C32" s="2">
        <v>1</v>
      </c>
      <c r="D32" s="2" t="s">
        <v>1201</v>
      </c>
      <c r="E32" s="24">
        <f t="shared" si="0"/>
        <v>46543</v>
      </c>
      <c r="F32" s="24">
        <f>일위대가_호표!H64</f>
        <v>912</v>
      </c>
      <c r="G32" s="24">
        <f>일위대가_호표!J64</f>
        <v>45631</v>
      </c>
      <c r="H32" s="24">
        <f>일위대가_호표!L64</f>
        <v>0</v>
      </c>
      <c r="I32" s="18" t="s">
        <v>386</v>
      </c>
      <c r="J32" t="s">
        <v>1850</v>
      </c>
      <c r="K32" t="s">
        <v>1189</v>
      </c>
      <c r="L32" t="s">
        <v>1190</v>
      </c>
      <c r="T32" s="24">
        <v>912</v>
      </c>
      <c r="U32" s="24">
        <v>45631</v>
      </c>
      <c r="V32" s="24">
        <v>0</v>
      </c>
      <c r="W32" s="24">
        <v>46543</v>
      </c>
      <c r="Y32" s="7" t="b">
        <f t="shared" si="1"/>
        <v>1</v>
      </c>
      <c r="AA32" s="29" t="str">
        <f>HYPERLINK("#일위대가_호표!A64","HDD0410 →")</f>
        <v>HDD0410 →</v>
      </c>
    </row>
    <row r="33" spans="1:27" ht="18.399999999999999" customHeight="1" x14ac:dyDescent="0.15">
      <c r="A33" s="11" t="s">
        <v>49</v>
      </c>
      <c r="B33" s="2" t="s">
        <v>966</v>
      </c>
      <c r="C33" s="2">
        <v>1</v>
      </c>
      <c r="D33" s="2" t="s">
        <v>1134</v>
      </c>
      <c r="E33" s="24">
        <f t="shared" si="0"/>
        <v>4884</v>
      </c>
      <c r="F33" s="24">
        <f>일위대가_호표!H69</f>
        <v>255</v>
      </c>
      <c r="G33" s="24">
        <f>일위대가_호표!J69</f>
        <v>3858</v>
      </c>
      <c r="H33" s="24">
        <f>일위대가_호표!L69</f>
        <v>771</v>
      </c>
      <c r="I33" s="18" t="s">
        <v>1850</v>
      </c>
      <c r="J33" t="s">
        <v>1850</v>
      </c>
      <c r="K33" t="s">
        <v>380</v>
      </c>
      <c r="L33" t="s">
        <v>1190</v>
      </c>
      <c r="T33" s="24">
        <v>255</v>
      </c>
      <c r="U33" s="24">
        <v>3858</v>
      </c>
      <c r="V33" s="24">
        <v>771</v>
      </c>
      <c r="W33" s="24">
        <v>4884</v>
      </c>
      <c r="Y33" s="7" t="b">
        <f t="shared" si="1"/>
        <v>1</v>
      </c>
      <c r="AA33" s="29" t="str">
        <f>HYPERLINK("#일위대가_호표!A69","HDD0008 →")</f>
        <v>HDD0008 →</v>
      </c>
    </row>
    <row r="34" spans="1:27" ht="18.399999999999999" customHeight="1" x14ac:dyDescent="0.15">
      <c r="A34" s="11" t="s">
        <v>1672</v>
      </c>
      <c r="B34" s="2" t="s">
        <v>1038</v>
      </c>
      <c r="C34" s="2">
        <v>1</v>
      </c>
      <c r="D34" s="2" t="s">
        <v>1134</v>
      </c>
      <c r="E34" s="24">
        <f t="shared" si="0"/>
        <v>2992</v>
      </c>
      <c r="F34" s="24">
        <f>일위대가_호표!H73</f>
        <v>156</v>
      </c>
      <c r="G34" s="24">
        <f>일위대가_호표!J73</f>
        <v>2364</v>
      </c>
      <c r="H34" s="24">
        <f>일위대가_호표!L73</f>
        <v>472</v>
      </c>
      <c r="I34" s="18" t="s">
        <v>1850</v>
      </c>
      <c r="J34" t="s">
        <v>1850</v>
      </c>
      <c r="K34" t="s">
        <v>1200</v>
      </c>
      <c r="L34" t="s">
        <v>1190</v>
      </c>
      <c r="T34" s="24">
        <v>156</v>
      </c>
      <c r="U34" s="24">
        <v>2364</v>
      </c>
      <c r="V34" s="24">
        <v>472</v>
      </c>
      <c r="W34" s="24">
        <v>2992</v>
      </c>
      <c r="Y34" s="7" t="b">
        <f t="shared" si="1"/>
        <v>1</v>
      </c>
      <c r="AA34" s="29" t="str">
        <f>HYPERLINK("#일위대가_호표!A73","HDD0007 →")</f>
        <v>HDD0007 →</v>
      </c>
    </row>
    <row r="35" spans="1:27" ht="18.399999999999999" customHeight="1" x14ac:dyDescent="0.15">
      <c r="A35" s="11" t="s">
        <v>1358</v>
      </c>
      <c r="B35" s="2" t="s">
        <v>1848</v>
      </c>
      <c r="C35" s="2">
        <v>1</v>
      </c>
      <c r="D35" s="2" t="s">
        <v>1134</v>
      </c>
      <c r="E35" s="24">
        <f t="shared" ref="E35:E66" si="2">F35+G35+H35</f>
        <v>33220</v>
      </c>
      <c r="F35" s="24">
        <f>일위대가_호표!H77</f>
        <v>4021</v>
      </c>
      <c r="G35" s="24">
        <f>일위대가_호표!J77</f>
        <v>23158</v>
      </c>
      <c r="H35" s="24">
        <f>일위대가_호표!L77</f>
        <v>6041</v>
      </c>
      <c r="I35" s="18" t="s">
        <v>447</v>
      </c>
      <c r="J35" t="s">
        <v>1850</v>
      </c>
      <c r="K35" t="s">
        <v>839</v>
      </c>
      <c r="L35" t="s">
        <v>1190</v>
      </c>
      <c r="T35" s="24">
        <v>4021</v>
      </c>
      <c r="U35" s="24">
        <v>23160</v>
      </c>
      <c r="V35" s="24">
        <v>6041</v>
      </c>
      <c r="W35" s="24">
        <v>33222</v>
      </c>
      <c r="Y35" s="7" t="b">
        <f t="shared" ref="Y35:Y69" si="3">EXACT($E35,$W35)</f>
        <v>0</v>
      </c>
      <c r="AA35" s="29" t="str">
        <f>HYPERLINK("#일위대가_호표!A77","HDD0012 →")</f>
        <v>HDD0012 →</v>
      </c>
    </row>
    <row r="36" spans="1:27" ht="18.399999999999999" customHeight="1" x14ac:dyDescent="0.15">
      <c r="A36" s="11" t="s">
        <v>877</v>
      </c>
      <c r="B36" s="2" t="s">
        <v>1500</v>
      </c>
      <c r="C36" s="2">
        <v>1</v>
      </c>
      <c r="D36" s="2" t="s">
        <v>1134</v>
      </c>
      <c r="E36" s="24">
        <f t="shared" si="2"/>
        <v>74863</v>
      </c>
      <c r="F36" s="24">
        <f>일위대가_호표!H91</f>
        <v>55336</v>
      </c>
      <c r="G36" s="24">
        <f>일위대가_호표!J91</f>
        <v>17404</v>
      </c>
      <c r="H36" s="24">
        <f>일위대가_호표!L91</f>
        <v>2123</v>
      </c>
      <c r="I36" s="18" t="s">
        <v>1850</v>
      </c>
      <c r="J36" t="s">
        <v>1850</v>
      </c>
      <c r="K36" t="s">
        <v>1028</v>
      </c>
      <c r="L36" t="s">
        <v>1190</v>
      </c>
      <c r="T36" s="24">
        <v>55337</v>
      </c>
      <c r="U36" s="24">
        <v>17405</v>
      </c>
      <c r="V36" s="24">
        <v>2123</v>
      </c>
      <c r="W36" s="24">
        <v>74865</v>
      </c>
      <c r="Y36" s="7" t="b">
        <f t="shared" si="3"/>
        <v>0</v>
      </c>
      <c r="AA36" s="29" t="str">
        <f>HYPERLINK("#일위대가_호표!A91","HDD0045 →")</f>
        <v>HDD0045 →</v>
      </c>
    </row>
    <row r="37" spans="1:27" ht="18.399999999999999" customHeight="1" x14ac:dyDescent="0.15">
      <c r="A37" s="11" t="s">
        <v>637</v>
      </c>
      <c r="B37" s="2" t="s">
        <v>1500</v>
      </c>
      <c r="C37" s="2">
        <v>1</v>
      </c>
      <c r="D37" s="2" t="s">
        <v>1201</v>
      </c>
      <c r="E37" s="24">
        <f t="shared" si="2"/>
        <v>504070</v>
      </c>
      <c r="F37" s="24">
        <f>일위대가_호표!H103</f>
        <v>147064</v>
      </c>
      <c r="G37" s="24">
        <f>일위대가_호표!J103</f>
        <v>260630</v>
      </c>
      <c r="H37" s="24">
        <f>일위대가_호표!L103</f>
        <v>96376</v>
      </c>
      <c r="I37" s="18" t="s">
        <v>1850</v>
      </c>
      <c r="J37" t="s">
        <v>1850</v>
      </c>
      <c r="K37" t="s">
        <v>774</v>
      </c>
      <c r="L37" t="s">
        <v>1190</v>
      </c>
      <c r="T37" s="24">
        <v>147065</v>
      </c>
      <c r="U37" s="24">
        <v>260630</v>
      </c>
      <c r="V37" s="24">
        <v>96376</v>
      </c>
      <c r="W37" s="24">
        <v>504071</v>
      </c>
      <c r="Y37" s="7" t="b">
        <f t="shared" si="3"/>
        <v>0</v>
      </c>
      <c r="AA37" s="29" t="str">
        <f>HYPERLINK("#일위대가_호표!A103","HDD0077 →")</f>
        <v>HDD0077 →</v>
      </c>
    </row>
    <row r="38" spans="1:27" ht="18.399999999999999" customHeight="1" x14ac:dyDescent="0.15">
      <c r="A38" s="11" t="s">
        <v>1102</v>
      </c>
      <c r="B38" s="2" t="s">
        <v>1500</v>
      </c>
      <c r="C38" s="2">
        <v>1</v>
      </c>
      <c r="D38" s="2" t="s">
        <v>1134</v>
      </c>
      <c r="E38" s="24">
        <f t="shared" si="2"/>
        <v>51842</v>
      </c>
      <c r="F38" s="24">
        <f>일위대가_호표!H112</f>
        <v>10943</v>
      </c>
      <c r="G38" s="24">
        <f>일위대가_호표!J112</f>
        <v>34464</v>
      </c>
      <c r="H38" s="24">
        <f>일위대가_호표!L112</f>
        <v>6435</v>
      </c>
      <c r="I38" s="18" t="s">
        <v>1850</v>
      </c>
      <c r="J38" t="s">
        <v>1850</v>
      </c>
      <c r="K38" t="s">
        <v>1085</v>
      </c>
      <c r="L38" t="s">
        <v>1190</v>
      </c>
      <c r="T38" s="24">
        <v>10944</v>
      </c>
      <c r="U38" s="24">
        <v>34464</v>
      </c>
      <c r="V38" s="24">
        <v>6435</v>
      </c>
      <c r="W38" s="24">
        <v>51843</v>
      </c>
      <c r="Y38" s="7" t="b">
        <f t="shared" si="3"/>
        <v>0</v>
      </c>
      <c r="AA38" s="29" t="str">
        <f>HYPERLINK("#일위대가_호표!A112","HDD0109 →")</f>
        <v>HDD0109 →</v>
      </c>
    </row>
    <row r="39" spans="1:27" ht="18.399999999999999" customHeight="1" x14ac:dyDescent="0.15">
      <c r="A39" s="11" t="s">
        <v>1404</v>
      </c>
      <c r="B39" s="2" t="s">
        <v>1500</v>
      </c>
      <c r="C39" s="2">
        <v>1</v>
      </c>
      <c r="D39" s="2" t="s">
        <v>1134</v>
      </c>
      <c r="E39" s="24">
        <f t="shared" si="2"/>
        <v>19938</v>
      </c>
      <c r="F39" s="24">
        <f>일위대가_호표!H120</f>
        <v>859</v>
      </c>
      <c r="G39" s="24">
        <f>일위대가_호표!J120</f>
        <v>16131</v>
      </c>
      <c r="H39" s="24">
        <f>일위대가_호표!L120</f>
        <v>2948</v>
      </c>
      <c r="I39" s="18" t="s">
        <v>1850</v>
      </c>
      <c r="J39" t="s">
        <v>1850</v>
      </c>
      <c r="K39" t="s">
        <v>1237</v>
      </c>
      <c r="L39" t="s">
        <v>1190</v>
      </c>
      <c r="T39" s="24">
        <v>860</v>
      </c>
      <c r="U39" s="24">
        <v>16131</v>
      </c>
      <c r="V39" s="24">
        <v>2948</v>
      </c>
      <c r="W39" s="24">
        <v>19939</v>
      </c>
      <c r="Y39" s="7" t="b">
        <f t="shared" si="3"/>
        <v>0</v>
      </c>
      <c r="AA39" s="29" t="str">
        <f>HYPERLINK("#일위대가_호표!A120","HDD0141 →")</f>
        <v>HDD0141 →</v>
      </c>
    </row>
    <row r="40" spans="1:27" ht="18.399999999999999" customHeight="1" x14ac:dyDescent="0.15">
      <c r="A40" s="11" t="s">
        <v>172</v>
      </c>
      <c r="B40" s="2" t="s">
        <v>1500</v>
      </c>
      <c r="C40" s="2">
        <v>1</v>
      </c>
      <c r="D40" s="2" t="s">
        <v>1201</v>
      </c>
      <c r="E40" s="24">
        <f t="shared" si="2"/>
        <v>482531</v>
      </c>
      <c r="F40" s="24">
        <f>일위대가_호표!H128</f>
        <v>15457</v>
      </c>
      <c r="G40" s="24">
        <f>일위대가_호표!J128</f>
        <v>444781</v>
      </c>
      <c r="H40" s="24">
        <f>일위대가_호표!L128</f>
        <v>22293</v>
      </c>
      <c r="I40" s="18" t="s">
        <v>1850</v>
      </c>
      <c r="J40" t="s">
        <v>1850</v>
      </c>
      <c r="K40" t="s">
        <v>549</v>
      </c>
      <c r="L40" t="s">
        <v>1190</v>
      </c>
      <c r="T40" s="24">
        <v>15457</v>
      </c>
      <c r="U40" s="24">
        <v>444781</v>
      </c>
      <c r="V40" s="24">
        <v>22293</v>
      </c>
      <c r="W40" s="24">
        <v>482531</v>
      </c>
      <c r="Y40" s="7" t="b">
        <f t="shared" si="3"/>
        <v>1</v>
      </c>
      <c r="AA40" s="29" t="str">
        <f>HYPERLINK("#일위대가_호표!A128","HDD0173 →")</f>
        <v>HDD0173 →</v>
      </c>
    </row>
    <row r="41" spans="1:27" ht="18.399999999999999" customHeight="1" x14ac:dyDescent="0.15">
      <c r="A41" s="11" t="s">
        <v>787</v>
      </c>
      <c r="B41" s="2" t="s">
        <v>1286</v>
      </c>
      <c r="C41" s="2">
        <v>1</v>
      </c>
      <c r="D41" s="2" t="s">
        <v>1134</v>
      </c>
      <c r="E41" s="24">
        <f t="shared" si="2"/>
        <v>1948</v>
      </c>
      <c r="F41" s="24">
        <f>일위대가_호표!H138</f>
        <v>582</v>
      </c>
      <c r="G41" s="24">
        <f>일위대가_호표!J138</f>
        <v>1296</v>
      </c>
      <c r="H41" s="24">
        <f>일위대가_호표!L138</f>
        <v>70</v>
      </c>
      <c r="I41" s="18" t="s">
        <v>1475</v>
      </c>
      <c r="J41" t="s">
        <v>1850</v>
      </c>
      <c r="K41" t="s">
        <v>1115</v>
      </c>
      <c r="L41" t="s">
        <v>1190</v>
      </c>
      <c r="T41" s="24">
        <v>582</v>
      </c>
      <c r="U41" s="24">
        <v>1296</v>
      </c>
      <c r="V41" s="24">
        <v>70</v>
      </c>
      <c r="W41" s="24">
        <v>1948</v>
      </c>
      <c r="Y41" s="7" t="b">
        <f t="shared" si="3"/>
        <v>1</v>
      </c>
      <c r="AA41" s="29" t="str">
        <f>HYPERLINK("#일위대가_호표!A138","HDD1362 →")</f>
        <v>HDD1362 →</v>
      </c>
    </row>
    <row r="42" spans="1:27" ht="18.399999999999999" customHeight="1" x14ac:dyDescent="0.15">
      <c r="A42" s="11" t="s">
        <v>1078</v>
      </c>
      <c r="B42" s="2" t="s">
        <v>507</v>
      </c>
      <c r="C42" s="2">
        <v>1</v>
      </c>
      <c r="D42" s="2" t="s">
        <v>1393</v>
      </c>
      <c r="E42" s="24">
        <f t="shared" si="2"/>
        <v>87010</v>
      </c>
      <c r="F42" s="24">
        <f>일위대가_호표!H147</f>
        <v>5950</v>
      </c>
      <c r="G42" s="24">
        <f>일위대가_호표!J147</f>
        <v>73297</v>
      </c>
      <c r="H42" s="24">
        <f>일위대가_호표!L147</f>
        <v>7763</v>
      </c>
      <c r="I42" s="18" t="s">
        <v>1625</v>
      </c>
      <c r="J42" t="s">
        <v>1850</v>
      </c>
      <c r="K42" t="s">
        <v>1634</v>
      </c>
      <c r="L42" t="s">
        <v>1190</v>
      </c>
      <c r="T42" s="24">
        <v>5950</v>
      </c>
      <c r="U42" s="24">
        <v>73297</v>
      </c>
      <c r="V42" s="24">
        <v>7763</v>
      </c>
      <c r="W42" s="24">
        <v>87010</v>
      </c>
      <c r="Y42" s="7" t="b">
        <f t="shared" si="3"/>
        <v>1</v>
      </c>
      <c r="AA42" s="29" t="str">
        <f>HYPERLINK("#일위대가_호표!A147","HDD1800 →")</f>
        <v>HDD1800 →</v>
      </c>
    </row>
    <row r="43" spans="1:27" ht="18.399999999999999" customHeight="1" x14ac:dyDescent="0.15">
      <c r="A43" s="11" t="s">
        <v>495</v>
      </c>
      <c r="B43" s="2" t="s">
        <v>1850</v>
      </c>
      <c r="C43" s="2">
        <v>1</v>
      </c>
      <c r="D43" s="2" t="s">
        <v>1735</v>
      </c>
      <c r="E43" s="24">
        <f t="shared" si="2"/>
        <v>165545</v>
      </c>
      <c r="F43" s="24">
        <f>일위대가_호표!H159</f>
        <v>0</v>
      </c>
      <c r="G43" s="24">
        <f>일위대가_호표!J159</f>
        <v>0</v>
      </c>
      <c r="H43" s="24">
        <f>일위대가_호표!L159</f>
        <v>165545</v>
      </c>
      <c r="I43" s="18" t="s">
        <v>1410</v>
      </c>
      <c r="J43" t="s">
        <v>1850</v>
      </c>
      <c r="K43" t="s">
        <v>188</v>
      </c>
      <c r="L43" t="s">
        <v>1190</v>
      </c>
      <c r="T43" s="24">
        <v>0</v>
      </c>
      <c r="U43" s="24">
        <v>0</v>
      </c>
      <c r="V43" s="24">
        <v>165545</v>
      </c>
      <c r="W43" s="24">
        <v>165545</v>
      </c>
      <c r="Y43" s="7" t="b">
        <f t="shared" si="3"/>
        <v>1</v>
      </c>
      <c r="AA43" s="29" t="str">
        <f>HYPERLINK("#일위대가_호표!A159","HDD1778 →")</f>
        <v>HDD1778 →</v>
      </c>
    </row>
    <row r="44" spans="1:27" ht="18.399999999999999" customHeight="1" x14ac:dyDescent="0.15">
      <c r="A44" s="11" t="s">
        <v>1281</v>
      </c>
      <c r="B44" s="2" t="s">
        <v>396</v>
      </c>
      <c r="C44" s="2">
        <v>1</v>
      </c>
      <c r="D44" s="2" t="s">
        <v>1134</v>
      </c>
      <c r="E44" s="24">
        <f t="shared" si="2"/>
        <v>1540</v>
      </c>
      <c r="F44" s="24">
        <f>일위대가_호표!H163</f>
        <v>0</v>
      </c>
      <c r="G44" s="24">
        <f>일위대가_호표!J163</f>
        <v>0</v>
      </c>
      <c r="H44" s="24">
        <f>일위대가_호표!L163</f>
        <v>1540</v>
      </c>
      <c r="I44" s="18" t="s">
        <v>1410</v>
      </c>
      <c r="J44" t="s">
        <v>1850</v>
      </c>
      <c r="K44" t="s">
        <v>1045</v>
      </c>
      <c r="L44" t="s">
        <v>1190</v>
      </c>
      <c r="T44" s="24">
        <v>0</v>
      </c>
      <c r="U44" s="24">
        <v>0</v>
      </c>
      <c r="V44" s="24">
        <v>1540</v>
      </c>
      <c r="W44" s="24">
        <v>1540</v>
      </c>
      <c r="Y44" s="7" t="b">
        <f t="shared" si="3"/>
        <v>1</v>
      </c>
      <c r="AA44" s="29" t="str">
        <f>HYPERLINK("#일위대가_호표!A163","HDD1752 →")</f>
        <v>HDD1752 →</v>
      </c>
    </row>
    <row r="45" spans="1:27" ht="18.399999999999999" customHeight="1" x14ac:dyDescent="0.15">
      <c r="A45" s="11" t="s">
        <v>650</v>
      </c>
      <c r="B45" s="2" t="s">
        <v>1064</v>
      </c>
      <c r="C45" s="2">
        <v>1</v>
      </c>
      <c r="D45" s="2" t="s">
        <v>1134</v>
      </c>
      <c r="E45" s="24">
        <f t="shared" si="2"/>
        <v>2455</v>
      </c>
      <c r="F45" s="24">
        <f>일위대가_호표!H169</f>
        <v>0</v>
      </c>
      <c r="G45" s="24">
        <f>일위대가_호표!J169</f>
        <v>0</v>
      </c>
      <c r="H45" s="24">
        <f>일위대가_호표!L169</f>
        <v>2455</v>
      </c>
      <c r="I45" s="18" t="s">
        <v>1410</v>
      </c>
      <c r="J45" t="s">
        <v>1850</v>
      </c>
      <c r="K45" t="s">
        <v>1403</v>
      </c>
      <c r="L45" t="s">
        <v>1190</v>
      </c>
      <c r="T45" s="24">
        <v>0</v>
      </c>
      <c r="U45" s="24">
        <v>0</v>
      </c>
      <c r="V45" s="24">
        <v>2455</v>
      </c>
      <c r="W45" s="24">
        <v>2455</v>
      </c>
      <c r="Y45" s="7" t="b">
        <f t="shared" si="3"/>
        <v>1</v>
      </c>
      <c r="AA45" s="29" t="str">
        <f>HYPERLINK("#일위대가_호표!A169","HDD1754 →")</f>
        <v>HDD1754 →</v>
      </c>
    </row>
    <row r="46" spans="1:27" ht="18.399999999999999" customHeight="1" x14ac:dyDescent="0.15">
      <c r="A46" s="11" t="s">
        <v>1208</v>
      </c>
      <c r="B46" s="2" t="s">
        <v>598</v>
      </c>
      <c r="C46" s="2">
        <v>1</v>
      </c>
      <c r="D46" s="2" t="s">
        <v>1201</v>
      </c>
      <c r="E46" s="24">
        <f t="shared" si="2"/>
        <v>2595</v>
      </c>
      <c r="F46" s="24">
        <f>일위대가_호표!H175</f>
        <v>0</v>
      </c>
      <c r="G46" s="24">
        <f>일위대가_호표!J175</f>
        <v>0</v>
      </c>
      <c r="H46" s="24">
        <f>일위대가_호표!L175</f>
        <v>2595</v>
      </c>
      <c r="I46" s="18" t="s">
        <v>1410</v>
      </c>
      <c r="J46" t="s">
        <v>1850</v>
      </c>
      <c r="K46" t="s">
        <v>1236</v>
      </c>
      <c r="L46" t="s">
        <v>1190</v>
      </c>
      <c r="T46" s="24">
        <v>0</v>
      </c>
      <c r="U46" s="24">
        <v>0</v>
      </c>
      <c r="V46" s="24">
        <v>2595</v>
      </c>
      <c r="W46" s="24">
        <v>2595</v>
      </c>
      <c r="Y46" s="7" t="b">
        <f t="shared" si="3"/>
        <v>1</v>
      </c>
      <c r="AA46" s="29" t="str">
        <f>HYPERLINK("#일위대가_호표!A175","HDD1750 →")</f>
        <v>HDD1750 →</v>
      </c>
    </row>
    <row r="47" spans="1:27" ht="18.399999999999999" customHeight="1" x14ac:dyDescent="0.15">
      <c r="A47" s="11" t="s">
        <v>776</v>
      </c>
      <c r="B47" s="2" t="s">
        <v>1244</v>
      </c>
      <c r="C47" s="2">
        <v>1</v>
      </c>
      <c r="D47" s="2" t="s">
        <v>1705</v>
      </c>
      <c r="E47" s="24">
        <f t="shared" si="2"/>
        <v>61963</v>
      </c>
      <c r="F47" s="24">
        <f>일위대가_호표!H182</f>
        <v>0</v>
      </c>
      <c r="G47" s="24">
        <f>일위대가_호표!J182</f>
        <v>0</v>
      </c>
      <c r="H47" s="24">
        <f>일위대가_호표!L182</f>
        <v>61963</v>
      </c>
      <c r="I47" s="18" t="s">
        <v>1410</v>
      </c>
      <c r="J47" t="s">
        <v>1850</v>
      </c>
      <c r="K47" t="s">
        <v>1120</v>
      </c>
      <c r="L47" t="s">
        <v>1190</v>
      </c>
      <c r="T47" s="24">
        <v>0</v>
      </c>
      <c r="U47" s="24">
        <v>0</v>
      </c>
      <c r="V47" s="24">
        <v>61963</v>
      </c>
      <c r="W47" s="24">
        <v>61963</v>
      </c>
      <c r="Y47" s="7" t="b">
        <f t="shared" si="3"/>
        <v>1</v>
      </c>
      <c r="AA47" s="29" t="str">
        <f>HYPERLINK("#일위대가_호표!A182","HDD1758 →")</f>
        <v>HDD1758 →</v>
      </c>
    </row>
    <row r="48" spans="1:27" ht="18.399999999999999" customHeight="1" x14ac:dyDescent="0.15">
      <c r="A48" s="11" t="s">
        <v>1824</v>
      </c>
      <c r="B48" s="2" t="s">
        <v>1771</v>
      </c>
      <c r="C48" s="2">
        <v>1</v>
      </c>
      <c r="D48" s="2" t="s">
        <v>1393</v>
      </c>
      <c r="E48" s="24">
        <f t="shared" si="2"/>
        <v>3027</v>
      </c>
      <c r="F48" s="24">
        <f>일위대가_호표!H187</f>
        <v>0</v>
      </c>
      <c r="G48" s="24">
        <f>일위대가_호표!J187</f>
        <v>0</v>
      </c>
      <c r="H48" s="24">
        <f>일위대가_호표!L187</f>
        <v>3027</v>
      </c>
      <c r="I48" s="18" t="s">
        <v>1410</v>
      </c>
      <c r="J48" t="s">
        <v>1850</v>
      </c>
      <c r="K48" t="s">
        <v>68</v>
      </c>
      <c r="L48" t="s">
        <v>1190</v>
      </c>
      <c r="T48" s="24">
        <v>0</v>
      </c>
      <c r="U48" s="24">
        <v>0</v>
      </c>
      <c r="V48" s="24">
        <v>3028</v>
      </c>
      <c r="W48" s="24">
        <v>3028</v>
      </c>
      <c r="Y48" s="7" t="b">
        <f t="shared" si="3"/>
        <v>0</v>
      </c>
      <c r="AA48" s="29" t="str">
        <f>HYPERLINK("#일위대가_호표!A187","HDD1772 →")</f>
        <v>HDD1772 →</v>
      </c>
    </row>
    <row r="49" spans="1:27" ht="18.399999999999999" customHeight="1" x14ac:dyDescent="0.15">
      <c r="A49" s="11" t="s">
        <v>221</v>
      </c>
      <c r="B49" s="2" t="s">
        <v>779</v>
      </c>
      <c r="C49" s="2">
        <v>1</v>
      </c>
      <c r="D49" s="2" t="s">
        <v>337</v>
      </c>
      <c r="E49" s="24">
        <f t="shared" si="2"/>
        <v>21131</v>
      </c>
      <c r="F49" s="24">
        <f>일위대가_호표!H193</f>
        <v>869</v>
      </c>
      <c r="G49" s="24">
        <f>일위대가_호표!J193</f>
        <v>20142</v>
      </c>
      <c r="H49" s="24">
        <f>일위대가_호표!L193</f>
        <v>120</v>
      </c>
      <c r="I49" s="18" t="s">
        <v>1491</v>
      </c>
      <c r="J49" t="s">
        <v>1850</v>
      </c>
      <c r="K49" t="s">
        <v>1106</v>
      </c>
      <c r="L49" t="s">
        <v>1190</v>
      </c>
      <c r="T49" s="24">
        <v>869</v>
      </c>
      <c r="U49" s="24">
        <v>20142</v>
      </c>
      <c r="V49" s="24">
        <v>120</v>
      </c>
      <c r="W49" s="24">
        <v>21131</v>
      </c>
      <c r="Y49" s="7" t="b">
        <f t="shared" si="3"/>
        <v>1</v>
      </c>
      <c r="AA49" s="29" t="str">
        <f>HYPERLINK("#일위대가_호표!A193","HDD0253 →")</f>
        <v>HDD0253 →</v>
      </c>
    </row>
    <row r="50" spans="1:27" ht="18.399999999999999" customHeight="1" x14ac:dyDescent="0.15">
      <c r="A50" s="11" t="s">
        <v>279</v>
      </c>
      <c r="B50" s="2" t="s">
        <v>910</v>
      </c>
      <c r="C50" s="2">
        <v>1</v>
      </c>
      <c r="D50" s="2" t="s">
        <v>135</v>
      </c>
      <c r="E50" s="24">
        <f t="shared" si="2"/>
        <v>209325</v>
      </c>
      <c r="F50" s="24">
        <f>일위대가_호표!H199</f>
        <v>3795</v>
      </c>
      <c r="G50" s="24">
        <f>일위대가_호표!J199</f>
        <v>181924</v>
      </c>
      <c r="H50" s="24">
        <f>일위대가_호표!L199</f>
        <v>23606</v>
      </c>
      <c r="I50" s="18" t="s">
        <v>1538</v>
      </c>
      <c r="J50" t="s">
        <v>1850</v>
      </c>
      <c r="K50" t="s">
        <v>703</v>
      </c>
      <c r="L50" t="s">
        <v>1190</v>
      </c>
      <c r="T50" s="24">
        <v>3796</v>
      </c>
      <c r="U50" s="24">
        <v>181924</v>
      </c>
      <c r="V50" s="24">
        <v>23606</v>
      </c>
      <c r="W50" s="24">
        <v>209326</v>
      </c>
      <c r="Y50" s="7" t="b">
        <f t="shared" si="3"/>
        <v>0</v>
      </c>
      <c r="AA50" s="29" t="str">
        <f>HYPERLINK("#일위대가_호표!A199","HDD1605 →")</f>
        <v>HDD1605 →</v>
      </c>
    </row>
    <row r="51" spans="1:27" ht="18.399999999999999" customHeight="1" x14ac:dyDescent="0.15">
      <c r="A51" s="11" t="s">
        <v>1220</v>
      </c>
      <c r="B51" s="2" t="s">
        <v>910</v>
      </c>
      <c r="C51" s="2">
        <v>1</v>
      </c>
      <c r="D51" s="2" t="s">
        <v>135</v>
      </c>
      <c r="E51" s="24">
        <f t="shared" si="2"/>
        <v>130427</v>
      </c>
      <c r="F51" s="24">
        <f>일위대가_호표!H206</f>
        <v>2645</v>
      </c>
      <c r="G51" s="24">
        <f>일위대가_호표!J206</f>
        <v>111780</v>
      </c>
      <c r="H51" s="24">
        <f>일위대가_호표!L206</f>
        <v>16002</v>
      </c>
      <c r="I51" s="18" t="s">
        <v>1079</v>
      </c>
      <c r="J51" t="s">
        <v>1850</v>
      </c>
      <c r="K51" t="s">
        <v>359</v>
      </c>
      <c r="L51" t="s">
        <v>1190</v>
      </c>
      <c r="T51" s="24">
        <v>2646</v>
      </c>
      <c r="U51" s="24">
        <v>111780</v>
      </c>
      <c r="V51" s="24">
        <v>16002</v>
      </c>
      <c r="W51" s="24">
        <v>130428</v>
      </c>
      <c r="Y51" s="7" t="b">
        <f t="shared" si="3"/>
        <v>0</v>
      </c>
      <c r="AA51" s="29" t="str">
        <f>HYPERLINK("#일위대가_호표!A206","HDD1613 →")</f>
        <v>HDD1613 →</v>
      </c>
    </row>
    <row r="52" spans="1:27" ht="18.399999999999999" customHeight="1" x14ac:dyDescent="0.15">
      <c r="A52" s="11" t="s">
        <v>1037</v>
      </c>
      <c r="B52" s="2" t="s">
        <v>284</v>
      </c>
      <c r="C52" s="2">
        <v>1</v>
      </c>
      <c r="D52" s="2" t="s">
        <v>1201</v>
      </c>
      <c r="E52" s="24">
        <f t="shared" si="2"/>
        <v>237984</v>
      </c>
      <c r="F52" s="24">
        <f>일위대가_호표!H213</f>
        <v>23596</v>
      </c>
      <c r="G52" s="24">
        <f>일위대가_호표!J213</f>
        <v>205686</v>
      </c>
      <c r="H52" s="24">
        <f>일위대가_호표!L213</f>
        <v>8702</v>
      </c>
      <c r="I52" s="18" t="s">
        <v>1850</v>
      </c>
      <c r="J52" t="s">
        <v>1850</v>
      </c>
      <c r="K52" t="s">
        <v>745</v>
      </c>
      <c r="L52" t="s">
        <v>1190</v>
      </c>
      <c r="T52" s="24">
        <v>23596</v>
      </c>
      <c r="U52" s="24">
        <v>205686</v>
      </c>
      <c r="V52" s="24">
        <v>8702</v>
      </c>
      <c r="W52" s="24">
        <v>237984</v>
      </c>
      <c r="Y52" s="7" t="b">
        <f t="shared" si="3"/>
        <v>1</v>
      </c>
      <c r="AA52" s="29" t="str">
        <f>HYPERLINK("#일위대가_호표!A213","HDD1599 →")</f>
        <v>HDD1599 →</v>
      </c>
    </row>
    <row r="53" spans="1:27" ht="18.399999999999999" customHeight="1" x14ac:dyDescent="0.15">
      <c r="A53" s="11" t="s">
        <v>567</v>
      </c>
      <c r="B53" s="2" t="s">
        <v>1787</v>
      </c>
      <c r="C53" s="2">
        <v>1</v>
      </c>
      <c r="D53" s="2" t="s">
        <v>135</v>
      </c>
      <c r="E53" s="24">
        <f t="shared" si="2"/>
        <v>100835</v>
      </c>
      <c r="F53" s="24">
        <f>일위대가_호표!H221</f>
        <v>1770</v>
      </c>
      <c r="G53" s="24">
        <f>일위대가_호표!J221</f>
        <v>87963</v>
      </c>
      <c r="H53" s="24">
        <f>일위대가_호표!L221</f>
        <v>11102</v>
      </c>
      <c r="I53" s="18" t="s">
        <v>1538</v>
      </c>
      <c r="J53" t="s">
        <v>1850</v>
      </c>
      <c r="K53" t="s">
        <v>900</v>
      </c>
      <c r="L53" t="s">
        <v>1190</v>
      </c>
      <c r="T53" s="24">
        <v>1770</v>
      </c>
      <c r="U53" s="24">
        <v>87963</v>
      </c>
      <c r="V53" s="24">
        <v>11102</v>
      </c>
      <c r="W53" s="24">
        <v>100835</v>
      </c>
      <c r="Y53" s="7" t="b">
        <f t="shared" si="3"/>
        <v>1</v>
      </c>
      <c r="AA53" s="29" t="str">
        <f>HYPERLINK("#일위대가_호표!A221","HDD1607 →")</f>
        <v>HDD1607 →</v>
      </c>
    </row>
    <row r="54" spans="1:27" ht="18.399999999999999" customHeight="1" x14ac:dyDescent="0.15">
      <c r="A54" s="11" t="s">
        <v>1148</v>
      </c>
      <c r="B54" s="2" t="s">
        <v>1787</v>
      </c>
      <c r="C54" s="2">
        <v>1</v>
      </c>
      <c r="D54" s="2" t="s">
        <v>135</v>
      </c>
      <c r="E54" s="24">
        <f t="shared" si="2"/>
        <v>61596</v>
      </c>
      <c r="F54" s="24">
        <f>일위대가_호표!H228</f>
        <v>1221</v>
      </c>
      <c r="G54" s="24">
        <f>일위대가_호표!J228</f>
        <v>52947</v>
      </c>
      <c r="H54" s="24">
        <f>일위대가_호표!L228</f>
        <v>7428</v>
      </c>
      <c r="I54" s="18" t="s">
        <v>1079</v>
      </c>
      <c r="J54" t="s">
        <v>1850</v>
      </c>
      <c r="K54" t="s">
        <v>215</v>
      </c>
      <c r="L54" t="s">
        <v>1190</v>
      </c>
      <c r="T54" s="24">
        <v>1221</v>
      </c>
      <c r="U54" s="24">
        <v>52947</v>
      </c>
      <c r="V54" s="24">
        <v>7428</v>
      </c>
      <c r="W54" s="24">
        <v>61596</v>
      </c>
      <c r="Y54" s="7" t="b">
        <f t="shared" si="3"/>
        <v>1</v>
      </c>
      <c r="AA54" s="29" t="str">
        <f>HYPERLINK("#일위대가_호표!A228","HDD1615 →")</f>
        <v>HDD1615 →</v>
      </c>
    </row>
    <row r="55" spans="1:27" ht="18.399999999999999" customHeight="1" x14ac:dyDescent="0.15">
      <c r="A55" s="11" t="s">
        <v>206</v>
      </c>
      <c r="B55" s="2" t="s">
        <v>1787</v>
      </c>
      <c r="C55" s="2">
        <v>1</v>
      </c>
      <c r="D55" s="2" t="s">
        <v>135</v>
      </c>
      <c r="E55" s="24">
        <f t="shared" si="2"/>
        <v>111102</v>
      </c>
      <c r="F55" s="24">
        <f>일위대가_호표!H235</f>
        <v>2015</v>
      </c>
      <c r="G55" s="24">
        <f>일위대가_호표!J235</f>
        <v>96556</v>
      </c>
      <c r="H55" s="24">
        <f>일위대가_호표!L235</f>
        <v>12531</v>
      </c>
      <c r="I55" s="18" t="s">
        <v>1538</v>
      </c>
      <c r="J55" t="s">
        <v>1850</v>
      </c>
      <c r="K55" t="s">
        <v>838</v>
      </c>
      <c r="L55" t="s">
        <v>1190</v>
      </c>
      <c r="T55" s="24">
        <v>2015</v>
      </c>
      <c r="U55" s="24">
        <v>96557</v>
      </c>
      <c r="V55" s="24">
        <v>12531</v>
      </c>
      <c r="W55" s="24">
        <v>111103</v>
      </c>
      <c r="Y55" s="7" t="b">
        <f t="shared" si="3"/>
        <v>0</v>
      </c>
      <c r="AA55" s="29" t="str">
        <f>HYPERLINK("#일위대가_호표!A235","HDD1603 →")</f>
        <v>HDD1603 →</v>
      </c>
    </row>
    <row r="56" spans="1:27" ht="18.399999999999999" customHeight="1" x14ac:dyDescent="0.15">
      <c r="A56" s="11" t="s">
        <v>1049</v>
      </c>
      <c r="B56" s="2" t="s">
        <v>1787</v>
      </c>
      <c r="C56" s="2">
        <v>1</v>
      </c>
      <c r="D56" s="2" t="s">
        <v>135</v>
      </c>
      <c r="E56" s="24">
        <f t="shared" si="2"/>
        <v>69246</v>
      </c>
      <c r="F56" s="24">
        <f>일위대가_호표!H242</f>
        <v>1404</v>
      </c>
      <c r="G56" s="24">
        <f>일위대가_호표!J242</f>
        <v>59347</v>
      </c>
      <c r="H56" s="24">
        <f>일위대가_호표!L242</f>
        <v>8495</v>
      </c>
      <c r="I56" s="18" t="s">
        <v>1079</v>
      </c>
      <c r="J56" t="s">
        <v>1850</v>
      </c>
      <c r="K56" t="s">
        <v>29</v>
      </c>
      <c r="L56" t="s">
        <v>1190</v>
      </c>
      <c r="T56" s="24">
        <v>1404</v>
      </c>
      <c r="U56" s="24">
        <v>59348</v>
      </c>
      <c r="V56" s="24">
        <v>8495</v>
      </c>
      <c r="W56" s="24">
        <v>69247</v>
      </c>
      <c r="Y56" s="7" t="b">
        <f t="shared" si="3"/>
        <v>0</v>
      </c>
      <c r="AA56" s="29" t="str">
        <f>HYPERLINK("#일위대가_호표!A242","HDD1611 →")</f>
        <v>HDD1611 →</v>
      </c>
    </row>
    <row r="57" spans="1:27" ht="18.399999999999999" customHeight="1" x14ac:dyDescent="0.15">
      <c r="A57" s="11" t="s">
        <v>1207</v>
      </c>
      <c r="B57" s="2" t="s">
        <v>1616</v>
      </c>
      <c r="C57" s="2">
        <v>1</v>
      </c>
      <c r="D57" s="2" t="s">
        <v>1134</v>
      </c>
      <c r="E57" s="24">
        <f t="shared" si="2"/>
        <v>16976</v>
      </c>
      <c r="F57" s="24">
        <f>일위대가_호표!H249</f>
        <v>1006</v>
      </c>
      <c r="G57" s="24">
        <f>일위대가_호표!J249</f>
        <v>15292</v>
      </c>
      <c r="H57" s="24">
        <f>일위대가_호표!L249</f>
        <v>678</v>
      </c>
      <c r="I57" s="18" t="s">
        <v>1714</v>
      </c>
      <c r="J57" t="s">
        <v>1850</v>
      </c>
      <c r="K57" t="s">
        <v>792</v>
      </c>
      <c r="L57" t="s">
        <v>1190</v>
      </c>
      <c r="T57" s="24">
        <v>1006</v>
      </c>
      <c r="U57" s="24">
        <v>15292</v>
      </c>
      <c r="V57" s="24">
        <v>678</v>
      </c>
      <c r="W57" s="24">
        <v>16976</v>
      </c>
      <c r="Y57" s="7" t="b">
        <f t="shared" si="3"/>
        <v>1</v>
      </c>
      <c r="AA57" s="29" t="str">
        <f>HYPERLINK("#일위대가_호표!A249","HDD1572 →")</f>
        <v>HDD1572 →</v>
      </c>
    </row>
    <row r="58" spans="1:27" ht="18.399999999999999" customHeight="1" x14ac:dyDescent="0.15">
      <c r="A58" s="11" t="s">
        <v>1409</v>
      </c>
      <c r="B58" s="2" t="s">
        <v>647</v>
      </c>
      <c r="C58" s="2">
        <v>1</v>
      </c>
      <c r="D58" s="2" t="s">
        <v>1134</v>
      </c>
      <c r="E58" s="24">
        <f t="shared" si="2"/>
        <v>106585</v>
      </c>
      <c r="F58" s="24">
        <f>일위대가_호표!H256</f>
        <v>5002</v>
      </c>
      <c r="G58" s="24">
        <f>일위대가_호표!J256</f>
        <v>97749</v>
      </c>
      <c r="H58" s="24">
        <f>일위대가_호표!L256</f>
        <v>3834</v>
      </c>
      <c r="I58" s="18" t="s">
        <v>1714</v>
      </c>
      <c r="J58" t="s">
        <v>1850</v>
      </c>
      <c r="K58" t="s">
        <v>621</v>
      </c>
      <c r="L58" t="s">
        <v>1190</v>
      </c>
      <c r="T58" s="24">
        <v>5002</v>
      </c>
      <c r="U58" s="24">
        <v>97749</v>
      </c>
      <c r="V58" s="24">
        <v>3834</v>
      </c>
      <c r="W58" s="24">
        <v>106585</v>
      </c>
      <c r="Y58" s="7" t="b">
        <f t="shared" si="3"/>
        <v>1</v>
      </c>
      <c r="AA58" s="29" t="str">
        <f>HYPERLINK("#일위대가_호표!A256","HDD1574 →")</f>
        <v>HDD1574 →</v>
      </c>
    </row>
    <row r="59" spans="1:27" ht="18.399999999999999" customHeight="1" x14ac:dyDescent="0.15">
      <c r="A59" s="11" t="s">
        <v>988</v>
      </c>
      <c r="B59" s="2" t="s">
        <v>91</v>
      </c>
      <c r="C59" s="2">
        <v>1</v>
      </c>
      <c r="D59" s="2" t="s">
        <v>1134</v>
      </c>
      <c r="E59" s="24">
        <f t="shared" si="2"/>
        <v>3726</v>
      </c>
      <c r="F59" s="24">
        <f>일위대가_호표!H263</f>
        <v>975</v>
      </c>
      <c r="G59" s="24">
        <f>일위대가_호표!J263</f>
        <v>2671</v>
      </c>
      <c r="H59" s="24">
        <f>일위대가_호표!L263</f>
        <v>80</v>
      </c>
      <c r="I59" s="18" t="s">
        <v>1713</v>
      </c>
      <c r="J59" t="s">
        <v>1850</v>
      </c>
      <c r="K59" t="s">
        <v>1241</v>
      </c>
      <c r="L59" t="s">
        <v>1190</v>
      </c>
      <c r="T59" s="24">
        <v>975</v>
      </c>
      <c r="U59" s="24">
        <v>2671</v>
      </c>
      <c r="V59" s="24">
        <v>80</v>
      </c>
      <c r="W59" s="24">
        <v>3726</v>
      </c>
      <c r="Y59" s="7" t="b">
        <f t="shared" si="3"/>
        <v>1</v>
      </c>
      <c r="AA59" s="29" t="str">
        <f>HYPERLINK("#일위대가_호표!A263","HDD1582 →")</f>
        <v>HDD1582 →</v>
      </c>
    </row>
    <row r="60" spans="1:27" ht="18.399999999999999" customHeight="1" x14ac:dyDescent="0.15">
      <c r="A60" s="11" t="s">
        <v>1657</v>
      </c>
      <c r="B60" s="2" t="s">
        <v>966</v>
      </c>
      <c r="C60" s="2">
        <v>1</v>
      </c>
      <c r="D60" s="2" t="s">
        <v>1134</v>
      </c>
      <c r="E60" s="24">
        <f t="shared" si="2"/>
        <v>3979</v>
      </c>
      <c r="F60" s="24">
        <f>일위대가_호표!H270</f>
        <v>242</v>
      </c>
      <c r="G60" s="24">
        <f>일위대가_호표!J270</f>
        <v>3012</v>
      </c>
      <c r="H60" s="24">
        <f>일위대가_호표!L270</f>
        <v>725</v>
      </c>
      <c r="I60" s="18" t="s">
        <v>1313</v>
      </c>
      <c r="J60" t="s">
        <v>1850</v>
      </c>
      <c r="K60" t="s">
        <v>360</v>
      </c>
      <c r="L60" t="s">
        <v>1190</v>
      </c>
      <c r="T60" s="24">
        <v>242</v>
      </c>
      <c r="U60" s="24">
        <v>3012</v>
      </c>
      <c r="V60" s="24">
        <v>725</v>
      </c>
      <c r="W60" s="24">
        <v>3979</v>
      </c>
      <c r="Y60" s="7" t="b">
        <f t="shared" si="3"/>
        <v>1</v>
      </c>
      <c r="AA60" s="29" t="str">
        <f>HYPERLINK("#일위대가_호표!A270","HDD0002 →")</f>
        <v>HDD0002 →</v>
      </c>
    </row>
    <row r="61" spans="1:27" ht="18.399999999999999" customHeight="1" x14ac:dyDescent="0.15">
      <c r="A61" s="11" t="s">
        <v>1761</v>
      </c>
      <c r="B61" s="2" t="s">
        <v>966</v>
      </c>
      <c r="C61" s="2">
        <v>1</v>
      </c>
      <c r="D61" s="2" t="s">
        <v>1134</v>
      </c>
      <c r="E61" s="24">
        <f t="shared" si="2"/>
        <v>905</v>
      </c>
      <c r="F61" s="24">
        <f>일위대가_호표!H278</f>
        <v>13</v>
      </c>
      <c r="G61" s="24">
        <f>일위대가_호표!J278</f>
        <v>846</v>
      </c>
      <c r="H61" s="24">
        <f>일위대가_호표!L278</f>
        <v>46</v>
      </c>
      <c r="I61" s="18" t="s">
        <v>1850</v>
      </c>
      <c r="J61" t="s">
        <v>1850</v>
      </c>
      <c r="K61" t="s">
        <v>424</v>
      </c>
      <c r="L61" t="s">
        <v>1190</v>
      </c>
      <c r="T61" s="24">
        <v>13</v>
      </c>
      <c r="U61" s="24">
        <v>846</v>
      </c>
      <c r="V61" s="24">
        <v>46</v>
      </c>
      <c r="W61" s="24">
        <v>905</v>
      </c>
      <c r="Y61" s="7" t="b">
        <f t="shared" si="3"/>
        <v>1</v>
      </c>
      <c r="AA61" s="29" t="str">
        <f>HYPERLINK("#일위대가_호표!A278","HDD0006 →")</f>
        <v>HDD0006 →</v>
      </c>
    </row>
    <row r="62" spans="1:27" ht="18.399999999999999" customHeight="1" x14ac:dyDescent="0.15">
      <c r="A62" s="11" t="s">
        <v>753</v>
      </c>
      <c r="B62" s="2" t="s">
        <v>1038</v>
      </c>
      <c r="C62" s="2">
        <v>1</v>
      </c>
      <c r="D62" s="2" t="s">
        <v>1134</v>
      </c>
      <c r="E62" s="24">
        <f t="shared" si="2"/>
        <v>2438</v>
      </c>
      <c r="F62" s="24">
        <f>일위대가_호표!H286</f>
        <v>148</v>
      </c>
      <c r="G62" s="24">
        <f>일위대가_호표!J286</f>
        <v>1846</v>
      </c>
      <c r="H62" s="24">
        <f>일위대가_호표!L286</f>
        <v>444</v>
      </c>
      <c r="I62" s="18" t="s">
        <v>1313</v>
      </c>
      <c r="J62" t="s">
        <v>1850</v>
      </c>
      <c r="K62" t="s">
        <v>1114</v>
      </c>
      <c r="L62" t="s">
        <v>1190</v>
      </c>
      <c r="T62" s="24">
        <v>148</v>
      </c>
      <c r="U62" s="24">
        <v>1846</v>
      </c>
      <c r="V62" s="24">
        <v>444</v>
      </c>
      <c r="W62" s="24">
        <v>2438</v>
      </c>
      <c r="Y62" s="7" t="b">
        <f t="shared" si="3"/>
        <v>1</v>
      </c>
      <c r="AA62" s="29" t="str">
        <f>HYPERLINK("#일위대가_호표!A286","HDD0001 →")</f>
        <v>HDD0001 →</v>
      </c>
    </row>
    <row r="63" spans="1:27" ht="18.399999999999999" customHeight="1" x14ac:dyDescent="0.15">
      <c r="A63" s="11" t="s">
        <v>1380</v>
      </c>
      <c r="B63" s="2" t="s">
        <v>1038</v>
      </c>
      <c r="C63" s="2">
        <v>1</v>
      </c>
      <c r="D63" s="2" t="s">
        <v>1134</v>
      </c>
      <c r="E63" s="24">
        <f t="shared" si="2"/>
        <v>554</v>
      </c>
      <c r="F63" s="24">
        <f>일위대가_호표!H294</f>
        <v>8</v>
      </c>
      <c r="G63" s="24">
        <f>일위대가_호표!J294</f>
        <v>518</v>
      </c>
      <c r="H63" s="24">
        <f>일위대가_호표!L294</f>
        <v>28</v>
      </c>
      <c r="I63" s="18" t="s">
        <v>1850</v>
      </c>
      <c r="J63" t="s">
        <v>1850</v>
      </c>
      <c r="K63" t="s">
        <v>1061</v>
      </c>
      <c r="L63" t="s">
        <v>1190</v>
      </c>
      <c r="T63" s="24">
        <v>8</v>
      </c>
      <c r="U63" s="24">
        <v>518</v>
      </c>
      <c r="V63" s="24">
        <v>28</v>
      </c>
      <c r="W63" s="24">
        <v>554</v>
      </c>
      <c r="Y63" s="7" t="b">
        <f t="shared" si="3"/>
        <v>1</v>
      </c>
      <c r="AA63" s="29" t="str">
        <f>HYPERLINK("#일위대가_호표!A294","HDD0005 →")</f>
        <v>HDD0005 →</v>
      </c>
    </row>
    <row r="64" spans="1:27" ht="18.399999999999999" customHeight="1" x14ac:dyDescent="0.15">
      <c r="A64" s="11" t="s">
        <v>758</v>
      </c>
      <c r="B64" s="2" t="s">
        <v>576</v>
      </c>
      <c r="C64" s="2">
        <v>1</v>
      </c>
      <c r="D64" s="2" t="s">
        <v>1705</v>
      </c>
      <c r="E64" s="24">
        <f t="shared" si="2"/>
        <v>12300</v>
      </c>
      <c r="F64" s="24">
        <f>일위대가_호표!H302</f>
        <v>0</v>
      </c>
      <c r="G64" s="24">
        <f>일위대가_호표!J302</f>
        <v>0</v>
      </c>
      <c r="H64" s="24">
        <f>일위대가_호표!L302</f>
        <v>12300</v>
      </c>
      <c r="I64" s="18" t="s">
        <v>1410</v>
      </c>
      <c r="J64" t="s">
        <v>1850</v>
      </c>
      <c r="K64" t="s">
        <v>1092</v>
      </c>
      <c r="L64" t="s">
        <v>1190</v>
      </c>
      <c r="T64" s="24">
        <v>0</v>
      </c>
      <c r="U64" s="24">
        <v>0</v>
      </c>
      <c r="V64" s="24">
        <v>12300</v>
      </c>
      <c r="W64" s="24">
        <v>12300</v>
      </c>
      <c r="Y64" s="7" t="b">
        <f t="shared" si="3"/>
        <v>1</v>
      </c>
      <c r="AA64" s="29" t="str">
        <f>HYPERLINK("#일위대가_호표!A302","HDD1756 →")</f>
        <v>HDD1756 →</v>
      </c>
    </row>
    <row r="65" spans="1:27" ht="18.399999999999999" customHeight="1" x14ac:dyDescent="0.15">
      <c r="A65" s="11" t="s">
        <v>796</v>
      </c>
      <c r="B65" s="2" t="s">
        <v>713</v>
      </c>
      <c r="C65" s="2">
        <v>1</v>
      </c>
      <c r="D65" s="2" t="s">
        <v>1201</v>
      </c>
      <c r="E65" s="24">
        <f t="shared" si="2"/>
        <v>5105</v>
      </c>
      <c r="F65" s="24">
        <f>일위대가_호표!H311</f>
        <v>2</v>
      </c>
      <c r="G65" s="24">
        <f>일위대가_호표!J311</f>
        <v>4861</v>
      </c>
      <c r="H65" s="24">
        <f>일위대가_호표!L311</f>
        <v>242</v>
      </c>
      <c r="I65" s="18" t="s">
        <v>1783</v>
      </c>
      <c r="J65" t="s">
        <v>1850</v>
      </c>
      <c r="K65" t="s">
        <v>1320</v>
      </c>
      <c r="L65" t="s">
        <v>1190</v>
      </c>
      <c r="T65" s="24">
        <v>2</v>
      </c>
      <c r="U65" s="24">
        <v>4861</v>
      </c>
      <c r="V65" s="24">
        <v>242</v>
      </c>
      <c r="W65" s="24">
        <v>5105</v>
      </c>
      <c r="Y65" s="7" t="b">
        <f t="shared" si="3"/>
        <v>1</v>
      </c>
      <c r="AA65" s="29" t="str">
        <f>HYPERLINK("#일위대가_호표!A311","HDD1586 →")</f>
        <v>HDD1586 →</v>
      </c>
    </row>
    <row r="66" spans="1:27" ht="18.399999999999999" customHeight="1" x14ac:dyDescent="0.15">
      <c r="A66" s="11" t="s">
        <v>260</v>
      </c>
      <c r="B66" s="2" t="s">
        <v>1312</v>
      </c>
      <c r="C66" s="2">
        <v>1</v>
      </c>
      <c r="D66" s="2" t="s">
        <v>1201</v>
      </c>
      <c r="E66" s="24">
        <f t="shared" si="2"/>
        <v>4241</v>
      </c>
      <c r="F66" s="24">
        <f>일위대가_호표!H317</f>
        <v>0</v>
      </c>
      <c r="G66" s="24">
        <f>일위대가_호표!J317</f>
        <v>4241</v>
      </c>
      <c r="H66" s="24">
        <f>일위대가_호표!L317</f>
        <v>0</v>
      </c>
      <c r="I66" s="18" t="s">
        <v>1850</v>
      </c>
      <c r="J66" t="s">
        <v>1850</v>
      </c>
      <c r="K66" t="s">
        <v>1618</v>
      </c>
      <c r="L66" t="s">
        <v>1190</v>
      </c>
      <c r="T66" s="24">
        <v>0</v>
      </c>
      <c r="U66" s="24">
        <v>4241</v>
      </c>
      <c r="V66" s="24">
        <v>0</v>
      </c>
      <c r="W66" s="24">
        <v>4241</v>
      </c>
      <c r="Y66" s="7" t="b">
        <f t="shared" si="3"/>
        <v>1</v>
      </c>
      <c r="AA66" s="29" t="str">
        <f>HYPERLINK("#일위대가_호표!A317","HDD1571 →")</f>
        <v>HDD1571 →</v>
      </c>
    </row>
    <row r="67" spans="1:27" ht="18.399999999999999" customHeight="1" x14ac:dyDescent="0.15">
      <c r="A67" s="11" t="s">
        <v>945</v>
      </c>
      <c r="B67" s="2" t="s">
        <v>1032</v>
      </c>
      <c r="C67" s="2">
        <v>1</v>
      </c>
      <c r="D67" s="2" t="s">
        <v>1134</v>
      </c>
      <c r="E67" s="24">
        <f t="shared" ref="E67:E98" si="4">F67+G67+H67</f>
        <v>3553</v>
      </c>
      <c r="F67" s="24">
        <f>일위대가_호표!H321</f>
        <v>830</v>
      </c>
      <c r="G67" s="24">
        <f>일위대가_호표!J321</f>
        <v>2644</v>
      </c>
      <c r="H67" s="24">
        <f>일위대가_호표!L321</f>
        <v>79</v>
      </c>
      <c r="I67" s="18" t="s">
        <v>1713</v>
      </c>
      <c r="J67" t="s">
        <v>1850</v>
      </c>
      <c r="K67" t="s">
        <v>1000</v>
      </c>
      <c r="L67" t="s">
        <v>1190</v>
      </c>
      <c r="T67" s="24">
        <v>830</v>
      </c>
      <c r="U67" s="24">
        <v>2644</v>
      </c>
      <c r="V67" s="24">
        <v>79</v>
      </c>
      <c r="W67" s="24">
        <v>3553</v>
      </c>
      <c r="Y67" s="7" t="b">
        <f t="shared" si="3"/>
        <v>1</v>
      </c>
      <c r="AA67" s="29" t="str">
        <f>HYPERLINK("#일위대가_호표!A321","HDD1580 →")</f>
        <v>HDD1580 →</v>
      </c>
    </row>
    <row r="68" spans="1:27" ht="18.399999999999999" customHeight="1" x14ac:dyDescent="0.15">
      <c r="A68" s="11" t="s">
        <v>711</v>
      </c>
      <c r="B68" s="2" t="s">
        <v>1312</v>
      </c>
      <c r="C68" s="2">
        <v>1</v>
      </c>
      <c r="D68" s="2" t="s">
        <v>1201</v>
      </c>
      <c r="E68" s="24">
        <f t="shared" si="4"/>
        <v>3579</v>
      </c>
      <c r="F68" s="24">
        <f>일위대가_호표!H328</f>
        <v>0</v>
      </c>
      <c r="G68" s="24">
        <f>일위대가_호표!J328</f>
        <v>3579</v>
      </c>
      <c r="H68" s="24">
        <f>일위대가_호표!L328</f>
        <v>0</v>
      </c>
      <c r="I68" s="18" t="s">
        <v>1410</v>
      </c>
      <c r="J68" t="s">
        <v>1850</v>
      </c>
      <c r="K68" t="s">
        <v>1293</v>
      </c>
      <c r="L68" t="s">
        <v>1190</v>
      </c>
      <c r="T68" s="24">
        <v>0</v>
      </c>
      <c r="U68" s="24">
        <v>3579</v>
      </c>
      <c r="V68" s="24">
        <v>0</v>
      </c>
      <c r="W68" s="24">
        <v>3579</v>
      </c>
      <c r="Y68" s="7" t="b">
        <f t="shared" si="3"/>
        <v>1</v>
      </c>
      <c r="AA68" s="29" t="str">
        <f>HYPERLINK("#일위대가_호표!A328","HDD1569 →")</f>
        <v>HDD1569 →</v>
      </c>
    </row>
    <row r="69" spans="1:27" ht="18.399999999999999" customHeight="1" x14ac:dyDescent="0.15">
      <c r="A69" s="12" t="s">
        <v>919</v>
      </c>
      <c r="B69" s="13" t="s">
        <v>1312</v>
      </c>
      <c r="C69" s="13">
        <v>1</v>
      </c>
      <c r="D69" s="13" t="s">
        <v>1201</v>
      </c>
      <c r="E69" s="26">
        <f t="shared" si="4"/>
        <v>662</v>
      </c>
      <c r="F69" s="26">
        <f>일위대가_호표!H332</f>
        <v>0</v>
      </c>
      <c r="G69" s="26">
        <f>일위대가_호표!J332</f>
        <v>662</v>
      </c>
      <c r="H69" s="26">
        <f>일위대가_호표!L332</f>
        <v>0</v>
      </c>
      <c r="I69" s="19" t="s">
        <v>1410</v>
      </c>
      <c r="J69" t="s">
        <v>1850</v>
      </c>
      <c r="K69" t="s">
        <v>566</v>
      </c>
      <c r="L69" t="s">
        <v>1190</v>
      </c>
      <c r="T69" s="24">
        <v>0</v>
      </c>
      <c r="U69" s="24">
        <v>662</v>
      </c>
      <c r="V69" s="24">
        <v>0</v>
      </c>
      <c r="W69" s="24">
        <v>662</v>
      </c>
      <c r="Y69" s="7" t="b">
        <f t="shared" si="3"/>
        <v>1</v>
      </c>
      <c r="AA69" s="29" t="str">
        <f>HYPERLINK("#일위대가_호표!A332","HDD1570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34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21</v>
      </c>
    </row>
    <row r="2" spans="1:61" ht="18.399999999999999" customHeight="1" x14ac:dyDescent="0.15">
      <c r="A2" s="48" t="s">
        <v>325</v>
      </c>
      <c r="B2" s="50" t="s">
        <v>859</v>
      </c>
      <c r="C2" s="50" t="s">
        <v>1119</v>
      </c>
      <c r="D2" s="50" t="s">
        <v>728</v>
      </c>
      <c r="E2" s="50" t="s">
        <v>1791</v>
      </c>
      <c r="F2" s="50" t="s">
        <v>1850</v>
      </c>
      <c r="G2" s="50" t="s">
        <v>1307</v>
      </c>
      <c r="H2" s="50" t="s">
        <v>1850</v>
      </c>
      <c r="I2" s="50" t="s">
        <v>780</v>
      </c>
      <c r="J2" s="50" t="s">
        <v>1850</v>
      </c>
      <c r="K2" s="50" t="s">
        <v>128</v>
      </c>
      <c r="L2" s="50" t="s">
        <v>1850</v>
      </c>
      <c r="M2" s="52" t="s">
        <v>499</v>
      </c>
    </row>
    <row r="3" spans="1:61" ht="18.399999999999999" customHeight="1" x14ac:dyDescent="0.15">
      <c r="A3" s="49" t="s">
        <v>1850</v>
      </c>
      <c r="B3" s="51" t="s">
        <v>1850</v>
      </c>
      <c r="C3" s="51" t="s">
        <v>1850</v>
      </c>
      <c r="D3" s="51" t="s">
        <v>1850</v>
      </c>
      <c r="E3" s="45" t="s">
        <v>448</v>
      </c>
      <c r="F3" s="45" t="s">
        <v>261</v>
      </c>
      <c r="G3" s="45" t="s">
        <v>448</v>
      </c>
      <c r="H3" s="45" t="s">
        <v>261</v>
      </c>
      <c r="I3" s="45" t="s">
        <v>448</v>
      </c>
      <c r="J3" s="45" t="s">
        <v>261</v>
      </c>
      <c r="K3" s="45" t="s">
        <v>448</v>
      </c>
      <c r="L3" s="45" t="s">
        <v>261</v>
      </c>
      <c r="M3" s="53" t="s">
        <v>1850</v>
      </c>
      <c r="S3" s="1" t="s">
        <v>617</v>
      </c>
      <c r="T3" s="1" t="s">
        <v>1379</v>
      </c>
      <c r="U3" s="1" t="s">
        <v>664</v>
      </c>
      <c r="V3" s="1" t="s">
        <v>274</v>
      </c>
      <c r="W3" s="1" t="s">
        <v>119</v>
      </c>
      <c r="X3" s="1" t="s">
        <v>587</v>
      </c>
      <c r="Y3" s="1" t="s">
        <v>1292</v>
      </c>
    </row>
    <row r="4" spans="1:61" ht="18.399999999999999" customHeight="1" x14ac:dyDescent="0.15">
      <c r="A4" s="11" t="s">
        <v>1845</v>
      </c>
      <c r="B4" s="2" t="s">
        <v>4</v>
      </c>
      <c r="C4" s="2">
        <v>1</v>
      </c>
      <c r="D4" s="2" t="s">
        <v>1372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1128</v>
      </c>
      <c r="N4" t="s">
        <v>1850</v>
      </c>
      <c r="O4" t="s">
        <v>902</v>
      </c>
    </row>
    <row r="5" spans="1:61" ht="18.399999999999999" customHeight="1" x14ac:dyDescent="0.15">
      <c r="A5" s="11" t="s">
        <v>597</v>
      </c>
      <c r="B5" s="2" t="s">
        <v>1024</v>
      </c>
      <c r="C5" s="2">
        <v>0.26</v>
      </c>
      <c r="D5" s="2" t="s">
        <v>1735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1850</v>
      </c>
      <c r="N5" t="s">
        <v>1850</v>
      </c>
      <c r="P5" t="s">
        <v>239</v>
      </c>
      <c r="Q5" t="s">
        <v>1850</v>
      </c>
      <c r="R5" t="s">
        <v>1563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1118</v>
      </c>
      <c r="B7" s="2" t="s">
        <v>1832</v>
      </c>
      <c r="C7" s="2">
        <v>1</v>
      </c>
      <c r="D7" s="2" t="s">
        <v>135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1079</v>
      </c>
      <c r="N7" t="s">
        <v>1850</v>
      </c>
      <c r="O7" t="s">
        <v>1424</v>
      </c>
    </row>
    <row r="8" spans="1:61" ht="18.399999999999999" customHeight="1" x14ac:dyDescent="0.15">
      <c r="A8" s="11" t="s">
        <v>1</v>
      </c>
      <c r="B8" s="2" t="s">
        <v>910</v>
      </c>
      <c r="C8" s="2">
        <v>1</v>
      </c>
      <c r="D8" s="2" t="s">
        <v>135</v>
      </c>
      <c r="E8" s="24">
        <f>G8+I8+K8</f>
        <v>209325</v>
      </c>
      <c r="F8" s="24">
        <f>H8+J8+L8</f>
        <v>209325</v>
      </c>
      <c r="G8" s="24">
        <f>일위대가목록!F50</f>
        <v>3795</v>
      </c>
      <c r="H8" s="24">
        <f>TRUNC(G8*C8,0)</f>
        <v>3795</v>
      </c>
      <c r="I8" s="24">
        <f>일위대가목록!G50</f>
        <v>181924</v>
      </c>
      <c r="J8" s="24">
        <f>TRUNC(I8*C8,0)</f>
        <v>181924</v>
      </c>
      <c r="K8" s="24">
        <f>일위대가목록!H50</f>
        <v>23606</v>
      </c>
      <c r="L8" s="24">
        <f>TRUNC(K8*C8,0)</f>
        <v>23606</v>
      </c>
      <c r="M8" s="18" t="s">
        <v>1850</v>
      </c>
      <c r="N8" t="s">
        <v>1850</v>
      </c>
      <c r="P8" t="s">
        <v>239</v>
      </c>
      <c r="Q8" t="s">
        <v>1850</v>
      </c>
      <c r="R8" t="s">
        <v>703</v>
      </c>
      <c r="T8" t="s">
        <v>1190</v>
      </c>
      <c r="BI8" s="29" t="str">
        <f>HYPERLINK("#일위대가목록!A50","HDD1605 →")</f>
        <v>HDD1605 →</v>
      </c>
    </row>
    <row r="9" spans="1:61" ht="18.399999999999999" customHeight="1" x14ac:dyDescent="0.15">
      <c r="A9" s="11" t="s">
        <v>1181</v>
      </c>
      <c r="B9" s="2" t="s">
        <v>910</v>
      </c>
      <c r="C9" s="2">
        <v>1</v>
      </c>
      <c r="D9" s="2" t="s">
        <v>135</v>
      </c>
      <c r="E9" s="24">
        <f>G9+I9+K9</f>
        <v>130427</v>
      </c>
      <c r="F9" s="24">
        <f>H9+J9+L9</f>
        <v>130427</v>
      </c>
      <c r="G9" s="24">
        <f>일위대가목록!F51</f>
        <v>2645</v>
      </c>
      <c r="H9" s="24">
        <f>TRUNC(G9*C9,0)</f>
        <v>2645</v>
      </c>
      <c r="I9" s="24">
        <f>일위대가목록!G51</f>
        <v>111780</v>
      </c>
      <c r="J9" s="24">
        <f>TRUNC(I9*C9,0)</f>
        <v>111780</v>
      </c>
      <c r="K9" s="24">
        <f>일위대가목록!H51</f>
        <v>16002</v>
      </c>
      <c r="L9" s="24">
        <f>TRUNC(K9*C9,0)</f>
        <v>16002</v>
      </c>
      <c r="M9" s="18" t="s">
        <v>1850</v>
      </c>
      <c r="N9" t="s">
        <v>1850</v>
      </c>
      <c r="P9" t="s">
        <v>1619</v>
      </c>
      <c r="Q9" t="s">
        <v>1850</v>
      </c>
      <c r="R9" t="s">
        <v>359</v>
      </c>
      <c r="T9" t="s">
        <v>1190</v>
      </c>
      <c r="BI9" s="29" t="str">
        <f>HYPERLINK("#일위대가목록!A51","HDD1613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1069</v>
      </c>
      <c r="B11" s="2" t="s">
        <v>1832</v>
      </c>
      <c r="C11" s="2">
        <v>1</v>
      </c>
      <c r="D11" s="2" t="s">
        <v>135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1079</v>
      </c>
      <c r="N11" t="s">
        <v>1850</v>
      </c>
      <c r="O11" t="s">
        <v>1736</v>
      </c>
    </row>
    <row r="12" spans="1:61" ht="18.399999999999999" customHeight="1" x14ac:dyDescent="0.15">
      <c r="A12" s="11" t="s">
        <v>1</v>
      </c>
      <c r="B12" s="2" t="s">
        <v>910</v>
      </c>
      <c r="C12" s="2">
        <v>1</v>
      </c>
      <c r="D12" s="2" t="s">
        <v>135</v>
      </c>
      <c r="E12" s="24">
        <f>G12+I12+K12</f>
        <v>209325</v>
      </c>
      <c r="F12" s="24">
        <f>H12+J12+L12</f>
        <v>209325</v>
      </c>
      <c r="G12" s="24">
        <f>일위대가목록!F50</f>
        <v>3795</v>
      </c>
      <c r="H12" s="24">
        <f>TRUNC(G12*C12,0)</f>
        <v>3795</v>
      </c>
      <c r="I12" s="24">
        <f>일위대가목록!G50</f>
        <v>181924</v>
      </c>
      <c r="J12" s="24">
        <f>TRUNC(I12*C12,0)</f>
        <v>181924</v>
      </c>
      <c r="K12" s="24">
        <f>일위대가목록!H50</f>
        <v>23606</v>
      </c>
      <c r="L12" s="24">
        <f>TRUNC(K12*C12,0)</f>
        <v>23606</v>
      </c>
      <c r="M12" s="18" t="s">
        <v>1850</v>
      </c>
      <c r="N12" t="s">
        <v>1850</v>
      </c>
      <c r="P12" t="s">
        <v>239</v>
      </c>
      <c r="Q12" t="s">
        <v>1850</v>
      </c>
      <c r="R12" t="s">
        <v>703</v>
      </c>
      <c r="T12" t="s">
        <v>1190</v>
      </c>
      <c r="BI12" s="29" t="str">
        <f>HYPERLINK("#일위대가목록!A50","HDD1605 →")</f>
        <v>HDD1605 →</v>
      </c>
    </row>
    <row r="13" spans="1:61" ht="18.399999999999999" customHeight="1" x14ac:dyDescent="0.15">
      <c r="A13" s="11" t="s">
        <v>1181</v>
      </c>
      <c r="B13" s="2" t="s">
        <v>910</v>
      </c>
      <c r="C13" s="2">
        <v>1</v>
      </c>
      <c r="D13" s="2" t="s">
        <v>135</v>
      </c>
      <c r="E13" s="24">
        <f>G13+I13+K13</f>
        <v>130427</v>
      </c>
      <c r="F13" s="24">
        <f>H13+J13+L13</f>
        <v>130427</v>
      </c>
      <c r="G13" s="24">
        <f>일위대가목록!F51</f>
        <v>2645</v>
      </c>
      <c r="H13" s="24">
        <f>TRUNC(G13*C13,0)</f>
        <v>2645</v>
      </c>
      <c r="I13" s="24">
        <f>일위대가목록!G51</f>
        <v>111780</v>
      </c>
      <c r="J13" s="24">
        <f>TRUNC(I13*C13,0)</f>
        <v>111780</v>
      </c>
      <c r="K13" s="24">
        <f>일위대가목록!H51</f>
        <v>16002</v>
      </c>
      <c r="L13" s="24">
        <f>TRUNC(K13*C13,0)</f>
        <v>16002</v>
      </c>
      <c r="M13" s="18" t="s">
        <v>1850</v>
      </c>
      <c r="N13" t="s">
        <v>1850</v>
      </c>
      <c r="P13" t="s">
        <v>1619</v>
      </c>
      <c r="Q13" t="s">
        <v>1850</v>
      </c>
      <c r="R13" t="s">
        <v>359</v>
      </c>
      <c r="T13" t="s">
        <v>1190</v>
      </c>
      <c r="BI13" s="29" t="str">
        <f>HYPERLINK("#일위대가목록!A51","HDD1613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782</v>
      </c>
      <c r="B15" s="2" t="s">
        <v>363</v>
      </c>
      <c r="C15" s="2">
        <v>1</v>
      </c>
      <c r="D15" s="2" t="s">
        <v>135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1850</v>
      </c>
      <c r="N15" t="s">
        <v>1850</v>
      </c>
      <c r="O15" t="s">
        <v>754</v>
      </c>
    </row>
    <row r="16" spans="1:61" ht="18.399999999999999" customHeight="1" x14ac:dyDescent="0.15">
      <c r="A16" s="11" t="s">
        <v>884</v>
      </c>
      <c r="B16" s="2" t="s">
        <v>288</v>
      </c>
      <c r="C16" s="2">
        <v>1</v>
      </c>
      <c r="D16" s="2" t="s">
        <v>1201</v>
      </c>
      <c r="E16" s="24">
        <f>G16+I16+K16</f>
        <v>237984</v>
      </c>
      <c r="F16" s="24">
        <f>H16+J16+L16</f>
        <v>237984</v>
      </c>
      <c r="G16" s="24">
        <f>일위대가목록!F52</f>
        <v>23596</v>
      </c>
      <c r="H16" s="24">
        <f>TRUNC(G16*C16,0)</f>
        <v>23596</v>
      </c>
      <c r="I16" s="24">
        <f>일위대가목록!G52</f>
        <v>205686</v>
      </c>
      <c r="J16" s="24">
        <f>TRUNC(I16*C16,0)</f>
        <v>205686</v>
      </c>
      <c r="K16" s="24">
        <f>일위대가목록!H52</f>
        <v>8702</v>
      </c>
      <c r="L16" s="24">
        <f>TRUNC(K16*C16,0)</f>
        <v>8702</v>
      </c>
      <c r="M16" s="18" t="s">
        <v>1850</v>
      </c>
      <c r="N16" t="s">
        <v>1850</v>
      </c>
      <c r="P16" t="s">
        <v>239</v>
      </c>
      <c r="Q16" t="s">
        <v>1850</v>
      </c>
      <c r="R16" t="s">
        <v>745</v>
      </c>
      <c r="T16" t="s">
        <v>1190</v>
      </c>
      <c r="BI16" s="29" t="str">
        <f>HYPERLINK("#일위대가목록!A52","HDD1599 →")</f>
        <v>HDD1599 →</v>
      </c>
    </row>
    <row r="17" spans="1:61" ht="18.399999999999999" customHeight="1" x14ac:dyDescent="0.15">
      <c r="A17" s="11" t="s">
        <v>25</v>
      </c>
      <c r="B17" s="2" t="s">
        <v>1787</v>
      </c>
      <c r="C17" s="2">
        <v>1</v>
      </c>
      <c r="D17" s="2" t="s">
        <v>135</v>
      </c>
      <c r="E17" s="24">
        <f>G17+I17+K17</f>
        <v>100835</v>
      </c>
      <c r="F17" s="24">
        <f>H17+J17+L17</f>
        <v>100835</v>
      </c>
      <c r="G17" s="24">
        <f>일위대가목록!F53</f>
        <v>1770</v>
      </c>
      <c r="H17" s="24">
        <f>TRUNC(G17*C17,0)</f>
        <v>1770</v>
      </c>
      <c r="I17" s="24">
        <f>일위대가목록!G53</f>
        <v>87963</v>
      </c>
      <c r="J17" s="24">
        <f>TRUNC(I17*C17,0)</f>
        <v>87963</v>
      </c>
      <c r="K17" s="24">
        <f>일위대가목록!H53</f>
        <v>11102</v>
      </c>
      <c r="L17" s="24">
        <f>TRUNC(K17*C17,0)</f>
        <v>11102</v>
      </c>
      <c r="M17" s="18" t="s">
        <v>1850</v>
      </c>
      <c r="N17" t="s">
        <v>1850</v>
      </c>
      <c r="P17" t="s">
        <v>1619</v>
      </c>
      <c r="Q17" t="s">
        <v>1850</v>
      </c>
      <c r="R17" t="s">
        <v>900</v>
      </c>
      <c r="T17" t="s">
        <v>1190</v>
      </c>
      <c r="BI17" s="29" t="str">
        <f>HYPERLINK("#일위대가목록!A53","HDD1607 →")</f>
        <v>HDD1607 →</v>
      </c>
    </row>
    <row r="18" spans="1:61" ht="18.399999999999999" customHeight="1" x14ac:dyDescent="0.15">
      <c r="A18" s="11" t="s">
        <v>921</v>
      </c>
      <c r="B18" s="2" t="s">
        <v>1787</v>
      </c>
      <c r="C18" s="2">
        <v>1</v>
      </c>
      <c r="D18" s="2" t="s">
        <v>135</v>
      </c>
      <c r="E18" s="24">
        <f>G18+I18+K18</f>
        <v>61596</v>
      </c>
      <c r="F18" s="24">
        <f>H18+J18+L18</f>
        <v>61596</v>
      </c>
      <c r="G18" s="24">
        <f>일위대가목록!F54</f>
        <v>1221</v>
      </c>
      <c r="H18" s="24">
        <f>TRUNC(G18*C18,0)</f>
        <v>1221</v>
      </c>
      <c r="I18" s="24">
        <f>일위대가목록!G54</f>
        <v>52947</v>
      </c>
      <c r="J18" s="24">
        <f>TRUNC(I18*C18,0)</f>
        <v>52947</v>
      </c>
      <c r="K18" s="24">
        <f>일위대가목록!H54</f>
        <v>7428</v>
      </c>
      <c r="L18" s="24">
        <f>TRUNC(K18*C18,0)</f>
        <v>7428</v>
      </c>
      <c r="M18" s="18" t="s">
        <v>1850</v>
      </c>
      <c r="N18" t="s">
        <v>1850</v>
      </c>
      <c r="P18" t="s">
        <v>1167</v>
      </c>
      <c r="Q18" t="s">
        <v>1850</v>
      </c>
      <c r="R18" t="s">
        <v>215</v>
      </c>
      <c r="T18" t="s">
        <v>1190</v>
      </c>
      <c r="BI18" s="29" t="str">
        <f>HYPERLINK("#일위대가목록!A54","HDD1615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533</v>
      </c>
      <c r="B20" s="2" t="s">
        <v>363</v>
      </c>
      <c r="C20" s="2">
        <v>1</v>
      </c>
      <c r="D20" s="2" t="s">
        <v>1134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1850</v>
      </c>
      <c r="N20" t="s">
        <v>1850</v>
      </c>
      <c r="O20" t="s">
        <v>1767</v>
      </c>
    </row>
    <row r="21" spans="1:61" ht="18.399999999999999" customHeight="1" x14ac:dyDescent="0.15">
      <c r="A21" s="11" t="s">
        <v>1</v>
      </c>
      <c r="B21" s="2" t="s">
        <v>1787</v>
      </c>
      <c r="C21" s="2">
        <v>1</v>
      </c>
      <c r="D21" s="2" t="s">
        <v>135</v>
      </c>
      <c r="E21" s="24">
        <f>G21+I21+K21</f>
        <v>111102</v>
      </c>
      <c r="F21" s="24">
        <f>H21+J21+L21</f>
        <v>111102</v>
      </c>
      <c r="G21" s="24">
        <f>일위대가목록!F55</f>
        <v>2015</v>
      </c>
      <c r="H21" s="24">
        <f>TRUNC(G21*C21,0)</f>
        <v>2015</v>
      </c>
      <c r="I21" s="24">
        <f>일위대가목록!G55</f>
        <v>96556</v>
      </c>
      <c r="J21" s="24">
        <f>TRUNC(I21*C21,0)</f>
        <v>96556</v>
      </c>
      <c r="K21" s="24">
        <f>일위대가목록!H55</f>
        <v>12531</v>
      </c>
      <c r="L21" s="24">
        <f>TRUNC(K21*C21,0)</f>
        <v>12531</v>
      </c>
      <c r="M21" s="18" t="s">
        <v>1850</v>
      </c>
      <c r="N21" t="s">
        <v>1850</v>
      </c>
      <c r="P21" t="s">
        <v>239</v>
      </c>
      <c r="Q21" t="s">
        <v>1217</v>
      </c>
      <c r="R21" t="s">
        <v>838</v>
      </c>
      <c r="T21" t="s">
        <v>1190</v>
      </c>
      <c r="BI21" s="29" t="str">
        <f>HYPERLINK("#일위대가목록!A55","HDD1603 →")</f>
        <v>HDD1603 →</v>
      </c>
    </row>
    <row r="22" spans="1:61" ht="18.399999999999999" customHeight="1" x14ac:dyDescent="0.15">
      <c r="A22" s="11" t="s">
        <v>1181</v>
      </c>
      <c r="B22" s="2" t="s">
        <v>1787</v>
      </c>
      <c r="C22" s="2">
        <v>1</v>
      </c>
      <c r="D22" s="2" t="s">
        <v>135</v>
      </c>
      <c r="E22" s="24">
        <f>G22+I22+K22</f>
        <v>69246</v>
      </c>
      <c r="F22" s="24">
        <f>H22+J22+L22</f>
        <v>69246</v>
      </c>
      <c r="G22" s="24">
        <f>일위대가목록!F56</f>
        <v>1404</v>
      </c>
      <c r="H22" s="24">
        <f>TRUNC(G22*C22,0)</f>
        <v>1404</v>
      </c>
      <c r="I22" s="24">
        <f>일위대가목록!G56</f>
        <v>59347</v>
      </c>
      <c r="J22" s="24">
        <f>TRUNC(I22*C22,0)</f>
        <v>59347</v>
      </c>
      <c r="K22" s="24">
        <f>일위대가목록!H56</f>
        <v>8495</v>
      </c>
      <c r="L22" s="24">
        <f>TRUNC(K22*C22,0)</f>
        <v>8495</v>
      </c>
      <c r="M22" s="18" t="s">
        <v>1850</v>
      </c>
      <c r="N22" t="s">
        <v>1850</v>
      </c>
      <c r="P22" t="s">
        <v>1619</v>
      </c>
      <c r="Q22" t="s">
        <v>1217</v>
      </c>
      <c r="R22" t="s">
        <v>29</v>
      </c>
      <c r="T22" t="s">
        <v>1190</v>
      </c>
      <c r="AA22" s="33" t="s">
        <v>1396</v>
      </c>
      <c r="AB22" s="8">
        <f>ROUND((일위대가_호표!H21+일위대가_호표!H22)*0.2,2)</f>
        <v>683.8</v>
      </c>
      <c r="AC22" s="33" t="s">
        <v>1559</v>
      </c>
      <c r="AD22" s="7">
        <f>$AB22</f>
        <v>683.8</v>
      </c>
      <c r="AE22" s="33" t="s">
        <v>213</v>
      </c>
      <c r="AF22" s="8">
        <f>ROUND((일위대가_호표!J21+일위대가_호표!J22)*0.2,2)</f>
        <v>31180.6</v>
      </c>
      <c r="AG22" s="33" t="s">
        <v>762</v>
      </c>
      <c r="AH22" s="7">
        <f>$AF22</f>
        <v>31180.6</v>
      </c>
      <c r="AI22" s="33" t="s">
        <v>615</v>
      </c>
      <c r="AJ22" s="8">
        <f>ROUND((일위대가_호표!L21+일위대가_호표!L22)*0.2,2)</f>
        <v>4205.2</v>
      </c>
      <c r="AK22" s="33" t="s">
        <v>1036</v>
      </c>
      <c r="AL22" s="7">
        <f>$AJ22</f>
        <v>4205.2</v>
      </c>
      <c r="BI22" s="29" t="str">
        <f>HYPERLINK("#일위대가목록!A56","HDD1611 →")</f>
        <v>HDD1611 →</v>
      </c>
    </row>
    <row r="23" spans="1:61" ht="18.399999999999999" customHeight="1" x14ac:dyDescent="0.15">
      <c r="A23" s="11" t="s">
        <v>358</v>
      </c>
      <c r="B23" s="2" t="s">
        <v>37</v>
      </c>
      <c r="C23" s="2">
        <v>1</v>
      </c>
      <c r="D23" s="2" t="s">
        <v>1134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1850</v>
      </c>
      <c r="N23" t="s">
        <v>1850</v>
      </c>
      <c r="P23" t="s">
        <v>1167</v>
      </c>
      <c r="Q23" t="s">
        <v>1850</v>
      </c>
      <c r="R23" t="s">
        <v>1589</v>
      </c>
      <c r="X23" t="s">
        <v>162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1202</v>
      </c>
      <c r="B25" s="2" t="s">
        <v>1013</v>
      </c>
      <c r="C25" s="2">
        <v>1</v>
      </c>
      <c r="D25" s="2" t="s">
        <v>1201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1850</v>
      </c>
      <c r="N25" t="s">
        <v>1850</v>
      </c>
      <c r="O25" t="s">
        <v>518</v>
      </c>
    </row>
    <row r="26" spans="1:61" ht="18.399999999999999" customHeight="1" x14ac:dyDescent="0.15">
      <c r="A26" s="11" t="s">
        <v>1197</v>
      </c>
      <c r="B26" s="2" t="s">
        <v>1501</v>
      </c>
      <c r="C26" s="2">
        <v>4.54</v>
      </c>
      <c r="D26" s="2" t="s">
        <v>1133</v>
      </c>
      <c r="E26" s="24">
        <f t="shared" ref="E26:E32" si="1">G26+I26+K26</f>
        <v>885</v>
      </c>
      <c r="F26" s="24">
        <f t="shared" si="0"/>
        <v>4017</v>
      </c>
      <c r="G26" s="24">
        <f>자재!D16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1850</v>
      </c>
      <c r="N26" t="s">
        <v>1850</v>
      </c>
      <c r="P26" t="s">
        <v>239</v>
      </c>
      <c r="Q26" t="s">
        <v>1217</v>
      </c>
      <c r="R26" t="s">
        <v>1047</v>
      </c>
      <c r="BI26" s="29" t="str">
        <f>HYPERLINK("#자재!A16","MDD0104 →")</f>
        <v>MDD0104 →</v>
      </c>
    </row>
    <row r="27" spans="1:61" ht="18.399999999999999" customHeight="1" x14ac:dyDescent="0.15">
      <c r="A27" s="11" t="s">
        <v>907</v>
      </c>
      <c r="B27" s="2" t="s">
        <v>1122</v>
      </c>
      <c r="C27" s="2">
        <v>4.54</v>
      </c>
      <c r="D27" s="2" t="s">
        <v>1133</v>
      </c>
      <c r="E27" s="24">
        <f t="shared" si="1"/>
        <v>-415</v>
      </c>
      <c r="F27" s="24">
        <f t="shared" si="0"/>
        <v>-1884</v>
      </c>
      <c r="G27" s="24">
        <f>자재!D15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1850</v>
      </c>
      <c r="N27" t="s">
        <v>1850</v>
      </c>
      <c r="P27" t="s">
        <v>1619</v>
      </c>
      <c r="Q27" t="s">
        <v>1217</v>
      </c>
      <c r="R27" t="s">
        <v>315</v>
      </c>
      <c r="AA27" s="33" t="s">
        <v>1396</v>
      </c>
      <c r="AB27" s="8">
        <f>ROUND((일위대가_호표!H26+일위대가_호표!H27)*0.5,2)</f>
        <v>1066.5</v>
      </c>
      <c r="AC27" s="33" t="s">
        <v>1559</v>
      </c>
      <c r="AD27" s="7">
        <f>$AB27</f>
        <v>1066.5</v>
      </c>
      <c r="AE27" s="33" t="s">
        <v>213</v>
      </c>
      <c r="AF27" s="8">
        <f>ROUND((일위대가_호표!J26+일위대가_호표!J27)*0.5,2)</f>
        <v>0</v>
      </c>
      <c r="AG27" s="33" t="s">
        <v>762</v>
      </c>
      <c r="AH27" s="7">
        <f>$AF27</f>
        <v>0</v>
      </c>
      <c r="AI27" s="33" t="s">
        <v>615</v>
      </c>
      <c r="AJ27" s="8">
        <f>ROUND((일위대가_호표!L26+일위대가_호표!L27)*0.5,2)</f>
        <v>0</v>
      </c>
      <c r="AK27" s="33" t="s">
        <v>1036</v>
      </c>
      <c r="AL27" s="7">
        <f>$AJ27</f>
        <v>0</v>
      </c>
      <c r="BI27" s="29" t="str">
        <f>HYPERLINK("#자재!A15","MDD0103 →")</f>
        <v>MDD0103 →</v>
      </c>
    </row>
    <row r="28" spans="1:61" ht="18.399999999999999" customHeight="1" x14ac:dyDescent="0.15">
      <c r="A28" s="11" t="s">
        <v>1780</v>
      </c>
      <c r="B28" s="2" t="s">
        <v>1240</v>
      </c>
      <c r="C28" s="2">
        <v>1</v>
      </c>
      <c r="D28" s="2" t="s">
        <v>1201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1850</v>
      </c>
      <c r="N28" t="s">
        <v>1850</v>
      </c>
      <c r="P28" t="s">
        <v>1167</v>
      </c>
      <c r="Q28" t="s">
        <v>1850</v>
      </c>
      <c r="R28" t="s">
        <v>1589</v>
      </c>
      <c r="X28" t="s">
        <v>1345</v>
      </c>
    </row>
    <row r="29" spans="1:61" ht="18.399999999999999" customHeight="1" x14ac:dyDescent="0.15">
      <c r="A29" s="11" t="s">
        <v>394</v>
      </c>
      <c r="B29" s="2" t="s">
        <v>1024</v>
      </c>
      <c r="C29" s="2">
        <v>0.06</v>
      </c>
      <c r="D29" s="2" t="s">
        <v>1735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1850</v>
      </c>
      <c r="N29" t="s">
        <v>1850</v>
      </c>
      <c r="P29" t="s">
        <v>715</v>
      </c>
      <c r="Q29" t="s">
        <v>1850</v>
      </c>
      <c r="R29" t="s">
        <v>373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597</v>
      </c>
      <c r="B30" s="2" t="s">
        <v>1024</v>
      </c>
      <c r="C30" s="2">
        <v>0.02</v>
      </c>
      <c r="D30" s="2" t="s">
        <v>1735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1850</v>
      </c>
      <c r="N30" t="s">
        <v>1850</v>
      </c>
      <c r="P30" t="s">
        <v>207</v>
      </c>
      <c r="Q30" t="s">
        <v>1850</v>
      </c>
      <c r="R30" t="s">
        <v>1563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1413</v>
      </c>
      <c r="B31" s="2" t="s">
        <v>1616</v>
      </c>
      <c r="C31" s="2">
        <v>0.5</v>
      </c>
      <c r="D31" s="2" t="s">
        <v>1134</v>
      </c>
      <c r="E31" s="24">
        <f t="shared" si="1"/>
        <v>16976</v>
      </c>
      <c r="F31" s="24">
        <f t="shared" si="0"/>
        <v>8488</v>
      </c>
      <c r="G31" s="24">
        <f>일위대가목록!F57</f>
        <v>1006</v>
      </c>
      <c r="H31" s="24">
        <f>TRUNC(G31*C31,0)</f>
        <v>503</v>
      </c>
      <c r="I31" s="24">
        <f>일위대가목록!G57</f>
        <v>15292</v>
      </c>
      <c r="J31" s="24">
        <f>TRUNC(I31*C31,0)</f>
        <v>7646</v>
      </c>
      <c r="K31" s="24">
        <f>일위대가목록!H57</f>
        <v>678</v>
      </c>
      <c r="L31" s="24">
        <f>TRUNC(K31*C31,0)</f>
        <v>339</v>
      </c>
      <c r="M31" s="18" t="s">
        <v>1714</v>
      </c>
      <c r="N31" t="s">
        <v>1850</v>
      </c>
      <c r="P31" t="s">
        <v>1598</v>
      </c>
      <c r="Q31" t="s">
        <v>1850</v>
      </c>
      <c r="R31" t="s">
        <v>792</v>
      </c>
      <c r="T31" t="s">
        <v>1190</v>
      </c>
      <c r="AA31" s="33" t="s">
        <v>1396</v>
      </c>
      <c r="AB31" s="8">
        <f>ROUND((일위대가_호표!H29+일위대가_호표!H30+일위대가_호표!H31)*0.7,2)</f>
        <v>352.1</v>
      </c>
      <c r="AC31" s="33" t="s">
        <v>1559</v>
      </c>
      <c r="AD31" s="7">
        <f>$AB31</f>
        <v>352.1</v>
      </c>
      <c r="AE31" s="33" t="s">
        <v>213</v>
      </c>
      <c r="AF31" s="8">
        <f>ROUND((일위대가_호표!J29+일위대가_호표!J30+일위대가_호표!J31)*0.7,2)</f>
        <v>17880.099999999999</v>
      </c>
      <c r="AG31" s="33" t="s">
        <v>762</v>
      </c>
      <c r="AH31" s="7">
        <f>$AF31</f>
        <v>17880.099999999999</v>
      </c>
      <c r="AI31" s="33" t="s">
        <v>615</v>
      </c>
      <c r="AJ31" s="8">
        <f>ROUND((일위대가_호표!L29+일위대가_호표!L30+일위대가_호표!L31)*0.7,2)</f>
        <v>237.3</v>
      </c>
      <c r="AK31" s="33" t="s">
        <v>1036</v>
      </c>
      <c r="AL31" s="7">
        <f>$AJ31</f>
        <v>237.3</v>
      </c>
      <c r="BI31" s="29" t="str">
        <f>HYPERLINK("#일위대가목록!A57","HDD1572 →")</f>
        <v>HDD1572 →</v>
      </c>
    </row>
    <row r="32" spans="1:61" ht="18.399999999999999" customHeight="1" x14ac:dyDescent="0.15">
      <c r="A32" s="11" t="s">
        <v>735</v>
      </c>
      <c r="B32" s="2" t="s">
        <v>997</v>
      </c>
      <c r="C32" s="2">
        <v>1</v>
      </c>
      <c r="D32" s="2" t="s">
        <v>1201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1850</v>
      </c>
      <c r="N32" t="s">
        <v>1850</v>
      </c>
      <c r="P32" t="s">
        <v>1137</v>
      </c>
      <c r="Q32" t="s">
        <v>1850</v>
      </c>
      <c r="R32" t="s">
        <v>1589</v>
      </c>
      <c r="X32" t="s">
        <v>996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1745</v>
      </c>
      <c r="B34" s="2" t="s">
        <v>667</v>
      </c>
      <c r="C34" s="2">
        <v>1</v>
      </c>
      <c r="D34" s="2" t="s">
        <v>1393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1542</v>
      </c>
      <c r="N34" t="s">
        <v>1850</v>
      </c>
      <c r="O34" t="s">
        <v>138</v>
      </c>
    </row>
    <row r="35" spans="1:61" ht="18.399999999999999" customHeight="1" x14ac:dyDescent="0.15">
      <c r="A35" s="11" t="s">
        <v>1299</v>
      </c>
      <c r="B35" s="2" t="s">
        <v>17</v>
      </c>
      <c r="C35" s="2">
        <v>2.52E-2</v>
      </c>
      <c r="D35" s="2" t="s">
        <v>1372</v>
      </c>
      <c r="E35" s="24">
        <f>G35+I35+K35</f>
        <v>616467</v>
      </c>
      <c r="F35" s="24">
        <f t="shared" si="2"/>
        <v>15534</v>
      </c>
      <c r="G35" s="24">
        <f>자재!D17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1850</v>
      </c>
      <c r="N35" t="s">
        <v>1850</v>
      </c>
      <c r="P35" t="s">
        <v>239</v>
      </c>
      <c r="Q35" t="s">
        <v>1850</v>
      </c>
      <c r="R35" t="s">
        <v>385</v>
      </c>
      <c r="BI35" s="29" t="str">
        <f>HYPERLINK("#자재!A17","MDD0107 →")</f>
        <v>MDD0107 →</v>
      </c>
    </row>
    <row r="36" spans="1:61" ht="18.399999999999999" customHeight="1" x14ac:dyDescent="0.15">
      <c r="A36" s="11" t="s">
        <v>54</v>
      </c>
      <c r="B36" s="2" t="s">
        <v>1752</v>
      </c>
      <c r="C36" s="2">
        <v>0.13100000000000001</v>
      </c>
      <c r="D36" s="2" t="s">
        <v>1735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1850</v>
      </c>
      <c r="N36" t="s">
        <v>1850</v>
      </c>
      <c r="P36" t="s">
        <v>1619</v>
      </c>
      <c r="Q36" t="s">
        <v>1850</v>
      </c>
      <c r="R36" t="s">
        <v>708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597</v>
      </c>
      <c r="B37" s="2" t="s">
        <v>1751</v>
      </c>
      <c r="C37" s="2">
        <v>6.8000000000000005E-2</v>
      </c>
      <c r="D37" s="2" t="s">
        <v>1735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1850</v>
      </c>
      <c r="N37" t="s">
        <v>1850</v>
      </c>
      <c r="P37" t="s">
        <v>1167</v>
      </c>
      <c r="Q37" t="s">
        <v>1850</v>
      </c>
      <c r="R37" t="s">
        <v>1563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12</v>
      </c>
      <c r="B38" s="2" t="s">
        <v>837</v>
      </c>
      <c r="C38" s="2">
        <v>0.34599999999999997</v>
      </c>
      <c r="D38" s="2" t="s">
        <v>1570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1850</v>
      </c>
      <c r="N38" t="s">
        <v>1850</v>
      </c>
      <c r="P38" t="s">
        <v>715</v>
      </c>
      <c r="Q38" t="s">
        <v>1850</v>
      </c>
      <c r="R38" t="s">
        <v>452</v>
      </c>
      <c r="AA38" s="33" t="s">
        <v>1396</v>
      </c>
      <c r="AB38" s="8">
        <f>(일위대가_호표!J36+일위대가_호표!J37)*0.03</f>
        <v>1418.37</v>
      </c>
      <c r="AC38" s="33" t="s">
        <v>1559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1844</v>
      </c>
      <c r="B39" s="2" t="s">
        <v>644</v>
      </c>
      <c r="C39" s="2">
        <v>1</v>
      </c>
      <c r="D39" s="2" t="s">
        <v>1529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1850</v>
      </c>
      <c r="N39" t="s">
        <v>1850</v>
      </c>
      <c r="P39" t="s">
        <v>207</v>
      </c>
      <c r="Q39" t="s">
        <v>1850</v>
      </c>
      <c r="R39" t="s">
        <v>1589</v>
      </c>
      <c r="X39" t="s">
        <v>307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405</v>
      </c>
      <c r="B41" s="2" t="s">
        <v>1376</v>
      </c>
      <c r="C41" s="2">
        <v>1</v>
      </c>
      <c r="D41" s="2" t="s">
        <v>1133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1850</v>
      </c>
      <c r="N41" t="s">
        <v>1850</v>
      </c>
      <c r="O41" t="s">
        <v>1706</v>
      </c>
    </row>
    <row r="42" spans="1:61" ht="18.399999999999999" customHeight="1" x14ac:dyDescent="0.15">
      <c r="A42" s="11" t="s">
        <v>969</v>
      </c>
      <c r="B42" s="2" t="s">
        <v>651</v>
      </c>
      <c r="C42" s="2">
        <v>0.15</v>
      </c>
      <c r="D42" s="2" t="s">
        <v>1133</v>
      </c>
      <c r="E42" s="24">
        <f>G42+I42+K42</f>
        <v>1240</v>
      </c>
      <c r="F42" s="24">
        <f>H42+J42+L42</f>
        <v>186</v>
      </c>
      <c r="G42" s="24">
        <f>자재!D14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1850</v>
      </c>
      <c r="N42" t="s">
        <v>1850</v>
      </c>
      <c r="P42" t="s">
        <v>239</v>
      </c>
      <c r="Q42" t="s">
        <v>1850</v>
      </c>
      <c r="R42" t="s">
        <v>601</v>
      </c>
      <c r="BI42" s="29" t="str">
        <f>HYPERLINK("#자재!A14","MDD0097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327</v>
      </c>
      <c r="B44" s="2" t="s">
        <v>1499</v>
      </c>
      <c r="C44" s="2">
        <v>1</v>
      </c>
      <c r="D44" s="2" t="s">
        <v>1201</v>
      </c>
      <c r="F44" s="24">
        <f>H44+J44+L44</f>
        <v>35745</v>
      </c>
      <c r="H44" s="24">
        <f>TRUNC(H45+H46,0)</f>
        <v>0</v>
      </c>
      <c r="J44" s="24">
        <f>TRUNC(J45+J46,0)</f>
        <v>34043</v>
      </c>
      <c r="L44" s="24">
        <f>TRUNC(L45+L46,0)</f>
        <v>1702</v>
      </c>
      <c r="M44" s="18" t="s">
        <v>1116</v>
      </c>
      <c r="N44" t="s">
        <v>1850</v>
      </c>
      <c r="O44" t="s">
        <v>946</v>
      </c>
    </row>
    <row r="45" spans="1:61" ht="18.399999999999999" customHeight="1" x14ac:dyDescent="0.15">
      <c r="A45" s="11" t="s">
        <v>881</v>
      </c>
      <c r="B45" s="2" t="s">
        <v>1024</v>
      </c>
      <c r="C45" s="2">
        <v>0.14000000000000001</v>
      </c>
      <c r="D45" s="2" t="s">
        <v>1735</v>
      </c>
      <c r="E45" s="24">
        <f>G45+I45+K45</f>
        <v>243168</v>
      </c>
      <c r="F45" s="24">
        <f>H45+J45+L45</f>
        <v>34043</v>
      </c>
      <c r="G45" s="24">
        <v>0</v>
      </c>
      <c r="H45" s="24"/>
      <c r="I45" s="24">
        <f>노임!D11</f>
        <v>243168</v>
      </c>
      <c r="J45" s="24">
        <f>TRUNC(I45*C45,0)</f>
        <v>34043</v>
      </c>
      <c r="K45" s="24">
        <v>0</v>
      </c>
      <c r="L45" s="24"/>
      <c r="M45" s="18" t="s">
        <v>1850</v>
      </c>
      <c r="N45" t="s">
        <v>1850</v>
      </c>
      <c r="P45" t="s">
        <v>239</v>
      </c>
      <c r="Q45" t="s">
        <v>1850</v>
      </c>
      <c r="R45" t="s">
        <v>1823</v>
      </c>
      <c r="AA45" s="33" t="s">
        <v>615</v>
      </c>
      <c r="AB45" s="8">
        <f>일위대가_호표!J45*0.05</f>
        <v>1702.15</v>
      </c>
      <c r="AC45" s="33" t="s">
        <v>1036</v>
      </c>
      <c r="AD45" s="7">
        <f>$AB45</f>
        <v>1702.15</v>
      </c>
      <c r="BI45" s="29" t="str">
        <f>HYPERLINK("#노임!A11","L001010101000040 →")</f>
        <v>L001010101000040 →</v>
      </c>
    </row>
    <row r="46" spans="1:61" ht="18.399999999999999" customHeight="1" x14ac:dyDescent="0.15">
      <c r="A46" s="11" t="s">
        <v>827</v>
      </c>
      <c r="B46" s="2" t="s">
        <v>559</v>
      </c>
      <c r="C46" s="2">
        <v>1</v>
      </c>
      <c r="D46" s="2" t="s">
        <v>1529</v>
      </c>
      <c r="E46" s="24">
        <f>G46+I46+K46</f>
        <v>0</v>
      </c>
      <c r="F46" s="24">
        <f>H46+J46+L46</f>
        <v>1702</v>
      </c>
      <c r="G46" s="1"/>
      <c r="H46" s="24">
        <v>0</v>
      </c>
      <c r="I46" s="1"/>
      <c r="J46" s="24">
        <v>0</v>
      </c>
      <c r="K46" s="1"/>
      <c r="L46" s="24">
        <f>TRUNC((J45*0.05),0)</f>
        <v>1702</v>
      </c>
      <c r="M46" s="18" t="s">
        <v>1850</v>
      </c>
      <c r="N46" t="s">
        <v>1850</v>
      </c>
      <c r="P46" t="s">
        <v>1619</v>
      </c>
      <c r="Q46" t="s">
        <v>1850</v>
      </c>
      <c r="R46" t="s">
        <v>1589</v>
      </c>
      <c r="X46" t="s">
        <v>1726</v>
      </c>
    </row>
    <row r="47" spans="1:61" ht="18.399999999999999" customHeight="1" x14ac:dyDescent="0.15">
      <c r="A47" s="4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6"/>
    </row>
    <row r="48" spans="1:61" ht="18.399999999999999" customHeight="1" x14ac:dyDescent="0.15">
      <c r="A48" s="11" t="s">
        <v>1840</v>
      </c>
      <c r="B48" s="2" t="s">
        <v>1499</v>
      </c>
      <c r="C48" s="2">
        <v>1</v>
      </c>
      <c r="D48" s="2" t="s">
        <v>1201</v>
      </c>
      <c r="F48" s="24">
        <f>H48+J48+L48</f>
        <v>46651</v>
      </c>
      <c r="H48" s="24">
        <f>TRUNC(H52,0)</f>
        <v>4024</v>
      </c>
      <c r="J48" s="24">
        <f>TRUNC(J52,0)</f>
        <v>37409</v>
      </c>
      <c r="L48" s="24">
        <f>TRUNC(L52,0)</f>
        <v>5218</v>
      </c>
      <c r="M48" s="18" t="s">
        <v>1540</v>
      </c>
      <c r="N48" t="s">
        <v>1850</v>
      </c>
      <c r="O48" t="s">
        <v>568</v>
      </c>
    </row>
    <row r="49" spans="1:61" ht="18.399999999999999" customHeight="1" x14ac:dyDescent="0.15">
      <c r="A49" s="11" t="s">
        <v>881</v>
      </c>
      <c r="B49" s="2" t="s">
        <v>1024</v>
      </c>
      <c r="C49" s="2">
        <v>0.16</v>
      </c>
      <c r="D49" s="2" t="s">
        <v>1735</v>
      </c>
      <c r="E49" s="24">
        <f>G49+I49+K49</f>
        <v>243168</v>
      </c>
      <c r="F49" s="24">
        <f>H49+J49+L49</f>
        <v>38906</v>
      </c>
      <c r="G49" s="24">
        <v>0</v>
      </c>
      <c r="H49" s="24"/>
      <c r="I49" s="24">
        <f>노임!D11</f>
        <v>243168</v>
      </c>
      <c r="J49" s="24">
        <f>TRUNC(I49*C49,0)</f>
        <v>38906</v>
      </c>
      <c r="K49" s="24">
        <v>0</v>
      </c>
      <c r="L49" s="24"/>
      <c r="M49" s="18" t="s">
        <v>1850</v>
      </c>
      <c r="N49" t="s">
        <v>1850</v>
      </c>
      <c r="P49" t="s">
        <v>239</v>
      </c>
      <c r="Q49" t="s">
        <v>1217</v>
      </c>
      <c r="R49" t="s">
        <v>1823</v>
      </c>
      <c r="BI49" s="29" t="str">
        <f>HYPERLINK("#노임!A11","L001010101000040 →")</f>
        <v>L001010101000040 →</v>
      </c>
    </row>
    <row r="50" spans="1:61" ht="18.399999999999999" customHeight="1" x14ac:dyDescent="0.15">
      <c r="A50" s="11" t="s">
        <v>597</v>
      </c>
      <c r="B50" s="2" t="s">
        <v>1024</v>
      </c>
      <c r="C50" s="2">
        <v>0.08</v>
      </c>
      <c r="D50" s="2" t="s">
        <v>1735</v>
      </c>
      <c r="E50" s="24">
        <f>G50+I50+K50</f>
        <v>165545</v>
      </c>
      <c r="F50" s="24">
        <f>H50+J50+L50</f>
        <v>13243</v>
      </c>
      <c r="G50" s="24">
        <v>0</v>
      </c>
      <c r="H50" s="24"/>
      <c r="I50" s="24">
        <f>노임!D4</f>
        <v>165545</v>
      </c>
      <c r="J50" s="24">
        <f>TRUNC(I50*C50,0)</f>
        <v>13243</v>
      </c>
      <c r="K50" s="24">
        <v>0</v>
      </c>
      <c r="L50" s="24"/>
      <c r="M50" s="18" t="s">
        <v>1850</v>
      </c>
      <c r="N50" t="s">
        <v>1850</v>
      </c>
      <c r="P50" t="s">
        <v>1619</v>
      </c>
      <c r="Q50" t="s">
        <v>1217</v>
      </c>
      <c r="R50" t="s">
        <v>1563</v>
      </c>
      <c r="BI50" s="29" t="str">
        <f>HYPERLINK("#노임!A4","L001010101000002 →")</f>
        <v>L001010101000002 →</v>
      </c>
    </row>
    <row r="51" spans="1:61" ht="18.399999999999999" customHeight="1" x14ac:dyDescent="0.15">
      <c r="A51" s="11" t="s">
        <v>1018</v>
      </c>
      <c r="B51" s="2" t="s">
        <v>1352</v>
      </c>
      <c r="C51" s="2">
        <v>0.48</v>
      </c>
      <c r="D51" s="2" t="s">
        <v>1570</v>
      </c>
      <c r="E51" s="24">
        <f>G51+I51+K51</f>
        <v>85742.06</v>
      </c>
      <c r="F51" s="24">
        <f>H51+J51+L51</f>
        <v>41154</v>
      </c>
      <c r="G51" s="24">
        <f>중기사용료목록!E18</f>
        <v>16768.060000000001</v>
      </c>
      <c r="H51" s="24">
        <f>TRUNC(G51*C51,0)</f>
        <v>8048</v>
      </c>
      <c r="I51" s="24">
        <f>중기사용료목록!F18</f>
        <v>47231</v>
      </c>
      <c r="J51" s="24">
        <f>TRUNC(I51*C51,0)</f>
        <v>22670</v>
      </c>
      <c r="K51" s="24">
        <f>중기사용료목록!G18</f>
        <v>21743</v>
      </c>
      <c r="L51" s="24">
        <f>TRUNC(K51*C51,0)</f>
        <v>10436</v>
      </c>
      <c r="M51" s="18" t="s">
        <v>1850</v>
      </c>
      <c r="N51" t="s">
        <v>1850</v>
      </c>
      <c r="P51" t="s">
        <v>1167</v>
      </c>
      <c r="Q51" t="s">
        <v>1217</v>
      </c>
      <c r="R51" t="s">
        <v>665</v>
      </c>
      <c r="AA51" s="33" t="s">
        <v>1396</v>
      </c>
      <c r="AB51" s="8">
        <f>ROUND((일위대가_호표!H49+일위대가_호표!H50+일위대가_호표!H51)*0.5,2)</f>
        <v>4024</v>
      </c>
      <c r="AC51" s="33" t="s">
        <v>1559</v>
      </c>
      <c r="AD51" s="7">
        <f>$AB51</f>
        <v>4024</v>
      </c>
      <c r="AE51" s="33" t="s">
        <v>213</v>
      </c>
      <c r="AF51" s="8">
        <f>ROUND((일위대가_호표!J49+일위대가_호표!J50+일위대가_호표!J51)*0.5,2)</f>
        <v>37409.5</v>
      </c>
      <c r="AG51" s="33" t="s">
        <v>762</v>
      </c>
      <c r="AH51" s="7">
        <f>$AF51</f>
        <v>37409.5</v>
      </c>
      <c r="AI51" s="33" t="s">
        <v>615</v>
      </c>
      <c r="AJ51" s="8">
        <f>ROUND((일위대가_호표!L49+일위대가_호표!L50+일위대가_호표!L51)*0.5,2)</f>
        <v>5218</v>
      </c>
      <c r="AK51" s="33" t="s">
        <v>1036</v>
      </c>
      <c r="AL51" s="7">
        <f>$AJ51</f>
        <v>5218</v>
      </c>
      <c r="BI51" s="29" t="str">
        <f>HYPERLINK("#중기사용료목록!A18","E00002105001000000 →")</f>
        <v>E00002105001000000 →</v>
      </c>
    </row>
    <row r="52" spans="1:61" ht="18.399999999999999" customHeight="1" x14ac:dyDescent="0.15">
      <c r="A52" s="11" t="s">
        <v>735</v>
      </c>
      <c r="B52" s="2" t="s">
        <v>1576</v>
      </c>
      <c r="C52" s="2">
        <v>1</v>
      </c>
      <c r="D52" s="2" t="s">
        <v>135</v>
      </c>
      <c r="E52" s="24">
        <f>G52+I52+K52</f>
        <v>0</v>
      </c>
      <c r="F52" s="24">
        <f>H52+J52+L52</f>
        <v>46651</v>
      </c>
      <c r="G52" s="1"/>
      <c r="H52" s="24">
        <f>TRUNC((ROUND((H49+H50+H51)*0.5,2)),0)</f>
        <v>4024</v>
      </c>
      <c r="I52" s="1"/>
      <c r="J52" s="24">
        <f>TRUNC((ROUND((J49+J50+J51)*0.5,2)),0)</f>
        <v>37409</v>
      </c>
      <c r="K52" s="1"/>
      <c r="L52" s="24">
        <f>TRUNC((ROUND((L49+L50+L51)*0.5,2)),0)</f>
        <v>5218</v>
      </c>
      <c r="M52" s="18" t="s">
        <v>1850</v>
      </c>
      <c r="N52" t="s">
        <v>1850</v>
      </c>
      <c r="P52" t="s">
        <v>715</v>
      </c>
      <c r="Q52" t="s">
        <v>1850</v>
      </c>
      <c r="R52" t="s">
        <v>1589</v>
      </c>
      <c r="X52" t="s">
        <v>1062</v>
      </c>
    </row>
    <row r="53" spans="1:61" ht="18.399999999999999" customHeight="1" x14ac:dyDescent="0.15">
      <c r="A53" s="4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6"/>
    </row>
    <row r="54" spans="1:61" ht="18.399999999999999" customHeight="1" x14ac:dyDescent="0.15">
      <c r="A54" s="11" t="s">
        <v>1548</v>
      </c>
      <c r="B54" s="2" t="s">
        <v>1499</v>
      </c>
      <c r="C54" s="2">
        <v>1</v>
      </c>
      <c r="D54" s="2" t="s">
        <v>1201</v>
      </c>
      <c r="F54" s="24">
        <f>H54+J54+L54</f>
        <v>93303</v>
      </c>
      <c r="H54" s="24">
        <f>TRUNC(H55+H56+H57,0)</f>
        <v>8048</v>
      </c>
      <c r="J54" s="24">
        <f>TRUNC(J55+J56+J57,0)</f>
        <v>74819</v>
      </c>
      <c r="L54" s="24">
        <f>TRUNC(L55+L56+L57,0)</f>
        <v>10436</v>
      </c>
      <c r="M54" s="18" t="s">
        <v>1540</v>
      </c>
      <c r="N54" t="s">
        <v>1850</v>
      </c>
      <c r="O54" t="s">
        <v>1030</v>
      </c>
    </row>
    <row r="55" spans="1:61" ht="18.399999999999999" customHeight="1" x14ac:dyDescent="0.15">
      <c r="A55" s="11" t="s">
        <v>881</v>
      </c>
      <c r="B55" s="2" t="s">
        <v>1024</v>
      </c>
      <c r="C55" s="2">
        <v>0.16</v>
      </c>
      <c r="D55" s="2" t="s">
        <v>1735</v>
      </c>
      <c r="E55" s="24">
        <f>G55+I55+K55</f>
        <v>243168</v>
      </c>
      <c r="F55" s="24">
        <f>H55+J55+L55</f>
        <v>38906</v>
      </c>
      <c r="G55" s="24">
        <v>0</v>
      </c>
      <c r="H55" s="24"/>
      <c r="I55" s="24">
        <f>노임!D11</f>
        <v>243168</v>
      </c>
      <c r="J55" s="24">
        <f>TRUNC(I55*C55,0)</f>
        <v>38906</v>
      </c>
      <c r="K55" s="24">
        <v>0</v>
      </c>
      <c r="L55" s="24"/>
      <c r="M55" s="18" t="s">
        <v>1850</v>
      </c>
      <c r="N55" t="s">
        <v>1850</v>
      </c>
      <c r="P55" t="s">
        <v>239</v>
      </c>
      <c r="Q55" t="s">
        <v>1850</v>
      </c>
      <c r="R55" t="s">
        <v>1823</v>
      </c>
      <c r="BI55" s="29" t="str">
        <f>HYPERLINK("#노임!A11","L001010101000040 →")</f>
        <v>L001010101000040 →</v>
      </c>
    </row>
    <row r="56" spans="1:61" ht="18.399999999999999" customHeight="1" x14ac:dyDescent="0.15">
      <c r="A56" s="11" t="s">
        <v>597</v>
      </c>
      <c r="B56" s="2" t="s">
        <v>1024</v>
      </c>
      <c r="C56" s="2">
        <v>0.08</v>
      </c>
      <c r="D56" s="2" t="s">
        <v>1735</v>
      </c>
      <c r="E56" s="24">
        <f>G56+I56+K56</f>
        <v>165545</v>
      </c>
      <c r="F56" s="24">
        <f>H56+J56+L56</f>
        <v>13243</v>
      </c>
      <c r="G56" s="24">
        <v>0</v>
      </c>
      <c r="H56" s="24"/>
      <c r="I56" s="24">
        <f>노임!D4</f>
        <v>165545</v>
      </c>
      <c r="J56" s="24">
        <f>TRUNC(I56*C56,0)</f>
        <v>13243</v>
      </c>
      <c r="K56" s="24">
        <v>0</v>
      </c>
      <c r="L56" s="24"/>
      <c r="M56" s="18" t="s">
        <v>1850</v>
      </c>
      <c r="N56" t="s">
        <v>1850</v>
      </c>
      <c r="P56" t="s">
        <v>1619</v>
      </c>
      <c r="Q56" t="s">
        <v>1850</v>
      </c>
      <c r="R56" t="s">
        <v>1563</v>
      </c>
      <c r="BI56" s="29" t="str">
        <f>HYPERLINK("#노임!A4","L001010101000002 →")</f>
        <v>L001010101000002 →</v>
      </c>
    </row>
    <row r="57" spans="1:61" ht="18.399999999999999" customHeight="1" x14ac:dyDescent="0.15">
      <c r="A57" s="11" t="s">
        <v>1018</v>
      </c>
      <c r="B57" s="2" t="s">
        <v>1352</v>
      </c>
      <c r="C57" s="2">
        <v>0.48</v>
      </c>
      <c r="D57" s="2" t="s">
        <v>1570</v>
      </c>
      <c r="E57" s="24">
        <f>G57+I57+K57</f>
        <v>85742.06</v>
      </c>
      <c r="F57" s="24">
        <f>H57+J57+L57</f>
        <v>41154</v>
      </c>
      <c r="G57" s="24">
        <f>중기사용료목록!E18</f>
        <v>16768.060000000001</v>
      </c>
      <c r="H57" s="24">
        <f>TRUNC(G57*C57,0)</f>
        <v>8048</v>
      </c>
      <c r="I57" s="24">
        <f>중기사용료목록!F18</f>
        <v>47231</v>
      </c>
      <c r="J57" s="24">
        <f>TRUNC(I57*C57,0)</f>
        <v>22670</v>
      </c>
      <c r="K57" s="24">
        <f>중기사용료목록!G18</f>
        <v>21743</v>
      </c>
      <c r="L57" s="24">
        <f>TRUNC(K57*C57,0)</f>
        <v>10436</v>
      </c>
      <c r="M57" s="18" t="s">
        <v>1850</v>
      </c>
      <c r="N57" t="s">
        <v>1850</v>
      </c>
      <c r="P57" t="s">
        <v>1167</v>
      </c>
      <c r="Q57" t="s">
        <v>1850</v>
      </c>
      <c r="R57" t="s">
        <v>665</v>
      </c>
      <c r="BI57" s="29" t="str">
        <f>HYPERLINK("#중기사용료목록!A18","E00002105001000000 →")</f>
        <v>E00002105001000000 →</v>
      </c>
    </row>
    <row r="58" spans="1:61" ht="18.399999999999999" customHeight="1" x14ac:dyDescent="0.15">
      <c r="A58" s="4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6"/>
    </row>
    <row r="59" spans="1:61" ht="18.399999999999999" customHeight="1" x14ac:dyDescent="0.15">
      <c r="A59" s="11" t="s">
        <v>1539</v>
      </c>
      <c r="B59" s="2" t="s">
        <v>1499</v>
      </c>
      <c r="C59" s="2">
        <v>1</v>
      </c>
      <c r="D59" s="2" t="s">
        <v>1201</v>
      </c>
      <c r="F59" s="24">
        <f>H59+J59+L59</f>
        <v>50712</v>
      </c>
      <c r="H59" s="24">
        <f>TRUNC(H60+H61+H62,0)</f>
        <v>994</v>
      </c>
      <c r="J59" s="24">
        <f>TRUNC(J60+J61+J62,0)</f>
        <v>49718</v>
      </c>
      <c r="L59" s="24">
        <f>TRUNC(L60+L61+L62,0)</f>
        <v>0</v>
      </c>
      <c r="M59" s="18" t="s">
        <v>630</v>
      </c>
      <c r="N59" t="s">
        <v>1850</v>
      </c>
      <c r="O59" t="s">
        <v>935</v>
      </c>
    </row>
    <row r="60" spans="1:61" ht="18.399999999999999" customHeight="1" x14ac:dyDescent="0.15">
      <c r="A60" s="11" t="s">
        <v>881</v>
      </c>
      <c r="B60" s="2" t="s">
        <v>1024</v>
      </c>
      <c r="C60" s="2">
        <v>0.15</v>
      </c>
      <c r="D60" s="2" t="s">
        <v>1735</v>
      </c>
      <c r="E60" s="24">
        <f>G60+I60+K60</f>
        <v>243168</v>
      </c>
      <c r="F60" s="24">
        <f>H60+J60+L60</f>
        <v>36475</v>
      </c>
      <c r="G60" s="24">
        <v>0</v>
      </c>
      <c r="H60" s="24"/>
      <c r="I60" s="24">
        <f>노임!D11</f>
        <v>243168</v>
      </c>
      <c r="J60" s="24">
        <f>TRUNC(I60*C60,0)</f>
        <v>36475</v>
      </c>
      <c r="K60" s="24">
        <v>0</v>
      </c>
      <c r="L60" s="24"/>
      <c r="M60" s="18" t="s">
        <v>1850</v>
      </c>
      <c r="N60" t="s">
        <v>1850</v>
      </c>
      <c r="P60" t="s">
        <v>239</v>
      </c>
      <c r="Q60" t="s">
        <v>1850</v>
      </c>
      <c r="R60" t="s">
        <v>1823</v>
      </c>
      <c r="BI60" s="29" t="str">
        <f>HYPERLINK("#노임!A11","L001010101000040 →")</f>
        <v>L001010101000040 →</v>
      </c>
    </row>
    <row r="61" spans="1:61" ht="18.399999999999999" customHeight="1" x14ac:dyDescent="0.15">
      <c r="A61" s="11" t="s">
        <v>597</v>
      </c>
      <c r="B61" s="2" t="s">
        <v>1024</v>
      </c>
      <c r="C61" s="2">
        <v>0.08</v>
      </c>
      <c r="D61" s="2" t="s">
        <v>1735</v>
      </c>
      <c r="E61" s="24">
        <f>G61+I61+K61</f>
        <v>165545</v>
      </c>
      <c r="F61" s="24">
        <f>H61+J61+L61</f>
        <v>13243</v>
      </c>
      <c r="G61" s="24">
        <v>0</v>
      </c>
      <c r="H61" s="24"/>
      <c r="I61" s="24">
        <f>노임!D4</f>
        <v>165545</v>
      </c>
      <c r="J61" s="24">
        <f>TRUNC(I61*C61,0)</f>
        <v>13243</v>
      </c>
      <c r="K61" s="24">
        <v>0</v>
      </c>
      <c r="L61" s="24"/>
      <c r="M61" s="18" t="s">
        <v>1850</v>
      </c>
      <c r="N61" t="s">
        <v>1850</v>
      </c>
      <c r="P61" t="s">
        <v>1619</v>
      </c>
      <c r="Q61" t="s">
        <v>1850</v>
      </c>
      <c r="R61" t="s">
        <v>1563</v>
      </c>
      <c r="AA61" s="33" t="s">
        <v>1396</v>
      </c>
      <c r="AB61" s="8">
        <f>(일위대가_호표!J60+일위대가_호표!J61)*0.02</f>
        <v>994.36</v>
      </c>
      <c r="AC61" s="33" t="s">
        <v>1559</v>
      </c>
      <c r="AD61" s="7">
        <f>$AB61</f>
        <v>994.36</v>
      </c>
      <c r="BI61" s="29" t="str">
        <f>HYPERLINK("#노임!A4","L001010101000002 →")</f>
        <v>L001010101000002 →</v>
      </c>
    </row>
    <row r="62" spans="1:61" ht="18.399999999999999" customHeight="1" x14ac:dyDescent="0.15">
      <c r="A62" s="11" t="s">
        <v>69</v>
      </c>
      <c r="B62" s="2" t="s">
        <v>1765</v>
      </c>
      <c r="C62" s="2">
        <v>1</v>
      </c>
      <c r="D62" s="2" t="s">
        <v>1529</v>
      </c>
      <c r="E62" s="24">
        <f>G62+I62+K62</f>
        <v>0</v>
      </c>
      <c r="F62" s="24">
        <f>H62+J62+L62</f>
        <v>994</v>
      </c>
      <c r="G62" s="1"/>
      <c r="H62" s="24">
        <f>TRUNC(((J60+J61)*0.02),0)</f>
        <v>994</v>
      </c>
      <c r="I62" s="1"/>
      <c r="J62" s="24">
        <v>0</v>
      </c>
      <c r="K62" s="1"/>
      <c r="L62" s="24">
        <v>0</v>
      </c>
      <c r="M62" s="18" t="s">
        <v>1850</v>
      </c>
      <c r="N62" t="s">
        <v>1850</v>
      </c>
      <c r="P62" t="s">
        <v>1167</v>
      </c>
      <c r="Q62" t="s">
        <v>1850</v>
      </c>
      <c r="R62" t="s">
        <v>1589</v>
      </c>
      <c r="X62" t="s">
        <v>1740</v>
      </c>
    </row>
    <row r="63" spans="1:61" ht="18.399999999999999" customHeight="1" x14ac:dyDescent="0.15">
      <c r="A63" s="4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6"/>
    </row>
    <row r="64" spans="1:61" ht="18.399999999999999" customHeight="1" x14ac:dyDescent="0.15">
      <c r="A64" s="11" t="s">
        <v>1271</v>
      </c>
      <c r="B64" s="2" t="s">
        <v>1499</v>
      </c>
      <c r="C64" s="2">
        <v>1</v>
      </c>
      <c r="D64" s="2" t="s">
        <v>1201</v>
      </c>
      <c r="F64" s="24">
        <f>H64+J64+L64</f>
        <v>46543</v>
      </c>
      <c r="H64" s="24">
        <f>TRUNC(H65+H66+H67,0)</f>
        <v>912</v>
      </c>
      <c r="J64" s="24">
        <f>TRUNC(J65+J66+J67,0)</f>
        <v>45631</v>
      </c>
      <c r="L64" s="24">
        <f>TRUNC(L65+L66+L67,0)</f>
        <v>0</v>
      </c>
      <c r="M64" s="18" t="s">
        <v>386</v>
      </c>
      <c r="N64" t="s">
        <v>1850</v>
      </c>
      <c r="O64" t="s">
        <v>1189</v>
      </c>
    </row>
    <row r="65" spans="1:61" ht="18.399999999999999" customHeight="1" x14ac:dyDescent="0.15">
      <c r="A65" s="11" t="s">
        <v>881</v>
      </c>
      <c r="B65" s="2" t="s">
        <v>1024</v>
      </c>
      <c r="C65" s="2">
        <v>0.14000000000000001</v>
      </c>
      <c r="D65" s="2" t="s">
        <v>1735</v>
      </c>
      <c r="E65" s="24">
        <f>G65+I65+K65</f>
        <v>243168</v>
      </c>
      <c r="F65" s="24">
        <f>H65+J65+L65</f>
        <v>34043</v>
      </c>
      <c r="G65" s="24">
        <v>0</v>
      </c>
      <c r="H65" s="24"/>
      <c r="I65" s="24">
        <f>노임!D11</f>
        <v>243168</v>
      </c>
      <c r="J65" s="24">
        <f>TRUNC(I65*C65,0)</f>
        <v>34043</v>
      </c>
      <c r="K65" s="24">
        <v>0</v>
      </c>
      <c r="L65" s="24"/>
      <c r="M65" s="18" t="s">
        <v>1850</v>
      </c>
      <c r="N65" t="s">
        <v>1850</v>
      </c>
      <c r="P65" t="s">
        <v>239</v>
      </c>
      <c r="Q65" t="s">
        <v>1850</v>
      </c>
      <c r="R65" t="s">
        <v>1823</v>
      </c>
      <c r="BI65" s="29" t="str">
        <f>HYPERLINK("#노임!A11","L001010101000040 →")</f>
        <v>L001010101000040 →</v>
      </c>
    </row>
    <row r="66" spans="1:61" ht="18.399999999999999" customHeight="1" x14ac:dyDescent="0.15">
      <c r="A66" s="11" t="s">
        <v>597</v>
      </c>
      <c r="B66" s="2" t="s">
        <v>1024</v>
      </c>
      <c r="C66" s="2">
        <v>7.0000000000000007E-2</v>
      </c>
      <c r="D66" s="2" t="s">
        <v>1735</v>
      </c>
      <c r="E66" s="24">
        <f>G66+I66+K66</f>
        <v>165545</v>
      </c>
      <c r="F66" s="24">
        <f>H66+J66+L66</f>
        <v>11588</v>
      </c>
      <c r="G66" s="24">
        <v>0</v>
      </c>
      <c r="H66" s="24"/>
      <c r="I66" s="24">
        <f>노임!D4</f>
        <v>165545</v>
      </c>
      <c r="J66" s="24">
        <f>TRUNC(I66*C66,0)</f>
        <v>11588</v>
      </c>
      <c r="K66" s="24">
        <v>0</v>
      </c>
      <c r="L66" s="24"/>
      <c r="M66" s="18" t="s">
        <v>1850</v>
      </c>
      <c r="N66" t="s">
        <v>1850</v>
      </c>
      <c r="P66" t="s">
        <v>1619</v>
      </c>
      <c r="Q66" t="s">
        <v>1850</v>
      </c>
      <c r="R66" t="s">
        <v>1563</v>
      </c>
      <c r="AA66" s="33" t="s">
        <v>1396</v>
      </c>
      <c r="AB66" s="8">
        <f>(일위대가_호표!J65+일위대가_호표!J66)*0.02</f>
        <v>912.62</v>
      </c>
      <c r="AC66" s="33" t="s">
        <v>1559</v>
      </c>
      <c r="AD66" s="7">
        <f>$AB66</f>
        <v>912.62</v>
      </c>
      <c r="BI66" s="29" t="str">
        <f>HYPERLINK("#노임!A4","L001010101000002 →")</f>
        <v>L001010101000002 →</v>
      </c>
    </row>
    <row r="67" spans="1:61" ht="18.399999999999999" customHeight="1" x14ac:dyDescent="0.15">
      <c r="A67" s="11" t="s">
        <v>69</v>
      </c>
      <c r="B67" s="2" t="s">
        <v>1765</v>
      </c>
      <c r="C67" s="2">
        <v>1</v>
      </c>
      <c r="D67" s="2" t="s">
        <v>1529</v>
      </c>
      <c r="E67" s="24">
        <f>G67+I67+K67</f>
        <v>0</v>
      </c>
      <c r="F67" s="24">
        <f>H67+J67+L67</f>
        <v>912</v>
      </c>
      <c r="G67" s="1"/>
      <c r="H67" s="24">
        <f>TRUNC(((J65+J66)*0.02),0)</f>
        <v>912</v>
      </c>
      <c r="I67" s="1"/>
      <c r="J67" s="24">
        <v>0</v>
      </c>
      <c r="K67" s="1"/>
      <c r="L67" s="24">
        <v>0</v>
      </c>
      <c r="M67" s="18" t="s">
        <v>1850</v>
      </c>
      <c r="N67" t="s">
        <v>1850</v>
      </c>
      <c r="P67" t="s">
        <v>1167</v>
      </c>
      <c r="Q67" t="s">
        <v>1850</v>
      </c>
      <c r="R67" t="s">
        <v>1589</v>
      </c>
      <c r="X67" t="s">
        <v>1740</v>
      </c>
    </row>
    <row r="68" spans="1:61" ht="18.399999999999999" customHeight="1" x14ac:dyDescent="0.15">
      <c r="A68" s="4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6"/>
    </row>
    <row r="69" spans="1:61" ht="18.399999999999999" customHeight="1" x14ac:dyDescent="0.15">
      <c r="A69" s="11" t="s">
        <v>1652</v>
      </c>
      <c r="B69" s="2" t="s">
        <v>966</v>
      </c>
      <c r="C69" s="2">
        <v>1</v>
      </c>
      <c r="D69" s="2" t="s">
        <v>1134</v>
      </c>
      <c r="F69" s="24">
        <f>H69+J69+L69</f>
        <v>4884</v>
      </c>
      <c r="H69" s="24">
        <f>TRUNC(H70+H71,0)</f>
        <v>255</v>
      </c>
      <c r="J69" s="24">
        <f>TRUNC(J70+J71,0)</f>
        <v>3858</v>
      </c>
      <c r="L69" s="24">
        <f>TRUNC(L70+L71,0)</f>
        <v>771</v>
      </c>
      <c r="M69" s="18" t="s">
        <v>1850</v>
      </c>
      <c r="N69" t="s">
        <v>1850</v>
      </c>
      <c r="O69" t="s">
        <v>380</v>
      </c>
    </row>
    <row r="70" spans="1:61" ht="18.399999999999999" customHeight="1" x14ac:dyDescent="0.15">
      <c r="A70" s="11" t="s">
        <v>86</v>
      </c>
      <c r="B70" s="2" t="s">
        <v>966</v>
      </c>
      <c r="C70" s="2">
        <v>1</v>
      </c>
      <c r="D70" s="2" t="s">
        <v>1134</v>
      </c>
      <c r="E70" s="24">
        <f>G70+I70+K70</f>
        <v>3979</v>
      </c>
      <c r="F70" s="24">
        <f>H70+J70+L70</f>
        <v>3979</v>
      </c>
      <c r="G70" s="24">
        <f>일위대가목록!F60</f>
        <v>242</v>
      </c>
      <c r="H70" s="24">
        <f>TRUNC(G70*C70,0)</f>
        <v>242</v>
      </c>
      <c r="I70" s="24">
        <f>일위대가목록!G60</f>
        <v>3012</v>
      </c>
      <c r="J70" s="24">
        <f>TRUNC(I70*C70,0)</f>
        <v>3012</v>
      </c>
      <c r="K70" s="24">
        <f>일위대가목록!H60</f>
        <v>725</v>
      </c>
      <c r="L70" s="24">
        <f>TRUNC(K70*C70,0)</f>
        <v>725</v>
      </c>
      <c r="M70" s="18" t="s">
        <v>218</v>
      </c>
      <c r="N70" t="s">
        <v>1850</v>
      </c>
      <c r="P70" t="s">
        <v>239</v>
      </c>
      <c r="Q70" t="s">
        <v>1850</v>
      </c>
      <c r="R70" t="s">
        <v>360</v>
      </c>
      <c r="T70" t="s">
        <v>1190</v>
      </c>
      <c r="BI70" s="29" t="str">
        <f>HYPERLINK("#일위대가목록!A60","HDD0002 →")</f>
        <v>HDD0002 →</v>
      </c>
    </row>
    <row r="71" spans="1:61" ht="18.399999999999999" customHeight="1" x14ac:dyDescent="0.15">
      <c r="A71" s="11" t="s">
        <v>928</v>
      </c>
      <c r="B71" s="2" t="s">
        <v>966</v>
      </c>
      <c r="C71" s="2">
        <v>1</v>
      </c>
      <c r="D71" s="2" t="s">
        <v>1134</v>
      </c>
      <c r="E71" s="24">
        <f>G71+I71+K71</f>
        <v>905</v>
      </c>
      <c r="F71" s="24">
        <f>H71+J71+L71</f>
        <v>905</v>
      </c>
      <c r="G71" s="24">
        <f>일위대가목록!F61</f>
        <v>13</v>
      </c>
      <c r="H71" s="24">
        <f>TRUNC(G71*C71,0)</f>
        <v>13</v>
      </c>
      <c r="I71" s="24">
        <f>일위대가목록!G61</f>
        <v>846</v>
      </c>
      <c r="J71" s="24">
        <f>TRUNC(I71*C71,0)</f>
        <v>846</v>
      </c>
      <c r="K71" s="24">
        <f>일위대가목록!H61</f>
        <v>46</v>
      </c>
      <c r="L71" s="24">
        <f>TRUNC(K71*C71,0)</f>
        <v>46</v>
      </c>
      <c r="M71" s="18" t="s">
        <v>1850</v>
      </c>
      <c r="N71" t="s">
        <v>1850</v>
      </c>
      <c r="P71" t="s">
        <v>1619</v>
      </c>
      <c r="Q71" t="s">
        <v>1850</v>
      </c>
      <c r="R71" t="s">
        <v>424</v>
      </c>
      <c r="T71" t="s">
        <v>1190</v>
      </c>
      <c r="BI71" s="29" t="str">
        <f>HYPERLINK("#일위대가목록!A61","HDD0006 →")</f>
        <v>HDD0006 →</v>
      </c>
    </row>
    <row r="72" spans="1:61" ht="18.399999999999999" customHeight="1" x14ac:dyDescent="0.15">
      <c r="A72" s="4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6"/>
    </row>
    <row r="73" spans="1:61" ht="18.399999999999999" customHeight="1" x14ac:dyDescent="0.15">
      <c r="A73" s="11" t="s">
        <v>1226</v>
      </c>
      <c r="B73" s="2" t="s">
        <v>1038</v>
      </c>
      <c r="C73" s="2">
        <v>1</v>
      </c>
      <c r="D73" s="2" t="s">
        <v>1134</v>
      </c>
      <c r="F73" s="24">
        <f>H73+J73+L73</f>
        <v>2992</v>
      </c>
      <c r="H73" s="24">
        <f>TRUNC(H74+H75,0)</f>
        <v>156</v>
      </c>
      <c r="J73" s="24">
        <f>TRUNC(J74+J75,0)</f>
        <v>2364</v>
      </c>
      <c r="L73" s="24">
        <f>TRUNC(L74+L75,0)</f>
        <v>472</v>
      </c>
      <c r="M73" s="18" t="s">
        <v>1850</v>
      </c>
      <c r="N73" t="s">
        <v>1850</v>
      </c>
      <c r="O73" t="s">
        <v>1200</v>
      </c>
    </row>
    <row r="74" spans="1:61" ht="18.399999999999999" customHeight="1" x14ac:dyDescent="0.15">
      <c r="A74" s="11" t="s">
        <v>86</v>
      </c>
      <c r="B74" s="2" t="s">
        <v>1038</v>
      </c>
      <c r="C74" s="2">
        <v>1</v>
      </c>
      <c r="D74" s="2" t="s">
        <v>1134</v>
      </c>
      <c r="E74" s="24">
        <f>G74+I74+K74</f>
        <v>2438</v>
      </c>
      <c r="F74" s="24">
        <f>H74+J74+L74</f>
        <v>2438</v>
      </c>
      <c r="G74" s="24">
        <f>일위대가목록!F62</f>
        <v>148</v>
      </c>
      <c r="H74" s="24">
        <f>TRUNC(G74*C74,0)</f>
        <v>148</v>
      </c>
      <c r="I74" s="24">
        <f>일위대가목록!G62</f>
        <v>1846</v>
      </c>
      <c r="J74" s="24">
        <f>TRUNC(I74*C74,0)</f>
        <v>1846</v>
      </c>
      <c r="K74" s="24">
        <f>일위대가목록!H62</f>
        <v>444</v>
      </c>
      <c r="L74" s="24">
        <f>TRUNC(K74*C74,0)</f>
        <v>444</v>
      </c>
      <c r="M74" s="18" t="s">
        <v>218</v>
      </c>
      <c r="N74" t="s">
        <v>1850</v>
      </c>
      <c r="P74" t="s">
        <v>239</v>
      </c>
      <c r="Q74" t="s">
        <v>1850</v>
      </c>
      <c r="R74" t="s">
        <v>1114</v>
      </c>
      <c r="T74" t="s">
        <v>1190</v>
      </c>
      <c r="BI74" s="29" t="str">
        <f>HYPERLINK("#일위대가목록!A62","HDD0001 →")</f>
        <v>HDD0001 →</v>
      </c>
    </row>
    <row r="75" spans="1:61" ht="18.399999999999999" customHeight="1" x14ac:dyDescent="0.15">
      <c r="A75" s="11" t="s">
        <v>928</v>
      </c>
      <c r="B75" s="2" t="s">
        <v>1038</v>
      </c>
      <c r="C75" s="2">
        <v>1</v>
      </c>
      <c r="D75" s="2" t="s">
        <v>1134</v>
      </c>
      <c r="E75" s="24">
        <f>G75+I75+K75</f>
        <v>554</v>
      </c>
      <c r="F75" s="24">
        <f>H75+J75+L75</f>
        <v>554</v>
      </c>
      <c r="G75" s="24">
        <f>일위대가목록!F63</f>
        <v>8</v>
      </c>
      <c r="H75" s="24">
        <f>TRUNC(G75*C75,0)</f>
        <v>8</v>
      </c>
      <c r="I75" s="24">
        <f>일위대가목록!G63</f>
        <v>518</v>
      </c>
      <c r="J75" s="24">
        <f>TRUNC(I75*C75,0)</f>
        <v>518</v>
      </c>
      <c r="K75" s="24">
        <f>일위대가목록!H63</f>
        <v>28</v>
      </c>
      <c r="L75" s="24">
        <f>TRUNC(K75*C75,0)</f>
        <v>28</v>
      </c>
      <c r="M75" s="18" t="s">
        <v>1850</v>
      </c>
      <c r="N75" t="s">
        <v>1850</v>
      </c>
      <c r="P75" t="s">
        <v>1619</v>
      </c>
      <c r="Q75" t="s">
        <v>1850</v>
      </c>
      <c r="R75" t="s">
        <v>1061</v>
      </c>
      <c r="T75" t="s">
        <v>1190</v>
      </c>
      <c r="BI75" s="29" t="str">
        <f>HYPERLINK("#일위대가목록!A63","HDD0005 →")</f>
        <v>HDD0005 →</v>
      </c>
    </row>
    <row r="76" spans="1:61" ht="18.399999999999999" customHeight="1" x14ac:dyDescent="0.15">
      <c r="A76" s="4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6"/>
    </row>
    <row r="77" spans="1:61" ht="18.399999999999999" customHeight="1" x14ac:dyDescent="0.15">
      <c r="A77" s="11" t="s">
        <v>47</v>
      </c>
      <c r="B77" s="2" t="s">
        <v>1848</v>
      </c>
      <c r="C77" s="2">
        <v>1</v>
      </c>
      <c r="D77" s="2" t="s">
        <v>1134</v>
      </c>
      <c r="F77" s="24">
        <f t="shared" ref="F77:F89" si="3">H77+J77+L77</f>
        <v>33220</v>
      </c>
      <c r="H77" s="24">
        <f>TRUNC(H78+H79+H80+H81+H82+H83+H84+H85+H86+H87+H88+H89,0)</f>
        <v>4021</v>
      </c>
      <c r="J77" s="24">
        <f>TRUNC(J78+J79+J80+J81+J82+J83+J84+J85+J86+J87+J88+J89,0)</f>
        <v>23158</v>
      </c>
      <c r="L77" s="24">
        <f>TRUNC(L78+L79+L80+L81+L82+L83+L84+L85+L86+L87+L88+L89,0)</f>
        <v>6041</v>
      </c>
      <c r="M77" s="18" t="s">
        <v>447</v>
      </c>
      <c r="N77" t="s">
        <v>1850</v>
      </c>
      <c r="O77" t="s">
        <v>839</v>
      </c>
    </row>
    <row r="78" spans="1:61" ht="18.399999999999999" customHeight="1" x14ac:dyDescent="0.15">
      <c r="A78" s="11" t="s">
        <v>538</v>
      </c>
      <c r="B78" s="2" t="s">
        <v>1277</v>
      </c>
      <c r="C78" s="2">
        <v>0.01</v>
      </c>
      <c r="D78" s="2" t="s">
        <v>1735</v>
      </c>
      <c r="E78" s="24">
        <f t="shared" ref="E78:E89" si="4">G78+I78+K78</f>
        <v>213496</v>
      </c>
      <c r="F78" s="24">
        <f t="shared" si="3"/>
        <v>2134</v>
      </c>
      <c r="G78" s="24">
        <v>0</v>
      </c>
      <c r="H78" s="24"/>
      <c r="I78" s="24">
        <f>노임!D14</f>
        <v>213496</v>
      </c>
      <c r="J78" s="24">
        <f t="shared" ref="J78:J88" si="5">TRUNC(I78*C78,0)</f>
        <v>2134</v>
      </c>
      <c r="K78" s="24">
        <v>0</v>
      </c>
      <c r="L78" s="24"/>
      <c r="M78" s="18" t="s">
        <v>1850</v>
      </c>
      <c r="N78" t="s">
        <v>1850</v>
      </c>
      <c r="P78" t="s">
        <v>239</v>
      </c>
      <c r="Q78" t="s">
        <v>1850</v>
      </c>
      <c r="R78" t="s">
        <v>643</v>
      </c>
      <c r="BI78" s="29" t="str">
        <f>HYPERLINK("#노임!A14","L001020701000029 →")</f>
        <v>L001020701000029 →</v>
      </c>
    </row>
    <row r="79" spans="1:61" ht="18.399999999999999" customHeight="1" x14ac:dyDescent="0.15">
      <c r="A79" s="11" t="s">
        <v>628</v>
      </c>
      <c r="B79" s="2" t="s">
        <v>1024</v>
      </c>
      <c r="C79" s="2">
        <v>0.03</v>
      </c>
      <c r="D79" s="2" t="s">
        <v>1735</v>
      </c>
      <c r="E79" s="24">
        <f t="shared" si="4"/>
        <v>214222</v>
      </c>
      <c r="F79" s="24">
        <f t="shared" si="3"/>
        <v>6426</v>
      </c>
      <c r="G79" s="24">
        <v>0</v>
      </c>
      <c r="H79" s="24"/>
      <c r="I79" s="24">
        <f>노임!D5</f>
        <v>214222</v>
      </c>
      <c r="J79" s="24">
        <f t="shared" si="5"/>
        <v>6426</v>
      </c>
      <c r="K79" s="24">
        <v>0</v>
      </c>
      <c r="L79" s="24"/>
      <c r="M79" s="18" t="s">
        <v>1850</v>
      </c>
      <c r="N79" t="s">
        <v>1850</v>
      </c>
      <c r="P79" t="s">
        <v>1619</v>
      </c>
      <c r="Q79" t="s">
        <v>1850</v>
      </c>
      <c r="R79" t="s">
        <v>511</v>
      </c>
      <c r="BI79" s="29" t="str">
        <f>HYPERLINK("#노임!A5","L001010101000003 →")</f>
        <v>L001010101000003 →</v>
      </c>
    </row>
    <row r="80" spans="1:61" ht="18.399999999999999" customHeight="1" x14ac:dyDescent="0.15">
      <c r="A80" s="11" t="s">
        <v>597</v>
      </c>
      <c r="B80" s="2" t="s">
        <v>1024</v>
      </c>
      <c r="C80" s="2">
        <v>0.05</v>
      </c>
      <c r="D80" s="2" t="s">
        <v>1735</v>
      </c>
      <c r="E80" s="24">
        <f t="shared" si="4"/>
        <v>165545</v>
      </c>
      <c r="F80" s="24">
        <f t="shared" si="3"/>
        <v>8277</v>
      </c>
      <c r="G80" s="24">
        <v>0</v>
      </c>
      <c r="H80" s="24"/>
      <c r="I80" s="24">
        <f>노임!D4</f>
        <v>165545</v>
      </c>
      <c r="J80" s="24">
        <f t="shared" si="5"/>
        <v>8277</v>
      </c>
      <c r="K80" s="24">
        <v>0</v>
      </c>
      <c r="L80" s="24"/>
      <c r="M80" s="18" t="s">
        <v>1850</v>
      </c>
      <c r="N80" t="s">
        <v>1850</v>
      </c>
      <c r="P80" t="s">
        <v>1167</v>
      </c>
      <c r="Q80" t="s">
        <v>1850</v>
      </c>
      <c r="R80" t="s">
        <v>1563</v>
      </c>
      <c r="BI80" s="29" t="str">
        <f>HYPERLINK("#노임!A4","L001010101000002 →")</f>
        <v>L001010101000002 →</v>
      </c>
    </row>
    <row r="81" spans="1:61" ht="18.399999999999999" customHeight="1" x14ac:dyDescent="0.15">
      <c r="A81" s="11" t="s">
        <v>1058</v>
      </c>
      <c r="B81" s="2" t="s">
        <v>1024</v>
      </c>
      <c r="C81" s="2">
        <v>0.01</v>
      </c>
      <c r="D81" s="2" t="s">
        <v>1735</v>
      </c>
      <c r="E81" s="24">
        <f t="shared" si="4"/>
        <v>161142</v>
      </c>
      <c r="F81" s="24">
        <f t="shared" si="3"/>
        <v>1611</v>
      </c>
      <c r="G81" s="24">
        <v>0</v>
      </c>
      <c r="H81" s="24"/>
      <c r="I81" s="24">
        <f>노임!D12</f>
        <v>161142</v>
      </c>
      <c r="J81" s="24">
        <f t="shared" si="5"/>
        <v>1611</v>
      </c>
      <c r="K81" s="24">
        <v>0</v>
      </c>
      <c r="L81" s="24"/>
      <c r="M81" s="18" t="s">
        <v>1850</v>
      </c>
      <c r="N81" t="s">
        <v>1850</v>
      </c>
      <c r="P81" t="s">
        <v>715</v>
      </c>
      <c r="Q81" t="s">
        <v>1850</v>
      </c>
      <c r="R81" t="s">
        <v>1391</v>
      </c>
      <c r="BI81" s="29" t="str">
        <f>HYPERLINK("#노임!A12","L001010101000050 →")</f>
        <v>L001010101000050 →</v>
      </c>
    </row>
    <row r="82" spans="1:61" ht="18.399999999999999" customHeight="1" x14ac:dyDescent="0.15">
      <c r="A82" s="11" t="s">
        <v>1172</v>
      </c>
      <c r="B82" s="2" t="s">
        <v>1329</v>
      </c>
      <c r="C82" s="2">
        <v>0.05</v>
      </c>
      <c r="D82" s="2" t="s">
        <v>1570</v>
      </c>
      <c r="E82" s="24">
        <f t="shared" si="4"/>
        <v>119579.88</v>
      </c>
      <c r="F82" s="24">
        <f t="shared" si="3"/>
        <v>5978</v>
      </c>
      <c r="G82" s="24">
        <f>중기사용료목록!E22</f>
        <v>40020.879999999997</v>
      </c>
      <c r="H82" s="24">
        <f t="shared" ref="H82:H88" si="6">TRUNC(G82*C82,0)</f>
        <v>2001</v>
      </c>
      <c r="I82" s="24">
        <f>중기사용료목록!F22</f>
        <v>0</v>
      </c>
      <c r="J82" s="24">
        <f t="shared" si="5"/>
        <v>0</v>
      </c>
      <c r="K82" s="24">
        <f>중기사용료목록!G22</f>
        <v>79559</v>
      </c>
      <c r="L82" s="24">
        <f t="shared" ref="L82:L88" si="7">TRUNC(K82*C82,0)</f>
        <v>3977</v>
      </c>
      <c r="M82" s="18" t="s">
        <v>1850</v>
      </c>
      <c r="N82" t="s">
        <v>1850</v>
      </c>
      <c r="P82" t="s">
        <v>207</v>
      </c>
      <c r="Q82" t="s">
        <v>1850</v>
      </c>
      <c r="R82" t="s">
        <v>808</v>
      </c>
      <c r="BI82" s="29" t="str">
        <f>HYPERLINK("#중기사용료목록!A22","E00006540013100000 →")</f>
        <v>E00006540013100000 →</v>
      </c>
    </row>
    <row r="83" spans="1:61" ht="18.399999999999999" customHeight="1" x14ac:dyDescent="0.15">
      <c r="A83" s="11" t="s">
        <v>1311</v>
      </c>
      <c r="B83" s="2" t="s">
        <v>1363</v>
      </c>
      <c r="C83" s="2">
        <v>7.0000000000000007E-2</v>
      </c>
      <c r="D83" s="2" t="s">
        <v>1570</v>
      </c>
      <c r="E83" s="24">
        <f t="shared" si="4"/>
        <v>1967</v>
      </c>
      <c r="F83" s="24">
        <f t="shared" si="3"/>
        <v>137</v>
      </c>
      <c r="G83" s="24">
        <f>중기사용료목록!E26</f>
        <v>0</v>
      </c>
      <c r="H83" s="24">
        <f t="shared" si="6"/>
        <v>0</v>
      </c>
      <c r="I83" s="24">
        <f>중기사용료목록!F26</f>
        <v>0</v>
      </c>
      <c r="J83" s="24">
        <f t="shared" si="5"/>
        <v>0</v>
      </c>
      <c r="K83" s="24">
        <f>중기사용료목록!G26</f>
        <v>1967</v>
      </c>
      <c r="L83" s="24">
        <f t="shared" si="7"/>
        <v>137</v>
      </c>
      <c r="M83" s="18" t="s">
        <v>1850</v>
      </c>
      <c r="N83" t="s">
        <v>1850</v>
      </c>
      <c r="P83" t="s">
        <v>1598</v>
      </c>
      <c r="Q83" t="s">
        <v>1850</v>
      </c>
      <c r="R83" t="s">
        <v>451</v>
      </c>
      <c r="BI83" s="29" t="str">
        <f>HYPERLINK("#중기사용료목록!A26","E00007431130000000 →")</f>
        <v>E00007431130000000 →</v>
      </c>
    </row>
    <row r="84" spans="1:61" ht="18.399999999999999" customHeight="1" x14ac:dyDescent="0.15">
      <c r="A84" s="11" t="s">
        <v>1242</v>
      </c>
      <c r="B84" s="2" t="s">
        <v>1742</v>
      </c>
      <c r="C84" s="2">
        <v>7.0000000000000007E-2</v>
      </c>
      <c r="D84" s="2" t="s">
        <v>1570</v>
      </c>
      <c r="E84" s="24">
        <f t="shared" si="4"/>
        <v>44041.599999999999</v>
      </c>
      <c r="F84" s="24">
        <f t="shared" si="3"/>
        <v>3081</v>
      </c>
      <c r="G84" s="24">
        <f>중기사용료목록!E28</f>
        <v>7233.6</v>
      </c>
      <c r="H84" s="24">
        <f t="shared" si="6"/>
        <v>506</v>
      </c>
      <c r="I84" s="24">
        <f>중기사용료목록!F28</f>
        <v>33571</v>
      </c>
      <c r="J84" s="24">
        <f t="shared" si="5"/>
        <v>2349</v>
      </c>
      <c r="K84" s="24">
        <f>중기사용료목록!G28</f>
        <v>3237</v>
      </c>
      <c r="L84" s="24">
        <f t="shared" si="7"/>
        <v>226</v>
      </c>
      <c r="M84" s="18" t="s">
        <v>1850</v>
      </c>
      <c r="N84" t="s">
        <v>1850</v>
      </c>
      <c r="P84" t="s">
        <v>1137</v>
      </c>
      <c r="Q84" t="s">
        <v>1850</v>
      </c>
      <c r="R84" t="s">
        <v>163</v>
      </c>
      <c r="BI84" s="29" t="str">
        <f>HYPERLINK("#중기사용료목록!A28","E00007505002500000 →")</f>
        <v>E00007505002500000 →</v>
      </c>
    </row>
    <row r="85" spans="1:61" ht="18.399999999999999" customHeight="1" x14ac:dyDescent="0.15">
      <c r="A85" s="11" t="s">
        <v>944</v>
      </c>
      <c r="B85" s="2" t="s">
        <v>1168</v>
      </c>
      <c r="C85" s="2">
        <v>0.05</v>
      </c>
      <c r="D85" s="2" t="s">
        <v>1570</v>
      </c>
      <c r="E85" s="24">
        <f t="shared" si="4"/>
        <v>73102.77</v>
      </c>
      <c r="F85" s="24">
        <f t="shared" si="3"/>
        <v>3654</v>
      </c>
      <c r="G85" s="24">
        <f>중기사용료목록!E24</f>
        <v>16401.77</v>
      </c>
      <c r="H85" s="24">
        <f t="shared" si="6"/>
        <v>820</v>
      </c>
      <c r="I85" s="24">
        <f>중기사용료목록!F24</f>
        <v>47231</v>
      </c>
      <c r="J85" s="24">
        <f t="shared" si="5"/>
        <v>2361</v>
      </c>
      <c r="K85" s="24">
        <f>중기사용료목록!G24</f>
        <v>9470</v>
      </c>
      <c r="L85" s="24">
        <f t="shared" si="7"/>
        <v>473</v>
      </c>
      <c r="M85" s="18" t="s">
        <v>1850</v>
      </c>
      <c r="N85" t="s">
        <v>1850</v>
      </c>
      <c r="P85" t="s">
        <v>677</v>
      </c>
      <c r="Q85" t="s">
        <v>1850</v>
      </c>
      <c r="R85" t="s">
        <v>330</v>
      </c>
      <c r="BI85" s="29" t="str">
        <f>HYPERLINK("#중기사용료목록!A24","E00007204005500000 →")</f>
        <v>E00007204005500000 →</v>
      </c>
    </row>
    <row r="86" spans="1:61" ht="18.399999999999999" customHeight="1" x14ac:dyDescent="0.15">
      <c r="A86" s="11" t="s">
        <v>1018</v>
      </c>
      <c r="B86" s="2" t="s">
        <v>856</v>
      </c>
      <c r="C86" s="2">
        <v>0</v>
      </c>
      <c r="D86" s="2" t="s">
        <v>1570</v>
      </c>
      <c r="E86" s="24">
        <f t="shared" si="4"/>
        <v>65527.63</v>
      </c>
      <c r="F86" s="24">
        <f t="shared" si="3"/>
        <v>0</v>
      </c>
      <c r="G86" s="24">
        <f>중기사용료목록!E17</f>
        <v>8302.6299999999992</v>
      </c>
      <c r="H86" s="24">
        <f t="shared" si="6"/>
        <v>0</v>
      </c>
      <c r="I86" s="24">
        <f>중기사용료목록!F17</f>
        <v>47231</v>
      </c>
      <c r="J86" s="24">
        <f t="shared" si="5"/>
        <v>0</v>
      </c>
      <c r="K86" s="24">
        <f>중기사용료목록!G17</f>
        <v>9994</v>
      </c>
      <c r="L86" s="24">
        <f t="shared" si="7"/>
        <v>0</v>
      </c>
      <c r="M86" s="18" t="s">
        <v>1850</v>
      </c>
      <c r="N86" t="s">
        <v>1850</v>
      </c>
      <c r="P86" t="s">
        <v>180</v>
      </c>
      <c r="Q86" t="s">
        <v>1850</v>
      </c>
      <c r="R86" t="s">
        <v>611</v>
      </c>
      <c r="BI86" s="29" t="str">
        <f>HYPERLINK("#중기사용료목록!A17","E00002105000500000 →")</f>
        <v>E00002105000500000 →</v>
      </c>
    </row>
    <row r="87" spans="1:61" ht="18.399999999999999" customHeight="1" x14ac:dyDescent="0.15">
      <c r="A87" s="11" t="s">
        <v>1571</v>
      </c>
      <c r="B87" s="2" t="s">
        <v>1715</v>
      </c>
      <c r="C87" s="2">
        <v>0.05</v>
      </c>
      <c r="D87" s="2" t="s">
        <v>1570</v>
      </c>
      <c r="E87" s="24">
        <f t="shared" si="4"/>
        <v>307</v>
      </c>
      <c r="F87" s="24">
        <f t="shared" si="3"/>
        <v>15</v>
      </c>
      <c r="G87" s="24">
        <f>중기사용료목록!E32</f>
        <v>0</v>
      </c>
      <c r="H87" s="24">
        <f t="shared" si="6"/>
        <v>0</v>
      </c>
      <c r="I87" s="24">
        <f>중기사용료목록!F32</f>
        <v>0</v>
      </c>
      <c r="J87" s="24">
        <f t="shared" si="5"/>
        <v>0</v>
      </c>
      <c r="K87" s="24">
        <f>중기사용료목록!G32</f>
        <v>307</v>
      </c>
      <c r="L87" s="24">
        <f t="shared" si="7"/>
        <v>15</v>
      </c>
      <c r="M87" s="18" t="s">
        <v>1850</v>
      </c>
      <c r="N87" t="s">
        <v>1850</v>
      </c>
      <c r="P87" t="s">
        <v>170</v>
      </c>
      <c r="Q87" t="s">
        <v>1850</v>
      </c>
      <c r="R87" t="s">
        <v>1321</v>
      </c>
      <c r="BI87" s="29" t="str">
        <f>HYPERLINK("#중기사용료목록!A32","E00007740008000000 →")</f>
        <v>E00007740008000000 →</v>
      </c>
    </row>
    <row r="88" spans="1:61" ht="18.399999999999999" customHeight="1" x14ac:dyDescent="0.15">
      <c r="A88" s="11" t="s">
        <v>16</v>
      </c>
      <c r="B88" s="2" t="s">
        <v>1848</v>
      </c>
      <c r="C88" s="2">
        <v>1</v>
      </c>
      <c r="D88" s="2" t="s">
        <v>1134</v>
      </c>
      <c r="E88" s="24">
        <f t="shared" si="4"/>
        <v>1213</v>
      </c>
      <c r="F88" s="24">
        <f t="shared" si="3"/>
        <v>1213</v>
      </c>
      <c r="G88" s="24">
        <f>중기사용료목록!E36</f>
        <v>0</v>
      </c>
      <c r="H88" s="24">
        <f t="shared" si="6"/>
        <v>0</v>
      </c>
      <c r="I88" s="24">
        <f>중기사용료목록!F36</f>
        <v>0</v>
      </c>
      <c r="J88" s="24">
        <f t="shared" si="5"/>
        <v>0</v>
      </c>
      <c r="K88" s="24">
        <f>중기사용료목록!G36</f>
        <v>1213</v>
      </c>
      <c r="L88" s="24">
        <f t="shared" si="7"/>
        <v>1213</v>
      </c>
      <c r="M88" s="18" t="s">
        <v>1850</v>
      </c>
      <c r="N88" t="s">
        <v>1850</v>
      </c>
      <c r="P88" t="s">
        <v>633</v>
      </c>
      <c r="Q88" t="s">
        <v>1850</v>
      </c>
      <c r="R88" t="s">
        <v>1050</v>
      </c>
      <c r="AA88" s="33" t="s">
        <v>1396</v>
      </c>
      <c r="AB88" s="8">
        <f>(일위대가_호표!J78+일위대가_호표!J79+일위대가_호표!J80+일위대가_호표!J81+일위대가_호표!J82+일위대가_호표!J83+일위대가_호표!J84+일위대가_호표!J85+일위대가_호표!J86+일위대가_호표!J87+일위대가_호표!J88)*0.03</f>
        <v>694.74</v>
      </c>
      <c r="AC88" s="33" t="s">
        <v>1559</v>
      </c>
      <c r="AD88" s="7">
        <f>$AB88</f>
        <v>694.74</v>
      </c>
      <c r="BI88" s="29" t="str">
        <f>HYPERLINK("#중기사용료목록!A36","EDD00030300 →")</f>
        <v>EDD00030300 →</v>
      </c>
    </row>
    <row r="89" spans="1:61" ht="18.399999999999999" customHeight="1" x14ac:dyDescent="0.15">
      <c r="A89" s="11" t="s">
        <v>225</v>
      </c>
      <c r="B89" s="2" t="s">
        <v>1125</v>
      </c>
      <c r="C89" s="2">
        <v>1</v>
      </c>
      <c r="D89" s="2" t="s">
        <v>1529</v>
      </c>
      <c r="E89" s="24">
        <f t="shared" si="4"/>
        <v>0</v>
      </c>
      <c r="F89" s="24">
        <f t="shared" si="3"/>
        <v>694</v>
      </c>
      <c r="G89" s="1"/>
      <c r="H89" s="24">
        <f>TRUNC(((J78+J79+J80+J81+J82+J83+J84+J85+J86+J87+J88)*0.03),0)</f>
        <v>694</v>
      </c>
      <c r="I89" s="1"/>
      <c r="J89" s="24">
        <v>0</v>
      </c>
      <c r="K89" s="1"/>
      <c r="L89" s="24">
        <v>0</v>
      </c>
      <c r="M89" s="18" t="s">
        <v>1850</v>
      </c>
      <c r="N89" t="s">
        <v>1850</v>
      </c>
      <c r="P89" t="s">
        <v>1131</v>
      </c>
      <c r="Q89" t="s">
        <v>1850</v>
      </c>
      <c r="R89" t="s">
        <v>1589</v>
      </c>
      <c r="X89" t="s">
        <v>1695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493</v>
      </c>
      <c r="B91" s="2" t="s">
        <v>1499</v>
      </c>
      <c r="C91" s="2">
        <v>1</v>
      </c>
      <c r="D91" s="2" t="s">
        <v>1134</v>
      </c>
      <c r="F91" s="24">
        <f t="shared" ref="F91:F101" si="8">H91+J91+L91</f>
        <v>74863</v>
      </c>
      <c r="H91" s="24">
        <f>TRUNC(H92+H93+H94+H95+H96+H97+H98+H99+H100+H101,0)</f>
        <v>55336</v>
      </c>
      <c r="J91" s="24">
        <f>TRUNC(J92+J93+J94+J95+J96+J97+J98+J99+J100+J101,0)</f>
        <v>17404</v>
      </c>
      <c r="L91" s="24">
        <f>TRUNC(L92+L93+L94+L95+L96+L97+L98+L99+L100+L101,0)</f>
        <v>2123</v>
      </c>
      <c r="M91" s="18" t="s">
        <v>1850</v>
      </c>
      <c r="N91" t="s">
        <v>1850</v>
      </c>
      <c r="O91" t="s">
        <v>1028</v>
      </c>
    </row>
    <row r="92" spans="1:61" ht="18.399999999999999" customHeight="1" x14ac:dyDescent="0.15">
      <c r="A92" s="11" t="s">
        <v>801</v>
      </c>
      <c r="B92" s="2" t="s">
        <v>1277</v>
      </c>
      <c r="C92" s="2">
        <v>7.0000000000000001E-3</v>
      </c>
      <c r="D92" s="2" t="s">
        <v>1735</v>
      </c>
      <c r="E92" s="24">
        <f t="shared" ref="E92:E101" si="9">G92+I92+K92</f>
        <v>272915</v>
      </c>
      <c r="F92" s="24">
        <f t="shared" si="8"/>
        <v>1910</v>
      </c>
      <c r="G92" s="24">
        <v>0</v>
      </c>
      <c r="H92" s="24"/>
      <c r="I92" s="24">
        <f>노임!D13</f>
        <v>272915</v>
      </c>
      <c r="J92" s="24">
        <f t="shared" ref="J92:J98" si="10">TRUNC(I92*C92,0)</f>
        <v>1910</v>
      </c>
      <c r="K92" s="24">
        <v>0</v>
      </c>
      <c r="L92" s="24"/>
      <c r="M92" s="18" t="s">
        <v>1850</v>
      </c>
      <c r="N92" t="s">
        <v>1850</v>
      </c>
      <c r="P92" t="s">
        <v>239</v>
      </c>
      <c r="Q92" t="s">
        <v>1850</v>
      </c>
      <c r="R92" t="s">
        <v>1435</v>
      </c>
      <c r="BI92" s="29" t="str">
        <f>HYPERLINK("#노임!A13","L001020701000028 →")</f>
        <v>L001020701000028 →</v>
      </c>
    </row>
    <row r="93" spans="1:61" ht="18.399999999999999" customHeight="1" x14ac:dyDescent="0.15">
      <c r="A93" s="11" t="s">
        <v>628</v>
      </c>
      <c r="B93" s="2" t="s">
        <v>1024</v>
      </c>
      <c r="C93" s="2">
        <v>2.3E-2</v>
      </c>
      <c r="D93" s="2" t="s">
        <v>1735</v>
      </c>
      <c r="E93" s="24">
        <f t="shared" si="9"/>
        <v>214222</v>
      </c>
      <c r="F93" s="24">
        <f t="shared" si="8"/>
        <v>4927</v>
      </c>
      <c r="G93" s="24">
        <v>0</v>
      </c>
      <c r="H93" s="24"/>
      <c r="I93" s="24">
        <f>노임!D5</f>
        <v>214222</v>
      </c>
      <c r="J93" s="24">
        <f t="shared" si="10"/>
        <v>4927</v>
      </c>
      <c r="K93" s="24">
        <v>0</v>
      </c>
      <c r="L93" s="24"/>
      <c r="M93" s="18" t="s">
        <v>1850</v>
      </c>
      <c r="N93" t="s">
        <v>1850</v>
      </c>
      <c r="P93" t="s">
        <v>1619</v>
      </c>
      <c r="Q93" t="s">
        <v>1850</v>
      </c>
      <c r="R93" t="s">
        <v>511</v>
      </c>
      <c r="BI93" s="29" t="str">
        <f>HYPERLINK("#노임!A5","L001010101000003 →")</f>
        <v>L001010101000003 →</v>
      </c>
    </row>
    <row r="94" spans="1:61" ht="18.399999999999999" customHeight="1" x14ac:dyDescent="0.15">
      <c r="A94" s="11" t="s">
        <v>597</v>
      </c>
      <c r="B94" s="2" t="s">
        <v>1024</v>
      </c>
      <c r="C94" s="2">
        <v>0.04</v>
      </c>
      <c r="D94" s="2" t="s">
        <v>1735</v>
      </c>
      <c r="E94" s="24">
        <f t="shared" si="9"/>
        <v>165545</v>
      </c>
      <c r="F94" s="24">
        <f t="shared" si="8"/>
        <v>6621</v>
      </c>
      <c r="G94" s="24">
        <v>0</v>
      </c>
      <c r="H94" s="24"/>
      <c r="I94" s="24">
        <f>노임!D4</f>
        <v>165545</v>
      </c>
      <c r="J94" s="24">
        <f t="shared" si="10"/>
        <v>6621</v>
      </c>
      <c r="K94" s="24">
        <v>0</v>
      </c>
      <c r="L94" s="24"/>
      <c r="M94" s="18" t="s">
        <v>1850</v>
      </c>
      <c r="N94" t="s">
        <v>1850</v>
      </c>
      <c r="P94" t="s">
        <v>1167</v>
      </c>
      <c r="Q94" t="s">
        <v>1850</v>
      </c>
      <c r="R94" t="s">
        <v>1563</v>
      </c>
      <c r="BI94" s="29" t="str">
        <f>HYPERLINK("#노임!A4","L001010101000002 →")</f>
        <v>L001010101000002 →</v>
      </c>
    </row>
    <row r="95" spans="1:61" ht="18.399999999999999" customHeight="1" x14ac:dyDescent="0.15">
      <c r="A95" s="11" t="s">
        <v>1311</v>
      </c>
      <c r="B95" s="2" t="s">
        <v>1363</v>
      </c>
      <c r="C95" s="2">
        <v>4.2999999999999997E-2</v>
      </c>
      <c r="D95" s="2" t="s">
        <v>1570</v>
      </c>
      <c r="E95" s="24">
        <f t="shared" si="9"/>
        <v>1967</v>
      </c>
      <c r="F95" s="24">
        <f t="shared" si="8"/>
        <v>84</v>
      </c>
      <c r="G95" s="24">
        <f>중기사용료목록!E26</f>
        <v>0</v>
      </c>
      <c r="H95" s="24">
        <f>TRUNC(G95*C95,0)</f>
        <v>0</v>
      </c>
      <c r="I95" s="24">
        <f>중기사용료목록!F26</f>
        <v>0</v>
      </c>
      <c r="J95" s="24">
        <f t="shared" si="10"/>
        <v>0</v>
      </c>
      <c r="K95" s="24">
        <f>중기사용료목록!G26</f>
        <v>1967</v>
      </c>
      <c r="L95" s="24">
        <f>TRUNC(K95*C95,0)</f>
        <v>84</v>
      </c>
      <c r="M95" s="18" t="s">
        <v>1850</v>
      </c>
      <c r="N95" t="s">
        <v>1850</v>
      </c>
      <c r="P95" t="s">
        <v>715</v>
      </c>
      <c r="Q95" t="s">
        <v>1850</v>
      </c>
      <c r="R95" t="s">
        <v>451</v>
      </c>
      <c r="BI95" s="29" t="str">
        <f>HYPERLINK("#중기사용료목록!A26","E00007431130000000 →")</f>
        <v>E00007431130000000 →</v>
      </c>
    </row>
    <row r="96" spans="1:61" ht="18.399999999999999" customHeight="1" x14ac:dyDescent="0.15">
      <c r="A96" s="11" t="s">
        <v>1242</v>
      </c>
      <c r="B96" s="2" t="s">
        <v>1503</v>
      </c>
      <c r="C96" s="2">
        <v>4.2999999999999997E-2</v>
      </c>
      <c r="D96" s="2" t="s">
        <v>1570</v>
      </c>
      <c r="E96" s="24">
        <f t="shared" si="9"/>
        <v>52653.42</v>
      </c>
      <c r="F96" s="24">
        <f t="shared" si="8"/>
        <v>2263</v>
      </c>
      <c r="G96" s="24">
        <f>중기사용료목록!E29</f>
        <v>14635.42</v>
      </c>
      <c r="H96" s="24">
        <f>TRUNC(G96*C96,0)</f>
        <v>629</v>
      </c>
      <c r="I96" s="24">
        <f>중기사용료목록!F29</f>
        <v>33571</v>
      </c>
      <c r="J96" s="24">
        <f t="shared" si="10"/>
        <v>1443</v>
      </c>
      <c r="K96" s="24">
        <f>중기사용료목록!G29</f>
        <v>4447</v>
      </c>
      <c r="L96" s="24">
        <f>TRUNC(K96*C96,0)</f>
        <v>191</v>
      </c>
      <c r="M96" s="18" t="s">
        <v>1850</v>
      </c>
      <c r="N96" t="s">
        <v>1850</v>
      </c>
      <c r="P96" t="s">
        <v>207</v>
      </c>
      <c r="Q96" t="s">
        <v>1850</v>
      </c>
      <c r="R96" t="s">
        <v>314</v>
      </c>
      <c r="BI96" s="29" t="str">
        <f>HYPERLINK("#중기사용료목록!A29","E00007505005000000 →")</f>
        <v>E00007505005000000 →</v>
      </c>
    </row>
    <row r="97" spans="1:61" ht="18.399999999999999" customHeight="1" x14ac:dyDescent="0.15">
      <c r="A97" s="11" t="s">
        <v>1018</v>
      </c>
      <c r="B97" s="2" t="s">
        <v>1352</v>
      </c>
      <c r="C97" s="2">
        <v>5.2999999999999999E-2</v>
      </c>
      <c r="D97" s="2" t="s">
        <v>1570</v>
      </c>
      <c r="E97" s="24">
        <f t="shared" si="9"/>
        <v>85742.06</v>
      </c>
      <c r="F97" s="24">
        <f t="shared" si="8"/>
        <v>4543</v>
      </c>
      <c r="G97" s="24">
        <f>중기사용료목록!E18</f>
        <v>16768.060000000001</v>
      </c>
      <c r="H97" s="24">
        <f>TRUNC(G97*C97,0)</f>
        <v>888</v>
      </c>
      <c r="I97" s="24">
        <f>중기사용료목록!F18</f>
        <v>47231</v>
      </c>
      <c r="J97" s="24">
        <f t="shared" si="10"/>
        <v>2503</v>
      </c>
      <c r="K97" s="24">
        <f>중기사용료목록!G18</f>
        <v>21743</v>
      </c>
      <c r="L97" s="24">
        <f>TRUNC(K97*C97,0)</f>
        <v>1152</v>
      </c>
      <c r="M97" s="18" t="s">
        <v>1850</v>
      </c>
      <c r="N97" t="s">
        <v>1850</v>
      </c>
      <c r="P97" t="s">
        <v>1598</v>
      </c>
      <c r="Q97" t="s">
        <v>1850</v>
      </c>
      <c r="R97" t="s">
        <v>665</v>
      </c>
      <c r="BI97" s="29" t="str">
        <f>HYPERLINK("#중기사용료목록!A18","E00002105001000000 →")</f>
        <v>E00002105001000000 →</v>
      </c>
    </row>
    <row r="98" spans="1:61" ht="18.399999999999999" customHeight="1" x14ac:dyDescent="0.15">
      <c r="A98" s="11" t="s">
        <v>1645</v>
      </c>
      <c r="B98" s="2" t="s">
        <v>259</v>
      </c>
      <c r="C98" s="2">
        <v>4.2999999999999997E-2</v>
      </c>
      <c r="D98" s="2" t="s">
        <v>1570</v>
      </c>
      <c r="E98" s="24">
        <f t="shared" si="9"/>
        <v>6815</v>
      </c>
      <c r="F98" s="24">
        <f t="shared" si="8"/>
        <v>293</v>
      </c>
      <c r="G98" s="24">
        <f>중기사용료목록!E37</f>
        <v>0</v>
      </c>
      <c r="H98" s="24">
        <f>TRUNC(G98*C98,0)</f>
        <v>0</v>
      </c>
      <c r="I98" s="24">
        <f>중기사용료목록!F37</f>
        <v>0</v>
      </c>
      <c r="J98" s="24">
        <f t="shared" si="10"/>
        <v>0</v>
      </c>
      <c r="K98" s="24">
        <f>중기사용료목록!G37</f>
        <v>6815</v>
      </c>
      <c r="L98" s="24">
        <f>TRUNC(K98*C98,0)</f>
        <v>293</v>
      </c>
      <c r="M98" s="18" t="s">
        <v>1850</v>
      </c>
      <c r="N98" t="s">
        <v>1850</v>
      </c>
      <c r="P98" t="s">
        <v>1137</v>
      </c>
      <c r="Q98" t="s">
        <v>1850</v>
      </c>
      <c r="R98" t="s">
        <v>309</v>
      </c>
      <c r="BI98" s="29" t="str">
        <f>HYPERLINK("#중기사용료목록!A37","EDD00044825 →")</f>
        <v>EDD00044825 →</v>
      </c>
    </row>
    <row r="99" spans="1:61" ht="18.399999999999999" customHeight="1" x14ac:dyDescent="0.15">
      <c r="A99" s="11" t="s">
        <v>1374</v>
      </c>
      <c r="B99" s="2" t="s">
        <v>245</v>
      </c>
      <c r="C99" s="2">
        <v>1.05</v>
      </c>
      <c r="D99" s="2" t="s">
        <v>1134</v>
      </c>
      <c r="E99" s="24">
        <f t="shared" si="9"/>
        <v>51000</v>
      </c>
      <c r="F99" s="24">
        <f t="shared" si="8"/>
        <v>53550</v>
      </c>
      <c r="G99" s="24">
        <f>자재!D5</f>
        <v>51000</v>
      </c>
      <c r="H99" s="24">
        <f>TRUNC(G99*C99,0)</f>
        <v>53550</v>
      </c>
      <c r="I99" s="24">
        <v>0</v>
      </c>
      <c r="J99" s="24"/>
      <c r="K99" s="24">
        <v>0</v>
      </c>
      <c r="L99" s="24"/>
      <c r="M99" s="18" t="s">
        <v>1850</v>
      </c>
      <c r="N99" t="s">
        <v>1850</v>
      </c>
      <c r="P99" t="s">
        <v>677</v>
      </c>
      <c r="Q99" t="s">
        <v>1850</v>
      </c>
      <c r="R99" t="s">
        <v>52</v>
      </c>
      <c r="AA99" s="33" t="s">
        <v>615</v>
      </c>
      <c r="AB99" s="8">
        <f>(일위대가_호표!J92+일위대가_호표!J93+일위대가_호표!J94)*0.03</f>
        <v>403.74</v>
      </c>
      <c r="AC99" s="33" t="s">
        <v>1036</v>
      </c>
      <c r="AD99" s="7">
        <f>$AB99</f>
        <v>403.74</v>
      </c>
      <c r="BI99" s="29" t="str">
        <f>HYPERLINK("#자재!A5","MDD0007 →")</f>
        <v>MDD0007 →</v>
      </c>
    </row>
    <row r="100" spans="1:61" ht="18.399999999999999" customHeight="1" x14ac:dyDescent="0.15">
      <c r="A100" s="11" t="s">
        <v>1569</v>
      </c>
      <c r="B100" s="2" t="s">
        <v>1125</v>
      </c>
      <c r="C100" s="2">
        <v>1</v>
      </c>
      <c r="D100" s="2" t="s">
        <v>1529</v>
      </c>
      <c r="E100" s="24">
        <f t="shared" si="9"/>
        <v>0</v>
      </c>
      <c r="F100" s="24">
        <f t="shared" si="8"/>
        <v>403</v>
      </c>
      <c r="G100" s="1"/>
      <c r="H100" s="24">
        <v>0</v>
      </c>
      <c r="I100" s="1"/>
      <c r="J100" s="24">
        <v>0</v>
      </c>
      <c r="K100" s="1"/>
      <c r="L100" s="24">
        <f>TRUNC(((J92+J93+J94)*0.03),0)</f>
        <v>403</v>
      </c>
      <c r="M100" s="18" t="s">
        <v>1850</v>
      </c>
      <c r="N100" t="s">
        <v>1850</v>
      </c>
      <c r="P100" t="s">
        <v>180</v>
      </c>
      <c r="Q100" t="s">
        <v>1850</v>
      </c>
      <c r="R100" t="s">
        <v>1589</v>
      </c>
      <c r="X100" t="s">
        <v>1017</v>
      </c>
      <c r="AA100" s="33" t="s">
        <v>1396</v>
      </c>
      <c r="AB100" s="8">
        <f>(일위대가_호표!J92+일위대가_호표!J93+일위대가_호표!J94)*0.02</f>
        <v>269.16000000000003</v>
      </c>
      <c r="AC100" s="33" t="s">
        <v>1559</v>
      </c>
      <c r="AD100" s="7">
        <f>$AB100</f>
        <v>269.16000000000003</v>
      </c>
    </row>
    <row r="101" spans="1:61" ht="18.399999999999999" customHeight="1" x14ac:dyDescent="0.15">
      <c r="A101" s="11" t="s">
        <v>225</v>
      </c>
      <c r="B101" s="2" t="s">
        <v>1765</v>
      </c>
      <c r="C101" s="2">
        <v>1</v>
      </c>
      <c r="D101" s="2" t="s">
        <v>1529</v>
      </c>
      <c r="E101" s="24">
        <f t="shared" si="9"/>
        <v>0</v>
      </c>
      <c r="F101" s="24">
        <f t="shared" si="8"/>
        <v>269</v>
      </c>
      <c r="G101" s="1"/>
      <c r="H101" s="24">
        <f>TRUNC(((J92+J93+J94)*0.02),0)</f>
        <v>269</v>
      </c>
      <c r="I101" s="1"/>
      <c r="J101" s="24">
        <v>0</v>
      </c>
      <c r="K101" s="1"/>
      <c r="L101" s="24">
        <v>0</v>
      </c>
      <c r="M101" s="18" t="s">
        <v>1850</v>
      </c>
      <c r="N101" t="s">
        <v>1850</v>
      </c>
      <c r="P101" t="s">
        <v>170</v>
      </c>
      <c r="Q101" t="s">
        <v>1850</v>
      </c>
      <c r="R101" t="s">
        <v>1589</v>
      </c>
      <c r="X101" t="s">
        <v>993</v>
      </c>
    </row>
    <row r="102" spans="1:61" ht="18.399999999999999" customHeight="1" x14ac:dyDescent="0.15">
      <c r="A102" s="4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6"/>
    </row>
    <row r="103" spans="1:61" ht="18.399999999999999" customHeight="1" x14ac:dyDescent="0.15">
      <c r="A103" s="11" t="s">
        <v>1555</v>
      </c>
      <c r="B103" s="2" t="s">
        <v>1499</v>
      </c>
      <c r="C103" s="2">
        <v>1</v>
      </c>
      <c r="D103" s="2" t="s">
        <v>1201</v>
      </c>
      <c r="F103" s="24">
        <f t="shared" ref="F103:F110" si="11">H103+J103+L103</f>
        <v>504070</v>
      </c>
      <c r="H103" s="24">
        <f>TRUNC(H104+H105+H106+H107+H108+H109+H110,0)</f>
        <v>147064</v>
      </c>
      <c r="J103" s="24">
        <f>TRUNC(J104+J105+J106+J107+J108+J109+J110,0)</f>
        <v>260630</v>
      </c>
      <c r="L103" s="24">
        <f>TRUNC(L104+L105+L106+L107+L108+L109+L110,0)</f>
        <v>96376</v>
      </c>
      <c r="M103" s="18" t="s">
        <v>1850</v>
      </c>
      <c r="N103" t="s">
        <v>1850</v>
      </c>
      <c r="O103" t="s">
        <v>774</v>
      </c>
    </row>
    <row r="104" spans="1:61" ht="18.399999999999999" customHeight="1" x14ac:dyDescent="0.15">
      <c r="A104" s="11" t="s">
        <v>628</v>
      </c>
      <c r="B104" s="2" t="s">
        <v>1024</v>
      </c>
      <c r="C104" s="2">
        <v>0.32700000000000001</v>
      </c>
      <c r="D104" s="2" t="s">
        <v>1735</v>
      </c>
      <c r="E104" s="24">
        <f t="shared" ref="E104:E110" si="12">G104+I104+K104</f>
        <v>214222</v>
      </c>
      <c r="F104" s="24">
        <f t="shared" si="11"/>
        <v>70050</v>
      </c>
      <c r="G104" s="24">
        <v>0</v>
      </c>
      <c r="H104" s="24"/>
      <c r="I104" s="24">
        <f>노임!D5</f>
        <v>214222</v>
      </c>
      <c r="J104" s="24">
        <f>TRUNC(I104*C104,0)</f>
        <v>70050</v>
      </c>
      <c r="K104" s="24">
        <v>0</v>
      </c>
      <c r="L104" s="24"/>
      <c r="M104" s="18" t="s">
        <v>1850</v>
      </c>
      <c r="N104" t="s">
        <v>1850</v>
      </c>
      <c r="P104" t="s">
        <v>239</v>
      </c>
      <c r="Q104" t="s">
        <v>1850</v>
      </c>
      <c r="R104" t="s">
        <v>511</v>
      </c>
      <c r="BI104" s="29" t="str">
        <f>HYPERLINK("#노임!A5","L001010101000003 →")</f>
        <v>L001010101000003 →</v>
      </c>
    </row>
    <row r="105" spans="1:61" ht="18.399999999999999" customHeight="1" x14ac:dyDescent="0.15">
      <c r="A105" s="11" t="s">
        <v>597</v>
      </c>
      <c r="B105" s="2" t="s">
        <v>1024</v>
      </c>
      <c r="C105" s="2">
        <v>0.98299999999999998</v>
      </c>
      <c r="D105" s="2" t="s">
        <v>1735</v>
      </c>
      <c r="E105" s="24">
        <f t="shared" si="12"/>
        <v>165545</v>
      </c>
      <c r="F105" s="24">
        <f t="shared" si="11"/>
        <v>162730</v>
      </c>
      <c r="G105" s="24">
        <v>0</v>
      </c>
      <c r="H105" s="24"/>
      <c r="I105" s="24">
        <f>노임!D4</f>
        <v>165545</v>
      </c>
      <c r="J105" s="24">
        <f>TRUNC(I105*C105,0)</f>
        <v>162730</v>
      </c>
      <c r="K105" s="24">
        <v>0</v>
      </c>
      <c r="L105" s="24"/>
      <c r="M105" s="18" t="s">
        <v>1850</v>
      </c>
      <c r="N105" t="s">
        <v>1850</v>
      </c>
      <c r="P105" t="s">
        <v>1619</v>
      </c>
      <c r="Q105" t="s">
        <v>1850</v>
      </c>
      <c r="R105" t="s">
        <v>1563</v>
      </c>
      <c r="BI105" s="29" t="str">
        <f>HYPERLINK("#노임!A4","L001010101000002 →")</f>
        <v>L001010101000002 →</v>
      </c>
    </row>
    <row r="106" spans="1:61" ht="18.399999999999999" customHeight="1" x14ac:dyDescent="0.15">
      <c r="A106" s="11" t="s">
        <v>432</v>
      </c>
      <c r="B106" s="2" t="s">
        <v>1499</v>
      </c>
      <c r="C106" s="2">
        <v>1</v>
      </c>
      <c r="D106" s="2" t="s">
        <v>1225</v>
      </c>
      <c r="E106" s="24">
        <f t="shared" si="12"/>
        <v>6750</v>
      </c>
      <c r="F106" s="24">
        <f t="shared" si="11"/>
        <v>6750</v>
      </c>
      <c r="G106" s="24">
        <f>중기사용료목록!E38</f>
        <v>0</v>
      </c>
      <c r="H106" s="24">
        <f>TRUNC(G106*C106,0)</f>
        <v>0</v>
      </c>
      <c r="I106" s="24">
        <f>중기사용료목록!F38</f>
        <v>0</v>
      </c>
      <c r="J106" s="24">
        <f>TRUNC(I106*C106,0)</f>
        <v>0</v>
      </c>
      <c r="K106" s="24">
        <f>중기사용료목록!G38</f>
        <v>6750</v>
      </c>
      <c r="L106" s="24">
        <f>TRUNC(K106*C106,0)</f>
        <v>6750</v>
      </c>
      <c r="M106" s="18" t="s">
        <v>1850</v>
      </c>
      <c r="N106" t="s">
        <v>1850</v>
      </c>
      <c r="P106" t="s">
        <v>1167</v>
      </c>
      <c r="Q106" t="s">
        <v>1850</v>
      </c>
      <c r="R106" t="s">
        <v>733</v>
      </c>
      <c r="BI106" s="29" t="str">
        <f>HYPERLINK("#중기사용료목록!A38","EDD00050250 →")</f>
        <v>EDD00050250 →</v>
      </c>
    </row>
    <row r="107" spans="1:61" ht="18.399999999999999" customHeight="1" x14ac:dyDescent="0.15">
      <c r="A107" s="11" t="s">
        <v>291</v>
      </c>
      <c r="B107" s="2" t="s">
        <v>332</v>
      </c>
      <c r="C107" s="2">
        <v>0.5</v>
      </c>
      <c r="D107" s="2" t="s">
        <v>1570</v>
      </c>
      <c r="E107" s="24">
        <f t="shared" si="12"/>
        <v>505806.13</v>
      </c>
      <c r="F107" s="24">
        <f t="shared" si="11"/>
        <v>252902</v>
      </c>
      <c r="G107" s="24">
        <f>중기사용료목록!E39</f>
        <v>284819.13</v>
      </c>
      <c r="H107" s="24">
        <f>TRUNC(G107*C107,0)</f>
        <v>142409</v>
      </c>
      <c r="I107" s="24">
        <f>중기사용료목록!F39</f>
        <v>55700</v>
      </c>
      <c r="J107" s="24">
        <f>TRUNC(I107*C107,0)</f>
        <v>27850</v>
      </c>
      <c r="K107" s="24">
        <f>중기사용료목록!G39</f>
        <v>165287</v>
      </c>
      <c r="L107" s="24">
        <f>TRUNC(K107*C107,0)</f>
        <v>82643</v>
      </c>
      <c r="M107" s="18" t="s">
        <v>1850</v>
      </c>
      <c r="N107" t="s">
        <v>1850</v>
      </c>
      <c r="P107" t="s">
        <v>715</v>
      </c>
      <c r="Q107" t="s">
        <v>1850</v>
      </c>
      <c r="R107" t="s">
        <v>1495</v>
      </c>
      <c r="BI107" s="29" t="str">
        <f>HYPERLINK("#중기사용료목록!A39","EDD00060200 →")</f>
        <v>EDD00060200 →</v>
      </c>
    </row>
    <row r="108" spans="1:61" ht="18.399999999999999" customHeight="1" x14ac:dyDescent="0.15">
      <c r="A108" s="11" t="s">
        <v>1018</v>
      </c>
      <c r="B108" s="2" t="s">
        <v>1352</v>
      </c>
      <c r="C108" s="2">
        <v>0</v>
      </c>
      <c r="D108" s="2" t="s">
        <v>1570</v>
      </c>
      <c r="E108" s="24">
        <f t="shared" si="12"/>
        <v>85742.06</v>
      </c>
      <c r="F108" s="24">
        <f t="shared" si="11"/>
        <v>0</v>
      </c>
      <c r="G108" s="24">
        <f>중기사용료목록!E18</f>
        <v>16768.060000000001</v>
      </c>
      <c r="H108" s="24">
        <f>TRUNC(G108*C108,0)</f>
        <v>0</v>
      </c>
      <c r="I108" s="24">
        <f>중기사용료목록!F18</f>
        <v>47231</v>
      </c>
      <c r="J108" s="24">
        <f>TRUNC(I108*C108,0)</f>
        <v>0</v>
      </c>
      <c r="K108" s="24">
        <f>중기사용료목록!G18</f>
        <v>21743</v>
      </c>
      <c r="L108" s="24">
        <f>TRUNC(K108*C108,0)</f>
        <v>0</v>
      </c>
      <c r="M108" s="18" t="s">
        <v>1850</v>
      </c>
      <c r="N108" t="s">
        <v>1850</v>
      </c>
      <c r="P108" t="s">
        <v>207</v>
      </c>
      <c r="Q108" t="s">
        <v>1850</v>
      </c>
      <c r="R108" t="s">
        <v>665</v>
      </c>
      <c r="AA108" s="33" t="s">
        <v>615</v>
      </c>
      <c r="AB108" s="8">
        <f>(일위대가_호표!J104+일위대가_호표!J105)*0.03</f>
        <v>6983.4</v>
      </c>
      <c r="AC108" s="33" t="s">
        <v>1036</v>
      </c>
      <c r="AD108" s="7">
        <f>$AB108</f>
        <v>6983.4</v>
      </c>
      <c r="BI108" s="29" t="str">
        <f>HYPERLINK("#중기사용료목록!A18","E00002105001000000 →")</f>
        <v>E00002105001000000 →</v>
      </c>
    </row>
    <row r="109" spans="1:61" ht="18.399999999999999" customHeight="1" x14ac:dyDescent="0.15">
      <c r="A109" s="11" t="s">
        <v>1569</v>
      </c>
      <c r="B109" s="2" t="s">
        <v>1125</v>
      </c>
      <c r="C109" s="2">
        <v>1</v>
      </c>
      <c r="D109" s="2" t="s">
        <v>1529</v>
      </c>
      <c r="E109" s="24">
        <f t="shared" si="12"/>
        <v>0</v>
      </c>
      <c r="F109" s="24">
        <f t="shared" si="11"/>
        <v>6983</v>
      </c>
      <c r="G109" s="1"/>
      <c r="H109" s="24">
        <v>0</v>
      </c>
      <c r="I109" s="1"/>
      <c r="J109" s="24">
        <v>0</v>
      </c>
      <c r="K109" s="1"/>
      <c r="L109" s="24">
        <f>TRUNC(((J104+J105)*0.03),0)</f>
        <v>6983</v>
      </c>
      <c r="M109" s="18" t="s">
        <v>1850</v>
      </c>
      <c r="N109" t="s">
        <v>1850</v>
      </c>
      <c r="P109" t="s">
        <v>1598</v>
      </c>
      <c r="Q109" t="s">
        <v>1850</v>
      </c>
      <c r="R109" t="s">
        <v>1589</v>
      </c>
      <c r="X109" t="s">
        <v>173</v>
      </c>
      <c r="AA109" s="33" t="s">
        <v>1396</v>
      </c>
      <c r="AB109" s="8">
        <f>(일위대가_호표!J104+일위대가_호표!J105)*0.02</f>
        <v>4655.6000000000004</v>
      </c>
      <c r="AC109" s="33" t="s">
        <v>1559</v>
      </c>
      <c r="AD109" s="7">
        <f>$AB109</f>
        <v>4655.6000000000004</v>
      </c>
    </row>
    <row r="110" spans="1:61" ht="18.399999999999999" customHeight="1" x14ac:dyDescent="0.15">
      <c r="A110" s="11" t="s">
        <v>225</v>
      </c>
      <c r="B110" s="2" t="s">
        <v>1765</v>
      </c>
      <c r="C110" s="2">
        <v>1</v>
      </c>
      <c r="D110" s="2" t="s">
        <v>1529</v>
      </c>
      <c r="E110" s="24">
        <f t="shared" si="12"/>
        <v>0</v>
      </c>
      <c r="F110" s="24">
        <f t="shared" si="11"/>
        <v>4655</v>
      </c>
      <c r="G110" s="1"/>
      <c r="H110" s="24">
        <f>TRUNC(((J104+J105)*0.02),0)</f>
        <v>4655</v>
      </c>
      <c r="I110" s="1"/>
      <c r="J110" s="24">
        <v>0</v>
      </c>
      <c r="K110" s="1"/>
      <c r="L110" s="24">
        <v>0</v>
      </c>
      <c r="M110" s="18" t="s">
        <v>1850</v>
      </c>
      <c r="N110" t="s">
        <v>1850</v>
      </c>
      <c r="P110" t="s">
        <v>1137</v>
      </c>
      <c r="Q110" t="s">
        <v>1850</v>
      </c>
      <c r="R110" t="s">
        <v>1589</v>
      </c>
      <c r="X110" t="s">
        <v>227</v>
      </c>
    </row>
    <row r="111" spans="1:61" ht="18.399999999999999" customHeight="1" x14ac:dyDescent="0.15">
      <c r="A111" s="4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6"/>
    </row>
    <row r="112" spans="1:61" ht="18.399999999999999" customHeight="1" x14ac:dyDescent="0.15">
      <c r="A112" s="11" t="s">
        <v>1472</v>
      </c>
      <c r="B112" s="2" t="s">
        <v>1499</v>
      </c>
      <c r="C112" s="2">
        <v>1</v>
      </c>
      <c r="D112" s="2" t="s">
        <v>1134</v>
      </c>
      <c r="F112" s="24">
        <f t="shared" ref="F112:F118" si="13">H112+J112+L112</f>
        <v>51842</v>
      </c>
      <c r="H112" s="24">
        <f>TRUNC(H113+H114+H115+H116+H117+H118,0)</f>
        <v>10943</v>
      </c>
      <c r="J112" s="24">
        <f>TRUNC(J113+J114+J115+J116+J117+J118,0)</f>
        <v>34464</v>
      </c>
      <c r="L112" s="24">
        <f>TRUNC(L113+L114+L115+L116+L117+L118,0)</f>
        <v>6435</v>
      </c>
      <c r="M112" s="18" t="s">
        <v>1850</v>
      </c>
      <c r="N112" t="s">
        <v>1850</v>
      </c>
      <c r="O112" t="s">
        <v>1085</v>
      </c>
    </row>
    <row r="113" spans="1:61" ht="18.399999999999999" customHeight="1" x14ac:dyDescent="0.15">
      <c r="A113" s="11" t="s">
        <v>801</v>
      </c>
      <c r="B113" s="2" t="s">
        <v>1277</v>
      </c>
      <c r="C113" s="2">
        <v>1.2E-2</v>
      </c>
      <c r="D113" s="2" t="s">
        <v>1735</v>
      </c>
      <c r="E113" s="24">
        <f t="shared" ref="E113:E118" si="14">G113+I113+K113</f>
        <v>272915</v>
      </c>
      <c r="F113" s="24">
        <f t="shared" si="13"/>
        <v>3274</v>
      </c>
      <c r="G113" s="24">
        <v>0</v>
      </c>
      <c r="H113" s="24"/>
      <c r="I113" s="24">
        <f>노임!D13</f>
        <v>272915</v>
      </c>
      <c r="J113" s="24">
        <f>TRUNC(I113*C113,0)</f>
        <v>3274</v>
      </c>
      <c r="K113" s="24">
        <v>0</v>
      </c>
      <c r="L113" s="24"/>
      <c r="M113" s="18" t="s">
        <v>1850</v>
      </c>
      <c r="N113" t="s">
        <v>1850</v>
      </c>
      <c r="P113" t="s">
        <v>239</v>
      </c>
      <c r="Q113" t="s">
        <v>1850</v>
      </c>
      <c r="R113" t="s">
        <v>1435</v>
      </c>
      <c r="BI113" s="29" t="str">
        <f>HYPERLINK("#노임!A13","L001020701000028 →")</f>
        <v>L001020701000028 →</v>
      </c>
    </row>
    <row r="114" spans="1:61" ht="18.399999999999999" customHeight="1" x14ac:dyDescent="0.15">
      <c r="A114" s="11" t="s">
        <v>628</v>
      </c>
      <c r="B114" s="2" t="s">
        <v>1024</v>
      </c>
      <c r="C114" s="2">
        <v>7.6999999999999999E-2</v>
      </c>
      <c r="D114" s="2" t="s">
        <v>1735</v>
      </c>
      <c r="E114" s="24">
        <f t="shared" si="14"/>
        <v>214222</v>
      </c>
      <c r="F114" s="24">
        <f t="shared" si="13"/>
        <v>16495</v>
      </c>
      <c r="G114" s="24">
        <v>0</v>
      </c>
      <c r="H114" s="24"/>
      <c r="I114" s="24">
        <f>노임!D5</f>
        <v>214222</v>
      </c>
      <c r="J114" s="24">
        <f>TRUNC(I114*C114,0)</f>
        <v>16495</v>
      </c>
      <c r="K114" s="24">
        <v>0</v>
      </c>
      <c r="L114" s="24"/>
      <c r="M114" s="18" t="s">
        <v>1850</v>
      </c>
      <c r="N114" t="s">
        <v>1850</v>
      </c>
      <c r="P114" t="s">
        <v>1619</v>
      </c>
      <c r="Q114" t="s">
        <v>1850</v>
      </c>
      <c r="R114" t="s">
        <v>511</v>
      </c>
      <c r="BI114" s="29" t="str">
        <f>HYPERLINK("#노임!A5","L001010101000003 →")</f>
        <v>L001010101000003 →</v>
      </c>
    </row>
    <row r="115" spans="1:61" ht="18.399999999999999" customHeight="1" x14ac:dyDescent="0.15">
      <c r="A115" s="11" t="s">
        <v>597</v>
      </c>
      <c r="B115" s="2" t="s">
        <v>1024</v>
      </c>
      <c r="C115" s="2">
        <v>7.6999999999999999E-2</v>
      </c>
      <c r="D115" s="2" t="s">
        <v>1735</v>
      </c>
      <c r="E115" s="24">
        <f t="shared" si="14"/>
        <v>165545</v>
      </c>
      <c r="F115" s="24">
        <f t="shared" si="13"/>
        <v>12746</v>
      </c>
      <c r="G115" s="24">
        <v>0</v>
      </c>
      <c r="H115" s="24"/>
      <c r="I115" s="24">
        <f>노임!D4</f>
        <v>165545</v>
      </c>
      <c r="J115" s="24">
        <f>TRUNC(I115*C115,0)</f>
        <v>12746</v>
      </c>
      <c r="K115" s="24">
        <v>0</v>
      </c>
      <c r="L115" s="24"/>
      <c r="M115" s="18" t="s">
        <v>1850</v>
      </c>
      <c r="N115" t="s">
        <v>1850</v>
      </c>
      <c r="P115" t="s">
        <v>1167</v>
      </c>
      <c r="Q115" t="s">
        <v>1850</v>
      </c>
      <c r="R115" t="s">
        <v>1563</v>
      </c>
      <c r="BI115" s="29" t="str">
        <f>HYPERLINK("#노임!A4","L001010101000002 →")</f>
        <v>L001010101000002 →</v>
      </c>
    </row>
    <row r="116" spans="1:61" ht="18.399999999999999" customHeight="1" x14ac:dyDescent="0.15">
      <c r="A116" s="11" t="s">
        <v>291</v>
      </c>
      <c r="B116" s="2" t="s">
        <v>332</v>
      </c>
      <c r="C116" s="2">
        <v>3.5000000000000003E-2</v>
      </c>
      <c r="D116" s="2" t="s">
        <v>1570</v>
      </c>
      <c r="E116" s="24">
        <f t="shared" si="14"/>
        <v>505806.13</v>
      </c>
      <c r="F116" s="24">
        <f t="shared" si="13"/>
        <v>17702</v>
      </c>
      <c r="G116" s="24">
        <f>중기사용료목록!E39</f>
        <v>284819.13</v>
      </c>
      <c r="H116" s="24">
        <f>TRUNC(G116*C116,0)</f>
        <v>9968</v>
      </c>
      <c r="I116" s="24">
        <f>중기사용료목록!F39</f>
        <v>55700</v>
      </c>
      <c r="J116" s="24">
        <f>TRUNC(I116*C116,0)</f>
        <v>1949</v>
      </c>
      <c r="K116" s="24">
        <f>중기사용료목록!G39</f>
        <v>165287</v>
      </c>
      <c r="L116" s="24">
        <f>TRUNC(K116*C116,0)</f>
        <v>5785</v>
      </c>
      <c r="M116" s="18" t="s">
        <v>1850</v>
      </c>
      <c r="N116" t="s">
        <v>1850</v>
      </c>
      <c r="P116" t="s">
        <v>715</v>
      </c>
      <c r="Q116" t="s">
        <v>1850</v>
      </c>
      <c r="R116" t="s">
        <v>1495</v>
      </c>
      <c r="AA116" s="33" t="s">
        <v>1396</v>
      </c>
      <c r="AB116" s="8">
        <f>(일위대가_호표!J113+일위대가_호표!J114+일위대가_호표!J115)*0.03</f>
        <v>975.44999999999993</v>
      </c>
      <c r="AC116" s="33" t="s">
        <v>1559</v>
      </c>
      <c r="AD116" s="7">
        <f>$AB116</f>
        <v>975.44999999999993</v>
      </c>
      <c r="BI116" s="29" t="str">
        <f>HYPERLINK("#중기사용료목록!A39","EDD00060200 →")</f>
        <v>EDD00060200 →</v>
      </c>
    </row>
    <row r="117" spans="1:61" ht="18.399999999999999" customHeight="1" x14ac:dyDescent="0.15">
      <c r="A117" s="11" t="s">
        <v>1569</v>
      </c>
      <c r="B117" s="2" t="s">
        <v>1125</v>
      </c>
      <c r="C117" s="2">
        <v>1</v>
      </c>
      <c r="D117" s="2" t="s">
        <v>1529</v>
      </c>
      <c r="E117" s="24">
        <f t="shared" si="14"/>
        <v>0</v>
      </c>
      <c r="F117" s="24">
        <f t="shared" si="13"/>
        <v>975</v>
      </c>
      <c r="G117" s="1"/>
      <c r="H117" s="24">
        <f>TRUNC(((J113+J114+J115)*0.03),0)</f>
        <v>975</v>
      </c>
      <c r="I117" s="1"/>
      <c r="J117" s="24">
        <v>0</v>
      </c>
      <c r="K117" s="1"/>
      <c r="L117" s="24">
        <v>0</v>
      </c>
      <c r="M117" s="18" t="s">
        <v>1850</v>
      </c>
      <c r="N117" t="s">
        <v>1850</v>
      </c>
      <c r="P117" t="s">
        <v>207</v>
      </c>
      <c r="Q117" t="s">
        <v>1850</v>
      </c>
      <c r="R117" t="s">
        <v>1589</v>
      </c>
      <c r="X117" t="s">
        <v>168</v>
      </c>
      <c r="AA117" s="33" t="s">
        <v>615</v>
      </c>
      <c r="AB117" s="8">
        <f>(일위대가_호표!J113+일위대가_호표!J114+일위대가_호표!J115)*0.02</f>
        <v>650.30000000000007</v>
      </c>
      <c r="AC117" s="33" t="s">
        <v>1036</v>
      </c>
      <c r="AD117" s="7">
        <f>$AB117</f>
        <v>650.30000000000007</v>
      </c>
    </row>
    <row r="118" spans="1:61" ht="18.399999999999999" customHeight="1" x14ac:dyDescent="0.15">
      <c r="A118" s="11" t="s">
        <v>225</v>
      </c>
      <c r="B118" s="2" t="s">
        <v>1765</v>
      </c>
      <c r="C118" s="2">
        <v>1</v>
      </c>
      <c r="D118" s="2" t="s">
        <v>1529</v>
      </c>
      <c r="E118" s="24">
        <f t="shared" si="14"/>
        <v>0</v>
      </c>
      <c r="F118" s="24">
        <f t="shared" si="13"/>
        <v>650</v>
      </c>
      <c r="G118" s="1"/>
      <c r="H118" s="24">
        <v>0</v>
      </c>
      <c r="I118" s="1"/>
      <c r="J118" s="24">
        <v>0</v>
      </c>
      <c r="K118" s="1"/>
      <c r="L118" s="24">
        <f>TRUNC(((J113+J114+J115)*0.02),0)</f>
        <v>650</v>
      </c>
      <c r="M118" s="18" t="s">
        <v>1850</v>
      </c>
      <c r="N118" t="s">
        <v>1850</v>
      </c>
      <c r="P118" t="s">
        <v>1598</v>
      </c>
      <c r="Q118" t="s">
        <v>1850</v>
      </c>
      <c r="R118" t="s">
        <v>1589</v>
      </c>
      <c r="X118" t="s">
        <v>235</v>
      </c>
    </row>
    <row r="119" spans="1:61" ht="18.399999999999999" customHeight="1" x14ac:dyDescent="0.15">
      <c r="A119" s="4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6"/>
    </row>
    <row r="120" spans="1:61" ht="18.399999999999999" customHeight="1" x14ac:dyDescent="0.15">
      <c r="A120" s="11" t="s">
        <v>814</v>
      </c>
      <c r="B120" s="2" t="s">
        <v>1499</v>
      </c>
      <c r="C120" s="2">
        <v>1</v>
      </c>
      <c r="D120" s="2" t="s">
        <v>1134</v>
      </c>
      <c r="F120" s="24">
        <f t="shared" ref="F120:F126" si="15">H120+J120+L120</f>
        <v>19938</v>
      </c>
      <c r="H120" s="24">
        <f>TRUNC(H121+H122+H123+H124+H125+H126,0)</f>
        <v>859</v>
      </c>
      <c r="J120" s="24">
        <f>TRUNC(J121+J122+J123+J124+J125+J126,0)</f>
        <v>16131</v>
      </c>
      <c r="L120" s="24">
        <f>TRUNC(L121+L122+L123+L124+L125+L126,0)</f>
        <v>2948</v>
      </c>
      <c r="M120" s="18" t="s">
        <v>1850</v>
      </c>
      <c r="N120" t="s">
        <v>1850</v>
      </c>
      <c r="O120" t="s">
        <v>1237</v>
      </c>
    </row>
    <row r="121" spans="1:61" ht="18.399999999999999" customHeight="1" x14ac:dyDescent="0.15">
      <c r="A121" s="11" t="s">
        <v>801</v>
      </c>
      <c r="B121" s="2" t="s">
        <v>1277</v>
      </c>
      <c r="C121" s="2">
        <v>8.0000000000000002E-3</v>
      </c>
      <c r="D121" s="2" t="s">
        <v>1735</v>
      </c>
      <c r="E121" s="24">
        <f t="shared" ref="E121:E126" si="16">G121+I121+K121</f>
        <v>272915</v>
      </c>
      <c r="F121" s="24">
        <f t="shared" si="15"/>
        <v>2183</v>
      </c>
      <c r="G121" s="24">
        <v>0</v>
      </c>
      <c r="H121" s="24"/>
      <c r="I121" s="24">
        <f>노임!D13</f>
        <v>272915</v>
      </c>
      <c r="J121" s="24">
        <f>TRUNC(I121*C121,0)</f>
        <v>2183</v>
      </c>
      <c r="K121" s="24">
        <v>0</v>
      </c>
      <c r="L121" s="24"/>
      <c r="M121" s="18" t="s">
        <v>1850</v>
      </c>
      <c r="N121" t="s">
        <v>1850</v>
      </c>
      <c r="P121" t="s">
        <v>239</v>
      </c>
      <c r="Q121" t="s">
        <v>1850</v>
      </c>
      <c r="R121" t="s">
        <v>1435</v>
      </c>
      <c r="BI121" s="29" t="str">
        <f>HYPERLINK("#노임!A13","L001020701000028 →")</f>
        <v>L001020701000028 →</v>
      </c>
    </row>
    <row r="122" spans="1:61" ht="18.399999999999999" customHeight="1" x14ac:dyDescent="0.15">
      <c r="A122" s="11" t="s">
        <v>628</v>
      </c>
      <c r="B122" s="2" t="s">
        <v>1024</v>
      </c>
      <c r="C122" s="2">
        <v>3.6999999999999998E-2</v>
      </c>
      <c r="D122" s="2" t="s">
        <v>1735</v>
      </c>
      <c r="E122" s="24">
        <f t="shared" si="16"/>
        <v>214222</v>
      </c>
      <c r="F122" s="24">
        <f t="shared" si="15"/>
        <v>7926</v>
      </c>
      <c r="G122" s="24">
        <v>0</v>
      </c>
      <c r="H122" s="24"/>
      <c r="I122" s="24">
        <f>노임!D5</f>
        <v>214222</v>
      </c>
      <c r="J122" s="24">
        <f>TRUNC(I122*C122,0)</f>
        <v>7926</v>
      </c>
      <c r="K122" s="24">
        <v>0</v>
      </c>
      <c r="L122" s="24"/>
      <c r="M122" s="18" t="s">
        <v>1850</v>
      </c>
      <c r="N122" t="s">
        <v>1850</v>
      </c>
      <c r="P122" t="s">
        <v>1619</v>
      </c>
      <c r="Q122" t="s">
        <v>1850</v>
      </c>
      <c r="R122" t="s">
        <v>511</v>
      </c>
      <c r="BI122" s="29" t="str">
        <f>HYPERLINK("#노임!A5","L001010101000003 →")</f>
        <v>L001010101000003 →</v>
      </c>
    </row>
    <row r="123" spans="1:61" ht="18.399999999999999" customHeight="1" x14ac:dyDescent="0.15">
      <c r="A123" s="11" t="s">
        <v>597</v>
      </c>
      <c r="B123" s="2" t="s">
        <v>1024</v>
      </c>
      <c r="C123" s="2">
        <v>3.1E-2</v>
      </c>
      <c r="D123" s="2" t="s">
        <v>1735</v>
      </c>
      <c r="E123" s="24">
        <f t="shared" si="16"/>
        <v>165545</v>
      </c>
      <c r="F123" s="24">
        <f t="shared" si="15"/>
        <v>5131</v>
      </c>
      <c r="G123" s="24">
        <v>0</v>
      </c>
      <c r="H123" s="24"/>
      <c r="I123" s="24">
        <f>노임!D4</f>
        <v>165545</v>
      </c>
      <c r="J123" s="24">
        <f>TRUNC(I123*C123,0)</f>
        <v>5131</v>
      </c>
      <c r="K123" s="24">
        <v>0</v>
      </c>
      <c r="L123" s="24"/>
      <c r="M123" s="18" t="s">
        <v>1850</v>
      </c>
      <c r="N123" t="s">
        <v>1850</v>
      </c>
      <c r="P123" t="s">
        <v>1167</v>
      </c>
      <c r="Q123" t="s">
        <v>1850</v>
      </c>
      <c r="R123" t="s">
        <v>1563</v>
      </c>
      <c r="BI123" s="29" t="str">
        <f>HYPERLINK("#노임!A4","L001010101000002 →")</f>
        <v>L001010101000002 →</v>
      </c>
    </row>
    <row r="124" spans="1:61" ht="18.399999999999999" customHeight="1" x14ac:dyDescent="0.15">
      <c r="A124" s="11" t="s">
        <v>156</v>
      </c>
      <c r="B124" s="2" t="s">
        <v>332</v>
      </c>
      <c r="C124" s="2">
        <v>1.6E-2</v>
      </c>
      <c r="D124" s="2" t="s">
        <v>1570</v>
      </c>
      <c r="E124" s="24">
        <f t="shared" si="16"/>
        <v>246164.38</v>
      </c>
      <c r="F124" s="24">
        <f t="shared" si="15"/>
        <v>3937</v>
      </c>
      <c r="G124" s="24">
        <f>중기사용료목록!E40</f>
        <v>25177.38</v>
      </c>
      <c r="H124" s="24">
        <f>TRUNC(G124*C124,0)</f>
        <v>402</v>
      </c>
      <c r="I124" s="24">
        <f>중기사용료목록!F40</f>
        <v>55700</v>
      </c>
      <c r="J124" s="24">
        <f>TRUNC(I124*C124,0)</f>
        <v>891</v>
      </c>
      <c r="K124" s="24">
        <f>중기사용료목록!G40</f>
        <v>165287</v>
      </c>
      <c r="L124" s="24">
        <f>TRUNC(K124*C124,0)</f>
        <v>2644</v>
      </c>
      <c r="M124" s="18" t="s">
        <v>1850</v>
      </c>
      <c r="N124" t="s">
        <v>1850</v>
      </c>
      <c r="P124" t="s">
        <v>715</v>
      </c>
      <c r="Q124" t="s">
        <v>1850</v>
      </c>
      <c r="R124" t="s">
        <v>1039</v>
      </c>
      <c r="AA124" s="33" t="s">
        <v>1396</v>
      </c>
      <c r="AB124" s="8">
        <f>(일위대가_호표!J121+일위대가_호표!J122+일위대가_호표!J123)*0.03</f>
        <v>457.2</v>
      </c>
      <c r="AC124" s="33" t="s">
        <v>1559</v>
      </c>
      <c r="AD124" s="7">
        <f>$AB124</f>
        <v>457.2</v>
      </c>
      <c r="BI124" s="29" t="str">
        <f>HYPERLINK("#중기사용료목록!A40","EDD00060210 →")</f>
        <v>EDD00060210 →</v>
      </c>
    </row>
    <row r="125" spans="1:61" ht="18.399999999999999" customHeight="1" x14ac:dyDescent="0.15">
      <c r="A125" s="11" t="s">
        <v>1569</v>
      </c>
      <c r="B125" s="2" t="s">
        <v>1125</v>
      </c>
      <c r="C125" s="2">
        <v>1</v>
      </c>
      <c r="D125" s="2" t="s">
        <v>1529</v>
      </c>
      <c r="E125" s="24">
        <f t="shared" si="16"/>
        <v>0</v>
      </c>
      <c r="F125" s="24">
        <f t="shared" si="15"/>
        <v>457</v>
      </c>
      <c r="G125" s="1"/>
      <c r="H125" s="24">
        <f>TRUNC(((J121+J122+J123)*0.03),0)</f>
        <v>457</v>
      </c>
      <c r="I125" s="1"/>
      <c r="J125" s="24">
        <v>0</v>
      </c>
      <c r="K125" s="1"/>
      <c r="L125" s="24">
        <v>0</v>
      </c>
      <c r="M125" s="18" t="s">
        <v>1850</v>
      </c>
      <c r="N125" t="s">
        <v>1850</v>
      </c>
      <c r="P125" t="s">
        <v>207</v>
      </c>
      <c r="Q125" t="s">
        <v>1850</v>
      </c>
      <c r="R125" t="s">
        <v>1589</v>
      </c>
      <c r="X125" t="s">
        <v>168</v>
      </c>
      <c r="AA125" s="33" t="s">
        <v>615</v>
      </c>
      <c r="AB125" s="8">
        <f>(일위대가_호표!J121+일위대가_호표!J122+일위대가_호표!J123)*0.02</f>
        <v>304.8</v>
      </c>
      <c r="AC125" s="33" t="s">
        <v>1036</v>
      </c>
      <c r="AD125" s="7">
        <f>$AB125</f>
        <v>304.8</v>
      </c>
    </row>
    <row r="126" spans="1:61" ht="18.399999999999999" customHeight="1" x14ac:dyDescent="0.15">
      <c r="A126" s="11" t="s">
        <v>225</v>
      </c>
      <c r="B126" s="2" t="s">
        <v>1765</v>
      </c>
      <c r="C126" s="2">
        <v>1</v>
      </c>
      <c r="D126" s="2" t="s">
        <v>1529</v>
      </c>
      <c r="E126" s="24">
        <f t="shared" si="16"/>
        <v>0</v>
      </c>
      <c r="F126" s="24">
        <f t="shared" si="15"/>
        <v>304</v>
      </c>
      <c r="G126" s="1"/>
      <c r="H126" s="24">
        <v>0</v>
      </c>
      <c r="I126" s="1"/>
      <c r="J126" s="24">
        <v>0</v>
      </c>
      <c r="K126" s="1"/>
      <c r="L126" s="24">
        <f>TRUNC(((J121+J122+J123)*0.02),0)</f>
        <v>304</v>
      </c>
      <c r="M126" s="18" t="s">
        <v>1850</v>
      </c>
      <c r="N126" t="s">
        <v>1850</v>
      </c>
      <c r="P126" t="s">
        <v>1598</v>
      </c>
      <c r="Q126" t="s">
        <v>1850</v>
      </c>
      <c r="R126" t="s">
        <v>1589</v>
      </c>
      <c r="X126" t="s">
        <v>235</v>
      </c>
    </row>
    <row r="127" spans="1:61" ht="18.399999999999999" customHeight="1" x14ac:dyDescent="0.15">
      <c r="A127" s="4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6"/>
    </row>
    <row r="128" spans="1:61" ht="18.399999999999999" customHeight="1" x14ac:dyDescent="0.15">
      <c r="A128" s="11" t="s">
        <v>282</v>
      </c>
      <c r="B128" s="2" t="s">
        <v>1499</v>
      </c>
      <c r="C128" s="2">
        <v>1</v>
      </c>
      <c r="D128" s="2" t="s">
        <v>1201</v>
      </c>
      <c r="F128" s="24">
        <f t="shared" ref="F128:F136" si="17">H128+J128+L128</f>
        <v>482531</v>
      </c>
      <c r="H128" s="24">
        <f>TRUNC(H129+H130+H131+H132+H133+H134+H135+H136,0)</f>
        <v>15457</v>
      </c>
      <c r="J128" s="24">
        <f>TRUNC(J129+J130+J131+J132+J133+J134+J135+J136,0)</f>
        <v>444781</v>
      </c>
      <c r="L128" s="24">
        <f>TRUNC(L129+L130+L131+L132+L133+L134+L135+L136,0)</f>
        <v>22293</v>
      </c>
      <c r="M128" s="18" t="s">
        <v>1850</v>
      </c>
      <c r="N128" t="s">
        <v>1850</v>
      </c>
      <c r="O128" t="s">
        <v>549</v>
      </c>
    </row>
    <row r="129" spans="1:61" ht="18.399999999999999" customHeight="1" x14ac:dyDescent="0.15">
      <c r="A129" s="11" t="s">
        <v>881</v>
      </c>
      <c r="B129" s="2" t="s">
        <v>1024</v>
      </c>
      <c r="C129" s="2">
        <v>0.68700000000000006</v>
      </c>
      <c r="D129" s="2" t="s">
        <v>1735</v>
      </c>
      <c r="E129" s="24">
        <f t="shared" ref="E129:E136" si="18">G129+I129+K129</f>
        <v>243168</v>
      </c>
      <c r="F129" s="24">
        <f t="shared" si="17"/>
        <v>167056</v>
      </c>
      <c r="G129" s="24">
        <v>0</v>
      </c>
      <c r="H129" s="24"/>
      <c r="I129" s="24">
        <f>노임!D11</f>
        <v>243168</v>
      </c>
      <c r="J129" s="24">
        <f t="shared" ref="J129:J134" si="19">TRUNC(I129*C129,0)</f>
        <v>167056</v>
      </c>
      <c r="K129" s="24">
        <v>0</v>
      </c>
      <c r="L129" s="24"/>
      <c r="M129" s="18" t="s">
        <v>1850</v>
      </c>
      <c r="N129" t="s">
        <v>1850</v>
      </c>
      <c r="P129" t="s">
        <v>239</v>
      </c>
      <c r="Q129" t="s">
        <v>1850</v>
      </c>
      <c r="R129" t="s">
        <v>1823</v>
      </c>
      <c r="BI129" s="29" t="str">
        <f>HYPERLINK("#노임!A11","L001010101000040 →")</f>
        <v>L001010101000040 →</v>
      </c>
    </row>
    <row r="130" spans="1:61" ht="18.399999999999999" customHeight="1" x14ac:dyDescent="0.15">
      <c r="A130" s="11" t="s">
        <v>628</v>
      </c>
      <c r="B130" s="2" t="s">
        <v>1024</v>
      </c>
      <c r="C130" s="2">
        <v>0.34300000000000003</v>
      </c>
      <c r="D130" s="2" t="s">
        <v>1735</v>
      </c>
      <c r="E130" s="24">
        <f t="shared" si="18"/>
        <v>214222</v>
      </c>
      <c r="F130" s="24">
        <f t="shared" si="17"/>
        <v>73478</v>
      </c>
      <c r="G130" s="24">
        <v>0</v>
      </c>
      <c r="H130" s="24"/>
      <c r="I130" s="24">
        <f>노임!D5</f>
        <v>214222</v>
      </c>
      <c r="J130" s="24">
        <f t="shared" si="19"/>
        <v>73478</v>
      </c>
      <c r="K130" s="24">
        <v>0</v>
      </c>
      <c r="L130" s="24"/>
      <c r="M130" s="18" t="s">
        <v>1850</v>
      </c>
      <c r="N130" t="s">
        <v>1850</v>
      </c>
      <c r="P130" t="s">
        <v>1619</v>
      </c>
      <c r="Q130" t="s">
        <v>1850</v>
      </c>
      <c r="R130" t="s">
        <v>511</v>
      </c>
      <c r="BI130" s="29" t="str">
        <f>HYPERLINK("#노임!A5","L001010101000003 →")</f>
        <v>L001010101000003 →</v>
      </c>
    </row>
    <row r="131" spans="1:61" ht="18.399999999999999" customHeight="1" x14ac:dyDescent="0.15">
      <c r="A131" s="11" t="s">
        <v>597</v>
      </c>
      <c r="B131" s="2" t="s">
        <v>1024</v>
      </c>
      <c r="C131" s="2">
        <v>1.0309999999999999</v>
      </c>
      <c r="D131" s="2" t="s">
        <v>1735</v>
      </c>
      <c r="E131" s="24">
        <f t="shared" si="18"/>
        <v>165545</v>
      </c>
      <c r="F131" s="24">
        <f t="shared" si="17"/>
        <v>170676</v>
      </c>
      <c r="G131" s="24">
        <v>0</v>
      </c>
      <c r="H131" s="24"/>
      <c r="I131" s="24">
        <f>노임!D4</f>
        <v>165545</v>
      </c>
      <c r="J131" s="24">
        <f t="shared" si="19"/>
        <v>170676</v>
      </c>
      <c r="K131" s="24">
        <v>0</v>
      </c>
      <c r="L131" s="24"/>
      <c r="M131" s="18" t="s">
        <v>1850</v>
      </c>
      <c r="N131" t="s">
        <v>1850</v>
      </c>
      <c r="P131" t="s">
        <v>1167</v>
      </c>
      <c r="Q131" t="s">
        <v>1850</v>
      </c>
      <c r="R131" t="s">
        <v>1563</v>
      </c>
      <c r="BI131" s="29" t="str">
        <f>HYPERLINK("#노임!A4","L001010101000002 →")</f>
        <v>L001010101000002 →</v>
      </c>
    </row>
    <row r="132" spans="1:61" ht="18.399999999999999" customHeight="1" x14ac:dyDescent="0.15">
      <c r="A132" s="11" t="s">
        <v>627</v>
      </c>
      <c r="B132" s="2" t="s">
        <v>1499</v>
      </c>
      <c r="C132" s="2">
        <v>1.4</v>
      </c>
      <c r="D132" s="2" t="s">
        <v>1570</v>
      </c>
      <c r="E132" s="24">
        <f t="shared" si="18"/>
        <v>4800</v>
      </c>
      <c r="F132" s="24">
        <f t="shared" si="17"/>
        <v>6720</v>
      </c>
      <c r="G132" s="24">
        <f>중기사용료목록!E41</f>
        <v>0</v>
      </c>
      <c r="H132" s="24">
        <f>TRUNC(G132*C132,0)</f>
        <v>0</v>
      </c>
      <c r="I132" s="24">
        <f>중기사용료목록!F41</f>
        <v>0</v>
      </c>
      <c r="J132" s="24">
        <f t="shared" si="19"/>
        <v>0</v>
      </c>
      <c r="K132" s="24">
        <f>중기사용료목록!G41</f>
        <v>4800</v>
      </c>
      <c r="L132" s="24">
        <f>TRUNC(K132*C132,0)</f>
        <v>6720</v>
      </c>
      <c r="M132" s="18" t="s">
        <v>1850</v>
      </c>
      <c r="N132" t="s">
        <v>1850</v>
      </c>
      <c r="P132" t="s">
        <v>715</v>
      </c>
      <c r="Q132" t="s">
        <v>1850</v>
      </c>
      <c r="R132" t="s">
        <v>470</v>
      </c>
      <c r="BI132" s="29" t="str">
        <f>HYPERLINK("#중기사용료목록!A41","EDD00070250 →")</f>
        <v>EDD00070250 →</v>
      </c>
    </row>
    <row r="133" spans="1:61" ht="18.399999999999999" customHeight="1" x14ac:dyDescent="0.15">
      <c r="A133" s="11" t="s">
        <v>1242</v>
      </c>
      <c r="B133" s="2" t="s">
        <v>1742</v>
      </c>
      <c r="C133" s="2">
        <v>1</v>
      </c>
      <c r="D133" s="2" t="s">
        <v>1570</v>
      </c>
      <c r="E133" s="24">
        <f t="shared" si="18"/>
        <v>44041.599999999999</v>
      </c>
      <c r="F133" s="24">
        <f t="shared" si="17"/>
        <v>44041</v>
      </c>
      <c r="G133" s="24">
        <f>중기사용료목록!E28</f>
        <v>7233.6</v>
      </c>
      <c r="H133" s="24">
        <f>TRUNC(G133*C133,0)</f>
        <v>7233</v>
      </c>
      <c r="I133" s="24">
        <f>중기사용료목록!F28</f>
        <v>33571</v>
      </c>
      <c r="J133" s="24">
        <f t="shared" si="19"/>
        <v>33571</v>
      </c>
      <c r="K133" s="24">
        <f>중기사용료목록!G28</f>
        <v>3237</v>
      </c>
      <c r="L133" s="24">
        <f>TRUNC(K133*C133,0)</f>
        <v>3237</v>
      </c>
      <c r="M133" s="18" t="s">
        <v>1850</v>
      </c>
      <c r="N133" t="s">
        <v>1850</v>
      </c>
      <c r="P133" t="s">
        <v>207</v>
      </c>
      <c r="Q133" t="s">
        <v>1850</v>
      </c>
      <c r="R133" t="s">
        <v>163</v>
      </c>
      <c r="BI133" s="29" t="str">
        <f>HYPERLINK("#중기사용료목록!A28","E00007505002500000 →")</f>
        <v>E00007505002500000 →</v>
      </c>
    </row>
    <row r="134" spans="1:61" ht="18.399999999999999" customHeight="1" x14ac:dyDescent="0.15">
      <c r="A134" s="11" t="s">
        <v>1018</v>
      </c>
      <c r="B134" s="2" t="s">
        <v>1352</v>
      </c>
      <c r="C134" s="2">
        <v>0</v>
      </c>
      <c r="D134" s="2" t="s">
        <v>1570</v>
      </c>
      <c r="E134" s="24">
        <f t="shared" si="18"/>
        <v>85742.06</v>
      </c>
      <c r="F134" s="24">
        <f t="shared" si="17"/>
        <v>0</v>
      </c>
      <c r="G134" s="24">
        <f>중기사용료목록!E18</f>
        <v>16768.060000000001</v>
      </c>
      <c r="H134" s="24">
        <f>TRUNC(G134*C134,0)</f>
        <v>0</v>
      </c>
      <c r="I134" s="24">
        <f>중기사용료목록!F18</f>
        <v>47231</v>
      </c>
      <c r="J134" s="24">
        <f t="shared" si="19"/>
        <v>0</v>
      </c>
      <c r="K134" s="24">
        <f>중기사용료목록!G18</f>
        <v>21743</v>
      </c>
      <c r="L134" s="24">
        <f>TRUNC(K134*C134,0)</f>
        <v>0</v>
      </c>
      <c r="M134" s="18" t="s">
        <v>1850</v>
      </c>
      <c r="N134" t="s">
        <v>1850</v>
      </c>
      <c r="P134" t="s">
        <v>1598</v>
      </c>
      <c r="Q134" t="s">
        <v>1850</v>
      </c>
      <c r="R134" t="s">
        <v>665</v>
      </c>
      <c r="AA134" s="33" t="s">
        <v>615</v>
      </c>
      <c r="AB134" s="8">
        <f>(일위대가_호표!J129+일위대가_호표!J130+일위대가_호표!J131)*0.03</f>
        <v>12336.3</v>
      </c>
      <c r="AC134" s="33" t="s">
        <v>1036</v>
      </c>
      <c r="AD134" s="7">
        <f>$AB134</f>
        <v>12336.3</v>
      </c>
      <c r="BI134" s="29" t="str">
        <f>HYPERLINK("#중기사용료목록!A18","E00002105001000000 →")</f>
        <v>E00002105001000000 →</v>
      </c>
    </row>
    <row r="135" spans="1:61" ht="18.399999999999999" customHeight="1" x14ac:dyDescent="0.15">
      <c r="A135" s="11" t="s">
        <v>1569</v>
      </c>
      <c r="B135" s="2" t="s">
        <v>1125</v>
      </c>
      <c r="C135" s="2">
        <v>1</v>
      </c>
      <c r="D135" s="2" t="s">
        <v>1529</v>
      </c>
      <c r="E135" s="24">
        <f t="shared" si="18"/>
        <v>0</v>
      </c>
      <c r="F135" s="24">
        <f t="shared" si="17"/>
        <v>12336</v>
      </c>
      <c r="G135" s="1"/>
      <c r="H135" s="24">
        <v>0</v>
      </c>
      <c r="I135" s="1"/>
      <c r="J135" s="24">
        <v>0</v>
      </c>
      <c r="K135" s="1"/>
      <c r="L135" s="24">
        <f>TRUNC(((J129+J130+J131)*0.03),0)</f>
        <v>12336</v>
      </c>
      <c r="M135" s="18" t="s">
        <v>1850</v>
      </c>
      <c r="N135" t="s">
        <v>1850</v>
      </c>
      <c r="P135" t="s">
        <v>1137</v>
      </c>
      <c r="Q135" t="s">
        <v>1850</v>
      </c>
      <c r="R135" t="s">
        <v>1589</v>
      </c>
      <c r="X135" t="s">
        <v>1017</v>
      </c>
      <c r="AA135" s="33" t="s">
        <v>1396</v>
      </c>
      <c r="AB135" s="8">
        <f>(일위대가_호표!J129+일위대가_호표!J130+일위대가_호표!J131)*0.02</f>
        <v>8224.2000000000007</v>
      </c>
      <c r="AC135" s="33" t="s">
        <v>1559</v>
      </c>
      <c r="AD135" s="7">
        <f>$AB135</f>
        <v>8224.2000000000007</v>
      </c>
    </row>
    <row r="136" spans="1:61" ht="18.399999999999999" customHeight="1" x14ac:dyDescent="0.15">
      <c r="A136" s="11" t="s">
        <v>225</v>
      </c>
      <c r="B136" s="2" t="s">
        <v>1765</v>
      </c>
      <c r="C136" s="2">
        <v>1</v>
      </c>
      <c r="D136" s="2" t="s">
        <v>1529</v>
      </c>
      <c r="E136" s="24">
        <f t="shared" si="18"/>
        <v>0</v>
      </c>
      <c r="F136" s="24">
        <f t="shared" si="17"/>
        <v>8224</v>
      </c>
      <c r="G136" s="1"/>
      <c r="H136" s="24">
        <f>TRUNC(((J129+J130+J131)*0.02),0)</f>
        <v>8224</v>
      </c>
      <c r="I136" s="1"/>
      <c r="J136" s="24">
        <v>0</v>
      </c>
      <c r="K136" s="1"/>
      <c r="L136" s="24">
        <v>0</v>
      </c>
      <c r="M136" s="18" t="s">
        <v>1850</v>
      </c>
      <c r="N136" t="s">
        <v>1850</v>
      </c>
      <c r="P136" t="s">
        <v>677</v>
      </c>
      <c r="Q136" t="s">
        <v>1850</v>
      </c>
      <c r="R136" t="s">
        <v>1589</v>
      </c>
      <c r="X136" t="s">
        <v>993</v>
      </c>
    </row>
    <row r="137" spans="1:61" ht="18.399999999999999" customHeight="1" x14ac:dyDescent="0.15">
      <c r="A137" s="4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6"/>
    </row>
    <row r="138" spans="1:61" ht="18.399999999999999" customHeight="1" x14ac:dyDescent="0.15">
      <c r="A138" s="11" t="s">
        <v>445</v>
      </c>
      <c r="B138" s="2" t="s">
        <v>1286</v>
      </c>
      <c r="C138" s="2">
        <v>1</v>
      </c>
      <c r="D138" s="2" t="s">
        <v>1134</v>
      </c>
      <c r="F138" s="24">
        <f t="shared" ref="F138:F145" si="20">H138+J138+L138</f>
        <v>1948</v>
      </c>
      <c r="H138" s="24">
        <f>TRUNC(H145,0)</f>
        <v>582</v>
      </c>
      <c r="J138" s="24">
        <f>TRUNC(J145,0)</f>
        <v>1296</v>
      </c>
      <c r="L138" s="24">
        <f>TRUNC(L145,0)</f>
        <v>70</v>
      </c>
      <c r="M138" s="18" t="s">
        <v>1475</v>
      </c>
      <c r="N138" t="s">
        <v>1850</v>
      </c>
      <c r="O138" t="s">
        <v>1115</v>
      </c>
    </row>
    <row r="139" spans="1:61" ht="18.399999999999999" customHeight="1" x14ac:dyDescent="0.15">
      <c r="A139" s="11" t="s">
        <v>628</v>
      </c>
      <c r="B139" s="2" t="s">
        <v>1024</v>
      </c>
      <c r="C139" s="2">
        <v>1</v>
      </c>
      <c r="D139" s="2" t="s">
        <v>1735</v>
      </c>
      <c r="E139" s="24">
        <f t="shared" ref="E139:E145" si="21">G139+I139+K139</f>
        <v>214222</v>
      </c>
      <c r="F139" s="24">
        <f t="shared" si="20"/>
        <v>214222</v>
      </c>
      <c r="G139" s="24">
        <v>0</v>
      </c>
      <c r="H139" s="24"/>
      <c r="I139" s="24">
        <f>노임!D5</f>
        <v>214222</v>
      </c>
      <c r="J139" s="24">
        <f>TRUNC(I139*C139,0)</f>
        <v>214222</v>
      </c>
      <c r="K139" s="24">
        <v>0</v>
      </c>
      <c r="L139" s="24"/>
      <c r="M139" s="18" t="s">
        <v>1850</v>
      </c>
      <c r="N139" t="s">
        <v>1850</v>
      </c>
      <c r="P139" t="s">
        <v>239</v>
      </c>
      <c r="Q139" t="s">
        <v>1217</v>
      </c>
      <c r="R139" t="s">
        <v>511</v>
      </c>
      <c r="BI139" s="29" t="str">
        <f>HYPERLINK("#노임!A5","L001010101000003 →")</f>
        <v>L001010101000003 →</v>
      </c>
    </row>
    <row r="140" spans="1:61" ht="18.399999999999999" customHeight="1" x14ac:dyDescent="0.15">
      <c r="A140" s="11" t="s">
        <v>597</v>
      </c>
      <c r="B140" s="2" t="s">
        <v>1024</v>
      </c>
      <c r="C140" s="2">
        <v>1</v>
      </c>
      <c r="D140" s="2" t="s">
        <v>1735</v>
      </c>
      <c r="E140" s="24">
        <f t="shared" si="21"/>
        <v>165545</v>
      </c>
      <c r="F140" s="24">
        <f t="shared" si="20"/>
        <v>165545</v>
      </c>
      <c r="G140" s="24">
        <v>0</v>
      </c>
      <c r="H140" s="24"/>
      <c r="I140" s="24">
        <f>노임!D4</f>
        <v>165545</v>
      </c>
      <c r="J140" s="24">
        <f>TRUNC(I140*C140,0)</f>
        <v>165545</v>
      </c>
      <c r="K140" s="24">
        <v>0</v>
      </c>
      <c r="L140" s="24"/>
      <c r="M140" s="18" t="s">
        <v>1850</v>
      </c>
      <c r="N140" t="s">
        <v>1850</v>
      </c>
      <c r="P140" t="s">
        <v>1619</v>
      </c>
      <c r="Q140" t="s">
        <v>1217</v>
      </c>
      <c r="R140" t="s">
        <v>1563</v>
      </c>
      <c r="BI140" s="29" t="str">
        <f>HYPERLINK("#노임!A4","L001010101000002 →")</f>
        <v>L001010101000002 →</v>
      </c>
    </row>
    <row r="141" spans="1:61" ht="18.399999999999999" customHeight="1" x14ac:dyDescent="0.15">
      <c r="A141" s="11" t="s">
        <v>266</v>
      </c>
      <c r="B141" s="2" t="s">
        <v>1626</v>
      </c>
      <c r="C141" s="2">
        <v>8</v>
      </c>
      <c r="D141" s="2" t="s">
        <v>1570</v>
      </c>
      <c r="E141" s="24">
        <f t="shared" si="21"/>
        <v>45081.59</v>
      </c>
      <c r="F141" s="24">
        <f t="shared" si="20"/>
        <v>360652</v>
      </c>
      <c r="G141" s="24">
        <f>중기사용료목록!E20</f>
        <v>9634.59</v>
      </c>
      <c r="H141" s="24">
        <f>TRUNC(G141*C141,0)</f>
        <v>77076</v>
      </c>
      <c r="I141" s="24">
        <f>중기사용료목록!F20</f>
        <v>33571</v>
      </c>
      <c r="J141" s="24">
        <f>TRUNC(I141*C141,0)</f>
        <v>268568</v>
      </c>
      <c r="K141" s="24">
        <f>중기사용료목록!G20</f>
        <v>1876</v>
      </c>
      <c r="L141" s="24">
        <f>TRUNC(K141*C141,0)</f>
        <v>15008</v>
      </c>
      <c r="M141" s="18" t="s">
        <v>1850</v>
      </c>
      <c r="N141" t="s">
        <v>1850</v>
      </c>
      <c r="P141" t="s">
        <v>1167</v>
      </c>
      <c r="Q141" t="s">
        <v>1217</v>
      </c>
      <c r="R141" t="s">
        <v>1087</v>
      </c>
      <c r="BI141" s="29" t="str">
        <f>HYPERLINK("#중기사용료목록!A20","E00004430040000000 →")</f>
        <v>E00004430040000000 →</v>
      </c>
    </row>
    <row r="142" spans="1:61" ht="18.399999999999999" customHeight="1" x14ac:dyDescent="0.15">
      <c r="A142" s="11" t="s">
        <v>1247</v>
      </c>
      <c r="B142" s="2" t="s">
        <v>526</v>
      </c>
      <c r="C142" s="2">
        <v>4</v>
      </c>
      <c r="D142" s="2" t="s">
        <v>1570</v>
      </c>
      <c r="E142" s="24">
        <f t="shared" si="21"/>
        <v>2480.59</v>
      </c>
      <c r="F142" s="24">
        <f t="shared" si="20"/>
        <v>9922</v>
      </c>
      <c r="G142" s="24">
        <f>중기사용료목록!E25</f>
        <v>2236.59</v>
      </c>
      <c r="H142" s="24">
        <f>TRUNC(G142*C142,0)</f>
        <v>8946</v>
      </c>
      <c r="I142" s="24">
        <f>중기사용료목록!F25</f>
        <v>0</v>
      </c>
      <c r="J142" s="24">
        <f>TRUNC(I142*C142,0)</f>
        <v>0</v>
      </c>
      <c r="K142" s="24">
        <f>중기사용료목록!G25</f>
        <v>244</v>
      </c>
      <c r="L142" s="24">
        <f>TRUNC(K142*C142,0)</f>
        <v>976</v>
      </c>
      <c r="M142" s="18" t="s">
        <v>1850</v>
      </c>
      <c r="N142" t="s">
        <v>1850</v>
      </c>
      <c r="P142" t="s">
        <v>715</v>
      </c>
      <c r="Q142" t="s">
        <v>1217</v>
      </c>
      <c r="R142" t="s">
        <v>1259</v>
      </c>
      <c r="BI142" s="29" t="str">
        <f>HYPERLINK("#중기사용료목록!A25","E00007210048500000 →")</f>
        <v>E00007210048500000 →</v>
      </c>
    </row>
    <row r="143" spans="1:61" ht="18.399999999999999" customHeight="1" x14ac:dyDescent="0.15">
      <c r="A143" s="11" t="s">
        <v>1093</v>
      </c>
      <c r="B143" s="2" t="s">
        <v>683</v>
      </c>
      <c r="C143" s="2">
        <v>1.35</v>
      </c>
      <c r="D143" s="2" t="s">
        <v>1186</v>
      </c>
      <c r="E143" s="24">
        <f t="shared" si="21"/>
        <v>152000</v>
      </c>
      <c r="F143" s="24">
        <f t="shared" si="20"/>
        <v>205200</v>
      </c>
      <c r="G143" s="24">
        <f>자재!D25</f>
        <v>152000</v>
      </c>
      <c r="H143" s="24">
        <f>TRUNC(G143*C143,0)</f>
        <v>205200</v>
      </c>
      <c r="I143" s="24">
        <v>0</v>
      </c>
      <c r="J143" s="24"/>
      <c r="K143" s="24">
        <v>0</v>
      </c>
      <c r="L143" s="24"/>
      <c r="M143" s="18" t="s">
        <v>1491</v>
      </c>
      <c r="N143" t="s">
        <v>1850</v>
      </c>
      <c r="P143" t="s">
        <v>207</v>
      </c>
      <c r="Q143" t="s">
        <v>1217</v>
      </c>
      <c r="R143" t="s">
        <v>579</v>
      </c>
      <c r="BI143" s="29" t="str">
        <f>HYPERLINK("#자재!A25","MDD0174 →")</f>
        <v>MDD0174 →</v>
      </c>
    </row>
    <row r="144" spans="1:61" ht="18.399999999999999" customHeight="1" x14ac:dyDescent="0.15">
      <c r="A144" s="11" t="s">
        <v>189</v>
      </c>
      <c r="B144" s="2" t="s">
        <v>70</v>
      </c>
      <c r="C144" s="2">
        <v>10</v>
      </c>
      <c r="D144" s="2" t="s">
        <v>661</v>
      </c>
      <c r="E144" s="24">
        <f t="shared" si="21"/>
        <v>1920</v>
      </c>
      <c r="F144" s="24">
        <f t="shared" si="20"/>
        <v>19200</v>
      </c>
      <c r="G144" s="24">
        <f>경비!D3</f>
        <v>0</v>
      </c>
      <c r="H144" s="24">
        <f>TRUNC(G144*C144,0)</f>
        <v>0</v>
      </c>
      <c r="I144" s="24">
        <f>경비!E3</f>
        <v>0</v>
      </c>
      <c r="J144" s="24">
        <f>TRUNC(I144*C144,0)</f>
        <v>0</v>
      </c>
      <c r="K144" s="24">
        <f>경비!F3</f>
        <v>1920</v>
      </c>
      <c r="L144" s="24">
        <f>TRUNC(K144*C144,0)</f>
        <v>19200</v>
      </c>
      <c r="M144" s="18" t="s">
        <v>1491</v>
      </c>
      <c r="N144" t="s">
        <v>1850</v>
      </c>
      <c r="P144" t="s">
        <v>1598</v>
      </c>
      <c r="Q144" t="s">
        <v>1217</v>
      </c>
      <c r="R144" t="s">
        <v>950</v>
      </c>
      <c r="AA144" s="33" t="s">
        <v>1396</v>
      </c>
      <c r="AB144" s="8">
        <f>ROUND((일위대가_호표!H139+일위대가_호표!H140+일위대가_호표!H141+일위대가_호표!H142+일위대가_호표!H143+일위대가_호표!H144)*0.002,2)</f>
        <v>582.44000000000005</v>
      </c>
      <c r="AC144" s="33" t="s">
        <v>1559</v>
      </c>
      <c r="AD144" s="7">
        <f>$AB144</f>
        <v>582.44000000000005</v>
      </c>
      <c r="AE144" s="33" t="s">
        <v>213</v>
      </c>
      <c r="AF144" s="8">
        <f>ROUND((일위대가_호표!J139+일위대가_호표!J140+일위대가_호표!J141+일위대가_호표!J142+일위대가_호표!J143+일위대가_호표!J144)*0.002,2)</f>
        <v>1296.67</v>
      </c>
      <c r="AG144" s="33" t="s">
        <v>762</v>
      </c>
      <c r="AH144" s="7">
        <f>$AF144</f>
        <v>1296.67</v>
      </c>
      <c r="AI144" s="33" t="s">
        <v>615</v>
      </c>
      <c r="AJ144" s="8">
        <f>ROUND((일위대가_호표!L139+일위대가_호표!L140+일위대가_호표!L141+일위대가_호표!L142+일위대가_호표!L143+일위대가_호표!L144)*0.002,2)</f>
        <v>70.37</v>
      </c>
      <c r="AK144" s="33" t="s">
        <v>1036</v>
      </c>
      <c r="AL144" s="7">
        <f>$AJ144</f>
        <v>70.37</v>
      </c>
      <c r="BI144" s="29" t="str">
        <f>HYPERLINK("#경비!A3","GDD0001 →")</f>
        <v>GDD0001 →</v>
      </c>
    </row>
    <row r="145" spans="1:61" ht="18.399999999999999" customHeight="1" x14ac:dyDescent="0.15">
      <c r="A145" s="11" t="s">
        <v>358</v>
      </c>
      <c r="B145" s="2" t="s">
        <v>1438</v>
      </c>
      <c r="C145" s="2">
        <v>1</v>
      </c>
      <c r="D145" s="2" t="s">
        <v>1134</v>
      </c>
      <c r="E145" s="24">
        <f t="shared" si="21"/>
        <v>0</v>
      </c>
      <c r="F145" s="24">
        <f t="shared" si="20"/>
        <v>1948</v>
      </c>
      <c r="G145" s="1"/>
      <c r="H145" s="24">
        <f>TRUNC((ROUND((H139+H140+H141+H142+H143+H144)*0.002,2)),0)</f>
        <v>582</v>
      </c>
      <c r="I145" s="1"/>
      <c r="J145" s="24">
        <f>TRUNC((ROUND((J139+J140+J141+J142+J143+J144)*0.002,2)),0)</f>
        <v>1296</v>
      </c>
      <c r="K145" s="1"/>
      <c r="L145" s="24">
        <f>TRUNC((ROUND((L139+L140+L141+L142+L143+L144)*0.002,2)),0)</f>
        <v>70</v>
      </c>
      <c r="M145" s="18" t="s">
        <v>1850</v>
      </c>
      <c r="N145" t="s">
        <v>1850</v>
      </c>
      <c r="P145" t="s">
        <v>1137</v>
      </c>
      <c r="Q145" t="s">
        <v>1850</v>
      </c>
      <c r="R145" t="s">
        <v>1589</v>
      </c>
      <c r="X145" t="s">
        <v>1568</v>
      </c>
    </row>
    <row r="146" spans="1:61" ht="18.399999999999999" customHeight="1" x14ac:dyDescent="0.15">
      <c r="A146" s="4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6"/>
    </row>
    <row r="147" spans="1:61" ht="18.399999999999999" customHeight="1" x14ac:dyDescent="0.15">
      <c r="A147" s="11" t="s">
        <v>324</v>
      </c>
      <c r="B147" s="2" t="s">
        <v>507</v>
      </c>
      <c r="C147" s="2">
        <v>1</v>
      </c>
      <c r="D147" s="2" t="s">
        <v>1393</v>
      </c>
      <c r="F147" s="24">
        <f t="shared" ref="F147:F157" si="22">H147+J147+L147</f>
        <v>87010</v>
      </c>
      <c r="H147" s="24">
        <f>TRUNC(H157,0)</f>
        <v>5950</v>
      </c>
      <c r="J147" s="24">
        <f>TRUNC(J157,0)</f>
        <v>73297</v>
      </c>
      <c r="L147" s="24">
        <f>TRUNC(L157,0)</f>
        <v>7763</v>
      </c>
      <c r="M147" s="18" t="s">
        <v>1624</v>
      </c>
      <c r="N147" t="s">
        <v>1850</v>
      </c>
      <c r="O147" t="s">
        <v>1634</v>
      </c>
    </row>
    <row r="148" spans="1:61" ht="18.399999999999999" customHeight="1" x14ac:dyDescent="0.15">
      <c r="A148" s="11" t="s">
        <v>674</v>
      </c>
      <c r="B148" s="2" t="s">
        <v>1024</v>
      </c>
      <c r="C148" s="2">
        <v>3</v>
      </c>
      <c r="D148" s="2" t="s">
        <v>1735</v>
      </c>
      <c r="E148" s="24">
        <f t="shared" ref="E148:E157" si="23">G148+I148+K148</f>
        <v>258360</v>
      </c>
      <c r="F148" s="24">
        <f t="shared" si="22"/>
        <v>775080</v>
      </c>
      <c r="G148" s="24">
        <v>0</v>
      </c>
      <c r="H148" s="24"/>
      <c r="I148" s="24">
        <f>노임!D10</f>
        <v>258360</v>
      </c>
      <c r="J148" s="24">
        <f t="shared" ref="J148:J156" si="24">TRUNC(I148*C148,0)</f>
        <v>775080</v>
      </c>
      <c r="K148" s="24">
        <v>0</v>
      </c>
      <c r="L148" s="24"/>
      <c r="M148" s="18" t="s">
        <v>1850</v>
      </c>
      <c r="N148" t="s">
        <v>1850</v>
      </c>
      <c r="P148" t="s">
        <v>239</v>
      </c>
      <c r="Q148" t="s">
        <v>1217</v>
      </c>
      <c r="R148" t="s">
        <v>222</v>
      </c>
      <c r="BI148" s="29" t="str">
        <f>HYPERLINK("#노임!A10","L001010101000019 →")</f>
        <v>L001010101000019 →</v>
      </c>
    </row>
    <row r="149" spans="1:61" ht="18.399999999999999" customHeight="1" x14ac:dyDescent="0.15">
      <c r="A149" s="11" t="s">
        <v>597</v>
      </c>
      <c r="B149" s="2" t="s">
        <v>1024</v>
      </c>
      <c r="C149" s="2">
        <v>1</v>
      </c>
      <c r="D149" s="2" t="s">
        <v>1735</v>
      </c>
      <c r="E149" s="24">
        <f t="shared" si="23"/>
        <v>165545</v>
      </c>
      <c r="F149" s="24">
        <f t="shared" si="22"/>
        <v>165545</v>
      </c>
      <c r="G149" s="24">
        <v>0</v>
      </c>
      <c r="H149" s="24"/>
      <c r="I149" s="24">
        <f>노임!D4</f>
        <v>165545</v>
      </c>
      <c r="J149" s="24">
        <f t="shared" si="24"/>
        <v>165545</v>
      </c>
      <c r="K149" s="24">
        <v>0</v>
      </c>
      <c r="L149" s="24"/>
      <c r="M149" s="18" t="s">
        <v>1850</v>
      </c>
      <c r="N149" t="s">
        <v>1850</v>
      </c>
      <c r="P149" t="s">
        <v>1619</v>
      </c>
      <c r="Q149" t="s">
        <v>1217</v>
      </c>
      <c r="R149" t="s">
        <v>1563</v>
      </c>
      <c r="BI149" s="29" t="str">
        <f>HYPERLINK("#노임!A4","L001010101000002 →")</f>
        <v>L001010101000002 →</v>
      </c>
    </row>
    <row r="150" spans="1:61" ht="18.399999999999999" customHeight="1" x14ac:dyDescent="0.15">
      <c r="A150" s="11" t="s">
        <v>12</v>
      </c>
      <c r="B150" s="2" t="s">
        <v>631</v>
      </c>
      <c r="C150" s="2">
        <v>8</v>
      </c>
      <c r="D150" s="2" t="s">
        <v>1570</v>
      </c>
      <c r="E150" s="24">
        <f t="shared" si="23"/>
        <v>80237.5</v>
      </c>
      <c r="F150" s="24">
        <f t="shared" si="22"/>
        <v>641900</v>
      </c>
      <c r="G150" s="24">
        <f>중기사용료목록!E3</f>
        <v>9420.5</v>
      </c>
      <c r="H150" s="24">
        <f t="shared" ref="H150:H156" si="25">TRUNC(G150*C150,0)</f>
        <v>75364</v>
      </c>
      <c r="I150" s="24">
        <f>중기사용료목록!F3</f>
        <v>55700</v>
      </c>
      <c r="J150" s="24">
        <f t="shared" si="24"/>
        <v>445600</v>
      </c>
      <c r="K150" s="24">
        <f>중기사용료목록!G3</f>
        <v>15117</v>
      </c>
      <c r="L150" s="24">
        <f t="shared" ref="L150:L156" si="26">TRUNC(K150*C150,0)</f>
        <v>120936</v>
      </c>
      <c r="M150" s="18" t="s">
        <v>1850</v>
      </c>
      <c r="N150" t="s">
        <v>1850</v>
      </c>
      <c r="P150" t="s">
        <v>1167</v>
      </c>
      <c r="Q150" t="s">
        <v>1217</v>
      </c>
      <c r="R150" t="s">
        <v>452</v>
      </c>
      <c r="BI150" s="29" t="str">
        <f>HYPERLINK("#중기사용료목록!A3","E00000211001800000 →")</f>
        <v>E00000211001800000 →</v>
      </c>
    </row>
    <row r="151" spans="1:61" ht="18.399999999999999" customHeight="1" x14ac:dyDescent="0.15">
      <c r="A151" s="11" t="s">
        <v>1117</v>
      </c>
      <c r="B151" s="2" t="s">
        <v>1447</v>
      </c>
      <c r="C151" s="2">
        <v>8</v>
      </c>
      <c r="D151" s="2" t="s">
        <v>1570</v>
      </c>
      <c r="E151" s="24">
        <f t="shared" si="23"/>
        <v>74224.36</v>
      </c>
      <c r="F151" s="24">
        <f t="shared" si="22"/>
        <v>593794</v>
      </c>
      <c r="G151" s="24">
        <f>중기사용료목록!E6</f>
        <v>7879.36</v>
      </c>
      <c r="H151" s="24">
        <f t="shared" si="25"/>
        <v>63034</v>
      </c>
      <c r="I151" s="24">
        <f>중기사용료목록!F6</f>
        <v>55700</v>
      </c>
      <c r="J151" s="24">
        <f t="shared" si="24"/>
        <v>445600</v>
      </c>
      <c r="K151" s="24">
        <f>중기사용료목록!G6</f>
        <v>10645</v>
      </c>
      <c r="L151" s="24">
        <f t="shared" si="26"/>
        <v>85160</v>
      </c>
      <c r="M151" s="18" t="s">
        <v>1850</v>
      </c>
      <c r="N151" t="s">
        <v>1850</v>
      </c>
      <c r="P151" t="s">
        <v>715</v>
      </c>
      <c r="Q151" t="s">
        <v>1217</v>
      </c>
      <c r="R151" t="s">
        <v>624</v>
      </c>
      <c r="BI151" s="29" t="str">
        <f>HYPERLINK("#중기사용료목록!A6","E00000301005700000 →")</f>
        <v>E00000301005700000 →</v>
      </c>
    </row>
    <row r="152" spans="1:61" ht="18.399999999999999" customHeight="1" x14ac:dyDescent="0.15">
      <c r="A152" s="11" t="s">
        <v>389</v>
      </c>
      <c r="B152" s="2" t="s">
        <v>371</v>
      </c>
      <c r="C152" s="2">
        <v>8</v>
      </c>
      <c r="D152" s="2" t="s">
        <v>1570</v>
      </c>
      <c r="E152" s="24">
        <f t="shared" si="23"/>
        <v>64098.9</v>
      </c>
      <c r="F152" s="24">
        <f t="shared" si="22"/>
        <v>512791</v>
      </c>
      <c r="G152" s="24">
        <f>중기사용료목록!E11</f>
        <v>3525.9</v>
      </c>
      <c r="H152" s="24">
        <f t="shared" si="25"/>
        <v>28207</v>
      </c>
      <c r="I152" s="24">
        <f>중기사용료목록!F11</f>
        <v>55700</v>
      </c>
      <c r="J152" s="24">
        <f t="shared" si="24"/>
        <v>445600</v>
      </c>
      <c r="K152" s="24">
        <f>중기사용료목록!G11</f>
        <v>4873</v>
      </c>
      <c r="L152" s="24">
        <f t="shared" si="26"/>
        <v>38984</v>
      </c>
      <c r="M152" s="18" t="s">
        <v>1850</v>
      </c>
      <c r="N152" t="s">
        <v>1850</v>
      </c>
      <c r="P152" t="s">
        <v>207</v>
      </c>
      <c r="Q152" t="s">
        <v>1217</v>
      </c>
      <c r="R152" t="s">
        <v>338</v>
      </c>
      <c r="BI152" s="29" t="str">
        <f>HYPERLINK("#중기사용료목록!A11","E00001306002500000 →")</f>
        <v>E00001306002500000 →</v>
      </c>
    </row>
    <row r="153" spans="1:61" ht="18.399999999999999" customHeight="1" x14ac:dyDescent="0.15">
      <c r="A153" s="11" t="s">
        <v>464</v>
      </c>
      <c r="B153" s="2" t="s">
        <v>773</v>
      </c>
      <c r="C153" s="2">
        <v>0</v>
      </c>
      <c r="D153" s="2" t="s">
        <v>1570</v>
      </c>
      <c r="E153" s="24">
        <f t="shared" si="23"/>
        <v>38789.589999999997</v>
      </c>
      <c r="F153" s="24">
        <f t="shared" si="22"/>
        <v>0</v>
      </c>
      <c r="G153" s="24">
        <f>중기사용료목록!E10</f>
        <v>3372.59</v>
      </c>
      <c r="H153" s="24">
        <f t="shared" si="25"/>
        <v>0</v>
      </c>
      <c r="I153" s="24">
        <f>중기사용료목록!F10</f>
        <v>33571</v>
      </c>
      <c r="J153" s="24">
        <f t="shared" si="24"/>
        <v>0</v>
      </c>
      <c r="K153" s="24">
        <f>중기사용료목록!G10</f>
        <v>1846</v>
      </c>
      <c r="L153" s="24">
        <f t="shared" si="26"/>
        <v>0</v>
      </c>
      <c r="M153" s="18" t="s">
        <v>1850</v>
      </c>
      <c r="N153" t="s">
        <v>1850</v>
      </c>
      <c r="P153" t="s">
        <v>1598</v>
      </c>
      <c r="Q153" t="s">
        <v>1217</v>
      </c>
      <c r="R153" t="s">
        <v>80</v>
      </c>
      <c r="BI153" s="29" t="str">
        <f>HYPERLINK("#중기사용료목록!A10","E00001305000700000 →")</f>
        <v>E00001305000700000 →</v>
      </c>
    </row>
    <row r="154" spans="1:61" ht="18.399999999999999" customHeight="1" x14ac:dyDescent="0.15">
      <c r="A154" s="11" t="s">
        <v>428</v>
      </c>
      <c r="B154" s="2" t="s">
        <v>1328</v>
      </c>
      <c r="C154" s="2">
        <v>0</v>
      </c>
      <c r="D154" s="2" t="s">
        <v>1570</v>
      </c>
      <c r="E154" s="24">
        <f t="shared" si="23"/>
        <v>35873.46</v>
      </c>
      <c r="F154" s="24">
        <f t="shared" si="22"/>
        <v>0</v>
      </c>
      <c r="G154" s="24">
        <f>중기사용료목록!E13</f>
        <v>1720.46</v>
      </c>
      <c r="H154" s="24">
        <f t="shared" si="25"/>
        <v>0</v>
      </c>
      <c r="I154" s="24">
        <f>중기사용료목록!F13</f>
        <v>33571</v>
      </c>
      <c r="J154" s="24">
        <f t="shared" si="24"/>
        <v>0</v>
      </c>
      <c r="K154" s="24">
        <f>중기사용료목록!G13</f>
        <v>582</v>
      </c>
      <c r="L154" s="24">
        <f t="shared" si="26"/>
        <v>0</v>
      </c>
      <c r="M154" s="18" t="s">
        <v>1850</v>
      </c>
      <c r="N154" t="s">
        <v>1850</v>
      </c>
      <c r="P154" t="s">
        <v>1137</v>
      </c>
      <c r="Q154" t="s">
        <v>1217</v>
      </c>
      <c r="R154" t="s">
        <v>1074</v>
      </c>
      <c r="BI154" s="29" t="str">
        <f>HYPERLINK("#중기사용료목록!A13","E00001730001500000 →")</f>
        <v>E00001730001500000 →</v>
      </c>
    </row>
    <row r="155" spans="1:61" ht="18.399999999999999" customHeight="1" x14ac:dyDescent="0.15">
      <c r="A155" s="11" t="s">
        <v>378</v>
      </c>
      <c r="B155" s="2" t="s">
        <v>1051</v>
      </c>
      <c r="C155" s="2">
        <v>8</v>
      </c>
      <c r="D155" s="2" t="s">
        <v>1570</v>
      </c>
      <c r="E155" s="24">
        <f t="shared" si="23"/>
        <v>36137.68</v>
      </c>
      <c r="F155" s="24">
        <f t="shared" si="22"/>
        <v>289101</v>
      </c>
      <c r="G155" s="24">
        <f>중기사용료목록!E19</f>
        <v>1823.68</v>
      </c>
      <c r="H155" s="24">
        <f t="shared" si="25"/>
        <v>14589</v>
      </c>
      <c r="I155" s="24">
        <f>중기사용료목록!F19</f>
        <v>33571</v>
      </c>
      <c r="J155" s="24">
        <f t="shared" si="24"/>
        <v>268568</v>
      </c>
      <c r="K155" s="24">
        <f>중기사용료목록!G19</f>
        <v>743</v>
      </c>
      <c r="L155" s="24">
        <f t="shared" si="26"/>
        <v>5944</v>
      </c>
      <c r="M155" s="18" t="s">
        <v>1850</v>
      </c>
      <c r="N155" t="s">
        <v>1850</v>
      </c>
      <c r="P155" t="s">
        <v>668</v>
      </c>
      <c r="Q155" t="s">
        <v>1217</v>
      </c>
      <c r="R155" t="s">
        <v>1479</v>
      </c>
      <c r="BI155" s="29" t="str">
        <f>HYPERLINK("#중기사용료목록!A19","E00003430040000000 →")</f>
        <v>E00003430040000000 →</v>
      </c>
    </row>
    <row r="156" spans="1:61" ht="18.399999999999999" customHeight="1" x14ac:dyDescent="0.15">
      <c r="A156" s="11" t="s">
        <v>357</v>
      </c>
      <c r="B156" s="2" t="s">
        <v>371</v>
      </c>
      <c r="C156" s="2">
        <v>16</v>
      </c>
      <c r="D156" s="2" t="s">
        <v>1570</v>
      </c>
      <c r="E156" s="24">
        <f t="shared" si="23"/>
        <v>58829.26</v>
      </c>
      <c r="F156" s="24">
        <f t="shared" si="22"/>
        <v>941268</v>
      </c>
      <c r="G156" s="24">
        <f>중기사용료목록!E7</f>
        <v>5429.26</v>
      </c>
      <c r="H156" s="24">
        <f t="shared" si="25"/>
        <v>86868</v>
      </c>
      <c r="I156" s="24">
        <f>중기사용료목록!F7</f>
        <v>47231</v>
      </c>
      <c r="J156" s="24">
        <f t="shared" si="24"/>
        <v>755696</v>
      </c>
      <c r="K156" s="24">
        <f>중기사용료목록!G7</f>
        <v>6169</v>
      </c>
      <c r="L156" s="24">
        <f t="shared" si="26"/>
        <v>98704</v>
      </c>
      <c r="M156" s="18" t="s">
        <v>1850</v>
      </c>
      <c r="N156" t="s">
        <v>1850</v>
      </c>
      <c r="P156" t="s">
        <v>180</v>
      </c>
      <c r="Q156" t="s">
        <v>1217</v>
      </c>
      <c r="R156" t="s">
        <v>1441</v>
      </c>
      <c r="AA156" s="33" t="s">
        <v>1396</v>
      </c>
      <c r="AB156" s="8">
        <f>ROUND((일위대가_호표!H148+일위대가_호표!H149+일위대가_호표!H150+일위대가_호표!H151+일위대가_호표!H152+일위대가_호표!H153+일위대가_호표!H154+일위대가_호표!H155+일위대가_호표!H156)*0.0222*1,2)</f>
        <v>5950.98</v>
      </c>
      <c r="AC156" s="33" t="s">
        <v>1559</v>
      </c>
      <c r="AD156" s="7">
        <f>$AB156</f>
        <v>5950.98</v>
      </c>
      <c r="AE156" s="33" t="s">
        <v>213</v>
      </c>
      <c r="AF156" s="8">
        <f>ROUND((일위대가_호표!J148+일위대가_호표!J149+일위대가_호표!J150+일위대가_호표!J151+일위대가_호표!J152+일위대가_호표!J153+일위대가_호표!J154+일위대가_호표!J155+일위대가_호표!J156)*0.0222*1,2)</f>
        <v>73297.5</v>
      </c>
      <c r="AG156" s="33" t="s">
        <v>762</v>
      </c>
      <c r="AH156" s="7">
        <f>$AF156</f>
        <v>73297.5</v>
      </c>
      <c r="AI156" s="33" t="s">
        <v>615</v>
      </c>
      <c r="AJ156" s="8">
        <f>ROUND((일위대가_호표!L148+일위대가_호표!L149+일위대가_호표!L150+일위대가_호표!L151+일위대가_호표!L152+일위대가_호표!L153+일위대가_호표!L154+일위대가_호표!L155+일위대가_호표!L156)*0.0222*1,2)</f>
        <v>7763.96</v>
      </c>
      <c r="AK156" s="33" t="s">
        <v>1036</v>
      </c>
      <c r="AL156" s="7">
        <f>$AJ156</f>
        <v>7763.96</v>
      </c>
      <c r="BI156" s="29" t="str">
        <f>HYPERLINK("#중기사용료목록!A7","E00000602002500000 →")</f>
        <v>E00000602002500000 →</v>
      </c>
    </row>
    <row r="157" spans="1:61" ht="18.399999999999999" customHeight="1" x14ac:dyDescent="0.15">
      <c r="A157" s="11" t="s">
        <v>176</v>
      </c>
      <c r="B157" s="2" t="s">
        <v>24</v>
      </c>
      <c r="C157" s="2"/>
      <c r="D157" s="2" t="s">
        <v>1850</v>
      </c>
      <c r="E157" s="24">
        <f t="shared" si="23"/>
        <v>0</v>
      </c>
      <c r="F157" s="24">
        <f t="shared" si="22"/>
        <v>87010</v>
      </c>
      <c r="G157" s="1"/>
      <c r="H157" s="24">
        <f>TRUNC((ROUND((H148+H149+H150+H151+H152+H153+H154+H155+H156)*0.0222*1,2)),0)</f>
        <v>5950</v>
      </c>
      <c r="I157" s="1"/>
      <c r="J157" s="24">
        <f>TRUNC((ROUND((J148+J149+J150+J151+J152+J153+J154+J155+J156)*0.0222*1,2)),0)</f>
        <v>73297</v>
      </c>
      <c r="K157" s="1"/>
      <c r="L157" s="24">
        <f>TRUNC((ROUND((L148+L149+L150+L151+L152+L153+L154+L155+L156)*0.0222*1,2)),0)</f>
        <v>7763</v>
      </c>
      <c r="M157" s="18" t="s">
        <v>1850</v>
      </c>
      <c r="N157" t="s">
        <v>1850</v>
      </c>
      <c r="P157" t="s">
        <v>170</v>
      </c>
      <c r="Q157" t="s">
        <v>1850</v>
      </c>
      <c r="R157" t="s">
        <v>1589</v>
      </c>
      <c r="X157" t="s">
        <v>1825</v>
      </c>
    </row>
    <row r="158" spans="1:61" ht="18.399999999999999" customHeight="1" x14ac:dyDescent="0.1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6"/>
    </row>
    <row r="159" spans="1:61" ht="18.399999999999999" customHeight="1" x14ac:dyDescent="0.15">
      <c r="A159" s="11" t="s">
        <v>62</v>
      </c>
      <c r="B159" s="2" t="s">
        <v>1850</v>
      </c>
      <c r="C159" s="2">
        <v>1</v>
      </c>
      <c r="D159" s="2" t="s">
        <v>1735</v>
      </c>
      <c r="F159" s="24">
        <f>H159+J159+L159</f>
        <v>165545</v>
      </c>
      <c r="H159" s="24">
        <f>TRUNC(H161,0)</f>
        <v>0</v>
      </c>
      <c r="J159" s="24">
        <f>TRUNC(J161,0)</f>
        <v>0</v>
      </c>
      <c r="L159" s="24">
        <f>TRUNC(L161,0)</f>
        <v>165545</v>
      </c>
      <c r="M159" s="18" t="s">
        <v>1410</v>
      </c>
      <c r="N159" t="s">
        <v>1850</v>
      </c>
      <c r="O159" t="s">
        <v>188</v>
      </c>
    </row>
    <row r="160" spans="1:61" ht="18.399999999999999" customHeight="1" x14ac:dyDescent="0.15">
      <c r="A160" s="11" t="s">
        <v>597</v>
      </c>
      <c r="B160" s="2" t="s">
        <v>1024</v>
      </c>
      <c r="C160" s="2">
        <v>1</v>
      </c>
      <c r="D160" s="2" t="s">
        <v>1735</v>
      </c>
      <c r="E160" s="24">
        <f>G160+I160+K160</f>
        <v>165545</v>
      </c>
      <c r="F160" s="24">
        <f>H160+J160+L160</f>
        <v>165545</v>
      </c>
      <c r="G160" s="24">
        <v>0</v>
      </c>
      <c r="H160" s="24"/>
      <c r="I160" s="24">
        <f>노임!D4</f>
        <v>165545</v>
      </c>
      <c r="J160" s="24">
        <f>TRUNC(I160*C160,0)</f>
        <v>165545</v>
      </c>
      <c r="K160" s="24">
        <v>0</v>
      </c>
      <c r="L160" s="24"/>
      <c r="M160" s="18" t="s">
        <v>1850</v>
      </c>
      <c r="N160" t="s">
        <v>1850</v>
      </c>
      <c r="P160" t="s">
        <v>239</v>
      </c>
      <c r="Q160" t="s">
        <v>1217</v>
      </c>
      <c r="R160" t="s">
        <v>1563</v>
      </c>
      <c r="AA160" s="33" t="s">
        <v>615</v>
      </c>
      <c r="AB160" s="8">
        <f>(일위대가_호표!H160+일위대가_호표!J160+일위대가_호표!L160)</f>
        <v>165545</v>
      </c>
      <c r="AC160" s="33" t="s">
        <v>1036</v>
      </c>
      <c r="AD160" s="7">
        <f>$AB160</f>
        <v>165545</v>
      </c>
      <c r="BI160" s="29" t="str">
        <f>HYPERLINK("#노임!A4","L001010101000002 →")</f>
        <v>L001010101000002 →</v>
      </c>
    </row>
    <row r="161" spans="1:61" ht="18.399999999999999" customHeight="1" x14ac:dyDescent="0.15">
      <c r="A161" s="11" t="s">
        <v>1351</v>
      </c>
      <c r="B161" s="2" t="s">
        <v>1850</v>
      </c>
      <c r="C161" s="2">
        <v>1</v>
      </c>
      <c r="D161" s="2" t="s">
        <v>1735</v>
      </c>
      <c r="E161" s="24">
        <f>G161+I161+K161</f>
        <v>0</v>
      </c>
      <c r="F161" s="24">
        <f>H161+J161+L161</f>
        <v>165545</v>
      </c>
      <c r="G161" s="1"/>
      <c r="H161" s="24">
        <v>0</v>
      </c>
      <c r="I161" s="1"/>
      <c r="J161" s="24">
        <v>0</v>
      </c>
      <c r="K161" s="1"/>
      <c r="L161" s="24">
        <f>TRUNC((H160+J160+L160),0)</f>
        <v>165545</v>
      </c>
      <c r="M161" s="18" t="s">
        <v>1850</v>
      </c>
      <c r="N161" t="s">
        <v>1850</v>
      </c>
      <c r="P161" t="s">
        <v>1619</v>
      </c>
      <c r="Q161" t="s">
        <v>1850</v>
      </c>
      <c r="R161" t="s">
        <v>1589</v>
      </c>
      <c r="X161" t="s">
        <v>1574</v>
      </c>
    </row>
    <row r="162" spans="1:61" ht="18.399999999999999" customHeight="1" x14ac:dyDescent="0.15">
      <c r="A162" s="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46"/>
    </row>
    <row r="163" spans="1:61" ht="18.399999999999999" customHeight="1" x14ac:dyDescent="0.15">
      <c r="A163" s="11" t="s">
        <v>167</v>
      </c>
      <c r="B163" s="2" t="s">
        <v>396</v>
      </c>
      <c r="C163" s="2">
        <v>1</v>
      </c>
      <c r="D163" s="2" t="s">
        <v>1134</v>
      </c>
      <c r="F163" s="24">
        <f>H163+J163+L163</f>
        <v>1540</v>
      </c>
      <c r="H163" s="24">
        <f>TRUNC(H167,0)</f>
        <v>0</v>
      </c>
      <c r="J163" s="24">
        <f>TRUNC(J167,0)</f>
        <v>0</v>
      </c>
      <c r="L163" s="24">
        <f>TRUNC(L167,0)</f>
        <v>1540</v>
      </c>
      <c r="M163" s="18" t="s">
        <v>1410</v>
      </c>
      <c r="N163" t="s">
        <v>1850</v>
      </c>
      <c r="O163" t="s">
        <v>1045</v>
      </c>
    </row>
    <row r="164" spans="1:61" ht="18.399999999999999" customHeight="1" x14ac:dyDescent="0.15">
      <c r="A164" s="11" t="s">
        <v>437</v>
      </c>
      <c r="B164" s="2" t="s">
        <v>372</v>
      </c>
      <c r="C164" s="2">
        <v>0.01</v>
      </c>
      <c r="D164" s="2" t="s">
        <v>281</v>
      </c>
      <c r="E164" s="24">
        <f>G164+I164+K164</f>
        <v>16000</v>
      </c>
      <c r="F164" s="24">
        <f>H164+J164+L164</f>
        <v>160</v>
      </c>
      <c r="G164" s="24">
        <f>자재!D18</f>
        <v>16000</v>
      </c>
      <c r="H164" s="24">
        <f>TRUNC(G164*C164,0)</f>
        <v>160</v>
      </c>
      <c r="I164" s="24">
        <v>0</v>
      </c>
      <c r="J164" s="24"/>
      <c r="K164" s="24">
        <v>0</v>
      </c>
      <c r="L164" s="24"/>
      <c r="M164" s="18" t="s">
        <v>1850</v>
      </c>
      <c r="N164" t="s">
        <v>1850</v>
      </c>
      <c r="P164" t="s">
        <v>239</v>
      </c>
      <c r="Q164" t="s">
        <v>1217</v>
      </c>
      <c r="R164" t="s">
        <v>825</v>
      </c>
      <c r="BI164" s="29" t="str">
        <f>HYPERLINK("#자재!A18","MDD0153 →")</f>
        <v>MDD0153 →</v>
      </c>
    </row>
    <row r="165" spans="1:61" ht="18.399999999999999" customHeight="1" x14ac:dyDescent="0.15">
      <c r="A165" s="11" t="s">
        <v>597</v>
      </c>
      <c r="B165" s="2" t="s">
        <v>1024</v>
      </c>
      <c r="C165" s="2">
        <v>1.2999999999999999E-2</v>
      </c>
      <c r="D165" s="2" t="s">
        <v>1735</v>
      </c>
      <c r="E165" s="24">
        <f>G165+I165+K165</f>
        <v>165545</v>
      </c>
      <c r="F165" s="24">
        <f>H165+J165+L165</f>
        <v>2152</v>
      </c>
      <c r="G165" s="24">
        <v>0</v>
      </c>
      <c r="H165" s="24"/>
      <c r="I165" s="24">
        <f>노임!D4</f>
        <v>165545</v>
      </c>
      <c r="J165" s="24">
        <f>TRUNC(I165*C165,0)</f>
        <v>2152</v>
      </c>
      <c r="K165" s="24">
        <v>0</v>
      </c>
      <c r="L165" s="24"/>
      <c r="M165" s="18" t="s">
        <v>1850</v>
      </c>
      <c r="N165" t="s">
        <v>1850</v>
      </c>
      <c r="P165" t="s">
        <v>1619</v>
      </c>
      <c r="Q165" t="s">
        <v>1217</v>
      </c>
      <c r="R165" t="s">
        <v>1563</v>
      </c>
      <c r="AA165" s="33" t="s">
        <v>1396</v>
      </c>
      <c r="AB165" s="8">
        <f>ROUND((일위대가_호표!H164+일위대가_호표!H165)*0.6666,2)</f>
        <v>106.66</v>
      </c>
      <c r="AC165" s="33" t="s">
        <v>1559</v>
      </c>
      <c r="AD165" s="7">
        <f>$AB165</f>
        <v>106.66</v>
      </c>
      <c r="AE165" s="33" t="s">
        <v>213</v>
      </c>
      <c r="AF165" s="8">
        <f>ROUND((일위대가_호표!J164+일위대가_호표!J165)*0.6666,2)</f>
        <v>1434.52</v>
      </c>
      <c r="AG165" s="33" t="s">
        <v>762</v>
      </c>
      <c r="AH165" s="7">
        <f>$AF165</f>
        <v>1434.52</v>
      </c>
      <c r="AI165" s="33" t="s">
        <v>615</v>
      </c>
      <c r="AJ165" s="8">
        <f>ROUND((일위대가_호표!L164+일위대가_호표!L165)*0.6666,2)</f>
        <v>0</v>
      </c>
      <c r="AK165" s="33" t="s">
        <v>1036</v>
      </c>
      <c r="AL165" s="7">
        <f>$AJ165</f>
        <v>0</v>
      </c>
      <c r="BI165" s="29" t="str">
        <f>HYPERLINK("#노임!A4","L001010101000002 →")</f>
        <v>L001010101000002 →</v>
      </c>
    </row>
    <row r="166" spans="1:61" ht="18.399999999999999" customHeight="1" x14ac:dyDescent="0.15">
      <c r="A166" s="11" t="s">
        <v>71</v>
      </c>
      <c r="B166" s="2" t="s">
        <v>1819</v>
      </c>
      <c r="C166" s="2">
        <v>1</v>
      </c>
      <c r="D166" s="2" t="s">
        <v>1134</v>
      </c>
      <c r="E166" s="24">
        <f>G166+I166+K166</f>
        <v>0</v>
      </c>
      <c r="F166" s="24">
        <f>H166+J166+L166</f>
        <v>1540</v>
      </c>
      <c r="G166" s="1"/>
      <c r="H166" s="24">
        <f>TRUNC((ROUND((H164+H165)*0.6666,2)),0)</f>
        <v>106</v>
      </c>
      <c r="I166" s="1"/>
      <c r="J166" s="24">
        <f>TRUNC((ROUND((J164+J165)*0.6666,2)),0)</f>
        <v>1434</v>
      </c>
      <c r="K166" s="1"/>
      <c r="L166" s="24">
        <f>TRUNC((ROUND((L164+L165)*0.6666,2)),0)</f>
        <v>0</v>
      </c>
      <c r="M166" s="18" t="s">
        <v>1850</v>
      </c>
      <c r="N166" t="s">
        <v>1850</v>
      </c>
      <c r="P166" t="s">
        <v>1167</v>
      </c>
      <c r="Q166" t="s">
        <v>1217</v>
      </c>
      <c r="R166" t="s">
        <v>1589</v>
      </c>
      <c r="X166" t="s">
        <v>930</v>
      </c>
      <c r="AA166" s="33" t="s">
        <v>615</v>
      </c>
      <c r="AB166" s="8">
        <f>(일위대가_호표!H166+일위대가_호표!J166+일위대가_호표!L166)*1</f>
        <v>1540</v>
      </c>
      <c r="AC166" s="33" t="s">
        <v>1036</v>
      </c>
      <c r="AD166" s="7">
        <f>$AB166</f>
        <v>1540</v>
      </c>
    </row>
    <row r="167" spans="1:61" ht="18.399999999999999" customHeight="1" x14ac:dyDescent="0.15">
      <c r="A167" s="11" t="s">
        <v>1057</v>
      </c>
      <c r="B167" s="2" t="s">
        <v>1850</v>
      </c>
      <c r="C167" s="2"/>
      <c r="D167" s="2" t="s">
        <v>1134</v>
      </c>
      <c r="E167" s="24">
        <f>G167+I167+K167</f>
        <v>0</v>
      </c>
      <c r="F167" s="24">
        <f>H167+J167+L167</f>
        <v>1540</v>
      </c>
      <c r="G167" s="1"/>
      <c r="H167" s="24">
        <v>0</v>
      </c>
      <c r="I167" s="1"/>
      <c r="J167" s="24">
        <v>0</v>
      </c>
      <c r="K167" s="1"/>
      <c r="L167" s="24">
        <f>TRUNC(((H166+J166+L166)*1),0)</f>
        <v>1540</v>
      </c>
      <c r="M167" s="18" t="s">
        <v>1850</v>
      </c>
      <c r="N167" t="s">
        <v>1850</v>
      </c>
      <c r="P167" t="s">
        <v>715</v>
      </c>
      <c r="Q167" t="s">
        <v>1850</v>
      </c>
      <c r="R167" t="s">
        <v>1589</v>
      </c>
      <c r="X167" t="s">
        <v>159</v>
      </c>
    </row>
    <row r="168" spans="1:61" ht="18.399999999999999" customHeight="1" x14ac:dyDescent="0.15">
      <c r="A168" s="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6"/>
    </row>
    <row r="169" spans="1:61" ht="18.399999999999999" customHeight="1" x14ac:dyDescent="0.15">
      <c r="A169" s="11" t="s">
        <v>46</v>
      </c>
      <c r="B169" s="2" t="s">
        <v>1064</v>
      </c>
      <c r="C169" s="2">
        <v>1</v>
      </c>
      <c r="D169" s="2" t="s">
        <v>1134</v>
      </c>
      <c r="F169" s="24">
        <f>H169+J169+L169</f>
        <v>2455</v>
      </c>
      <c r="H169" s="24">
        <f>TRUNC(H173,0)</f>
        <v>0</v>
      </c>
      <c r="J169" s="24">
        <f>TRUNC(J173,0)</f>
        <v>0</v>
      </c>
      <c r="L169" s="24">
        <f>TRUNC(L173,0)</f>
        <v>2455</v>
      </c>
      <c r="M169" s="18" t="s">
        <v>1410</v>
      </c>
      <c r="N169" t="s">
        <v>1850</v>
      </c>
      <c r="O169" t="s">
        <v>1403</v>
      </c>
    </row>
    <row r="170" spans="1:61" ht="18.399999999999999" customHeight="1" x14ac:dyDescent="0.15">
      <c r="A170" s="11" t="s">
        <v>554</v>
      </c>
      <c r="B170" s="2" t="s">
        <v>1599</v>
      </c>
      <c r="C170" s="2">
        <v>0.01</v>
      </c>
      <c r="D170" s="2" t="s">
        <v>281</v>
      </c>
      <c r="E170" s="24">
        <f>G170+I170+K170</f>
        <v>160000</v>
      </c>
      <c r="F170" s="24">
        <f>H170+J170+L170</f>
        <v>1600</v>
      </c>
      <c r="G170" s="24">
        <f>자재!D19</f>
        <v>160000</v>
      </c>
      <c r="H170" s="24">
        <f>TRUNC(G170*C170,0)</f>
        <v>1600</v>
      </c>
      <c r="I170" s="24">
        <v>0</v>
      </c>
      <c r="J170" s="24"/>
      <c r="K170" s="24">
        <v>0</v>
      </c>
      <c r="L170" s="24"/>
      <c r="M170" s="18" t="s">
        <v>1850</v>
      </c>
      <c r="N170" t="s">
        <v>1850</v>
      </c>
      <c r="P170" t="s">
        <v>239</v>
      </c>
      <c r="Q170" t="s">
        <v>1217</v>
      </c>
      <c r="R170" t="s">
        <v>1527</v>
      </c>
      <c r="BI170" s="29" t="str">
        <f>HYPERLINK("#자재!A19","MDD0154 →")</f>
        <v>MDD0154 →</v>
      </c>
    </row>
    <row r="171" spans="1:61" ht="18.399999999999999" customHeight="1" x14ac:dyDescent="0.15">
      <c r="A171" s="11" t="s">
        <v>597</v>
      </c>
      <c r="B171" s="2" t="s">
        <v>1024</v>
      </c>
      <c r="C171" s="2">
        <v>0.02</v>
      </c>
      <c r="D171" s="2" t="s">
        <v>1735</v>
      </c>
      <c r="E171" s="24">
        <f>G171+I171+K171</f>
        <v>165545</v>
      </c>
      <c r="F171" s="24">
        <f>H171+J171+L171</f>
        <v>3310</v>
      </c>
      <c r="G171" s="24">
        <v>0</v>
      </c>
      <c r="H171" s="24"/>
      <c r="I171" s="24">
        <f>노임!D4</f>
        <v>165545</v>
      </c>
      <c r="J171" s="24">
        <f>TRUNC(I171*C171,0)</f>
        <v>3310</v>
      </c>
      <c r="K171" s="24">
        <v>0</v>
      </c>
      <c r="L171" s="24"/>
      <c r="M171" s="18" t="s">
        <v>1850</v>
      </c>
      <c r="N171" t="s">
        <v>1850</v>
      </c>
      <c r="P171" t="s">
        <v>1619</v>
      </c>
      <c r="Q171" t="s">
        <v>1217</v>
      </c>
      <c r="R171" t="s">
        <v>1563</v>
      </c>
      <c r="AA171" s="33" t="s">
        <v>1396</v>
      </c>
      <c r="AB171" s="8">
        <f>ROUND((일위대가_호표!H170+일위대가_호표!H171)*0.5,2)</f>
        <v>800</v>
      </c>
      <c r="AC171" s="33" t="s">
        <v>1559</v>
      </c>
      <c r="AD171" s="7">
        <f>$AB171</f>
        <v>800</v>
      </c>
      <c r="AE171" s="33" t="s">
        <v>213</v>
      </c>
      <c r="AF171" s="8">
        <f>ROUND((일위대가_호표!J170+일위대가_호표!J171)*0.5,2)</f>
        <v>1655</v>
      </c>
      <c r="AG171" s="33" t="s">
        <v>762</v>
      </c>
      <c r="AH171" s="7">
        <f>$AF171</f>
        <v>1655</v>
      </c>
      <c r="AI171" s="33" t="s">
        <v>615</v>
      </c>
      <c r="AJ171" s="8">
        <f>ROUND((일위대가_호표!L170+일위대가_호표!L171)*0.5,2)</f>
        <v>0</v>
      </c>
      <c r="AK171" s="33" t="s">
        <v>1036</v>
      </c>
      <c r="AL171" s="7">
        <f>$AJ171</f>
        <v>0</v>
      </c>
      <c r="BI171" s="29" t="str">
        <f>HYPERLINK("#노임!A4","L001010101000002 →")</f>
        <v>L001010101000002 →</v>
      </c>
    </row>
    <row r="172" spans="1:61" ht="18.399999999999999" customHeight="1" x14ac:dyDescent="0.15">
      <c r="A172" s="11" t="s">
        <v>71</v>
      </c>
      <c r="B172" s="2" t="s">
        <v>666</v>
      </c>
      <c r="C172" s="2">
        <v>1</v>
      </c>
      <c r="D172" s="2" t="s">
        <v>1134</v>
      </c>
      <c r="E172" s="24">
        <f>G172+I172+K172</f>
        <v>0</v>
      </c>
      <c r="F172" s="24">
        <f>H172+J172+L172</f>
        <v>2455</v>
      </c>
      <c r="G172" s="1"/>
      <c r="H172" s="24">
        <f>TRUNC((ROUND((H170+H171)*0.5,2)),0)</f>
        <v>800</v>
      </c>
      <c r="I172" s="1"/>
      <c r="J172" s="24">
        <f>TRUNC((ROUND((J170+J171)*0.5,2)),0)</f>
        <v>1655</v>
      </c>
      <c r="K172" s="1"/>
      <c r="L172" s="24">
        <f>TRUNC((ROUND((L170+L171)*0.5,2)),0)</f>
        <v>0</v>
      </c>
      <c r="M172" s="18" t="s">
        <v>1850</v>
      </c>
      <c r="N172" t="s">
        <v>1850</v>
      </c>
      <c r="P172" t="s">
        <v>1167</v>
      </c>
      <c r="Q172" t="s">
        <v>1217</v>
      </c>
      <c r="R172" t="s">
        <v>1589</v>
      </c>
      <c r="X172" t="s">
        <v>1345</v>
      </c>
      <c r="AA172" s="33" t="s">
        <v>615</v>
      </c>
      <c r="AB172" s="8">
        <f>(일위대가_호표!H172+일위대가_호표!J172+일위대가_호표!L172)*1</f>
        <v>2455</v>
      </c>
      <c r="AC172" s="33" t="s">
        <v>1036</v>
      </c>
      <c r="AD172" s="7">
        <f>$AB172</f>
        <v>2455</v>
      </c>
    </row>
    <row r="173" spans="1:61" ht="18.399999999999999" customHeight="1" x14ac:dyDescent="0.15">
      <c r="A173" s="11" t="s">
        <v>1057</v>
      </c>
      <c r="B173" s="2" t="s">
        <v>1850</v>
      </c>
      <c r="C173" s="2">
        <v>1</v>
      </c>
      <c r="D173" s="2" t="s">
        <v>1134</v>
      </c>
      <c r="E173" s="24">
        <f>G173+I173+K173</f>
        <v>0</v>
      </c>
      <c r="F173" s="24">
        <f>H173+J173+L173</f>
        <v>2455</v>
      </c>
      <c r="G173" s="1"/>
      <c r="H173" s="24">
        <v>0</v>
      </c>
      <c r="I173" s="1"/>
      <c r="J173" s="24">
        <v>0</v>
      </c>
      <c r="K173" s="1"/>
      <c r="L173" s="24">
        <f>TRUNC(((H172+J172+L172)*1),0)</f>
        <v>2455</v>
      </c>
      <c r="M173" s="18" t="s">
        <v>1850</v>
      </c>
      <c r="N173" t="s">
        <v>1850</v>
      </c>
      <c r="P173" t="s">
        <v>715</v>
      </c>
      <c r="Q173" t="s">
        <v>1850</v>
      </c>
      <c r="R173" t="s">
        <v>1589</v>
      </c>
      <c r="X173" t="s">
        <v>159</v>
      </c>
    </row>
    <row r="174" spans="1:61" ht="18.399999999999999" customHeight="1" x14ac:dyDescent="0.1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6"/>
    </row>
    <row r="175" spans="1:61" ht="18.399999999999999" customHeight="1" x14ac:dyDescent="0.15">
      <c r="A175" s="11" t="s">
        <v>613</v>
      </c>
      <c r="B175" s="2" t="s">
        <v>598</v>
      </c>
      <c r="C175" s="2">
        <v>1</v>
      </c>
      <c r="D175" s="2" t="s">
        <v>1201</v>
      </c>
      <c r="F175" s="24">
        <f t="shared" ref="F175:F180" si="27">H175+J175+L175</f>
        <v>2595</v>
      </c>
      <c r="H175" s="24">
        <f>TRUNC(H180,0)</f>
        <v>0</v>
      </c>
      <c r="J175" s="24">
        <f>TRUNC(J180,0)</f>
        <v>0</v>
      </c>
      <c r="L175" s="24">
        <f>TRUNC(L180,0)</f>
        <v>2595</v>
      </c>
      <c r="M175" s="18" t="s">
        <v>1410</v>
      </c>
      <c r="N175" t="s">
        <v>1850</v>
      </c>
      <c r="O175" t="s">
        <v>1236</v>
      </c>
    </row>
    <row r="176" spans="1:61" ht="18.399999999999999" customHeight="1" x14ac:dyDescent="0.15">
      <c r="A176" s="11" t="s">
        <v>747</v>
      </c>
      <c r="B176" s="2" t="s">
        <v>289</v>
      </c>
      <c r="C176" s="2">
        <v>0</v>
      </c>
      <c r="D176" s="2" t="s">
        <v>880</v>
      </c>
      <c r="E176" s="24">
        <f>G176+I176+K176</f>
        <v>95000</v>
      </c>
      <c r="F176" s="24">
        <f t="shared" si="27"/>
        <v>0</v>
      </c>
      <c r="G176" s="24">
        <f>자재!D21</f>
        <v>95000</v>
      </c>
      <c r="H176" s="24">
        <f>TRUNC(G176*C176,0)</f>
        <v>0</v>
      </c>
      <c r="I176" s="24">
        <v>0</v>
      </c>
      <c r="J176" s="24"/>
      <c r="K176" s="24">
        <v>0</v>
      </c>
      <c r="L176" s="24"/>
      <c r="M176" s="18" t="s">
        <v>1850</v>
      </c>
      <c r="N176" t="s">
        <v>1850</v>
      </c>
      <c r="P176" t="s">
        <v>239</v>
      </c>
      <c r="Q176" t="s">
        <v>1217</v>
      </c>
      <c r="R176" t="s">
        <v>1656</v>
      </c>
      <c r="BI176" s="29" t="str">
        <f>HYPERLINK("#자재!A21","MDD0156 →")</f>
        <v>MDD0156 →</v>
      </c>
    </row>
    <row r="177" spans="1:61" ht="18.399999999999999" customHeight="1" x14ac:dyDescent="0.15">
      <c r="A177" s="11" t="s">
        <v>821</v>
      </c>
      <c r="B177" s="2" t="s">
        <v>598</v>
      </c>
      <c r="C177" s="2">
        <v>2</v>
      </c>
      <c r="D177" s="2" t="s">
        <v>880</v>
      </c>
      <c r="E177" s="24">
        <f>G177+I177+K177</f>
        <v>47000</v>
      </c>
      <c r="F177" s="24">
        <f t="shared" si="27"/>
        <v>94000</v>
      </c>
      <c r="G177" s="24">
        <f>자재!D22</f>
        <v>47000</v>
      </c>
      <c r="H177" s="24">
        <f>TRUNC(G177*C177,0)</f>
        <v>94000</v>
      </c>
      <c r="I177" s="24">
        <v>0</v>
      </c>
      <c r="J177" s="24"/>
      <c r="K177" s="24">
        <v>0</v>
      </c>
      <c r="L177" s="24"/>
      <c r="M177" s="18" t="s">
        <v>1850</v>
      </c>
      <c r="N177" t="s">
        <v>1850</v>
      </c>
      <c r="P177" t="s">
        <v>1619</v>
      </c>
      <c r="Q177" t="s">
        <v>1217</v>
      </c>
      <c r="R177" t="s">
        <v>876</v>
      </c>
      <c r="AA177" s="33" t="s">
        <v>1396</v>
      </c>
      <c r="AB177" s="8">
        <f>ROUND((일위대가_호표!H176+일위대가_호표!H177)*0.01,2)</f>
        <v>940</v>
      </c>
      <c r="AC177" s="33" t="s">
        <v>1559</v>
      </c>
      <c r="AD177" s="7">
        <f>$AB177</f>
        <v>940</v>
      </c>
      <c r="AE177" s="33" t="s">
        <v>213</v>
      </c>
      <c r="AF177" s="8">
        <f>ROUND((일위대가_호표!J176+일위대가_호표!J177)*0.01,2)</f>
        <v>0</v>
      </c>
      <c r="AG177" s="33" t="s">
        <v>762</v>
      </c>
      <c r="AH177" s="7">
        <f>$AF177</f>
        <v>0</v>
      </c>
      <c r="AI177" s="33" t="s">
        <v>615</v>
      </c>
      <c r="AJ177" s="8">
        <f>ROUND((일위대가_호표!L176+일위대가_호표!L177)*0.01,2)</f>
        <v>0</v>
      </c>
      <c r="AK177" s="33" t="s">
        <v>1036</v>
      </c>
      <c r="AL177" s="7">
        <f>$AJ177</f>
        <v>0</v>
      </c>
      <c r="BI177" s="29" t="str">
        <f>HYPERLINK("#자재!A22","MDD0157 →")</f>
        <v>MDD0157 →</v>
      </c>
    </row>
    <row r="178" spans="1:61" ht="18.399999999999999" customHeight="1" x14ac:dyDescent="0.15">
      <c r="A178" s="11" t="s">
        <v>1647</v>
      </c>
      <c r="B178" s="2" t="s">
        <v>295</v>
      </c>
      <c r="C178" s="2">
        <v>1</v>
      </c>
      <c r="D178" s="2" t="s">
        <v>1529</v>
      </c>
      <c r="E178" s="24">
        <f>G178+I178+K178</f>
        <v>0</v>
      </c>
      <c r="F178" s="24">
        <f t="shared" si="27"/>
        <v>940</v>
      </c>
      <c r="G178" s="1"/>
      <c r="H178" s="24">
        <f>TRUNC((ROUND((H176+H177)*0.01,2)),0)</f>
        <v>940</v>
      </c>
      <c r="I178" s="1"/>
      <c r="J178" s="24">
        <f>TRUNC((ROUND((J176+J177)*0.01,2)),0)</f>
        <v>0</v>
      </c>
      <c r="K178" s="1"/>
      <c r="L178" s="24">
        <f>TRUNC((ROUND((L176+L177)*0.01,2)),0)</f>
        <v>0</v>
      </c>
      <c r="M178" s="18" t="s">
        <v>1850</v>
      </c>
      <c r="N178" t="s">
        <v>1850</v>
      </c>
      <c r="P178" t="s">
        <v>1167</v>
      </c>
      <c r="Q178" t="s">
        <v>1217</v>
      </c>
      <c r="R178" t="s">
        <v>1589</v>
      </c>
      <c r="X178" t="s">
        <v>690</v>
      </c>
    </row>
    <row r="179" spans="1:61" ht="18.399999999999999" customHeight="1" x14ac:dyDescent="0.15">
      <c r="A179" s="11" t="s">
        <v>597</v>
      </c>
      <c r="B179" s="2" t="s">
        <v>1024</v>
      </c>
      <c r="C179" s="2">
        <v>0.01</v>
      </c>
      <c r="D179" s="2" t="s">
        <v>1735</v>
      </c>
      <c r="E179" s="24">
        <f>G179+I179+K179</f>
        <v>165545</v>
      </c>
      <c r="F179" s="24">
        <f t="shared" si="27"/>
        <v>1655</v>
      </c>
      <c r="G179" s="24">
        <v>0</v>
      </c>
      <c r="H179" s="24"/>
      <c r="I179" s="24">
        <f>노임!D4</f>
        <v>165545</v>
      </c>
      <c r="J179" s="24">
        <f>TRUNC(I179*C179,0)</f>
        <v>1655</v>
      </c>
      <c r="K179" s="24">
        <v>0</v>
      </c>
      <c r="L179" s="24"/>
      <c r="M179" s="18" t="s">
        <v>1850</v>
      </c>
      <c r="N179" t="s">
        <v>1850</v>
      </c>
      <c r="P179" t="s">
        <v>715</v>
      </c>
      <c r="Q179" t="s">
        <v>1217</v>
      </c>
      <c r="R179" t="s">
        <v>1563</v>
      </c>
      <c r="AA179" s="33" t="s">
        <v>615</v>
      </c>
      <c r="AB179" s="8">
        <f>((일위대가_호표!H178+일위대가_호표!J178+일위대가_호표!L178)+(일위대가_호표!H179+일위대가_호표!J179+일위대가_호표!L179))*1</f>
        <v>2595</v>
      </c>
      <c r="AC179" s="33" t="s">
        <v>1036</v>
      </c>
      <c r="AD179" s="7">
        <f>$AB179</f>
        <v>2595</v>
      </c>
      <c r="BI179" s="29" t="str">
        <f>HYPERLINK("#노임!A4","L001010101000002 →")</f>
        <v>L001010101000002 →</v>
      </c>
    </row>
    <row r="180" spans="1:61" ht="18.399999999999999" customHeight="1" x14ac:dyDescent="0.15">
      <c r="A180" s="11" t="s">
        <v>1057</v>
      </c>
      <c r="B180" s="2" t="s">
        <v>1850</v>
      </c>
      <c r="C180" s="2">
        <v>1</v>
      </c>
      <c r="D180" s="2" t="s">
        <v>1201</v>
      </c>
      <c r="E180" s="24">
        <f>G180+I180+K180</f>
        <v>0</v>
      </c>
      <c r="F180" s="24">
        <f t="shared" si="27"/>
        <v>2595</v>
      </c>
      <c r="G180" s="1"/>
      <c r="H180" s="24">
        <v>0</v>
      </c>
      <c r="I180" s="1"/>
      <c r="J180" s="24">
        <v>0</v>
      </c>
      <c r="K180" s="1"/>
      <c r="L180" s="24">
        <f>TRUNC((((H178+J178+L178)+(H179+J179+L179))*1),0)</f>
        <v>2595</v>
      </c>
      <c r="M180" s="18" t="s">
        <v>1850</v>
      </c>
      <c r="N180" t="s">
        <v>1850</v>
      </c>
      <c r="P180" t="s">
        <v>207</v>
      </c>
      <c r="Q180" t="s">
        <v>1850</v>
      </c>
      <c r="R180" t="s">
        <v>1589</v>
      </c>
      <c r="X180" t="s">
        <v>294</v>
      </c>
    </row>
    <row r="181" spans="1:61" ht="18.399999999999999" customHeight="1" x14ac:dyDescent="0.15">
      <c r="A181" s="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46"/>
    </row>
    <row r="182" spans="1:61" ht="18.399999999999999" customHeight="1" x14ac:dyDescent="0.15">
      <c r="A182" s="11" t="s">
        <v>306</v>
      </c>
      <c r="B182" s="2" t="s">
        <v>1244</v>
      </c>
      <c r="C182" s="2">
        <v>1</v>
      </c>
      <c r="D182" s="2" t="s">
        <v>1705</v>
      </c>
      <c r="F182" s="24">
        <f>H182+J182+L182</f>
        <v>61963</v>
      </c>
      <c r="H182" s="24">
        <f>TRUNC(H185,0)</f>
        <v>0</v>
      </c>
      <c r="J182" s="24">
        <f>TRUNC(J185,0)</f>
        <v>0</v>
      </c>
      <c r="L182" s="24">
        <f>TRUNC(L185,0)</f>
        <v>61963</v>
      </c>
      <c r="M182" s="18" t="s">
        <v>1410</v>
      </c>
      <c r="N182" t="s">
        <v>1850</v>
      </c>
      <c r="O182" t="s">
        <v>1120</v>
      </c>
    </row>
    <row r="183" spans="1:61" ht="18.399999999999999" customHeight="1" x14ac:dyDescent="0.15">
      <c r="A183" s="11" t="s">
        <v>957</v>
      </c>
      <c r="B183" s="2" t="s">
        <v>576</v>
      </c>
      <c r="C183" s="2">
        <v>1</v>
      </c>
      <c r="D183" s="2" t="s">
        <v>1705</v>
      </c>
      <c r="E183" s="24">
        <f>G183+I183+K183</f>
        <v>12300</v>
      </c>
      <c r="F183" s="24">
        <f>H183+J183+L183</f>
        <v>12300</v>
      </c>
      <c r="G183" s="24">
        <f>일위대가목록!F64</f>
        <v>0</v>
      </c>
      <c r="H183" s="24">
        <f>TRUNC(G183*C183,0)</f>
        <v>0</v>
      </c>
      <c r="I183" s="24">
        <f>일위대가목록!G64</f>
        <v>0</v>
      </c>
      <c r="J183" s="24">
        <f>TRUNC(I183*C183,0)</f>
        <v>0</v>
      </c>
      <c r="K183" s="24">
        <f>일위대가목록!H64</f>
        <v>12300</v>
      </c>
      <c r="L183" s="24">
        <f>TRUNC(K183*C183,0)</f>
        <v>12300</v>
      </c>
      <c r="M183" s="18" t="s">
        <v>1850</v>
      </c>
      <c r="N183" t="s">
        <v>1850</v>
      </c>
      <c r="P183" t="s">
        <v>239</v>
      </c>
      <c r="Q183" t="s">
        <v>1217</v>
      </c>
      <c r="R183" t="s">
        <v>1092</v>
      </c>
      <c r="T183" t="s">
        <v>1190</v>
      </c>
      <c r="BI183" s="29" t="str">
        <f>HYPERLINK("#일위대가목록!A64","HDD1756 →")</f>
        <v>HDD1756 →</v>
      </c>
    </row>
    <row r="184" spans="1:61" ht="18.399999999999999" customHeight="1" x14ac:dyDescent="0.15">
      <c r="A184" s="11" t="s">
        <v>597</v>
      </c>
      <c r="B184" s="2" t="s">
        <v>1024</v>
      </c>
      <c r="C184" s="2">
        <v>0.3</v>
      </c>
      <c r="D184" s="2" t="s">
        <v>1735</v>
      </c>
      <c r="E184" s="24">
        <f>G184+I184+K184</f>
        <v>165545</v>
      </c>
      <c r="F184" s="24">
        <f>H184+J184+L184</f>
        <v>49663</v>
      </c>
      <c r="G184" s="24">
        <v>0</v>
      </c>
      <c r="H184" s="24"/>
      <c r="I184" s="24">
        <f>노임!D4</f>
        <v>165545</v>
      </c>
      <c r="J184" s="24">
        <f>TRUNC(I184*C184,0)</f>
        <v>49663</v>
      </c>
      <c r="K184" s="24">
        <v>0</v>
      </c>
      <c r="L184" s="24"/>
      <c r="M184" s="18" t="s">
        <v>1850</v>
      </c>
      <c r="N184" t="s">
        <v>1850</v>
      </c>
      <c r="P184" t="s">
        <v>1619</v>
      </c>
      <c r="Q184" t="s">
        <v>1217</v>
      </c>
      <c r="R184" t="s">
        <v>1563</v>
      </c>
      <c r="AA184" s="33" t="s">
        <v>615</v>
      </c>
      <c r="AB184" s="8">
        <f>((일위대가_호표!H183+일위대가_호표!J183+일위대가_호표!L183)+(일위대가_호표!H184+일위대가_호표!J184+일위대가_호표!L184))</f>
        <v>61963</v>
      </c>
      <c r="AC184" s="33" t="s">
        <v>1036</v>
      </c>
      <c r="AD184" s="7">
        <f>$AB184</f>
        <v>61963</v>
      </c>
      <c r="BI184" s="29" t="str">
        <f>HYPERLINK("#노임!A4","L001010101000002 →")</f>
        <v>L001010101000002 →</v>
      </c>
    </row>
    <row r="185" spans="1:61" ht="18.399999999999999" customHeight="1" x14ac:dyDescent="0.15">
      <c r="A185" s="11" t="s">
        <v>1351</v>
      </c>
      <c r="B185" s="2" t="s">
        <v>1850</v>
      </c>
      <c r="C185" s="2">
        <v>1</v>
      </c>
      <c r="D185" s="2" t="s">
        <v>1705</v>
      </c>
      <c r="E185" s="24">
        <f>G185+I185+K185</f>
        <v>0</v>
      </c>
      <c r="F185" s="24">
        <f>H185+J185+L185</f>
        <v>61963</v>
      </c>
      <c r="G185" s="1"/>
      <c r="H185" s="24">
        <v>0</v>
      </c>
      <c r="I185" s="1"/>
      <c r="J185" s="24">
        <v>0</v>
      </c>
      <c r="K185" s="1"/>
      <c r="L185" s="24">
        <f>TRUNC(((H183+J183+L183)+(H184+J184+L184)),0)</f>
        <v>61963</v>
      </c>
      <c r="M185" s="18" t="s">
        <v>1850</v>
      </c>
      <c r="N185" t="s">
        <v>1850</v>
      </c>
      <c r="P185" t="s">
        <v>1167</v>
      </c>
      <c r="Q185" t="s">
        <v>1850</v>
      </c>
      <c r="R185" t="s">
        <v>1589</v>
      </c>
      <c r="X185" t="s">
        <v>1632</v>
      </c>
    </row>
    <row r="186" spans="1:61" ht="18.399999999999999" customHeight="1" x14ac:dyDescent="0.1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6"/>
    </row>
    <row r="187" spans="1:61" ht="18.399999999999999" customHeight="1" x14ac:dyDescent="0.15">
      <c r="A187" s="11" t="s">
        <v>1360</v>
      </c>
      <c r="B187" s="2" t="s">
        <v>1771</v>
      </c>
      <c r="C187" s="2">
        <v>1</v>
      </c>
      <c r="D187" s="2" t="s">
        <v>1393</v>
      </c>
      <c r="F187" s="24">
        <f>H187+J187+L187</f>
        <v>3027</v>
      </c>
      <c r="H187" s="24">
        <f>TRUNC(H191,0)</f>
        <v>0</v>
      </c>
      <c r="J187" s="24">
        <f>TRUNC(J191,0)</f>
        <v>0</v>
      </c>
      <c r="L187" s="24">
        <f>TRUNC(L191,0)</f>
        <v>3027</v>
      </c>
      <c r="M187" s="18" t="s">
        <v>1410</v>
      </c>
      <c r="N187" t="s">
        <v>1850</v>
      </c>
      <c r="O187" t="s">
        <v>68</v>
      </c>
    </row>
    <row r="188" spans="1:61" ht="18.399999999999999" customHeight="1" x14ac:dyDescent="0.15">
      <c r="A188" s="11" t="s">
        <v>944</v>
      </c>
      <c r="B188" s="2" t="s">
        <v>151</v>
      </c>
      <c r="C188" s="2">
        <v>3.3000000000000002E-2</v>
      </c>
      <c r="D188" s="2" t="s">
        <v>1570</v>
      </c>
      <c r="E188" s="24">
        <f>G188+I188+K188</f>
        <v>70563.23</v>
      </c>
      <c r="F188" s="24">
        <f>H188+J188+L188</f>
        <v>2327</v>
      </c>
      <c r="G188" s="24">
        <f>중기사용료목록!E23</f>
        <v>15167.23</v>
      </c>
      <c r="H188" s="24">
        <f>TRUNC(G188*C188,0)</f>
        <v>500</v>
      </c>
      <c r="I188" s="24">
        <f>중기사용료목록!F23</f>
        <v>47231</v>
      </c>
      <c r="J188" s="24">
        <f>TRUNC(I188*C188,0)</f>
        <v>1558</v>
      </c>
      <c r="K188" s="24">
        <f>중기사용료목록!G23</f>
        <v>8165</v>
      </c>
      <c r="L188" s="24">
        <f>TRUNC(K188*C188,0)</f>
        <v>269</v>
      </c>
      <c r="M188" s="18" t="s">
        <v>1850</v>
      </c>
      <c r="N188" t="s">
        <v>1850</v>
      </c>
      <c r="P188" t="s">
        <v>239</v>
      </c>
      <c r="Q188" t="s">
        <v>1217</v>
      </c>
      <c r="R188" t="s">
        <v>1519</v>
      </c>
      <c r="BI188" s="29" t="str">
        <f>HYPERLINK("#중기사용료목록!A23","E00007204003800000 →")</f>
        <v>E00007204003800000 →</v>
      </c>
    </row>
    <row r="189" spans="1:61" ht="18.399999999999999" customHeight="1" x14ac:dyDescent="0.15">
      <c r="A189" s="11" t="s">
        <v>189</v>
      </c>
      <c r="B189" s="2" t="s">
        <v>70</v>
      </c>
      <c r="C189" s="2">
        <v>0.02</v>
      </c>
      <c r="D189" s="2" t="s">
        <v>661</v>
      </c>
      <c r="E189" s="24">
        <f>G189+I189+K189</f>
        <v>1940</v>
      </c>
      <c r="F189" s="24">
        <f>H189+J189+L189</f>
        <v>38</v>
      </c>
      <c r="G189" s="24">
        <f>경비!D5</f>
        <v>0</v>
      </c>
      <c r="H189" s="24">
        <f>TRUNC(G189*C189,0)</f>
        <v>0</v>
      </c>
      <c r="I189" s="24">
        <f>경비!E5</f>
        <v>0</v>
      </c>
      <c r="J189" s="24">
        <f>TRUNC(I189*C189,0)</f>
        <v>0</v>
      </c>
      <c r="K189" s="24">
        <f>경비!F5</f>
        <v>1940</v>
      </c>
      <c r="L189" s="24">
        <f>TRUNC(K189*C189,0)</f>
        <v>38</v>
      </c>
      <c r="M189" s="18" t="s">
        <v>1850</v>
      </c>
      <c r="N189" t="s">
        <v>1850</v>
      </c>
      <c r="P189" t="s">
        <v>1619</v>
      </c>
      <c r="Q189" t="s">
        <v>1217</v>
      </c>
      <c r="R189" t="s">
        <v>616</v>
      </c>
      <c r="BI189" s="29" t="str">
        <f>HYPERLINK("#경비!A5","GDD0003 →")</f>
        <v>GDD0003 →</v>
      </c>
    </row>
    <row r="190" spans="1:61" ht="18.399999999999999" customHeight="1" x14ac:dyDescent="0.15">
      <c r="A190" s="11" t="s">
        <v>597</v>
      </c>
      <c r="B190" s="2" t="s">
        <v>1024</v>
      </c>
      <c r="C190" s="2">
        <v>4.0000000000000001E-3</v>
      </c>
      <c r="D190" s="2" t="s">
        <v>1735</v>
      </c>
      <c r="E190" s="24">
        <f>G190+I190+K190</f>
        <v>165545</v>
      </c>
      <c r="F190" s="24">
        <f>H190+J190+L190</f>
        <v>662</v>
      </c>
      <c r="G190" s="24">
        <v>0</v>
      </c>
      <c r="H190" s="24"/>
      <c r="I190" s="24">
        <f>노임!D4</f>
        <v>165545</v>
      </c>
      <c r="J190" s="24">
        <f>TRUNC(I190*C190,0)</f>
        <v>662</v>
      </c>
      <c r="K190" s="24">
        <v>0</v>
      </c>
      <c r="L190" s="24"/>
      <c r="M190" s="18" t="s">
        <v>1850</v>
      </c>
      <c r="N190" t="s">
        <v>1850</v>
      </c>
      <c r="P190" t="s">
        <v>1167</v>
      </c>
      <c r="Q190" t="s">
        <v>1217</v>
      </c>
      <c r="R190" t="s">
        <v>1563</v>
      </c>
      <c r="AA190" s="33" t="s">
        <v>615</v>
      </c>
      <c r="AB190" s="8">
        <f>((일위대가_호표!H188+일위대가_호표!J188+일위대가_호표!L188)+(일위대가_호표!H189+일위대가_호표!J189+일위대가_호표!L189)+(일위대가_호표!H190+일위대가_호표!J190+일위대가_호표!L190))</f>
        <v>3027</v>
      </c>
      <c r="AC190" s="33" t="s">
        <v>1036</v>
      </c>
      <c r="AD190" s="7">
        <f>$AB190</f>
        <v>3027</v>
      </c>
      <c r="BI190" s="29" t="str">
        <f>HYPERLINK("#노임!A4","L001010101000002 →")</f>
        <v>L001010101000002 →</v>
      </c>
    </row>
    <row r="191" spans="1:61" ht="18.399999999999999" customHeight="1" x14ac:dyDescent="0.15">
      <c r="A191" s="11" t="s">
        <v>1351</v>
      </c>
      <c r="B191" s="2" t="s">
        <v>1850</v>
      </c>
      <c r="C191" s="2"/>
      <c r="D191" s="2" t="s">
        <v>1850</v>
      </c>
      <c r="E191" s="24">
        <f>G191+I191+K191</f>
        <v>0</v>
      </c>
      <c r="F191" s="24">
        <f>H191+J191+L191</f>
        <v>3027</v>
      </c>
      <c r="G191" s="1"/>
      <c r="H191" s="24">
        <v>0</v>
      </c>
      <c r="I191" s="1"/>
      <c r="J191" s="24">
        <v>0</v>
      </c>
      <c r="K191" s="1"/>
      <c r="L191" s="24">
        <f>TRUNC(((H188+J188+L188)+(H189+J189+L189)+(H190+J190+L190)),0)</f>
        <v>3027</v>
      </c>
      <c r="M191" s="18" t="s">
        <v>1850</v>
      </c>
      <c r="N191" t="s">
        <v>1850</v>
      </c>
      <c r="P191" t="s">
        <v>715</v>
      </c>
      <c r="Q191" t="s">
        <v>1850</v>
      </c>
      <c r="R191" t="s">
        <v>1589</v>
      </c>
      <c r="X191" t="s">
        <v>547</v>
      </c>
    </row>
    <row r="192" spans="1:61" ht="18.399999999999999" customHeight="1" x14ac:dyDescent="0.15">
      <c r="A192" s="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6"/>
    </row>
    <row r="193" spans="1:61" ht="18.399999999999999" customHeight="1" x14ac:dyDescent="0.15">
      <c r="A193" s="11" t="s">
        <v>435</v>
      </c>
      <c r="B193" s="2" t="s">
        <v>779</v>
      </c>
      <c r="C193" s="2">
        <v>1</v>
      </c>
      <c r="D193" s="2" t="s">
        <v>337</v>
      </c>
      <c r="F193" s="24">
        <f>H193+J193+L193</f>
        <v>21131</v>
      </c>
      <c r="H193" s="24">
        <f>TRUNC(H194+H195+H196+H197,0)</f>
        <v>869</v>
      </c>
      <c r="J193" s="24">
        <f>TRUNC(J194+J195+J196+J197,0)</f>
        <v>20142</v>
      </c>
      <c r="L193" s="24">
        <f>TRUNC(L194+L195+L196+L197,0)</f>
        <v>120</v>
      </c>
      <c r="M193" s="18" t="s">
        <v>1491</v>
      </c>
      <c r="N193" t="s">
        <v>1850</v>
      </c>
      <c r="O193" t="s">
        <v>1099</v>
      </c>
    </row>
    <row r="194" spans="1:61" ht="18.399999999999999" customHeight="1" x14ac:dyDescent="0.15">
      <c r="A194" s="11" t="s">
        <v>1058</v>
      </c>
      <c r="B194" s="2" t="s">
        <v>1100</v>
      </c>
      <c r="C194" s="2">
        <v>0.125</v>
      </c>
      <c r="D194" s="2" t="s">
        <v>1735</v>
      </c>
      <c r="E194" s="24">
        <f>G194+I194+K194</f>
        <v>161142</v>
      </c>
      <c r="F194" s="24">
        <f>H194+J194+L194</f>
        <v>20142</v>
      </c>
      <c r="G194" s="24">
        <v>0</v>
      </c>
      <c r="H194" s="24"/>
      <c r="I194" s="24">
        <f>노임!D12</f>
        <v>161142</v>
      </c>
      <c r="J194" s="24">
        <f>TRUNC(I194*C194,0)</f>
        <v>20142</v>
      </c>
      <c r="K194" s="24">
        <v>0</v>
      </c>
      <c r="L194" s="24"/>
      <c r="M194" s="18" t="s">
        <v>1850</v>
      </c>
      <c r="N194" t="s">
        <v>1850</v>
      </c>
      <c r="P194" t="s">
        <v>239</v>
      </c>
      <c r="Q194" t="s">
        <v>1850</v>
      </c>
      <c r="R194" t="s">
        <v>1391</v>
      </c>
      <c r="BI194" s="29" t="str">
        <f>HYPERLINK("#노임!A12","L001010101000050 →")</f>
        <v>L001010101000050 →</v>
      </c>
    </row>
    <row r="195" spans="1:61" ht="18.399999999999999" customHeight="1" x14ac:dyDescent="0.15">
      <c r="A195" s="11" t="s">
        <v>1042</v>
      </c>
      <c r="B195" s="2" t="s">
        <v>414</v>
      </c>
      <c r="C195" s="2">
        <v>1</v>
      </c>
      <c r="D195" s="2" t="s">
        <v>1570</v>
      </c>
      <c r="E195" s="24">
        <f>G195+I195+K195</f>
        <v>67</v>
      </c>
      <c r="F195" s="24">
        <f>H195+J195+L195</f>
        <v>67</v>
      </c>
      <c r="G195" s="24">
        <f>중기사용료목록!E31</f>
        <v>0</v>
      </c>
      <c r="H195" s="24">
        <f>TRUNC(G195*C195,0)</f>
        <v>0</v>
      </c>
      <c r="I195" s="24">
        <f>중기사용료목록!F31</f>
        <v>0</v>
      </c>
      <c r="J195" s="24">
        <f>TRUNC(I195*C195,0)</f>
        <v>0</v>
      </c>
      <c r="K195" s="24">
        <f>중기사용료목록!G31</f>
        <v>67</v>
      </c>
      <c r="L195" s="24">
        <f>TRUNC(K195*C195,0)</f>
        <v>67</v>
      </c>
      <c r="M195" s="18" t="s">
        <v>1850</v>
      </c>
      <c r="N195" t="s">
        <v>1850</v>
      </c>
      <c r="P195" t="s">
        <v>1619</v>
      </c>
      <c r="Q195" t="s">
        <v>1850</v>
      </c>
      <c r="R195" t="s">
        <v>1762</v>
      </c>
      <c r="BI195" s="29" t="str">
        <f>HYPERLINK("#중기사용료목록!A31","E00007730005000000 →")</f>
        <v>E00007730005000000 →</v>
      </c>
    </row>
    <row r="196" spans="1:61" ht="18.399999999999999" customHeight="1" x14ac:dyDescent="0.15">
      <c r="A196" s="11" t="s">
        <v>120</v>
      </c>
      <c r="B196" s="2" t="s">
        <v>57</v>
      </c>
      <c r="C196" s="2">
        <v>1</v>
      </c>
      <c r="D196" s="2" t="s">
        <v>1570</v>
      </c>
      <c r="E196" s="24">
        <f>G196+I196+K196</f>
        <v>913.23</v>
      </c>
      <c r="F196" s="24">
        <f>H196+J196+L196</f>
        <v>913</v>
      </c>
      <c r="G196" s="24">
        <f>중기사용료목록!E33</f>
        <v>860.23</v>
      </c>
      <c r="H196" s="24">
        <f>TRUNC(G196*C196,0)</f>
        <v>860</v>
      </c>
      <c r="I196" s="24">
        <f>중기사용료목록!F33</f>
        <v>0</v>
      </c>
      <c r="J196" s="24">
        <f>TRUNC(I196*C196,0)</f>
        <v>0</v>
      </c>
      <c r="K196" s="24">
        <f>중기사용료목록!G33</f>
        <v>53</v>
      </c>
      <c r="L196" s="24">
        <f>TRUNC(K196*C196,0)</f>
        <v>53</v>
      </c>
      <c r="M196" s="18" t="s">
        <v>1850</v>
      </c>
      <c r="N196" t="s">
        <v>1850</v>
      </c>
      <c r="P196" t="s">
        <v>1167</v>
      </c>
      <c r="Q196" t="s">
        <v>1850</v>
      </c>
      <c r="R196" t="s">
        <v>498</v>
      </c>
      <c r="BI196" s="29" t="str">
        <f>HYPERLINK("#중기사용료목록!A33","E00007811002500000 →")</f>
        <v>E00007811002500000 →</v>
      </c>
    </row>
    <row r="197" spans="1:61" ht="18.399999999999999" customHeight="1" x14ac:dyDescent="0.15">
      <c r="A197" s="11" t="s">
        <v>978</v>
      </c>
      <c r="B197" s="2" t="s">
        <v>779</v>
      </c>
      <c r="C197" s="2">
        <v>5.0000000000000001E-3</v>
      </c>
      <c r="D197" s="2" t="s">
        <v>1134</v>
      </c>
      <c r="E197" s="24">
        <f>G197+I197+K197</f>
        <v>1889</v>
      </c>
      <c r="F197" s="24">
        <f>H197+J197+L197</f>
        <v>9</v>
      </c>
      <c r="G197" s="24">
        <f>자재!D36</f>
        <v>1889</v>
      </c>
      <c r="H197" s="24">
        <f>TRUNC(G197*C197,0)</f>
        <v>9</v>
      </c>
      <c r="I197" s="24">
        <v>0</v>
      </c>
      <c r="J197" s="24"/>
      <c r="K197" s="24">
        <v>0</v>
      </c>
      <c r="L197" s="24"/>
      <c r="M197" s="18" t="s">
        <v>1850</v>
      </c>
      <c r="N197" t="s">
        <v>1850</v>
      </c>
      <c r="P197" t="s">
        <v>715</v>
      </c>
      <c r="Q197" t="s">
        <v>1850</v>
      </c>
      <c r="R197" t="s">
        <v>340</v>
      </c>
      <c r="BI197" s="29" t="str">
        <f>HYPERLINK("#자재!A36","MDD0592 →")</f>
        <v>MDD0592 →</v>
      </c>
    </row>
    <row r="198" spans="1:61" ht="18.399999999999999" customHeight="1" x14ac:dyDescent="0.1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6"/>
    </row>
    <row r="199" spans="1:61" ht="18.399999999999999" customHeight="1" x14ac:dyDescent="0.15">
      <c r="A199" s="11" t="s">
        <v>61</v>
      </c>
      <c r="B199" s="2" t="s">
        <v>910</v>
      </c>
      <c r="C199" s="2">
        <v>1</v>
      </c>
      <c r="D199" s="2" t="s">
        <v>135</v>
      </c>
      <c r="F199" s="24">
        <f t="shared" ref="F199:F204" si="28">H199+J199+L199</f>
        <v>209325</v>
      </c>
      <c r="H199" s="24">
        <f>TRUNC(H200+H201+H202+H203+H204,0)</f>
        <v>3795</v>
      </c>
      <c r="J199" s="24">
        <f>TRUNC(J200+J201+J202+J203+J204,0)</f>
        <v>181924</v>
      </c>
      <c r="L199" s="24">
        <f>TRUNC(L200+L201+L202+L203+L204,0)</f>
        <v>23606</v>
      </c>
      <c r="M199" s="18" t="s">
        <v>1538</v>
      </c>
      <c r="N199" t="s">
        <v>1850</v>
      </c>
      <c r="O199" t="s">
        <v>703</v>
      </c>
    </row>
    <row r="200" spans="1:61" ht="18.399999999999999" customHeight="1" x14ac:dyDescent="0.15">
      <c r="A200" s="11" t="s">
        <v>394</v>
      </c>
      <c r="B200" s="2" t="s">
        <v>1024</v>
      </c>
      <c r="C200" s="2">
        <v>0.16</v>
      </c>
      <c r="D200" s="2" t="s">
        <v>1735</v>
      </c>
      <c r="E200" s="24">
        <f>G200+I200+K200</f>
        <v>243126</v>
      </c>
      <c r="F200" s="24">
        <f t="shared" si="28"/>
        <v>38900</v>
      </c>
      <c r="G200" s="24">
        <v>0</v>
      </c>
      <c r="H200" s="24"/>
      <c r="I200" s="24">
        <f>노임!D8</f>
        <v>243126</v>
      </c>
      <c r="J200" s="24">
        <f>TRUNC(I200*C200,0)</f>
        <v>38900</v>
      </c>
      <c r="K200" s="24">
        <v>0</v>
      </c>
      <c r="L200" s="24"/>
      <c r="M200" s="18" t="s">
        <v>1850</v>
      </c>
      <c r="N200" t="s">
        <v>1850</v>
      </c>
      <c r="P200" t="s">
        <v>239</v>
      </c>
      <c r="Q200" t="s">
        <v>1850</v>
      </c>
      <c r="R200" t="s">
        <v>373</v>
      </c>
      <c r="BI200" s="29" t="str">
        <f>HYPERLINK("#노임!A8","L001010101000011 →")</f>
        <v>L001010101000011 →</v>
      </c>
    </row>
    <row r="201" spans="1:61" ht="18.399999999999999" customHeight="1" x14ac:dyDescent="0.15">
      <c r="A201" s="11" t="s">
        <v>1035</v>
      </c>
      <c r="B201" s="2" t="s">
        <v>1024</v>
      </c>
      <c r="C201" s="2">
        <v>0.38</v>
      </c>
      <c r="D201" s="2" t="s">
        <v>1735</v>
      </c>
      <c r="E201" s="24">
        <f>G201+I201+K201</f>
        <v>267021</v>
      </c>
      <c r="F201" s="24">
        <f t="shared" si="28"/>
        <v>101467</v>
      </c>
      <c r="G201" s="24">
        <v>0</v>
      </c>
      <c r="H201" s="24"/>
      <c r="I201" s="24">
        <f>노임!D9</f>
        <v>267021</v>
      </c>
      <c r="J201" s="24">
        <f>TRUNC(I201*C201,0)</f>
        <v>101467</v>
      </c>
      <c r="K201" s="24">
        <v>0</v>
      </c>
      <c r="L201" s="24"/>
      <c r="M201" s="18" t="s">
        <v>1850</v>
      </c>
      <c r="N201" t="s">
        <v>1850</v>
      </c>
      <c r="P201" t="s">
        <v>1619</v>
      </c>
      <c r="Q201" t="s">
        <v>1850</v>
      </c>
      <c r="R201" t="s">
        <v>1123</v>
      </c>
      <c r="BI201" s="29" t="str">
        <f>HYPERLINK("#노임!A9","L001010101000012 →")</f>
        <v>L001010101000012 →</v>
      </c>
    </row>
    <row r="202" spans="1:61" ht="18.399999999999999" customHeight="1" x14ac:dyDescent="0.15">
      <c r="A202" s="11" t="s">
        <v>597</v>
      </c>
      <c r="B202" s="2" t="s">
        <v>1024</v>
      </c>
      <c r="C202" s="2">
        <v>0.14000000000000001</v>
      </c>
      <c r="D202" s="2" t="s">
        <v>1735</v>
      </c>
      <c r="E202" s="24">
        <f>G202+I202+K202</f>
        <v>165545</v>
      </c>
      <c r="F202" s="24">
        <f t="shared" si="28"/>
        <v>23176</v>
      </c>
      <c r="G202" s="24">
        <v>0</v>
      </c>
      <c r="H202" s="24"/>
      <c r="I202" s="24">
        <f>노임!D4</f>
        <v>165545</v>
      </c>
      <c r="J202" s="24">
        <f>TRUNC(I202*C202,0)</f>
        <v>23176</v>
      </c>
      <c r="K202" s="24">
        <v>0</v>
      </c>
      <c r="L202" s="24"/>
      <c r="M202" s="18" t="s">
        <v>1850</v>
      </c>
      <c r="N202" t="s">
        <v>1850</v>
      </c>
      <c r="P202" t="s">
        <v>1167</v>
      </c>
      <c r="Q202" t="s">
        <v>1850</v>
      </c>
      <c r="R202" t="s">
        <v>1563</v>
      </c>
      <c r="BI202" s="29" t="str">
        <f>HYPERLINK("#노임!A4","L001010101000002 →")</f>
        <v>L001010101000002 →</v>
      </c>
    </row>
    <row r="203" spans="1:61" ht="18.399999999999999" customHeight="1" x14ac:dyDescent="0.15">
      <c r="A203" s="11" t="s">
        <v>943</v>
      </c>
      <c r="B203" s="2" t="s">
        <v>806</v>
      </c>
      <c r="C203" s="2">
        <v>0.33</v>
      </c>
      <c r="D203" s="2" t="s">
        <v>1570</v>
      </c>
      <c r="E203" s="24">
        <f>G203+I203+K203</f>
        <v>123869.94</v>
      </c>
      <c r="F203" s="24">
        <f t="shared" si="28"/>
        <v>40876</v>
      </c>
      <c r="G203" s="24">
        <f>중기사용료목록!E16</f>
        <v>11502.94</v>
      </c>
      <c r="H203" s="24">
        <f>TRUNC(G203*C203,0)</f>
        <v>3795</v>
      </c>
      <c r="I203" s="24">
        <f>중기사용료목록!F16</f>
        <v>55700</v>
      </c>
      <c r="J203" s="24">
        <f>TRUNC(I203*C203,0)</f>
        <v>18381</v>
      </c>
      <c r="K203" s="24">
        <f>중기사용료목록!G16</f>
        <v>56667</v>
      </c>
      <c r="L203" s="24">
        <f>TRUNC(K203*C203,0)</f>
        <v>18700</v>
      </c>
      <c r="M203" s="18" t="s">
        <v>1850</v>
      </c>
      <c r="N203" t="s">
        <v>1850</v>
      </c>
      <c r="P203" t="s">
        <v>715</v>
      </c>
      <c r="Q203" t="s">
        <v>1850</v>
      </c>
      <c r="R203" t="s">
        <v>541</v>
      </c>
      <c r="AA203" s="33" t="s">
        <v>615</v>
      </c>
      <c r="AB203" s="8">
        <f>(일위대가_호표!J200+일위대가_호표!J201+일위대가_호표!J202)*0.03</f>
        <v>4906.29</v>
      </c>
      <c r="AC203" s="33" t="s">
        <v>1036</v>
      </c>
      <c r="AD203" s="7">
        <f>$AB203</f>
        <v>4906.29</v>
      </c>
      <c r="BI203" s="29" t="str">
        <f>HYPERLINK("#중기사용료목록!A16","E00002104002500000 →")</f>
        <v>E00002104002500000 →</v>
      </c>
    </row>
    <row r="204" spans="1:61" ht="18.399999999999999" customHeight="1" x14ac:dyDescent="0.15">
      <c r="A204" s="11" t="s">
        <v>898</v>
      </c>
      <c r="B204" s="2" t="s">
        <v>1125</v>
      </c>
      <c r="C204" s="2">
        <v>1</v>
      </c>
      <c r="D204" s="2" t="s">
        <v>1529</v>
      </c>
      <c r="E204" s="24">
        <f>G204+I204+K204</f>
        <v>0</v>
      </c>
      <c r="F204" s="24">
        <f t="shared" si="28"/>
        <v>4906</v>
      </c>
      <c r="G204" s="1"/>
      <c r="H204" s="24">
        <v>0</v>
      </c>
      <c r="I204" s="1"/>
      <c r="J204" s="24">
        <v>0</v>
      </c>
      <c r="K204" s="1"/>
      <c r="L204" s="24">
        <f>TRUNC(((J200+J201+J202)*0.03),0)</f>
        <v>4906</v>
      </c>
      <c r="M204" s="18" t="s">
        <v>1850</v>
      </c>
      <c r="N204" t="s">
        <v>1850</v>
      </c>
      <c r="P204" t="s">
        <v>207</v>
      </c>
      <c r="Q204" t="s">
        <v>1850</v>
      </c>
      <c r="R204" t="s">
        <v>1589</v>
      </c>
      <c r="X204" t="s">
        <v>858</v>
      </c>
    </row>
    <row r="205" spans="1:61" ht="18.399999999999999" customHeight="1" x14ac:dyDescent="0.15">
      <c r="A205" s="4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46"/>
    </row>
    <row r="206" spans="1:61" ht="18.399999999999999" customHeight="1" x14ac:dyDescent="0.15">
      <c r="A206" s="11" t="s">
        <v>319</v>
      </c>
      <c r="B206" s="2" t="s">
        <v>910</v>
      </c>
      <c r="C206" s="2">
        <v>1</v>
      </c>
      <c r="D206" s="2" t="s">
        <v>135</v>
      </c>
      <c r="F206" s="24">
        <f t="shared" ref="F206:F211" si="29">H206+J206+L206</f>
        <v>130427</v>
      </c>
      <c r="H206" s="24">
        <f>TRUNC(H207+H208+H209+H210+H211,0)</f>
        <v>2645</v>
      </c>
      <c r="J206" s="24">
        <f>TRUNC(J207+J208+J209+J210+J211,0)</f>
        <v>111780</v>
      </c>
      <c r="L206" s="24">
        <f>TRUNC(L207+L208+L209+L210+L211,0)</f>
        <v>16002</v>
      </c>
      <c r="M206" s="18" t="s">
        <v>1079</v>
      </c>
      <c r="N206" t="s">
        <v>1850</v>
      </c>
      <c r="O206" t="s">
        <v>359</v>
      </c>
    </row>
    <row r="207" spans="1:61" ht="18.399999999999999" customHeight="1" x14ac:dyDescent="0.15">
      <c r="A207" s="11" t="s">
        <v>394</v>
      </c>
      <c r="B207" s="2" t="s">
        <v>1024</v>
      </c>
      <c r="C207" s="2">
        <v>0.1</v>
      </c>
      <c r="D207" s="2" t="s">
        <v>1735</v>
      </c>
      <c r="E207" s="24">
        <f>G207+I207+K207</f>
        <v>243126</v>
      </c>
      <c r="F207" s="24">
        <f t="shared" si="29"/>
        <v>24312</v>
      </c>
      <c r="G207" s="24">
        <v>0</v>
      </c>
      <c r="H207" s="24"/>
      <c r="I207" s="24">
        <f>노임!D8</f>
        <v>243126</v>
      </c>
      <c r="J207" s="24">
        <f>TRUNC(I207*C207,0)</f>
        <v>24312</v>
      </c>
      <c r="K207" s="24">
        <v>0</v>
      </c>
      <c r="L207" s="24"/>
      <c r="M207" s="18" t="s">
        <v>1850</v>
      </c>
      <c r="N207" t="s">
        <v>1850</v>
      </c>
      <c r="P207" t="s">
        <v>239</v>
      </c>
      <c r="Q207" t="s">
        <v>1850</v>
      </c>
      <c r="R207" t="s">
        <v>373</v>
      </c>
      <c r="BI207" s="29" t="str">
        <f>HYPERLINK("#노임!A8","L001010101000011 →")</f>
        <v>L001010101000011 →</v>
      </c>
    </row>
    <row r="208" spans="1:61" ht="18.399999999999999" customHeight="1" x14ac:dyDescent="0.15">
      <c r="A208" s="11" t="s">
        <v>1035</v>
      </c>
      <c r="B208" s="2" t="s">
        <v>1024</v>
      </c>
      <c r="C208" s="2">
        <v>0.23</v>
      </c>
      <c r="D208" s="2" t="s">
        <v>1735</v>
      </c>
      <c r="E208" s="24">
        <f>G208+I208+K208</f>
        <v>267021</v>
      </c>
      <c r="F208" s="24">
        <f t="shared" si="29"/>
        <v>61414</v>
      </c>
      <c r="G208" s="24">
        <v>0</v>
      </c>
      <c r="H208" s="24"/>
      <c r="I208" s="24">
        <f>노임!D9</f>
        <v>267021</v>
      </c>
      <c r="J208" s="24">
        <f>TRUNC(I208*C208,0)</f>
        <v>61414</v>
      </c>
      <c r="K208" s="24">
        <v>0</v>
      </c>
      <c r="L208" s="24"/>
      <c r="M208" s="18" t="s">
        <v>1850</v>
      </c>
      <c r="N208" t="s">
        <v>1850</v>
      </c>
      <c r="P208" t="s">
        <v>1619</v>
      </c>
      <c r="Q208" t="s">
        <v>1850</v>
      </c>
      <c r="R208" t="s">
        <v>1123</v>
      </c>
      <c r="BI208" s="29" t="str">
        <f>HYPERLINK("#노임!A9","L001010101000012 →")</f>
        <v>L001010101000012 →</v>
      </c>
    </row>
    <row r="209" spans="1:61" ht="18.399999999999999" customHeight="1" x14ac:dyDescent="0.15">
      <c r="A209" s="11" t="s">
        <v>597</v>
      </c>
      <c r="B209" s="2" t="s">
        <v>1024</v>
      </c>
      <c r="C209" s="2">
        <v>0.08</v>
      </c>
      <c r="D209" s="2" t="s">
        <v>1735</v>
      </c>
      <c r="E209" s="24">
        <f>G209+I209+K209</f>
        <v>165545</v>
      </c>
      <c r="F209" s="24">
        <f t="shared" si="29"/>
        <v>13243</v>
      </c>
      <c r="G209" s="24">
        <v>0</v>
      </c>
      <c r="H209" s="24"/>
      <c r="I209" s="24">
        <f>노임!D4</f>
        <v>165545</v>
      </c>
      <c r="J209" s="24">
        <f>TRUNC(I209*C209,0)</f>
        <v>13243</v>
      </c>
      <c r="K209" s="24">
        <v>0</v>
      </c>
      <c r="L209" s="24"/>
      <c r="M209" s="18" t="s">
        <v>1850</v>
      </c>
      <c r="N209" t="s">
        <v>1850</v>
      </c>
      <c r="P209" t="s">
        <v>1167</v>
      </c>
      <c r="Q209" t="s">
        <v>1850</v>
      </c>
      <c r="R209" t="s">
        <v>1563</v>
      </c>
      <c r="BI209" s="29" t="str">
        <f>HYPERLINK("#노임!A4","L001010101000002 →")</f>
        <v>L001010101000002 →</v>
      </c>
    </row>
    <row r="210" spans="1:61" ht="18.399999999999999" customHeight="1" x14ac:dyDescent="0.15">
      <c r="A210" s="11" t="s">
        <v>943</v>
      </c>
      <c r="B210" s="2" t="s">
        <v>806</v>
      </c>
      <c r="C210" s="2">
        <v>0.23</v>
      </c>
      <c r="D210" s="2" t="s">
        <v>1570</v>
      </c>
      <c r="E210" s="24">
        <f>G210+I210+K210</f>
        <v>123869.94</v>
      </c>
      <c r="F210" s="24">
        <f t="shared" si="29"/>
        <v>28489</v>
      </c>
      <c r="G210" s="24">
        <f>중기사용료목록!E16</f>
        <v>11502.94</v>
      </c>
      <c r="H210" s="24">
        <f>TRUNC(G210*C210,0)</f>
        <v>2645</v>
      </c>
      <c r="I210" s="24">
        <f>중기사용료목록!F16</f>
        <v>55700</v>
      </c>
      <c r="J210" s="24">
        <f>TRUNC(I210*C210,0)</f>
        <v>12811</v>
      </c>
      <c r="K210" s="24">
        <f>중기사용료목록!G16</f>
        <v>56667</v>
      </c>
      <c r="L210" s="24">
        <f>TRUNC(K210*C210,0)</f>
        <v>13033</v>
      </c>
      <c r="M210" s="18" t="s">
        <v>1850</v>
      </c>
      <c r="N210" t="s">
        <v>1850</v>
      </c>
      <c r="P210" t="s">
        <v>715</v>
      </c>
      <c r="Q210" t="s">
        <v>1850</v>
      </c>
      <c r="R210" t="s">
        <v>541</v>
      </c>
      <c r="AA210" s="33" t="s">
        <v>615</v>
      </c>
      <c r="AB210" s="8">
        <f>(일위대가_호표!J207+일위대가_호표!J208+일위대가_호표!J209)*0.03</f>
        <v>2969.0699999999997</v>
      </c>
      <c r="AC210" s="33" t="s">
        <v>1036</v>
      </c>
      <c r="AD210" s="7">
        <f>$AB210</f>
        <v>2969.0699999999997</v>
      </c>
      <c r="BI210" s="29" t="str">
        <f>HYPERLINK("#중기사용료목록!A16","E00002104002500000 →")</f>
        <v>E00002104002500000 →</v>
      </c>
    </row>
    <row r="211" spans="1:61" ht="18.399999999999999" customHeight="1" x14ac:dyDescent="0.15">
      <c r="A211" s="11" t="s">
        <v>898</v>
      </c>
      <c r="B211" s="2" t="s">
        <v>1125</v>
      </c>
      <c r="C211" s="2">
        <v>1</v>
      </c>
      <c r="D211" s="2" t="s">
        <v>1529</v>
      </c>
      <c r="E211" s="24">
        <f>G211+I211+K211</f>
        <v>0</v>
      </c>
      <c r="F211" s="24">
        <f t="shared" si="29"/>
        <v>2969</v>
      </c>
      <c r="G211" s="1"/>
      <c r="H211" s="24">
        <v>0</v>
      </c>
      <c r="I211" s="1"/>
      <c r="J211" s="24">
        <v>0</v>
      </c>
      <c r="K211" s="1"/>
      <c r="L211" s="24">
        <f>TRUNC(((J207+J208+J209)*0.03),0)</f>
        <v>2969</v>
      </c>
      <c r="M211" s="18" t="s">
        <v>1850</v>
      </c>
      <c r="N211" t="s">
        <v>1850</v>
      </c>
      <c r="P211" t="s">
        <v>207</v>
      </c>
      <c r="Q211" t="s">
        <v>1850</v>
      </c>
      <c r="R211" t="s">
        <v>1589</v>
      </c>
      <c r="X211" t="s">
        <v>858</v>
      </c>
    </row>
    <row r="212" spans="1:61" ht="18.399999999999999" customHeight="1" x14ac:dyDescent="0.15">
      <c r="A212" s="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6"/>
    </row>
    <row r="213" spans="1:61" ht="18.399999999999999" customHeight="1" x14ac:dyDescent="0.15">
      <c r="A213" s="11" t="s">
        <v>968</v>
      </c>
      <c r="B213" s="2" t="s">
        <v>284</v>
      </c>
      <c r="C213" s="2">
        <v>1</v>
      </c>
      <c r="D213" s="2" t="s">
        <v>1201</v>
      </c>
      <c r="F213" s="24">
        <f t="shared" ref="F213:F219" si="30">H213+J213+L213</f>
        <v>237984</v>
      </c>
      <c r="H213" s="24">
        <f>TRUNC(H214+H215+H216+H217+H218+H219,0)</f>
        <v>23596</v>
      </c>
      <c r="J213" s="24">
        <f>TRUNC(J214+J215+J216+J217+J218+J219,0)</f>
        <v>205686</v>
      </c>
      <c r="L213" s="24">
        <f>TRUNC(L214+L215+L216+L217+L218+L219,0)</f>
        <v>8702</v>
      </c>
      <c r="M213" s="18" t="s">
        <v>1850</v>
      </c>
      <c r="N213" t="s">
        <v>1850</v>
      </c>
      <c r="O213" t="s">
        <v>745</v>
      </c>
    </row>
    <row r="214" spans="1:61" ht="18.399999999999999" customHeight="1" x14ac:dyDescent="0.15">
      <c r="A214" s="11" t="s">
        <v>1481</v>
      </c>
      <c r="B214" s="2" t="s">
        <v>251</v>
      </c>
      <c r="C214" s="2">
        <v>2</v>
      </c>
      <c r="D214" s="2" t="s">
        <v>1201</v>
      </c>
      <c r="E214" s="24">
        <f t="shared" ref="E214:E219" si="31">G214+I214+K214</f>
        <v>15666</v>
      </c>
      <c r="F214" s="24">
        <f t="shared" si="30"/>
        <v>31332</v>
      </c>
      <c r="G214" s="24">
        <f>일위대가목록!F17</f>
        <v>1520</v>
      </c>
      <c r="H214" s="24">
        <f t="shared" ref="H214:H219" si="32">TRUNC(G214*C214,0)</f>
        <v>3040</v>
      </c>
      <c r="I214" s="24">
        <f>일위대가목록!G17</f>
        <v>13571</v>
      </c>
      <c r="J214" s="24">
        <f>TRUNC(I214*C214,0)</f>
        <v>27142</v>
      </c>
      <c r="K214" s="24">
        <f>일위대가목록!H17</f>
        <v>575</v>
      </c>
      <c r="L214" s="24">
        <f>TRUNC(K214*C214,0)</f>
        <v>1150</v>
      </c>
      <c r="M214" s="18" t="s">
        <v>1850</v>
      </c>
      <c r="N214" t="s">
        <v>1850</v>
      </c>
      <c r="P214" t="s">
        <v>239</v>
      </c>
      <c r="Q214" t="s">
        <v>1850</v>
      </c>
      <c r="R214" t="s">
        <v>934</v>
      </c>
      <c r="T214" t="s">
        <v>1589</v>
      </c>
      <c r="BI214" s="29" t="str">
        <f>HYPERLINK("#일위대가목록!A17","SDD0035 →")</f>
        <v>SDD0035 →</v>
      </c>
    </row>
    <row r="215" spans="1:61" ht="18.399999999999999" customHeight="1" x14ac:dyDescent="0.15">
      <c r="A215" s="11" t="s">
        <v>466</v>
      </c>
      <c r="B215" s="2" t="s">
        <v>1031</v>
      </c>
      <c r="C215" s="2">
        <v>2</v>
      </c>
      <c r="D215" s="2" t="s">
        <v>1201</v>
      </c>
      <c r="E215" s="24">
        <f t="shared" si="31"/>
        <v>21277</v>
      </c>
      <c r="F215" s="24">
        <f t="shared" si="30"/>
        <v>42554</v>
      </c>
      <c r="G215" s="24">
        <f>일위대가목록!F18</f>
        <v>2012</v>
      </c>
      <c r="H215" s="24">
        <f t="shared" si="32"/>
        <v>4024</v>
      </c>
      <c r="I215" s="24">
        <f>일위대가목록!G18</f>
        <v>18463</v>
      </c>
      <c r="J215" s="24">
        <f>TRUNC(I215*C215,0)</f>
        <v>36926</v>
      </c>
      <c r="K215" s="24">
        <f>일위대가목록!H18</f>
        <v>802</v>
      </c>
      <c r="L215" s="24">
        <f>TRUNC(K215*C215,0)</f>
        <v>1604</v>
      </c>
      <c r="M215" s="18" t="s">
        <v>1850</v>
      </c>
      <c r="N215" t="s">
        <v>1850</v>
      </c>
      <c r="P215" t="s">
        <v>1619</v>
      </c>
      <c r="Q215" t="s">
        <v>1850</v>
      </c>
      <c r="R215" t="s">
        <v>657</v>
      </c>
      <c r="T215" t="s">
        <v>1589</v>
      </c>
      <c r="BI215" s="29" t="str">
        <f>HYPERLINK("#일위대가목록!A18","SDD0037 →")</f>
        <v>SDD0037 →</v>
      </c>
    </row>
    <row r="216" spans="1:61" ht="18.399999999999999" customHeight="1" x14ac:dyDescent="0.15">
      <c r="A216" s="11" t="s">
        <v>1658</v>
      </c>
      <c r="B216" s="2" t="s">
        <v>519</v>
      </c>
      <c r="C216" s="2">
        <v>2</v>
      </c>
      <c r="D216" s="2" t="s">
        <v>1201</v>
      </c>
      <c r="E216" s="24">
        <f t="shared" si="31"/>
        <v>27358</v>
      </c>
      <c r="F216" s="24">
        <f t="shared" si="30"/>
        <v>54716</v>
      </c>
      <c r="G216" s="24">
        <f>일위대가목록!F19</f>
        <v>2414</v>
      </c>
      <c r="H216" s="24">
        <f t="shared" si="32"/>
        <v>4828</v>
      </c>
      <c r="I216" s="24">
        <f>일위대가목록!G19</f>
        <v>23906</v>
      </c>
      <c r="J216" s="24">
        <f>TRUNC(I216*C216,0)</f>
        <v>47812</v>
      </c>
      <c r="K216" s="24">
        <f>일위대가목록!H19</f>
        <v>1038</v>
      </c>
      <c r="L216" s="24">
        <f>TRUNC(K216*C216,0)</f>
        <v>2076</v>
      </c>
      <c r="M216" s="18" t="s">
        <v>1850</v>
      </c>
      <c r="N216" t="s">
        <v>1850</v>
      </c>
      <c r="P216" t="s">
        <v>1167</v>
      </c>
      <c r="Q216" t="s">
        <v>1850</v>
      </c>
      <c r="R216" t="s">
        <v>397</v>
      </c>
      <c r="T216" t="s">
        <v>1589</v>
      </c>
      <c r="BI216" s="29" t="str">
        <f>HYPERLINK("#일위대가목록!A19","SDD0040 →")</f>
        <v>SDD0040 →</v>
      </c>
    </row>
    <row r="217" spans="1:61" ht="18.399999999999999" customHeight="1" x14ac:dyDescent="0.15">
      <c r="A217" s="11" t="s">
        <v>727</v>
      </c>
      <c r="B217" s="2" t="s">
        <v>713</v>
      </c>
      <c r="C217" s="2">
        <v>16</v>
      </c>
      <c r="D217" s="2" t="s">
        <v>1201</v>
      </c>
      <c r="E217" s="24">
        <f t="shared" si="31"/>
        <v>5105</v>
      </c>
      <c r="F217" s="24">
        <f t="shared" si="30"/>
        <v>81680</v>
      </c>
      <c r="G217" s="24">
        <f>일위대가목록!F65</f>
        <v>2</v>
      </c>
      <c r="H217" s="24">
        <f t="shared" si="32"/>
        <v>32</v>
      </c>
      <c r="I217" s="24">
        <f>일위대가목록!G65</f>
        <v>4861</v>
      </c>
      <c r="J217" s="24">
        <f>TRUNC(I217*C217,0)</f>
        <v>77776</v>
      </c>
      <c r="K217" s="24">
        <f>일위대가목록!H65</f>
        <v>242</v>
      </c>
      <c r="L217" s="24">
        <f>TRUNC(K217*C217,0)</f>
        <v>3872</v>
      </c>
      <c r="M217" s="18" t="s">
        <v>1783</v>
      </c>
      <c r="N217" t="s">
        <v>1850</v>
      </c>
      <c r="P217" t="s">
        <v>715</v>
      </c>
      <c r="Q217" t="s">
        <v>1850</v>
      </c>
      <c r="R217" t="s">
        <v>1320</v>
      </c>
      <c r="T217" t="s">
        <v>1190</v>
      </c>
      <c r="BI217" s="29" t="str">
        <f>HYPERLINK("#일위대가목록!A65","HDD1586 →")</f>
        <v>HDD1586 →</v>
      </c>
    </row>
    <row r="218" spans="1:61" ht="18.399999999999999" customHeight="1" x14ac:dyDescent="0.15">
      <c r="A218" s="11" t="s">
        <v>626</v>
      </c>
      <c r="B218" s="2" t="s">
        <v>1312</v>
      </c>
      <c r="C218" s="2">
        <v>3.78</v>
      </c>
      <c r="D218" s="2" t="s">
        <v>1201</v>
      </c>
      <c r="E218" s="24">
        <f t="shared" si="31"/>
        <v>4241</v>
      </c>
      <c r="F218" s="24">
        <f t="shared" si="30"/>
        <v>16030</v>
      </c>
      <c r="G218" s="24">
        <f>일위대가목록!F66</f>
        <v>0</v>
      </c>
      <c r="H218" s="24">
        <f t="shared" si="32"/>
        <v>0</v>
      </c>
      <c r="I218" s="24">
        <f>일위대가목록!G66</f>
        <v>4241</v>
      </c>
      <c r="J218" s="24">
        <f>TRUNC(I218*C218,0)</f>
        <v>16030</v>
      </c>
      <c r="K218" s="24">
        <f>일위대가목록!H66</f>
        <v>0</v>
      </c>
      <c r="L218" s="24">
        <f>TRUNC(K218*C218,0)</f>
        <v>0</v>
      </c>
      <c r="M218" s="18" t="s">
        <v>1850</v>
      </c>
      <c r="N218" t="s">
        <v>1850</v>
      </c>
      <c r="P218" t="s">
        <v>207</v>
      </c>
      <c r="Q218" t="s">
        <v>1850</v>
      </c>
      <c r="R218" t="s">
        <v>1618</v>
      </c>
      <c r="T218" t="s">
        <v>1190</v>
      </c>
      <c r="BI218" s="29" t="str">
        <f>HYPERLINK("#일위대가목록!A66","HDD1571 →")</f>
        <v>HDD1571 →</v>
      </c>
    </row>
    <row r="219" spans="1:61" ht="18.399999999999999" customHeight="1" x14ac:dyDescent="0.15">
      <c r="A219" s="11" t="s">
        <v>1638</v>
      </c>
      <c r="B219" s="2" t="s">
        <v>166</v>
      </c>
      <c r="C219" s="2">
        <v>8</v>
      </c>
      <c r="D219" s="2" t="s">
        <v>1186</v>
      </c>
      <c r="E219" s="24">
        <f t="shared" si="31"/>
        <v>1459</v>
      </c>
      <c r="F219" s="24">
        <f t="shared" si="30"/>
        <v>11672</v>
      </c>
      <c r="G219" s="24">
        <f>자재!D11</f>
        <v>1459</v>
      </c>
      <c r="H219" s="24">
        <f t="shared" si="32"/>
        <v>11672</v>
      </c>
      <c r="I219" s="24">
        <v>0</v>
      </c>
      <c r="J219" s="24"/>
      <c r="K219" s="24">
        <v>0</v>
      </c>
      <c r="L219" s="24"/>
      <c r="M219" s="18" t="s">
        <v>1850</v>
      </c>
      <c r="N219" t="s">
        <v>1850</v>
      </c>
      <c r="P219" t="s">
        <v>1598</v>
      </c>
      <c r="Q219" t="s">
        <v>1850</v>
      </c>
      <c r="R219" t="s">
        <v>655</v>
      </c>
      <c r="BI219" s="29" t="str">
        <f>HYPERLINK("#자재!A11","MDD0093 →")</f>
        <v>MDD0093 →</v>
      </c>
    </row>
    <row r="220" spans="1:61" ht="18.399999999999999" customHeight="1" x14ac:dyDescent="0.15">
      <c r="A220" s="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6"/>
    </row>
    <row r="221" spans="1:61" ht="18.399999999999999" customHeight="1" x14ac:dyDescent="0.15">
      <c r="A221" s="11" t="s">
        <v>1344</v>
      </c>
      <c r="B221" s="2" t="s">
        <v>1787</v>
      </c>
      <c r="C221" s="2">
        <v>1</v>
      </c>
      <c r="D221" s="2" t="s">
        <v>135</v>
      </c>
      <c r="F221" s="24">
        <f t="shared" ref="F221:F226" si="33">H221+J221+L221</f>
        <v>100835</v>
      </c>
      <c r="H221" s="24">
        <f>TRUNC(H222+H223+H224+H225+H226,0)</f>
        <v>1770</v>
      </c>
      <c r="J221" s="24">
        <f>TRUNC(J222+J223+J224+J225+J226,0)</f>
        <v>87963</v>
      </c>
      <c r="L221" s="24">
        <f>TRUNC(L222+L223+L224+L225+L226,0)</f>
        <v>11102</v>
      </c>
      <c r="M221" s="18" t="s">
        <v>1538</v>
      </c>
      <c r="N221" t="s">
        <v>1850</v>
      </c>
      <c r="O221" t="s">
        <v>900</v>
      </c>
    </row>
    <row r="222" spans="1:61" ht="18.399999999999999" customHeight="1" x14ac:dyDescent="0.15">
      <c r="A222" s="11" t="s">
        <v>394</v>
      </c>
      <c r="B222" s="2" t="s">
        <v>481</v>
      </c>
      <c r="C222" s="2">
        <v>0.18049999999999999</v>
      </c>
      <c r="D222" s="2" t="s">
        <v>1735</v>
      </c>
      <c r="E222" s="24">
        <f>G222+I222+K222</f>
        <v>243126</v>
      </c>
      <c r="F222" s="24">
        <f t="shared" si="33"/>
        <v>43884</v>
      </c>
      <c r="G222" s="24">
        <v>0</v>
      </c>
      <c r="H222" s="24"/>
      <c r="I222" s="24">
        <f>노임!D8</f>
        <v>243126</v>
      </c>
      <c r="J222" s="24">
        <f>TRUNC(I222*C222,0)</f>
        <v>43884</v>
      </c>
      <c r="K222" s="24">
        <v>0</v>
      </c>
      <c r="L222" s="24"/>
      <c r="M222" s="18" t="s">
        <v>1850</v>
      </c>
      <c r="N222" t="s">
        <v>1850</v>
      </c>
      <c r="P222" t="s">
        <v>239</v>
      </c>
      <c r="Q222" t="s">
        <v>1850</v>
      </c>
      <c r="R222" t="s">
        <v>373</v>
      </c>
      <c r="BI222" s="29" t="str">
        <f>HYPERLINK("#노임!A8","L001010101000011 →")</f>
        <v>L001010101000011 →</v>
      </c>
    </row>
    <row r="223" spans="1:61" ht="18.399999999999999" customHeight="1" x14ac:dyDescent="0.15">
      <c r="A223" s="11" t="s">
        <v>1035</v>
      </c>
      <c r="B223" s="2" t="s">
        <v>112</v>
      </c>
      <c r="C223" s="2">
        <v>9.0200000000000002E-2</v>
      </c>
      <c r="D223" s="2" t="s">
        <v>1735</v>
      </c>
      <c r="E223" s="24">
        <f>G223+I223+K223</f>
        <v>267021</v>
      </c>
      <c r="F223" s="24">
        <f t="shared" si="33"/>
        <v>24085</v>
      </c>
      <c r="G223" s="24">
        <v>0</v>
      </c>
      <c r="H223" s="24"/>
      <c r="I223" s="24">
        <f>노임!D9</f>
        <v>267021</v>
      </c>
      <c r="J223" s="24">
        <f>TRUNC(I223*C223,0)</f>
        <v>24085</v>
      </c>
      <c r="K223" s="24">
        <v>0</v>
      </c>
      <c r="L223" s="24"/>
      <c r="M223" s="18" t="s">
        <v>1850</v>
      </c>
      <c r="N223" t="s">
        <v>1850</v>
      </c>
      <c r="P223" t="s">
        <v>1619</v>
      </c>
      <c r="Q223" t="s">
        <v>1850</v>
      </c>
      <c r="R223" t="s">
        <v>1123</v>
      </c>
      <c r="BI223" s="29" t="str">
        <f>HYPERLINK("#노임!A9","L001010101000012 →")</f>
        <v>L001010101000012 →</v>
      </c>
    </row>
    <row r="224" spans="1:61" ht="18.399999999999999" customHeight="1" x14ac:dyDescent="0.15">
      <c r="A224" s="11" t="s">
        <v>597</v>
      </c>
      <c r="B224" s="2" t="s">
        <v>114</v>
      </c>
      <c r="C224" s="2">
        <v>6.9000000000000006E-2</v>
      </c>
      <c r="D224" s="2" t="s">
        <v>1735</v>
      </c>
      <c r="E224" s="24">
        <f>G224+I224+K224</f>
        <v>165545</v>
      </c>
      <c r="F224" s="24">
        <f t="shared" si="33"/>
        <v>11422</v>
      </c>
      <c r="G224" s="24">
        <v>0</v>
      </c>
      <c r="H224" s="24"/>
      <c r="I224" s="24">
        <f>노임!D4</f>
        <v>165545</v>
      </c>
      <c r="J224" s="24">
        <f>TRUNC(I224*C224,0)</f>
        <v>11422</v>
      </c>
      <c r="K224" s="24">
        <v>0</v>
      </c>
      <c r="L224" s="24"/>
      <c r="M224" s="18" t="s">
        <v>1850</v>
      </c>
      <c r="N224" t="s">
        <v>1850</v>
      </c>
      <c r="P224" t="s">
        <v>1167</v>
      </c>
      <c r="Q224" t="s">
        <v>1850</v>
      </c>
      <c r="R224" t="s">
        <v>1563</v>
      </c>
      <c r="BI224" s="29" t="str">
        <f>HYPERLINK("#노임!A4","L001010101000002 →")</f>
        <v>L001010101000002 →</v>
      </c>
    </row>
    <row r="225" spans="1:61" ht="18.399999999999999" customHeight="1" x14ac:dyDescent="0.15">
      <c r="A225" s="11" t="s">
        <v>943</v>
      </c>
      <c r="B225" s="2" t="s">
        <v>580</v>
      </c>
      <c r="C225" s="2">
        <v>0.15390000000000001</v>
      </c>
      <c r="D225" s="2" t="s">
        <v>1570</v>
      </c>
      <c r="E225" s="24">
        <f>G225+I225+K225</f>
        <v>123869.94</v>
      </c>
      <c r="F225" s="24">
        <f t="shared" si="33"/>
        <v>19063</v>
      </c>
      <c r="G225" s="24">
        <f>중기사용료목록!E16</f>
        <v>11502.94</v>
      </c>
      <c r="H225" s="24">
        <f>TRUNC(G225*C225,0)</f>
        <v>1770</v>
      </c>
      <c r="I225" s="24">
        <f>중기사용료목록!F16</f>
        <v>55700</v>
      </c>
      <c r="J225" s="24">
        <f>TRUNC(I225*C225,0)</f>
        <v>8572</v>
      </c>
      <c r="K225" s="24">
        <f>중기사용료목록!G16</f>
        <v>56667</v>
      </c>
      <c r="L225" s="24">
        <f>TRUNC(K225*C225,0)</f>
        <v>8721</v>
      </c>
      <c r="M225" s="18" t="s">
        <v>1850</v>
      </c>
      <c r="N225" t="s">
        <v>1850</v>
      </c>
      <c r="P225" t="s">
        <v>715</v>
      </c>
      <c r="Q225" t="s">
        <v>1850</v>
      </c>
      <c r="R225" t="s">
        <v>541</v>
      </c>
      <c r="AA225" s="33" t="s">
        <v>615</v>
      </c>
      <c r="AB225" s="8">
        <f>(일위대가_호표!J222+일위대가_호표!J223+일위대가_호표!J224)*0.03</f>
        <v>2381.73</v>
      </c>
      <c r="AC225" s="33" t="s">
        <v>1036</v>
      </c>
      <c r="AD225" s="7">
        <f>$AB225</f>
        <v>2381.73</v>
      </c>
      <c r="BI225" s="29" t="str">
        <f>HYPERLINK("#중기사용료목록!A16","E00002104002500000 →")</f>
        <v>E00002104002500000 →</v>
      </c>
    </row>
    <row r="226" spans="1:61" ht="18.399999999999999" customHeight="1" x14ac:dyDescent="0.15">
      <c r="A226" s="11" t="s">
        <v>898</v>
      </c>
      <c r="B226" s="2" t="s">
        <v>1125</v>
      </c>
      <c r="C226" s="2">
        <v>1</v>
      </c>
      <c r="D226" s="2" t="s">
        <v>1529</v>
      </c>
      <c r="E226" s="24">
        <f>G226+I226+K226</f>
        <v>0</v>
      </c>
      <c r="F226" s="24">
        <f t="shared" si="33"/>
        <v>2381</v>
      </c>
      <c r="G226" s="1"/>
      <c r="H226" s="24">
        <v>0</v>
      </c>
      <c r="I226" s="1"/>
      <c r="J226" s="24">
        <v>0</v>
      </c>
      <c r="K226" s="1"/>
      <c r="L226" s="24">
        <f>TRUNC(((J222+J223+J224)*0.03),0)</f>
        <v>2381</v>
      </c>
      <c r="M226" s="18" t="s">
        <v>1850</v>
      </c>
      <c r="N226" t="s">
        <v>1850</v>
      </c>
      <c r="P226" t="s">
        <v>207</v>
      </c>
      <c r="Q226" t="s">
        <v>1850</v>
      </c>
      <c r="R226" t="s">
        <v>1589</v>
      </c>
      <c r="X226" t="s">
        <v>858</v>
      </c>
    </row>
    <row r="227" spans="1:61" ht="18.399999999999999" customHeight="1" x14ac:dyDescent="0.15">
      <c r="A227" s="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46"/>
    </row>
    <row r="228" spans="1:61" ht="18.399999999999999" customHeight="1" x14ac:dyDescent="0.15">
      <c r="A228" s="11" t="s">
        <v>1793</v>
      </c>
      <c r="B228" s="2" t="s">
        <v>1787</v>
      </c>
      <c r="C228" s="2">
        <v>1</v>
      </c>
      <c r="D228" s="2" t="s">
        <v>135</v>
      </c>
      <c r="F228" s="24">
        <f t="shared" ref="F228:F233" si="34">H228+J228+L228</f>
        <v>61596</v>
      </c>
      <c r="H228" s="24">
        <f>TRUNC(H229+H230+H231+H232+H233,0)</f>
        <v>1221</v>
      </c>
      <c r="J228" s="24">
        <f>TRUNC(J229+J230+J231+J232+J233,0)</f>
        <v>52947</v>
      </c>
      <c r="L228" s="24">
        <f>TRUNC(L229+L230+L231+L232+L233,0)</f>
        <v>7428</v>
      </c>
      <c r="M228" s="18" t="s">
        <v>1079</v>
      </c>
      <c r="N228" t="s">
        <v>1850</v>
      </c>
      <c r="O228" t="s">
        <v>215</v>
      </c>
    </row>
    <row r="229" spans="1:61" ht="18.399999999999999" customHeight="1" x14ac:dyDescent="0.15">
      <c r="A229" s="11" t="s">
        <v>394</v>
      </c>
      <c r="B229" s="2" t="s">
        <v>790</v>
      </c>
      <c r="C229" s="2">
        <v>0.1062</v>
      </c>
      <c r="D229" s="2" t="s">
        <v>1735</v>
      </c>
      <c r="E229" s="24">
        <f>G229+I229+K229</f>
        <v>243126</v>
      </c>
      <c r="F229" s="24">
        <f t="shared" si="34"/>
        <v>25819</v>
      </c>
      <c r="G229" s="24">
        <v>0</v>
      </c>
      <c r="H229" s="24"/>
      <c r="I229" s="24">
        <f>노임!D8</f>
        <v>243126</v>
      </c>
      <c r="J229" s="24">
        <f>TRUNC(I229*C229,0)</f>
        <v>25819</v>
      </c>
      <c r="K229" s="24">
        <v>0</v>
      </c>
      <c r="L229" s="24"/>
      <c r="M229" s="18" t="s">
        <v>1850</v>
      </c>
      <c r="N229" t="s">
        <v>1850</v>
      </c>
      <c r="P229" t="s">
        <v>239</v>
      </c>
      <c r="Q229" t="s">
        <v>1850</v>
      </c>
      <c r="R229" t="s">
        <v>373</v>
      </c>
      <c r="BI229" s="29" t="str">
        <f>HYPERLINK("#노임!A8","L001010101000011 →")</f>
        <v>L001010101000011 →</v>
      </c>
    </row>
    <row r="230" spans="1:61" ht="18.399999999999999" customHeight="1" x14ac:dyDescent="0.15">
      <c r="A230" s="11" t="s">
        <v>1035</v>
      </c>
      <c r="B230" s="2" t="s">
        <v>596</v>
      </c>
      <c r="C230" s="2">
        <v>5.3100000000000001E-2</v>
      </c>
      <c r="D230" s="2" t="s">
        <v>1735</v>
      </c>
      <c r="E230" s="24">
        <f>G230+I230+K230</f>
        <v>267021</v>
      </c>
      <c r="F230" s="24">
        <f t="shared" si="34"/>
        <v>14178</v>
      </c>
      <c r="G230" s="24">
        <v>0</v>
      </c>
      <c r="H230" s="24"/>
      <c r="I230" s="24">
        <f>노임!D9</f>
        <v>267021</v>
      </c>
      <c r="J230" s="24">
        <f>TRUNC(I230*C230,0)</f>
        <v>14178</v>
      </c>
      <c r="K230" s="24">
        <v>0</v>
      </c>
      <c r="L230" s="24"/>
      <c r="M230" s="18" t="s">
        <v>1850</v>
      </c>
      <c r="N230" t="s">
        <v>1850</v>
      </c>
      <c r="P230" t="s">
        <v>1619</v>
      </c>
      <c r="Q230" t="s">
        <v>1850</v>
      </c>
      <c r="R230" t="s">
        <v>1123</v>
      </c>
      <c r="BI230" s="29" t="str">
        <f>HYPERLINK("#노임!A9","L001010101000012 →")</f>
        <v>L001010101000012 →</v>
      </c>
    </row>
    <row r="231" spans="1:61" ht="18.399999999999999" customHeight="1" x14ac:dyDescent="0.15">
      <c r="A231" s="11" t="s">
        <v>597</v>
      </c>
      <c r="B231" s="2" t="s">
        <v>794</v>
      </c>
      <c r="C231" s="2">
        <v>4.2500000000000003E-2</v>
      </c>
      <c r="D231" s="2" t="s">
        <v>1735</v>
      </c>
      <c r="E231" s="24">
        <f>G231+I231+K231</f>
        <v>165545</v>
      </c>
      <c r="F231" s="24">
        <f t="shared" si="34"/>
        <v>7035</v>
      </c>
      <c r="G231" s="24">
        <v>0</v>
      </c>
      <c r="H231" s="24"/>
      <c r="I231" s="24">
        <f>노임!D4</f>
        <v>165545</v>
      </c>
      <c r="J231" s="24">
        <f>TRUNC(I231*C231,0)</f>
        <v>7035</v>
      </c>
      <c r="K231" s="24">
        <v>0</v>
      </c>
      <c r="L231" s="24"/>
      <c r="M231" s="18" t="s">
        <v>1850</v>
      </c>
      <c r="N231" t="s">
        <v>1850</v>
      </c>
      <c r="P231" t="s">
        <v>1167</v>
      </c>
      <c r="Q231" t="s">
        <v>1850</v>
      </c>
      <c r="R231" t="s">
        <v>1563</v>
      </c>
      <c r="BI231" s="29" t="str">
        <f>HYPERLINK("#노임!A4","L001010101000002 →")</f>
        <v>L001010101000002 →</v>
      </c>
    </row>
    <row r="232" spans="1:61" ht="18.399999999999999" customHeight="1" x14ac:dyDescent="0.15">
      <c r="A232" s="11" t="s">
        <v>943</v>
      </c>
      <c r="B232" s="2" t="s">
        <v>1560</v>
      </c>
      <c r="C232" s="2">
        <v>0.1062</v>
      </c>
      <c r="D232" s="2" t="s">
        <v>1570</v>
      </c>
      <c r="E232" s="24">
        <f>G232+I232+K232</f>
        <v>123869.94</v>
      </c>
      <c r="F232" s="24">
        <f t="shared" si="34"/>
        <v>13154</v>
      </c>
      <c r="G232" s="24">
        <f>중기사용료목록!E16</f>
        <v>11502.94</v>
      </c>
      <c r="H232" s="24">
        <f>TRUNC(G232*C232,0)</f>
        <v>1221</v>
      </c>
      <c r="I232" s="24">
        <f>중기사용료목록!F16</f>
        <v>55700</v>
      </c>
      <c r="J232" s="24">
        <f>TRUNC(I232*C232,0)</f>
        <v>5915</v>
      </c>
      <c r="K232" s="24">
        <f>중기사용료목록!G16</f>
        <v>56667</v>
      </c>
      <c r="L232" s="24">
        <f>TRUNC(K232*C232,0)</f>
        <v>6018</v>
      </c>
      <c r="M232" s="18" t="s">
        <v>1850</v>
      </c>
      <c r="N232" t="s">
        <v>1850</v>
      </c>
      <c r="P232" t="s">
        <v>715</v>
      </c>
      <c r="Q232" t="s">
        <v>1850</v>
      </c>
      <c r="R232" t="s">
        <v>541</v>
      </c>
      <c r="AA232" s="33" t="s">
        <v>615</v>
      </c>
      <c r="AB232" s="8">
        <f>(일위대가_호표!J229+일위대가_호표!J230+일위대가_호표!J231)*0.03</f>
        <v>1410.96</v>
      </c>
      <c r="AC232" s="33" t="s">
        <v>1036</v>
      </c>
      <c r="AD232" s="7">
        <f>$AB232</f>
        <v>1410.96</v>
      </c>
      <c r="BI232" s="29" t="str">
        <f>HYPERLINK("#중기사용료목록!A16","E00002104002500000 →")</f>
        <v>E00002104002500000 →</v>
      </c>
    </row>
    <row r="233" spans="1:61" ht="18.399999999999999" customHeight="1" x14ac:dyDescent="0.15">
      <c r="A233" s="11" t="s">
        <v>898</v>
      </c>
      <c r="B233" s="2" t="s">
        <v>1125</v>
      </c>
      <c r="C233" s="2">
        <v>1</v>
      </c>
      <c r="D233" s="2" t="s">
        <v>1529</v>
      </c>
      <c r="E233" s="24">
        <f>G233+I233+K233</f>
        <v>0</v>
      </c>
      <c r="F233" s="24">
        <f t="shared" si="34"/>
        <v>1410</v>
      </c>
      <c r="G233" s="1"/>
      <c r="H233" s="24">
        <v>0</v>
      </c>
      <c r="I233" s="1"/>
      <c r="J233" s="24">
        <v>0</v>
      </c>
      <c r="K233" s="1"/>
      <c r="L233" s="24">
        <f>TRUNC(((J229+J230+J231)*0.03),0)</f>
        <v>1410</v>
      </c>
      <c r="M233" s="18" t="s">
        <v>1850</v>
      </c>
      <c r="N233" t="s">
        <v>1850</v>
      </c>
      <c r="P233" t="s">
        <v>207</v>
      </c>
      <c r="Q233" t="s">
        <v>1850</v>
      </c>
      <c r="R233" t="s">
        <v>1589</v>
      </c>
      <c r="X233" t="s">
        <v>858</v>
      </c>
    </row>
    <row r="234" spans="1:61" ht="18.399999999999999" customHeight="1" x14ac:dyDescent="0.15">
      <c r="A234" s="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46"/>
    </row>
    <row r="235" spans="1:61" ht="18.399999999999999" customHeight="1" x14ac:dyDescent="0.15">
      <c r="A235" s="11" t="s">
        <v>1171</v>
      </c>
      <c r="B235" s="2" t="s">
        <v>1787</v>
      </c>
      <c r="C235" s="2">
        <v>1</v>
      </c>
      <c r="D235" s="2" t="s">
        <v>135</v>
      </c>
      <c r="F235" s="24">
        <f t="shared" ref="F235:F240" si="35">H235+J235+L235</f>
        <v>111102</v>
      </c>
      <c r="H235" s="24">
        <f>TRUNC(H236+H237+H238+H239+H240,0)</f>
        <v>2015</v>
      </c>
      <c r="J235" s="24">
        <f>TRUNC(J236+J237+J238+J239+J240,0)</f>
        <v>96556</v>
      </c>
      <c r="L235" s="24">
        <f>TRUNC(L236+L237+L238+L239+L240,0)</f>
        <v>12531</v>
      </c>
      <c r="M235" s="18" t="s">
        <v>1538</v>
      </c>
      <c r="N235" t="s">
        <v>1850</v>
      </c>
      <c r="O235" t="s">
        <v>838</v>
      </c>
    </row>
    <row r="236" spans="1:61" ht="18.399999999999999" customHeight="1" x14ac:dyDescent="0.15">
      <c r="A236" s="11" t="s">
        <v>394</v>
      </c>
      <c r="B236" s="2" t="s">
        <v>1531</v>
      </c>
      <c r="C236" s="2">
        <v>8.4900000000000003E-2</v>
      </c>
      <c r="D236" s="2" t="s">
        <v>1735</v>
      </c>
      <c r="E236" s="24">
        <f>G236+I236+K236</f>
        <v>243126</v>
      </c>
      <c r="F236" s="24">
        <f t="shared" si="35"/>
        <v>20641</v>
      </c>
      <c r="G236" s="24">
        <v>0</v>
      </c>
      <c r="H236" s="24"/>
      <c r="I236" s="24">
        <f>노임!D8</f>
        <v>243126</v>
      </c>
      <c r="J236" s="24">
        <f>TRUNC(I236*C236,0)</f>
        <v>20641</v>
      </c>
      <c r="K236" s="24">
        <v>0</v>
      </c>
      <c r="L236" s="24"/>
      <c r="M236" s="18" t="s">
        <v>1850</v>
      </c>
      <c r="N236" t="s">
        <v>1850</v>
      </c>
      <c r="P236" t="s">
        <v>239</v>
      </c>
      <c r="Q236" t="s">
        <v>1850</v>
      </c>
      <c r="R236" t="s">
        <v>373</v>
      </c>
      <c r="BI236" s="29" t="str">
        <f>HYPERLINK("#노임!A8","L001010101000011 →")</f>
        <v>L001010101000011 →</v>
      </c>
    </row>
    <row r="237" spans="1:61" ht="18.399999999999999" customHeight="1" x14ac:dyDescent="0.15">
      <c r="A237" s="11" t="s">
        <v>1035</v>
      </c>
      <c r="B237" s="2" t="s">
        <v>480</v>
      </c>
      <c r="C237" s="2">
        <v>0.20169999999999999</v>
      </c>
      <c r="D237" s="2" t="s">
        <v>1735</v>
      </c>
      <c r="E237" s="24">
        <f>G237+I237+K237</f>
        <v>267021</v>
      </c>
      <c r="F237" s="24">
        <f t="shared" si="35"/>
        <v>53858</v>
      </c>
      <c r="G237" s="24">
        <v>0</v>
      </c>
      <c r="H237" s="24"/>
      <c r="I237" s="24">
        <f>노임!D9</f>
        <v>267021</v>
      </c>
      <c r="J237" s="24">
        <f>TRUNC(I237*C237,0)</f>
        <v>53858</v>
      </c>
      <c r="K237" s="24">
        <v>0</v>
      </c>
      <c r="L237" s="24"/>
      <c r="M237" s="18" t="s">
        <v>1850</v>
      </c>
      <c r="N237" t="s">
        <v>1850</v>
      </c>
      <c r="P237" t="s">
        <v>1619</v>
      </c>
      <c r="Q237" t="s">
        <v>1850</v>
      </c>
      <c r="R237" t="s">
        <v>1123</v>
      </c>
      <c r="BI237" s="29" t="str">
        <f>HYPERLINK("#노임!A9","L001010101000012 →")</f>
        <v>L001010101000012 →</v>
      </c>
    </row>
    <row r="238" spans="1:61" ht="18.399999999999999" customHeight="1" x14ac:dyDescent="0.15">
      <c r="A238" s="11" t="s">
        <v>597</v>
      </c>
      <c r="B238" s="2" t="s">
        <v>605</v>
      </c>
      <c r="C238" s="2">
        <v>7.4300000000000005E-2</v>
      </c>
      <c r="D238" s="2" t="s">
        <v>1735</v>
      </c>
      <c r="E238" s="24">
        <f>G238+I238+K238</f>
        <v>165545</v>
      </c>
      <c r="F238" s="24">
        <f t="shared" si="35"/>
        <v>12299</v>
      </c>
      <c r="G238" s="24">
        <v>0</v>
      </c>
      <c r="H238" s="24"/>
      <c r="I238" s="24">
        <f>노임!D4</f>
        <v>165545</v>
      </c>
      <c r="J238" s="24">
        <f>TRUNC(I238*C238,0)</f>
        <v>12299</v>
      </c>
      <c r="K238" s="24">
        <v>0</v>
      </c>
      <c r="L238" s="24"/>
      <c r="M238" s="18" t="s">
        <v>1850</v>
      </c>
      <c r="N238" t="s">
        <v>1850</v>
      </c>
      <c r="P238" t="s">
        <v>1167</v>
      </c>
      <c r="Q238" t="s">
        <v>1850</v>
      </c>
      <c r="R238" t="s">
        <v>1563</v>
      </c>
      <c r="BI238" s="29" t="str">
        <f>HYPERLINK("#노임!A4","L001010101000002 →")</f>
        <v>L001010101000002 →</v>
      </c>
    </row>
    <row r="239" spans="1:61" ht="18.399999999999999" customHeight="1" x14ac:dyDescent="0.15">
      <c r="A239" s="11" t="s">
        <v>943</v>
      </c>
      <c r="B239" s="2" t="s">
        <v>810</v>
      </c>
      <c r="C239" s="2">
        <v>0.17519999999999999</v>
      </c>
      <c r="D239" s="2" t="s">
        <v>1570</v>
      </c>
      <c r="E239" s="24">
        <f>G239+I239+K239</f>
        <v>123869.94</v>
      </c>
      <c r="F239" s="24">
        <f t="shared" si="35"/>
        <v>21701</v>
      </c>
      <c r="G239" s="24">
        <f>중기사용료목록!E16</f>
        <v>11502.94</v>
      </c>
      <c r="H239" s="24">
        <f>TRUNC(G239*C239,0)</f>
        <v>2015</v>
      </c>
      <c r="I239" s="24">
        <f>중기사용료목록!F16</f>
        <v>55700</v>
      </c>
      <c r="J239" s="24">
        <f>TRUNC(I239*C239,0)</f>
        <v>9758</v>
      </c>
      <c r="K239" s="24">
        <f>중기사용료목록!G16</f>
        <v>56667</v>
      </c>
      <c r="L239" s="24">
        <f>TRUNC(K239*C239,0)</f>
        <v>9928</v>
      </c>
      <c r="M239" s="18" t="s">
        <v>1850</v>
      </c>
      <c r="N239" t="s">
        <v>1850</v>
      </c>
      <c r="P239" t="s">
        <v>715</v>
      </c>
      <c r="Q239" t="s">
        <v>1850</v>
      </c>
      <c r="R239" t="s">
        <v>541</v>
      </c>
      <c r="AA239" s="33" t="s">
        <v>615</v>
      </c>
      <c r="AB239" s="8">
        <f>(일위대가_호표!J236+일위대가_호표!J237+일위대가_호표!J238)*0.03</f>
        <v>2603.94</v>
      </c>
      <c r="AC239" s="33" t="s">
        <v>1036</v>
      </c>
      <c r="AD239" s="7">
        <f>$AB239</f>
        <v>2603.94</v>
      </c>
      <c r="BI239" s="29" t="str">
        <f>HYPERLINK("#중기사용료목록!A16","E00002104002500000 →")</f>
        <v>E00002104002500000 →</v>
      </c>
    </row>
    <row r="240" spans="1:61" ht="18.399999999999999" customHeight="1" x14ac:dyDescent="0.15">
      <c r="A240" s="11" t="s">
        <v>898</v>
      </c>
      <c r="B240" s="2" t="s">
        <v>1125</v>
      </c>
      <c r="C240" s="2">
        <v>1</v>
      </c>
      <c r="D240" s="2" t="s">
        <v>1529</v>
      </c>
      <c r="E240" s="24">
        <f>G240+I240+K240</f>
        <v>0</v>
      </c>
      <c r="F240" s="24">
        <f t="shared" si="35"/>
        <v>2603</v>
      </c>
      <c r="G240" s="1"/>
      <c r="H240" s="24">
        <v>0</v>
      </c>
      <c r="I240" s="1"/>
      <c r="J240" s="24">
        <v>0</v>
      </c>
      <c r="K240" s="1"/>
      <c r="L240" s="24">
        <f>TRUNC(((J236+J237+J238)*0.03),0)</f>
        <v>2603</v>
      </c>
      <c r="M240" s="18" t="s">
        <v>1850</v>
      </c>
      <c r="N240" t="s">
        <v>1850</v>
      </c>
      <c r="P240" t="s">
        <v>207</v>
      </c>
      <c r="Q240" t="s">
        <v>1850</v>
      </c>
      <c r="R240" t="s">
        <v>1589</v>
      </c>
      <c r="X240" t="s">
        <v>858</v>
      </c>
    </row>
    <row r="241" spans="1:61" ht="18.399999999999999" customHeight="1" x14ac:dyDescent="0.15">
      <c r="A241" s="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46"/>
    </row>
    <row r="242" spans="1:61" ht="18.399999999999999" customHeight="1" x14ac:dyDescent="0.15">
      <c r="A242" s="11" t="s">
        <v>1257</v>
      </c>
      <c r="B242" s="2" t="s">
        <v>1787</v>
      </c>
      <c r="C242" s="2">
        <v>1</v>
      </c>
      <c r="D242" s="2" t="s">
        <v>135</v>
      </c>
      <c r="F242" s="24">
        <f t="shared" ref="F242:F247" si="36">H242+J242+L242</f>
        <v>69246</v>
      </c>
      <c r="H242" s="24">
        <f>TRUNC(H243+H244+H245+H246+H247,0)</f>
        <v>1404</v>
      </c>
      <c r="J242" s="24">
        <f>TRUNC(J243+J244+J245+J246+J247,0)</f>
        <v>59347</v>
      </c>
      <c r="L242" s="24">
        <f>TRUNC(L243+L244+L245+L246+L247,0)</f>
        <v>8495</v>
      </c>
      <c r="M242" s="18" t="s">
        <v>1079</v>
      </c>
      <c r="N242" t="s">
        <v>1850</v>
      </c>
      <c r="O242" t="s">
        <v>29</v>
      </c>
    </row>
    <row r="243" spans="1:61" ht="18.399999999999999" customHeight="1" x14ac:dyDescent="0.15">
      <c r="A243" s="11" t="s">
        <v>394</v>
      </c>
      <c r="B243" s="2" t="s">
        <v>596</v>
      </c>
      <c r="C243" s="2">
        <v>5.3100000000000001E-2</v>
      </c>
      <c r="D243" s="2" t="s">
        <v>1735</v>
      </c>
      <c r="E243" s="24">
        <f>G243+I243+K243</f>
        <v>243126</v>
      </c>
      <c r="F243" s="24">
        <f t="shared" si="36"/>
        <v>12909</v>
      </c>
      <c r="G243" s="24">
        <v>0</v>
      </c>
      <c r="H243" s="24"/>
      <c r="I243" s="24">
        <f>노임!D8</f>
        <v>243126</v>
      </c>
      <c r="J243" s="24">
        <f>TRUNC(I243*C243,0)</f>
        <v>12909</v>
      </c>
      <c r="K243" s="24">
        <v>0</v>
      </c>
      <c r="L243" s="24"/>
      <c r="M243" s="18" t="s">
        <v>1850</v>
      </c>
      <c r="N243" t="s">
        <v>1850</v>
      </c>
      <c r="P243" t="s">
        <v>239</v>
      </c>
      <c r="Q243" t="s">
        <v>1850</v>
      </c>
      <c r="R243" t="s">
        <v>373</v>
      </c>
      <c r="BI243" s="29" t="str">
        <f>HYPERLINK("#노임!A8","L001010101000011 →")</f>
        <v>L001010101000011 →</v>
      </c>
    </row>
    <row r="244" spans="1:61" ht="18.399999999999999" customHeight="1" x14ac:dyDescent="0.15">
      <c r="A244" s="11" t="s">
        <v>1035</v>
      </c>
      <c r="B244" s="2" t="s">
        <v>305</v>
      </c>
      <c r="C244" s="2">
        <v>0.1221</v>
      </c>
      <c r="D244" s="2" t="s">
        <v>1735</v>
      </c>
      <c r="E244" s="24">
        <f>G244+I244+K244</f>
        <v>267021</v>
      </c>
      <c r="F244" s="24">
        <f t="shared" si="36"/>
        <v>32603</v>
      </c>
      <c r="G244" s="24">
        <v>0</v>
      </c>
      <c r="H244" s="24"/>
      <c r="I244" s="24">
        <f>노임!D9</f>
        <v>267021</v>
      </c>
      <c r="J244" s="24">
        <f>TRUNC(I244*C244,0)</f>
        <v>32603</v>
      </c>
      <c r="K244" s="24">
        <v>0</v>
      </c>
      <c r="L244" s="24"/>
      <c r="M244" s="18" t="s">
        <v>1850</v>
      </c>
      <c r="N244" t="s">
        <v>1850</v>
      </c>
      <c r="P244" t="s">
        <v>1619</v>
      </c>
      <c r="Q244" t="s">
        <v>1850</v>
      </c>
      <c r="R244" t="s">
        <v>1123</v>
      </c>
      <c r="BI244" s="29" t="str">
        <f>HYPERLINK("#노임!A9","L001010101000012 →")</f>
        <v>L001010101000012 →</v>
      </c>
    </row>
    <row r="245" spans="1:61" ht="18.399999999999999" customHeight="1" x14ac:dyDescent="0.15">
      <c r="A245" s="11" t="s">
        <v>597</v>
      </c>
      <c r="B245" s="2" t="s">
        <v>794</v>
      </c>
      <c r="C245" s="2">
        <v>4.2500000000000003E-2</v>
      </c>
      <c r="D245" s="2" t="s">
        <v>1735</v>
      </c>
      <c r="E245" s="24">
        <f>G245+I245+K245</f>
        <v>165545</v>
      </c>
      <c r="F245" s="24">
        <f t="shared" si="36"/>
        <v>7035</v>
      </c>
      <c r="G245" s="24">
        <v>0</v>
      </c>
      <c r="H245" s="24"/>
      <c r="I245" s="24">
        <f>노임!D4</f>
        <v>165545</v>
      </c>
      <c r="J245" s="24">
        <f>TRUNC(I245*C245,0)</f>
        <v>7035</v>
      </c>
      <c r="K245" s="24">
        <v>0</v>
      </c>
      <c r="L245" s="24"/>
      <c r="M245" s="18" t="s">
        <v>1850</v>
      </c>
      <c r="N245" t="s">
        <v>1850</v>
      </c>
      <c r="P245" t="s">
        <v>1167</v>
      </c>
      <c r="Q245" t="s">
        <v>1850</v>
      </c>
      <c r="R245" t="s">
        <v>1563</v>
      </c>
      <c r="BI245" s="29" t="str">
        <f>HYPERLINK("#노임!A4","L001010101000002 →")</f>
        <v>L001010101000002 →</v>
      </c>
    </row>
    <row r="246" spans="1:61" ht="18.399999999999999" customHeight="1" x14ac:dyDescent="0.15">
      <c r="A246" s="11" t="s">
        <v>943</v>
      </c>
      <c r="B246" s="2" t="s">
        <v>1818</v>
      </c>
      <c r="C246" s="2">
        <v>0.1221</v>
      </c>
      <c r="D246" s="2" t="s">
        <v>1570</v>
      </c>
      <c r="E246" s="24">
        <f>G246+I246+K246</f>
        <v>123869.94</v>
      </c>
      <c r="F246" s="24">
        <f t="shared" si="36"/>
        <v>15123</v>
      </c>
      <c r="G246" s="24">
        <f>중기사용료목록!E16</f>
        <v>11502.94</v>
      </c>
      <c r="H246" s="24">
        <f>TRUNC(G246*C246,0)</f>
        <v>1404</v>
      </c>
      <c r="I246" s="24">
        <f>중기사용료목록!F16</f>
        <v>55700</v>
      </c>
      <c r="J246" s="24">
        <f>TRUNC(I246*C246,0)</f>
        <v>6800</v>
      </c>
      <c r="K246" s="24">
        <f>중기사용료목록!G16</f>
        <v>56667</v>
      </c>
      <c r="L246" s="24">
        <f>TRUNC(K246*C246,0)</f>
        <v>6919</v>
      </c>
      <c r="M246" s="18" t="s">
        <v>1850</v>
      </c>
      <c r="N246" t="s">
        <v>1850</v>
      </c>
      <c r="P246" t="s">
        <v>715</v>
      </c>
      <c r="Q246" t="s">
        <v>1850</v>
      </c>
      <c r="R246" t="s">
        <v>541</v>
      </c>
      <c r="AA246" s="33" t="s">
        <v>615</v>
      </c>
      <c r="AB246" s="8">
        <f>(일위대가_호표!J243+일위대가_호표!J244+일위대가_호표!J245)*0.03</f>
        <v>1576.4099999999999</v>
      </c>
      <c r="AC246" s="33" t="s">
        <v>1036</v>
      </c>
      <c r="AD246" s="7">
        <f>$AB246</f>
        <v>1576.4099999999999</v>
      </c>
      <c r="BI246" s="29" t="str">
        <f>HYPERLINK("#중기사용료목록!A16","E00002104002500000 →")</f>
        <v>E00002104002500000 →</v>
      </c>
    </row>
    <row r="247" spans="1:61" ht="18.399999999999999" customHeight="1" x14ac:dyDescent="0.15">
      <c r="A247" s="11" t="s">
        <v>898</v>
      </c>
      <c r="B247" s="2" t="s">
        <v>1125</v>
      </c>
      <c r="C247" s="2">
        <v>1</v>
      </c>
      <c r="D247" s="2" t="s">
        <v>1529</v>
      </c>
      <c r="E247" s="24">
        <f>G247+I247+K247</f>
        <v>0</v>
      </c>
      <c r="F247" s="24">
        <f t="shared" si="36"/>
        <v>1576</v>
      </c>
      <c r="G247" s="1"/>
      <c r="H247" s="24">
        <v>0</v>
      </c>
      <c r="I247" s="1"/>
      <c r="J247" s="24">
        <v>0</v>
      </c>
      <c r="K247" s="1"/>
      <c r="L247" s="24">
        <f>TRUNC(((J243+J244+J245)*0.03),0)</f>
        <v>1576</v>
      </c>
      <c r="M247" s="18" t="s">
        <v>1850</v>
      </c>
      <c r="N247" t="s">
        <v>1850</v>
      </c>
      <c r="P247" t="s">
        <v>207</v>
      </c>
      <c r="Q247" t="s">
        <v>1850</v>
      </c>
      <c r="R247" t="s">
        <v>1589</v>
      </c>
      <c r="X247" t="s">
        <v>858</v>
      </c>
    </row>
    <row r="248" spans="1:61" ht="18.399999999999999" customHeight="1" x14ac:dyDescent="0.15">
      <c r="A248" s="4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46"/>
    </row>
    <row r="249" spans="1:61" ht="18.399999999999999" customHeight="1" x14ac:dyDescent="0.15">
      <c r="A249" s="11" t="s">
        <v>265</v>
      </c>
      <c r="B249" s="2" t="s">
        <v>1616</v>
      </c>
      <c r="C249" s="2">
        <v>1</v>
      </c>
      <c r="D249" s="2" t="s">
        <v>1134</v>
      </c>
      <c r="F249" s="24">
        <f t="shared" ref="F249:F254" si="37">H249+J249+L249</f>
        <v>16976</v>
      </c>
      <c r="H249" s="24">
        <f>TRUNC(H250+H251+H252+H253+H254,0)</f>
        <v>1006</v>
      </c>
      <c r="J249" s="24">
        <f>TRUNC(J250+J251+J252+J253+J254,0)</f>
        <v>15292</v>
      </c>
      <c r="L249" s="24">
        <f>TRUNC(L250+L251+L252+L253+L254,0)</f>
        <v>678</v>
      </c>
      <c r="M249" s="18" t="s">
        <v>1714</v>
      </c>
      <c r="N249" t="s">
        <v>1850</v>
      </c>
      <c r="O249" t="s">
        <v>792</v>
      </c>
    </row>
    <row r="250" spans="1:61" ht="18.399999999999999" customHeight="1" x14ac:dyDescent="0.15">
      <c r="A250" s="11" t="s">
        <v>1478</v>
      </c>
      <c r="B250" s="2" t="s">
        <v>1258</v>
      </c>
      <c r="C250" s="2">
        <v>0.33</v>
      </c>
      <c r="D250" s="2" t="s">
        <v>1133</v>
      </c>
      <c r="E250" s="24">
        <f>G250+I250+K250</f>
        <v>3050</v>
      </c>
      <c r="F250" s="24">
        <f t="shared" si="37"/>
        <v>1006</v>
      </c>
      <c r="G250" s="24">
        <f>자재!D8</f>
        <v>3050</v>
      </c>
      <c r="H250" s="24">
        <f>TRUNC(G250*C250,0)</f>
        <v>1006</v>
      </c>
      <c r="I250" s="24">
        <v>0</v>
      </c>
      <c r="J250" s="24"/>
      <c r="K250" s="24">
        <v>0</v>
      </c>
      <c r="L250" s="24"/>
      <c r="M250" s="18" t="s">
        <v>1850</v>
      </c>
      <c r="N250" t="s">
        <v>1850</v>
      </c>
      <c r="P250" t="s">
        <v>239</v>
      </c>
      <c r="Q250" t="s">
        <v>1850</v>
      </c>
      <c r="R250" t="s">
        <v>1553</v>
      </c>
      <c r="BI250" s="29" t="str">
        <f>HYPERLINK("#자재!A8","MDD0058 →")</f>
        <v>MDD0058 →</v>
      </c>
    </row>
    <row r="251" spans="1:61" ht="18.399999999999999" customHeight="1" x14ac:dyDescent="0.15">
      <c r="A251" s="11" t="s">
        <v>85</v>
      </c>
      <c r="B251" s="2" t="s">
        <v>426</v>
      </c>
      <c r="C251" s="2">
        <v>2.25</v>
      </c>
      <c r="D251" s="2" t="s">
        <v>1130</v>
      </c>
      <c r="E251" s="24">
        <f>G251+I251+K251</f>
        <v>98.05</v>
      </c>
      <c r="F251" s="24">
        <f t="shared" si="37"/>
        <v>220</v>
      </c>
      <c r="G251" s="24">
        <f>경비!D4</f>
        <v>0</v>
      </c>
      <c r="H251" s="24">
        <f>TRUNC(G251*C251,0)</f>
        <v>0</v>
      </c>
      <c r="I251" s="24">
        <f>경비!E4</f>
        <v>0</v>
      </c>
      <c r="J251" s="24">
        <f>TRUNC(I251*C251,0)</f>
        <v>0</v>
      </c>
      <c r="K251" s="24">
        <f>경비!F4</f>
        <v>98.05</v>
      </c>
      <c r="L251" s="24">
        <f>TRUNC(K251*C251,0)</f>
        <v>220</v>
      </c>
      <c r="M251" s="18" t="s">
        <v>922</v>
      </c>
      <c r="N251" t="s">
        <v>1850</v>
      </c>
      <c r="P251" t="s">
        <v>1619</v>
      </c>
      <c r="Q251" t="s">
        <v>1850</v>
      </c>
      <c r="R251" t="s">
        <v>1463</v>
      </c>
      <c r="BI251" s="29" t="str">
        <f>HYPERLINK("#경비!A4","GDD0002 →")</f>
        <v>GDD0002 →</v>
      </c>
    </row>
    <row r="252" spans="1:61" ht="18.399999999999999" customHeight="1" x14ac:dyDescent="0.15">
      <c r="A252" s="11" t="s">
        <v>1035</v>
      </c>
      <c r="B252" s="2" t="s">
        <v>1621</v>
      </c>
      <c r="C252" s="2">
        <v>4.6600000000000003E-2</v>
      </c>
      <c r="D252" s="2" t="s">
        <v>1735</v>
      </c>
      <c r="E252" s="24">
        <f>G252+I252+K252</f>
        <v>267021</v>
      </c>
      <c r="F252" s="24">
        <f t="shared" si="37"/>
        <v>12443</v>
      </c>
      <c r="G252" s="24">
        <v>0</v>
      </c>
      <c r="H252" s="24"/>
      <c r="I252" s="24">
        <f>노임!D9</f>
        <v>267021</v>
      </c>
      <c r="J252" s="24">
        <f>TRUNC(I252*C252,0)</f>
        <v>12443</v>
      </c>
      <c r="K252" s="24">
        <v>0</v>
      </c>
      <c r="L252" s="24"/>
      <c r="M252" s="18" t="s">
        <v>1850</v>
      </c>
      <c r="N252" t="s">
        <v>1850</v>
      </c>
      <c r="P252" t="s">
        <v>1167</v>
      </c>
      <c r="Q252" t="s">
        <v>1850</v>
      </c>
      <c r="R252" t="s">
        <v>1123</v>
      </c>
      <c r="BI252" s="29" t="str">
        <f>HYPERLINK("#노임!A9","L001010101000012 →")</f>
        <v>L001010101000012 →</v>
      </c>
    </row>
    <row r="253" spans="1:61" ht="18.399999999999999" customHeight="1" x14ac:dyDescent="0.15">
      <c r="A253" s="11" t="s">
        <v>628</v>
      </c>
      <c r="B253" s="2" t="s">
        <v>1245</v>
      </c>
      <c r="C253" s="2">
        <v>1.3299999999999999E-2</v>
      </c>
      <c r="D253" s="2" t="s">
        <v>1735</v>
      </c>
      <c r="E253" s="24">
        <f>G253+I253+K253</f>
        <v>214222</v>
      </c>
      <c r="F253" s="24">
        <f t="shared" si="37"/>
        <v>2849</v>
      </c>
      <c r="G253" s="24">
        <v>0</v>
      </c>
      <c r="H253" s="24"/>
      <c r="I253" s="24">
        <f>노임!D5</f>
        <v>214222</v>
      </c>
      <c r="J253" s="24">
        <f>TRUNC(I253*C253,0)</f>
        <v>2849</v>
      </c>
      <c r="K253" s="24">
        <v>0</v>
      </c>
      <c r="L253" s="24"/>
      <c r="M253" s="18" t="s">
        <v>1850</v>
      </c>
      <c r="N253" t="s">
        <v>1850</v>
      </c>
      <c r="P253" t="s">
        <v>715</v>
      </c>
      <c r="Q253" t="s">
        <v>1850</v>
      </c>
      <c r="R253" t="s">
        <v>511</v>
      </c>
      <c r="AA253" s="33" t="s">
        <v>615</v>
      </c>
      <c r="AB253" s="8">
        <f>(일위대가_호표!J252+일위대가_호표!J253)*0.03</f>
        <v>458.76</v>
      </c>
      <c r="AC253" s="33" t="s">
        <v>1036</v>
      </c>
      <c r="AD253" s="7">
        <f>$AB253</f>
        <v>458.76</v>
      </c>
      <c r="BI253" s="29" t="str">
        <f>HYPERLINK("#노임!A5","L001010101000003 →")</f>
        <v>L001010101000003 →</v>
      </c>
    </row>
    <row r="254" spans="1:61" ht="18.399999999999999" customHeight="1" x14ac:dyDescent="0.15">
      <c r="A254" s="11" t="s">
        <v>898</v>
      </c>
      <c r="B254" s="2" t="s">
        <v>1125</v>
      </c>
      <c r="C254" s="2">
        <v>1</v>
      </c>
      <c r="D254" s="2" t="s">
        <v>1529</v>
      </c>
      <c r="E254" s="24">
        <f>G254+I254+K254</f>
        <v>0</v>
      </c>
      <c r="F254" s="24">
        <f t="shared" si="37"/>
        <v>458</v>
      </c>
      <c r="G254" s="1"/>
      <c r="H254" s="24">
        <v>0</v>
      </c>
      <c r="I254" s="1"/>
      <c r="J254" s="24">
        <v>0</v>
      </c>
      <c r="K254" s="1"/>
      <c r="L254" s="24">
        <f>TRUNC(((J252+J253)*0.03),0)</f>
        <v>458</v>
      </c>
      <c r="M254" s="18" t="s">
        <v>1850</v>
      </c>
      <c r="N254" t="s">
        <v>1850</v>
      </c>
      <c r="P254" t="s">
        <v>207</v>
      </c>
      <c r="Q254" t="s">
        <v>1850</v>
      </c>
      <c r="R254" t="s">
        <v>1589</v>
      </c>
      <c r="X254" t="s">
        <v>1839</v>
      </c>
    </row>
    <row r="255" spans="1:61" ht="18.399999999999999" customHeight="1" x14ac:dyDescent="0.15">
      <c r="A255" s="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46"/>
    </row>
    <row r="256" spans="1:61" ht="18.399999999999999" customHeight="1" x14ac:dyDescent="0.15">
      <c r="A256" s="11" t="s">
        <v>316</v>
      </c>
      <c r="B256" s="2" t="s">
        <v>647</v>
      </c>
      <c r="C256" s="2">
        <v>1</v>
      </c>
      <c r="D256" s="2" t="s">
        <v>1134</v>
      </c>
      <c r="F256" s="24">
        <f t="shared" ref="F256:F261" si="38">H256+J256+L256</f>
        <v>106585</v>
      </c>
      <c r="H256" s="24">
        <f>TRUNC(H257+H258+H259+H260+H261,0)</f>
        <v>5002</v>
      </c>
      <c r="J256" s="24">
        <f>TRUNC(J257+J258+J259+J260+J261,0)</f>
        <v>97749</v>
      </c>
      <c r="L256" s="24">
        <f>TRUNC(L257+L258+L259+L260+L261,0)</f>
        <v>3834</v>
      </c>
      <c r="M256" s="18" t="s">
        <v>1714</v>
      </c>
      <c r="N256" t="s">
        <v>1850</v>
      </c>
      <c r="O256" t="s">
        <v>621</v>
      </c>
    </row>
    <row r="257" spans="1:61" ht="18.399999999999999" customHeight="1" x14ac:dyDescent="0.15">
      <c r="A257" s="11" t="s">
        <v>1478</v>
      </c>
      <c r="B257" s="2" t="s">
        <v>1258</v>
      </c>
      <c r="C257" s="2">
        <v>1.64</v>
      </c>
      <c r="D257" s="2" t="s">
        <v>1133</v>
      </c>
      <c r="E257" s="24">
        <f>G257+I257+K257</f>
        <v>3050</v>
      </c>
      <c r="F257" s="24">
        <f t="shared" si="38"/>
        <v>5002</v>
      </c>
      <c r="G257" s="24">
        <f>자재!D8</f>
        <v>3050</v>
      </c>
      <c r="H257" s="24">
        <f>TRUNC(G257*C257,0)</f>
        <v>5002</v>
      </c>
      <c r="I257" s="24">
        <v>0</v>
      </c>
      <c r="J257" s="24"/>
      <c r="K257" s="24">
        <v>0</v>
      </c>
      <c r="L257" s="24"/>
      <c r="M257" s="18" t="s">
        <v>1850</v>
      </c>
      <c r="N257" t="s">
        <v>1850</v>
      </c>
      <c r="P257" t="s">
        <v>239</v>
      </c>
      <c r="Q257" t="s">
        <v>1850</v>
      </c>
      <c r="R257" t="s">
        <v>1553</v>
      </c>
      <c r="BI257" s="29" t="str">
        <f>HYPERLINK("#자재!A8","MDD0058 →")</f>
        <v>MDD0058 →</v>
      </c>
    </row>
    <row r="258" spans="1:61" ht="18.399999999999999" customHeight="1" x14ac:dyDescent="0.15">
      <c r="A258" s="11" t="s">
        <v>85</v>
      </c>
      <c r="B258" s="2" t="s">
        <v>426</v>
      </c>
      <c r="C258" s="2">
        <v>9.1999999999999993</v>
      </c>
      <c r="D258" s="2" t="s">
        <v>1130</v>
      </c>
      <c r="E258" s="24">
        <f>G258+I258+K258</f>
        <v>98.05</v>
      </c>
      <c r="F258" s="24">
        <f t="shared" si="38"/>
        <v>902</v>
      </c>
      <c r="G258" s="24">
        <f>경비!D4</f>
        <v>0</v>
      </c>
      <c r="H258" s="24">
        <f>TRUNC(G258*C258,0)</f>
        <v>0</v>
      </c>
      <c r="I258" s="24">
        <f>경비!E4</f>
        <v>0</v>
      </c>
      <c r="J258" s="24">
        <f>TRUNC(I258*C258,0)</f>
        <v>0</v>
      </c>
      <c r="K258" s="24">
        <f>경비!F4</f>
        <v>98.05</v>
      </c>
      <c r="L258" s="24">
        <f>TRUNC(K258*C258,0)</f>
        <v>902</v>
      </c>
      <c r="M258" s="18" t="s">
        <v>922</v>
      </c>
      <c r="N258" t="s">
        <v>1850</v>
      </c>
      <c r="P258" t="s">
        <v>1619</v>
      </c>
      <c r="Q258" t="s">
        <v>1850</v>
      </c>
      <c r="R258" t="s">
        <v>1463</v>
      </c>
      <c r="BI258" s="29" t="str">
        <f>HYPERLINK("#경비!A4","GDD0002 →")</f>
        <v>GDD0002 →</v>
      </c>
    </row>
    <row r="259" spans="1:61" ht="18.399999999999999" customHeight="1" x14ac:dyDescent="0.15">
      <c r="A259" s="11" t="s">
        <v>1035</v>
      </c>
      <c r="B259" s="2" t="s">
        <v>847</v>
      </c>
      <c r="C259" s="2">
        <v>0.29659999999999997</v>
      </c>
      <c r="D259" s="2" t="s">
        <v>1735</v>
      </c>
      <c r="E259" s="24">
        <f>G259+I259+K259</f>
        <v>267021</v>
      </c>
      <c r="F259" s="24">
        <f t="shared" si="38"/>
        <v>79198</v>
      </c>
      <c r="G259" s="24">
        <v>0</v>
      </c>
      <c r="H259" s="24"/>
      <c r="I259" s="24">
        <f>노임!D9</f>
        <v>267021</v>
      </c>
      <c r="J259" s="24">
        <f>TRUNC(I259*C259,0)</f>
        <v>79198</v>
      </c>
      <c r="K259" s="24">
        <v>0</v>
      </c>
      <c r="L259" s="24"/>
      <c r="M259" s="18" t="s">
        <v>1850</v>
      </c>
      <c r="N259" t="s">
        <v>1850</v>
      </c>
      <c r="P259" t="s">
        <v>1167</v>
      </c>
      <c r="Q259" t="s">
        <v>1850</v>
      </c>
      <c r="R259" t="s">
        <v>1123</v>
      </c>
      <c r="BI259" s="29" t="str">
        <f>HYPERLINK("#노임!A9","L001010101000012 →")</f>
        <v>L001010101000012 →</v>
      </c>
    </row>
    <row r="260" spans="1:61" ht="18.399999999999999" customHeight="1" x14ac:dyDescent="0.15">
      <c r="A260" s="11" t="s">
        <v>628</v>
      </c>
      <c r="B260" s="2" t="s">
        <v>1154</v>
      </c>
      <c r="C260" s="2">
        <v>8.6599999999999996E-2</v>
      </c>
      <c r="D260" s="2" t="s">
        <v>1735</v>
      </c>
      <c r="E260" s="24">
        <f>G260+I260+K260</f>
        <v>214222</v>
      </c>
      <c r="F260" s="24">
        <f t="shared" si="38"/>
        <v>18551</v>
      </c>
      <c r="G260" s="24">
        <v>0</v>
      </c>
      <c r="H260" s="24"/>
      <c r="I260" s="24">
        <f>노임!D5</f>
        <v>214222</v>
      </c>
      <c r="J260" s="24">
        <f>TRUNC(I260*C260,0)</f>
        <v>18551</v>
      </c>
      <c r="K260" s="24">
        <v>0</v>
      </c>
      <c r="L260" s="24"/>
      <c r="M260" s="18" t="s">
        <v>1850</v>
      </c>
      <c r="N260" t="s">
        <v>1850</v>
      </c>
      <c r="P260" t="s">
        <v>715</v>
      </c>
      <c r="Q260" t="s">
        <v>1850</v>
      </c>
      <c r="R260" t="s">
        <v>511</v>
      </c>
      <c r="AA260" s="33" t="s">
        <v>615</v>
      </c>
      <c r="AB260" s="8">
        <f>(일위대가_호표!J259+일위대가_호표!J260)*0.03</f>
        <v>2932.47</v>
      </c>
      <c r="AC260" s="33" t="s">
        <v>1036</v>
      </c>
      <c r="AD260" s="7">
        <f>$AB260</f>
        <v>2932.47</v>
      </c>
      <c r="BI260" s="29" t="str">
        <f>HYPERLINK("#노임!A5","L001010101000003 →")</f>
        <v>L001010101000003 →</v>
      </c>
    </row>
    <row r="261" spans="1:61" ht="18.399999999999999" customHeight="1" x14ac:dyDescent="0.15">
      <c r="A261" s="11" t="s">
        <v>898</v>
      </c>
      <c r="B261" s="2" t="s">
        <v>1125</v>
      </c>
      <c r="C261" s="2">
        <v>1</v>
      </c>
      <c r="D261" s="2" t="s">
        <v>1529</v>
      </c>
      <c r="E261" s="24">
        <f>G261+I261+K261</f>
        <v>0</v>
      </c>
      <c r="F261" s="24">
        <f t="shared" si="38"/>
        <v>2932</v>
      </c>
      <c r="G261" s="1"/>
      <c r="H261" s="24">
        <v>0</v>
      </c>
      <c r="I261" s="1"/>
      <c r="J261" s="24">
        <v>0</v>
      </c>
      <c r="K261" s="1"/>
      <c r="L261" s="24">
        <f>TRUNC(((J259+J260)*0.03),0)</f>
        <v>2932</v>
      </c>
      <c r="M261" s="18" t="s">
        <v>1850</v>
      </c>
      <c r="N261" t="s">
        <v>1850</v>
      </c>
      <c r="P261" t="s">
        <v>207</v>
      </c>
      <c r="Q261" t="s">
        <v>1850</v>
      </c>
      <c r="R261" t="s">
        <v>1589</v>
      </c>
      <c r="X261" t="s">
        <v>1839</v>
      </c>
    </row>
    <row r="262" spans="1:61" ht="18.399999999999999" customHeight="1" x14ac:dyDescent="0.15">
      <c r="A262" s="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46"/>
    </row>
    <row r="263" spans="1:61" ht="18.399999999999999" customHeight="1" x14ac:dyDescent="0.15">
      <c r="A263" s="11" t="s">
        <v>392</v>
      </c>
      <c r="B263" s="2" t="s">
        <v>91</v>
      </c>
      <c r="C263" s="2">
        <v>1</v>
      </c>
      <c r="D263" s="2" t="s">
        <v>1134</v>
      </c>
      <c r="F263" s="24">
        <f t="shared" ref="F263:F268" si="39">H263+J263+L263</f>
        <v>3726</v>
      </c>
      <c r="H263" s="24">
        <f>TRUNC(H264+H265+H266+H267+H268,0)</f>
        <v>975</v>
      </c>
      <c r="J263" s="24">
        <f>TRUNC(J264+J265+J266+J267+J268,0)</f>
        <v>2671</v>
      </c>
      <c r="L263" s="24">
        <f>TRUNC(L264+L265+L266+L267+L268,0)</f>
        <v>80</v>
      </c>
      <c r="M263" s="18" t="s">
        <v>1713</v>
      </c>
      <c r="N263" t="s">
        <v>1850</v>
      </c>
      <c r="O263" t="s">
        <v>1241</v>
      </c>
    </row>
    <row r="264" spans="1:61" ht="18.399999999999999" customHeight="1" x14ac:dyDescent="0.15">
      <c r="A264" s="11" t="s">
        <v>1035</v>
      </c>
      <c r="B264" s="2" t="s">
        <v>1024</v>
      </c>
      <c r="C264" s="2">
        <v>7.1999999999999998E-3</v>
      </c>
      <c r="D264" s="2" t="s">
        <v>1735</v>
      </c>
      <c r="E264" s="24">
        <f>G264+I264+K264</f>
        <v>267021</v>
      </c>
      <c r="F264" s="24">
        <f t="shared" si="39"/>
        <v>1922</v>
      </c>
      <c r="G264" s="24">
        <v>0</v>
      </c>
      <c r="H264" s="24"/>
      <c r="I264" s="24">
        <f>노임!D9</f>
        <v>267021</v>
      </c>
      <c r="J264" s="24">
        <f>TRUNC(I264*C264,0)</f>
        <v>1922</v>
      </c>
      <c r="K264" s="24">
        <v>0</v>
      </c>
      <c r="L264" s="24"/>
      <c r="M264" s="18" t="s">
        <v>1850</v>
      </c>
      <c r="N264" t="s">
        <v>1850</v>
      </c>
      <c r="P264" t="s">
        <v>239</v>
      </c>
      <c r="Q264" t="s">
        <v>1850</v>
      </c>
      <c r="R264" t="s">
        <v>1123</v>
      </c>
      <c r="BI264" s="29" t="str">
        <f>HYPERLINK("#노임!A9","L001010101000012 →")</f>
        <v>L001010101000012 →</v>
      </c>
    </row>
    <row r="265" spans="1:61" ht="18.399999999999999" customHeight="1" x14ac:dyDescent="0.15">
      <c r="A265" s="11" t="s">
        <v>628</v>
      </c>
      <c r="B265" s="2" t="s">
        <v>1024</v>
      </c>
      <c r="C265" s="2">
        <v>3.5000000000000001E-3</v>
      </c>
      <c r="D265" s="2" t="s">
        <v>1735</v>
      </c>
      <c r="E265" s="24">
        <f>G265+I265+K265</f>
        <v>214222</v>
      </c>
      <c r="F265" s="24">
        <f t="shared" si="39"/>
        <v>749</v>
      </c>
      <c r="G265" s="24">
        <v>0</v>
      </c>
      <c r="H265" s="24"/>
      <c r="I265" s="24">
        <f>노임!D5</f>
        <v>214222</v>
      </c>
      <c r="J265" s="24">
        <f>TRUNC(I265*C265,0)</f>
        <v>749</v>
      </c>
      <c r="K265" s="24">
        <v>0</v>
      </c>
      <c r="L265" s="24"/>
      <c r="M265" s="18" t="s">
        <v>1850</v>
      </c>
      <c r="N265" t="s">
        <v>1850</v>
      </c>
      <c r="P265" t="s">
        <v>1619</v>
      </c>
      <c r="Q265" t="s">
        <v>1850</v>
      </c>
      <c r="R265" t="s">
        <v>511</v>
      </c>
      <c r="BI265" s="29" t="str">
        <f>HYPERLINK("#노임!A5","L001010101000003 →")</f>
        <v>L001010101000003 →</v>
      </c>
    </row>
    <row r="266" spans="1:61" ht="18.399999999999999" customHeight="1" x14ac:dyDescent="0.15">
      <c r="A266" s="11" t="s">
        <v>985</v>
      </c>
      <c r="B266" s="2" t="s">
        <v>1850</v>
      </c>
      <c r="C266" s="2">
        <v>176.85</v>
      </c>
      <c r="D266" s="2" t="s">
        <v>1507</v>
      </c>
      <c r="E266" s="24">
        <f>G266+I266+K266</f>
        <v>3.03</v>
      </c>
      <c r="F266" s="24">
        <f t="shared" si="39"/>
        <v>535</v>
      </c>
      <c r="G266" s="24">
        <f>자재!D6</f>
        <v>3.03</v>
      </c>
      <c r="H266" s="24">
        <f>TRUNC(G266*C266,0)</f>
        <v>535</v>
      </c>
      <c r="I266" s="24">
        <v>0</v>
      </c>
      <c r="J266" s="24"/>
      <c r="K266" s="24">
        <v>0</v>
      </c>
      <c r="L266" s="24"/>
      <c r="M266" s="18" t="s">
        <v>1850</v>
      </c>
      <c r="N266" t="s">
        <v>1850</v>
      </c>
      <c r="P266" t="s">
        <v>1167</v>
      </c>
      <c r="Q266" t="s">
        <v>1850</v>
      </c>
      <c r="R266" t="s">
        <v>1497</v>
      </c>
      <c r="BI266" s="29" t="str">
        <f>HYPERLINK("#자재!A6","MDD0052 →")</f>
        <v>MDD0052 →</v>
      </c>
    </row>
    <row r="267" spans="1:61" ht="18.399999999999999" customHeight="1" x14ac:dyDescent="0.15">
      <c r="A267" s="11" t="s">
        <v>1552</v>
      </c>
      <c r="B267" s="2" t="s">
        <v>361</v>
      </c>
      <c r="C267" s="2">
        <v>0.17299999999999999</v>
      </c>
      <c r="D267" s="2" t="s">
        <v>1133</v>
      </c>
      <c r="E267" s="24">
        <f>G267+I267+K267</f>
        <v>2546.3000000000002</v>
      </c>
      <c r="F267" s="24">
        <f t="shared" si="39"/>
        <v>440</v>
      </c>
      <c r="G267" s="24">
        <f>자재!D7</f>
        <v>2546.3000000000002</v>
      </c>
      <c r="H267" s="24">
        <f>TRUNC(G267*C267,0)</f>
        <v>440</v>
      </c>
      <c r="I267" s="24">
        <v>0</v>
      </c>
      <c r="J267" s="24"/>
      <c r="K267" s="24">
        <v>0</v>
      </c>
      <c r="L267" s="24"/>
      <c r="M267" s="18" t="s">
        <v>1850</v>
      </c>
      <c r="N267" t="s">
        <v>1850</v>
      </c>
      <c r="P267" t="s">
        <v>715</v>
      </c>
      <c r="Q267" t="s">
        <v>1850</v>
      </c>
      <c r="R267" t="s">
        <v>841</v>
      </c>
      <c r="AA267" s="33" t="s">
        <v>615</v>
      </c>
      <c r="AB267" s="8">
        <f>(일위대가_호표!J264+일위대가_호표!J265)*0.03</f>
        <v>80.13</v>
      </c>
      <c r="AC267" s="33" t="s">
        <v>1036</v>
      </c>
      <c r="AD267" s="7">
        <f>$AB267</f>
        <v>80.13</v>
      </c>
      <c r="BI267" s="29" t="str">
        <f>HYPERLINK("#자재!A7","MDD0055 →")</f>
        <v>MDD0055 →</v>
      </c>
    </row>
    <row r="268" spans="1:61" ht="18.399999999999999" customHeight="1" x14ac:dyDescent="0.15">
      <c r="A268" s="11" t="s">
        <v>898</v>
      </c>
      <c r="B268" s="2" t="s">
        <v>1125</v>
      </c>
      <c r="C268" s="2">
        <v>1</v>
      </c>
      <c r="D268" s="2" t="s">
        <v>1529</v>
      </c>
      <c r="E268" s="24">
        <f>G268+I268+K268</f>
        <v>0</v>
      </c>
      <c r="F268" s="24">
        <f t="shared" si="39"/>
        <v>80</v>
      </c>
      <c r="G268" s="1"/>
      <c r="H268" s="24">
        <v>0</v>
      </c>
      <c r="I268" s="1"/>
      <c r="J268" s="24">
        <v>0</v>
      </c>
      <c r="K268" s="1"/>
      <c r="L268" s="24">
        <f>TRUNC(((J264+J265)*0.03),0)</f>
        <v>80</v>
      </c>
      <c r="M268" s="18" t="s">
        <v>1850</v>
      </c>
      <c r="N268" t="s">
        <v>1850</v>
      </c>
      <c r="P268" t="s">
        <v>207</v>
      </c>
      <c r="Q268" t="s">
        <v>1850</v>
      </c>
      <c r="R268" t="s">
        <v>1589</v>
      </c>
      <c r="X268" t="s">
        <v>913</v>
      </c>
    </row>
    <row r="269" spans="1:61" ht="18.399999999999999" customHeight="1" x14ac:dyDescent="0.15">
      <c r="A269" s="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46"/>
    </row>
    <row r="270" spans="1:61" ht="18.399999999999999" customHeight="1" x14ac:dyDescent="0.15">
      <c r="A270" s="11" t="s">
        <v>418</v>
      </c>
      <c r="B270" s="2" t="s">
        <v>966</v>
      </c>
      <c r="C270" s="2">
        <v>1</v>
      </c>
      <c r="D270" s="2" t="s">
        <v>1134</v>
      </c>
      <c r="F270" s="24">
        <f t="shared" ref="F270:F276" si="40">H270+J270+L270</f>
        <v>3979</v>
      </c>
      <c r="H270" s="24">
        <f>TRUNC(H276,0)</f>
        <v>242</v>
      </c>
      <c r="J270" s="24">
        <f>TRUNC(J276,0)</f>
        <v>3012</v>
      </c>
      <c r="L270" s="24">
        <f>TRUNC(L276,0)</f>
        <v>725</v>
      </c>
      <c r="M270" s="18" t="s">
        <v>1313</v>
      </c>
      <c r="N270" t="s">
        <v>1850</v>
      </c>
      <c r="O270" t="s">
        <v>360</v>
      </c>
    </row>
    <row r="271" spans="1:61" ht="18.399999999999999" customHeight="1" x14ac:dyDescent="0.15">
      <c r="A271" s="11" t="s">
        <v>628</v>
      </c>
      <c r="B271" s="2" t="s">
        <v>1024</v>
      </c>
      <c r="C271" s="2">
        <v>2</v>
      </c>
      <c r="D271" s="2" t="s">
        <v>1735</v>
      </c>
      <c r="E271" s="24">
        <f t="shared" ref="E271:E276" si="41">G271+I271+K271</f>
        <v>214222</v>
      </c>
      <c r="F271" s="24">
        <f t="shared" si="40"/>
        <v>428444</v>
      </c>
      <c r="G271" s="24">
        <v>0</v>
      </c>
      <c r="H271" s="24"/>
      <c r="I271" s="24">
        <f>노임!D5</f>
        <v>214222</v>
      </c>
      <c r="J271" s="24">
        <f>TRUNC(I271*C271,0)</f>
        <v>428444</v>
      </c>
      <c r="K271" s="24">
        <v>0</v>
      </c>
      <c r="L271" s="24"/>
      <c r="M271" s="18" t="s">
        <v>1850</v>
      </c>
      <c r="N271" t="s">
        <v>1850</v>
      </c>
      <c r="P271" t="s">
        <v>239</v>
      </c>
      <c r="Q271" t="s">
        <v>1217</v>
      </c>
      <c r="R271" t="s">
        <v>511</v>
      </c>
      <c r="BI271" s="29" t="str">
        <f>HYPERLINK("#노임!A5","L001010101000003 →")</f>
        <v>L001010101000003 →</v>
      </c>
    </row>
    <row r="272" spans="1:61" ht="18.399999999999999" customHeight="1" x14ac:dyDescent="0.15">
      <c r="A272" s="11" t="s">
        <v>597</v>
      </c>
      <c r="B272" s="2" t="s">
        <v>1024</v>
      </c>
      <c r="C272" s="2">
        <v>1</v>
      </c>
      <c r="D272" s="2" t="s">
        <v>1735</v>
      </c>
      <c r="E272" s="24">
        <f t="shared" si="41"/>
        <v>165545</v>
      </c>
      <c r="F272" s="24">
        <f t="shared" si="40"/>
        <v>165545</v>
      </c>
      <c r="G272" s="24">
        <v>0</v>
      </c>
      <c r="H272" s="24"/>
      <c r="I272" s="24">
        <f>노임!D4</f>
        <v>165545</v>
      </c>
      <c r="J272" s="24">
        <f>TRUNC(I272*C272,0)</f>
        <v>165545</v>
      </c>
      <c r="K272" s="24">
        <v>0</v>
      </c>
      <c r="L272" s="24"/>
      <c r="M272" s="18" t="s">
        <v>1850</v>
      </c>
      <c r="N272" t="s">
        <v>1850</v>
      </c>
      <c r="P272" t="s">
        <v>1619</v>
      </c>
      <c r="Q272" t="s">
        <v>1217</v>
      </c>
      <c r="R272" t="s">
        <v>1563</v>
      </c>
      <c r="BI272" s="29" t="str">
        <f>HYPERLINK("#노임!A4","L001010101000002 →")</f>
        <v>L001010101000002 →</v>
      </c>
    </row>
    <row r="273" spans="1:61" ht="18.399999999999999" customHeight="1" x14ac:dyDescent="0.15">
      <c r="A273" s="11" t="s">
        <v>885</v>
      </c>
      <c r="B273" s="2" t="s">
        <v>1850</v>
      </c>
      <c r="C273" s="2">
        <v>8</v>
      </c>
      <c r="D273" s="2" t="s">
        <v>1570</v>
      </c>
      <c r="E273" s="24">
        <f t="shared" si="41"/>
        <v>20000</v>
      </c>
      <c r="F273" s="24">
        <f t="shared" si="40"/>
        <v>160000</v>
      </c>
      <c r="G273" s="24">
        <f>중기사용료목록!E34</f>
        <v>0</v>
      </c>
      <c r="H273" s="24">
        <f>TRUNC(G273*C273,0)</f>
        <v>0</v>
      </c>
      <c r="I273" s="24">
        <f>중기사용료목록!F34</f>
        <v>0</v>
      </c>
      <c r="J273" s="24">
        <f>TRUNC(I273*C273,0)</f>
        <v>0</v>
      </c>
      <c r="K273" s="24">
        <f>중기사용료목록!G34</f>
        <v>20000</v>
      </c>
      <c r="L273" s="24">
        <f>TRUNC(K273*C273,0)</f>
        <v>160000</v>
      </c>
      <c r="M273" s="18" t="s">
        <v>1850</v>
      </c>
      <c r="N273" t="s">
        <v>1850</v>
      </c>
      <c r="P273" t="s">
        <v>1167</v>
      </c>
      <c r="Q273" t="s">
        <v>1217</v>
      </c>
      <c r="R273" t="s">
        <v>990</v>
      </c>
      <c r="BI273" s="29" t="str">
        <f>HYPERLINK("#중기사용료목록!A34","EDD00010100 →")</f>
        <v>EDD00010100 →</v>
      </c>
    </row>
    <row r="274" spans="1:61" ht="18.399999999999999" customHeight="1" x14ac:dyDescent="0.15">
      <c r="A274" s="11" t="s">
        <v>1412</v>
      </c>
      <c r="B274" s="2" t="s">
        <v>1850</v>
      </c>
      <c r="C274" s="2">
        <v>8</v>
      </c>
      <c r="D274" s="2" t="s">
        <v>1570</v>
      </c>
      <c r="E274" s="24">
        <f t="shared" si="41"/>
        <v>62874.69</v>
      </c>
      <c r="F274" s="24">
        <f t="shared" si="40"/>
        <v>502997</v>
      </c>
      <c r="G274" s="24">
        <f>중기사용료목록!E35</f>
        <v>7113.69</v>
      </c>
      <c r="H274" s="24">
        <f>TRUNC(G274*C274,0)</f>
        <v>56909</v>
      </c>
      <c r="I274" s="24">
        <f>중기사용료목록!F35</f>
        <v>47231</v>
      </c>
      <c r="J274" s="24">
        <f>TRUNC(I274*C274,0)</f>
        <v>377848</v>
      </c>
      <c r="K274" s="24">
        <f>중기사용료목록!G35</f>
        <v>8530</v>
      </c>
      <c r="L274" s="24">
        <f>TRUNC(K274*C274,0)</f>
        <v>68240</v>
      </c>
      <c r="M274" s="18" t="s">
        <v>1850</v>
      </c>
      <c r="N274" t="s">
        <v>1850</v>
      </c>
      <c r="P274" t="s">
        <v>715</v>
      </c>
      <c r="Q274" t="s">
        <v>1217</v>
      </c>
      <c r="R274" t="s">
        <v>623</v>
      </c>
      <c r="BI274" s="29" t="str">
        <f>HYPERLINK("#중기사용료목록!A35","EDD00020100 →")</f>
        <v>EDD00020100 →</v>
      </c>
    </row>
    <row r="275" spans="1:61" ht="18.399999999999999" customHeight="1" x14ac:dyDescent="0.15">
      <c r="A275" s="11" t="s">
        <v>1242</v>
      </c>
      <c r="B275" s="2" t="s">
        <v>111</v>
      </c>
      <c r="C275" s="2">
        <v>8</v>
      </c>
      <c r="D275" s="2" t="s">
        <v>1570</v>
      </c>
      <c r="E275" s="24">
        <f t="shared" si="41"/>
        <v>3405.71</v>
      </c>
      <c r="F275" s="24">
        <f t="shared" si="40"/>
        <v>27245</v>
      </c>
      <c r="G275" s="24">
        <f>중기사용료목록!E27</f>
        <v>2666.71</v>
      </c>
      <c r="H275" s="24">
        <f>TRUNC(G275*C275,0)</f>
        <v>21333</v>
      </c>
      <c r="I275" s="24">
        <f>중기사용료목록!F27</f>
        <v>0</v>
      </c>
      <c r="J275" s="24">
        <f>TRUNC(I275*C275,0)</f>
        <v>0</v>
      </c>
      <c r="K275" s="24">
        <f>중기사용료목록!G27</f>
        <v>739</v>
      </c>
      <c r="L275" s="24">
        <f>TRUNC(K275*C275,0)</f>
        <v>5912</v>
      </c>
      <c r="M275" s="18" t="s">
        <v>1850</v>
      </c>
      <c r="N275" t="s">
        <v>1850</v>
      </c>
      <c r="P275" t="s">
        <v>207</v>
      </c>
      <c r="Q275" t="s">
        <v>1217</v>
      </c>
      <c r="R275" t="s">
        <v>723</v>
      </c>
      <c r="AA275" s="33" t="s">
        <v>1396</v>
      </c>
      <c r="AB275" s="8">
        <f>ROUND((일위대가_호표!H271+일위대가_호표!H272+일위대가_호표!H273+일위대가_호표!H274+일위대가_호표!H275)*0.0031,2)</f>
        <v>242.55</v>
      </c>
      <c r="AC275" s="33" t="s">
        <v>1559</v>
      </c>
      <c r="AD275" s="7">
        <f>$AB275</f>
        <v>242.55</v>
      </c>
      <c r="AE275" s="33" t="s">
        <v>213</v>
      </c>
      <c r="AF275" s="8">
        <f>ROUND((일위대가_호표!J271+일위대가_호표!J272+일위대가_호표!J273+일위대가_호표!J274+일위대가_호표!J275)*0.0031,2)</f>
        <v>3012.69</v>
      </c>
      <c r="AG275" s="33" t="s">
        <v>762</v>
      </c>
      <c r="AH275" s="7">
        <f>$AF275</f>
        <v>3012.69</v>
      </c>
      <c r="AI275" s="33" t="s">
        <v>615</v>
      </c>
      <c r="AJ275" s="8">
        <f>ROUND((일위대가_호표!L271+일위대가_호표!L272+일위대가_호표!L273+일위대가_호표!L274+일위대가_호표!L275)*0.0031,2)</f>
        <v>725.87</v>
      </c>
      <c r="AK275" s="33" t="s">
        <v>1036</v>
      </c>
      <c r="AL275" s="7">
        <f>$AJ275</f>
        <v>725.87</v>
      </c>
      <c r="BI275" s="29" t="str">
        <f>HYPERLINK("#중기사용료목록!A27","E0000750500150000 →")</f>
        <v>E0000750500150000 →</v>
      </c>
    </row>
    <row r="276" spans="1:61" ht="18.399999999999999" customHeight="1" x14ac:dyDescent="0.15">
      <c r="A276" s="11" t="s">
        <v>358</v>
      </c>
      <c r="B276" s="2" t="s">
        <v>203</v>
      </c>
      <c r="C276" s="2"/>
      <c r="D276" s="2" t="s">
        <v>1134</v>
      </c>
      <c r="E276" s="24">
        <f t="shared" si="41"/>
        <v>0</v>
      </c>
      <c r="F276" s="24">
        <f t="shared" si="40"/>
        <v>3979</v>
      </c>
      <c r="G276" s="1"/>
      <c r="H276" s="24">
        <f>TRUNC((ROUND((H271+H272+H273+H274+H275)*0.0031,2)),0)</f>
        <v>242</v>
      </c>
      <c r="I276" s="1"/>
      <c r="J276" s="24">
        <f>TRUNC((ROUND((J271+J272+J273+J274+J275)*0.0031,2)),0)</f>
        <v>3012</v>
      </c>
      <c r="K276" s="1"/>
      <c r="L276" s="24">
        <f>TRUNC((ROUND((L271+L272+L273+L274+L275)*0.0031,2)),0)</f>
        <v>725</v>
      </c>
      <c r="M276" s="18" t="s">
        <v>1850</v>
      </c>
      <c r="N276" t="s">
        <v>1850</v>
      </c>
      <c r="P276" t="s">
        <v>1598</v>
      </c>
      <c r="Q276" t="s">
        <v>1850</v>
      </c>
      <c r="R276" t="s">
        <v>1589</v>
      </c>
      <c r="X276" t="s">
        <v>147</v>
      </c>
    </row>
    <row r="277" spans="1:61" ht="18.399999999999999" customHeight="1" x14ac:dyDescent="0.15">
      <c r="A277" s="4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46"/>
    </row>
    <row r="278" spans="1:61" ht="18.399999999999999" customHeight="1" x14ac:dyDescent="0.15">
      <c r="A278" s="11" t="s">
        <v>244</v>
      </c>
      <c r="B278" s="2" t="s">
        <v>966</v>
      </c>
      <c r="C278" s="2">
        <v>1</v>
      </c>
      <c r="D278" s="2" t="s">
        <v>1134</v>
      </c>
      <c r="F278" s="24">
        <f t="shared" ref="F278:F284" si="42">H278+J278+L278</f>
        <v>905</v>
      </c>
      <c r="H278" s="24">
        <f>TRUNC(H284,0)</f>
        <v>13</v>
      </c>
      <c r="J278" s="24">
        <f>TRUNC(J284,0)</f>
        <v>846</v>
      </c>
      <c r="L278" s="24">
        <f>TRUNC(L284,0)</f>
        <v>46</v>
      </c>
      <c r="M278" s="18" t="s">
        <v>1850</v>
      </c>
      <c r="N278" t="s">
        <v>1850</v>
      </c>
      <c r="O278" t="s">
        <v>424</v>
      </c>
    </row>
    <row r="279" spans="1:61" ht="18.399999999999999" customHeight="1" x14ac:dyDescent="0.15">
      <c r="A279" s="11" t="s">
        <v>801</v>
      </c>
      <c r="B279" s="2" t="s">
        <v>1277</v>
      </c>
      <c r="C279" s="2">
        <v>1</v>
      </c>
      <c r="D279" s="2" t="s">
        <v>1735</v>
      </c>
      <c r="E279" s="24">
        <f t="shared" ref="E279:E284" si="43">G279+I279+K279</f>
        <v>272915</v>
      </c>
      <c r="F279" s="24">
        <f t="shared" si="42"/>
        <v>272915</v>
      </c>
      <c r="G279" s="24">
        <v>0</v>
      </c>
      <c r="H279" s="24"/>
      <c r="I279" s="24">
        <f>노임!D13</f>
        <v>272915</v>
      </c>
      <c r="J279" s="24">
        <f>TRUNC(I279*C279,0)</f>
        <v>272915</v>
      </c>
      <c r="K279" s="24">
        <v>0</v>
      </c>
      <c r="L279" s="24"/>
      <c r="M279" s="18" t="s">
        <v>1850</v>
      </c>
      <c r="N279" t="s">
        <v>1850</v>
      </c>
      <c r="P279" t="s">
        <v>239</v>
      </c>
      <c r="Q279" t="s">
        <v>1217</v>
      </c>
      <c r="R279" t="s">
        <v>1435</v>
      </c>
      <c r="BI279" s="29" t="str">
        <f>HYPERLINK("#노임!A13","L001020701000028 →")</f>
        <v>L001020701000028 →</v>
      </c>
    </row>
    <row r="280" spans="1:61" ht="18.399999999999999" customHeight="1" x14ac:dyDescent="0.15">
      <c r="A280" s="11" t="s">
        <v>1343</v>
      </c>
      <c r="B280" s="2" t="s">
        <v>1428</v>
      </c>
      <c r="C280" s="2">
        <v>2</v>
      </c>
      <c r="D280" s="2" t="s">
        <v>1408</v>
      </c>
      <c r="E280" s="24">
        <f t="shared" si="43"/>
        <v>240.2</v>
      </c>
      <c r="F280" s="24">
        <f t="shared" si="42"/>
        <v>480</v>
      </c>
      <c r="G280" s="24">
        <f>자재!D4</f>
        <v>240.2</v>
      </c>
      <c r="H280" s="24">
        <f>TRUNC(G280*C280,0)</f>
        <v>480</v>
      </c>
      <c r="I280" s="24">
        <v>0</v>
      </c>
      <c r="J280" s="24"/>
      <c r="K280" s="24">
        <v>0</v>
      </c>
      <c r="L280" s="24"/>
      <c r="M280" s="18" t="s">
        <v>1850</v>
      </c>
      <c r="N280" t="s">
        <v>1850</v>
      </c>
      <c r="P280" t="s">
        <v>1619</v>
      </c>
      <c r="Q280" t="s">
        <v>1217</v>
      </c>
      <c r="R280" t="s">
        <v>1384</v>
      </c>
      <c r="BI280" s="29" t="str">
        <f>HYPERLINK("#자재!A4","MDD0004 →")</f>
        <v>MDD0004 →</v>
      </c>
    </row>
    <row r="281" spans="1:61" ht="18.399999999999999" customHeight="1" x14ac:dyDescent="0.15">
      <c r="A281" s="11" t="s">
        <v>1216</v>
      </c>
      <c r="B281" s="2" t="s">
        <v>1476</v>
      </c>
      <c r="C281" s="2">
        <v>10</v>
      </c>
      <c r="D281" s="2" t="s">
        <v>1408</v>
      </c>
      <c r="E281" s="24">
        <f t="shared" si="43"/>
        <v>370</v>
      </c>
      <c r="F281" s="24">
        <f t="shared" si="42"/>
        <v>3700</v>
      </c>
      <c r="G281" s="24">
        <f>자재!D37</f>
        <v>370</v>
      </c>
      <c r="H281" s="24">
        <f>TRUNC(G281*C281,0)</f>
        <v>3700</v>
      </c>
      <c r="I281" s="24">
        <v>0</v>
      </c>
      <c r="J281" s="24"/>
      <c r="K281" s="24">
        <v>0</v>
      </c>
      <c r="L281" s="24"/>
      <c r="M281" s="18" t="s">
        <v>1850</v>
      </c>
      <c r="N281" t="s">
        <v>1850</v>
      </c>
      <c r="P281" t="s">
        <v>1167</v>
      </c>
      <c r="Q281" t="s">
        <v>1217</v>
      </c>
      <c r="R281" t="s">
        <v>980</v>
      </c>
      <c r="BI281" s="29" t="str">
        <f>HYPERLINK("#자재!A37","MDD0601 →")</f>
        <v>MDD0601 →</v>
      </c>
    </row>
    <row r="282" spans="1:61" ht="18.399999999999999" customHeight="1" x14ac:dyDescent="0.15">
      <c r="A282" s="11" t="s">
        <v>1817</v>
      </c>
      <c r="B282" s="2" t="s">
        <v>1850</v>
      </c>
      <c r="C282" s="2">
        <v>6</v>
      </c>
      <c r="D282" s="2" t="s">
        <v>1407</v>
      </c>
      <c r="E282" s="24">
        <f t="shared" si="43"/>
        <v>2485</v>
      </c>
      <c r="F282" s="24">
        <f t="shared" si="42"/>
        <v>14910</v>
      </c>
      <c r="G282" s="24">
        <f>중기사용료목록!E47</f>
        <v>0</v>
      </c>
      <c r="H282" s="24">
        <f>TRUNC(G282*C282,0)</f>
        <v>0</v>
      </c>
      <c r="I282" s="24">
        <f>중기사용료목록!F47</f>
        <v>0</v>
      </c>
      <c r="J282" s="24">
        <f>TRUNC(I282*C282,0)</f>
        <v>0</v>
      </c>
      <c r="K282" s="24">
        <f>중기사용료목록!G47</f>
        <v>2485</v>
      </c>
      <c r="L282" s="24">
        <f>TRUNC(K282*C282,0)</f>
        <v>14910</v>
      </c>
      <c r="M282" s="18" t="s">
        <v>1850</v>
      </c>
      <c r="N282" t="s">
        <v>1850</v>
      </c>
      <c r="P282" t="s">
        <v>715</v>
      </c>
      <c r="Q282" t="s">
        <v>1217</v>
      </c>
      <c r="R282" t="s">
        <v>916</v>
      </c>
      <c r="AA282" s="33" t="s">
        <v>1396</v>
      </c>
      <c r="AB282" s="8">
        <f>(일위대가_호표!H279+일위대가_호표!H280+일위대가_호표!H281+일위대가_호표!H282)*0.05</f>
        <v>209</v>
      </c>
      <c r="AC282" s="33" t="s">
        <v>1559</v>
      </c>
      <c r="AD282" s="7">
        <f>$AB282</f>
        <v>209</v>
      </c>
      <c r="BI282" s="29" t="str">
        <f>HYPERLINK("#중기사용료목록!A47","EDD00180004 →")</f>
        <v>EDD00180004 →</v>
      </c>
    </row>
    <row r="283" spans="1:61" ht="18.399999999999999" customHeight="1" x14ac:dyDescent="0.15">
      <c r="A283" s="11" t="s">
        <v>225</v>
      </c>
      <c r="B283" s="2" t="s">
        <v>949</v>
      </c>
      <c r="C283" s="2">
        <v>1</v>
      </c>
      <c r="D283" s="2" t="s">
        <v>1529</v>
      </c>
      <c r="E283" s="24">
        <f t="shared" si="43"/>
        <v>0</v>
      </c>
      <c r="F283" s="24">
        <f t="shared" si="42"/>
        <v>209</v>
      </c>
      <c r="G283" s="1"/>
      <c r="H283" s="24">
        <f>TRUNC(((H279+H280+H281+H282)*0.05),0)</f>
        <v>209</v>
      </c>
      <c r="I283" s="1"/>
      <c r="J283" s="24">
        <v>0</v>
      </c>
      <c r="K283" s="1"/>
      <c r="L283" s="24">
        <v>0</v>
      </c>
      <c r="M283" s="18" t="s">
        <v>1850</v>
      </c>
      <c r="N283" t="s">
        <v>1850</v>
      </c>
      <c r="P283" t="s">
        <v>207</v>
      </c>
      <c r="Q283" t="s">
        <v>1217</v>
      </c>
      <c r="R283" t="s">
        <v>1589</v>
      </c>
      <c r="X283" t="s">
        <v>492</v>
      </c>
      <c r="AA283" s="33" t="s">
        <v>1396</v>
      </c>
      <c r="AB283" s="8">
        <f>ROUND((일위대가_호표!H279+일위대가_호표!H280+일위대가_호표!H281+일위대가_호표!H282+일위대가_호표!H283)*0.0031,2)</f>
        <v>13.61</v>
      </c>
      <c r="AC283" s="33" t="s">
        <v>1559</v>
      </c>
      <c r="AD283" s="7">
        <f>$AB283</f>
        <v>13.61</v>
      </c>
      <c r="AE283" s="33" t="s">
        <v>213</v>
      </c>
      <c r="AF283" s="8">
        <f>ROUND((일위대가_호표!J279+일위대가_호표!J280+일위대가_호표!J281+일위대가_호표!J282+일위대가_호표!J283)*0.0031,2)</f>
        <v>846.04</v>
      </c>
      <c r="AG283" s="33" t="s">
        <v>762</v>
      </c>
      <c r="AH283" s="7">
        <f>$AF283</f>
        <v>846.04</v>
      </c>
      <c r="AI283" s="33" t="s">
        <v>615</v>
      </c>
      <c r="AJ283" s="8">
        <f>ROUND((일위대가_호표!L279+일위대가_호표!L280+일위대가_호표!L281+일위대가_호표!L282+일위대가_호표!L283)*0.0031,2)</f>
        <v>46.22</v>
      </c>
      <c r="AK283" s="33" t="s">
        <v>1036</v>
      </c>
      <c r="AL283" s="7">
        <f>$AJ283</f>
        <v>46.22</v>
      </c>
    </row>
    <row r="284" spans="1:61" ht="18.399999999999999" customHeight="1" x14ac:dyDescent="0.15">
      <c r="A284" s="11" t="s">
        <v>1411</v>
      </c>
      <c r="B284" s="2" t="s">
        <v>203</v>
      </c>
      <c r="C284" s="2">
        <v>1</v>
      </c>
      <c r="D284" s="2" t="s">
        <v>1134</v>
      </c>
      <c r="E284" s="24">
        <f t="shared" si="43"/>
        <v>0</v>
      </c>
      <c r="F284" s="24">
        <f t="shared" si="42"/>
        <v>905</v>
      </c>
      <c r="G284" s="1"/>
      <c r="H284" s="24">
        <f>TRUNC((ROUND((H279+H280+H281+H282+H283)*0.0031,2)),0)</f>
        <v>13</v>
      </c>
      <c r="I284" s="1"/>
      <c r="J284" s="24">
        <f>TRUNC((ROUND((J279+J280+J281+J282+J283)*0.0031,2)),0)</f>
        <v>846</v>
      </c>
      <c r="K284" s="1"/>
      <c r="L284" s="24">
        <f>TRUNC((ROUND((L279+L280+L281+L282+L283)*0.0031,2)),0)</f>
        <v>46</v>
      </c>
      <c r="M284" s="18" t="s">
        <v>1850</v>
      </c>
      <c r="N284" t="s">
        <v>1850</v>
      </c>
      <c r="P284" t="s">
        <v>1598</v>
      </c>
      <c r="Q284" t="s">
        <v>1850</v>
      </c>
      <c r="R284" t="s">
        <v>1589</v>
      </c>
      <c r="X284" t="s">
        <v>147</v>
      </c>
    </row>
    <row r="285" spans="1:61" ht="18.399999999999999" customHeight="1" x14ac:dyDescent="0.15">
      <c r="A285" s="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6"/>
    </row>
    <row r="286" spans="1:61" ht="18.399999999999999" customHeight="1" x14ac:dyDescent="0.15">
      <c r="A286" s="11" t="s">
        <v>436</v>
      </c>
      <c r="B286" s="2" t="s">
        <v>1038</v>
      </c>
      <c r="C286" s="2">
        <v>1</v>
      </c>
      <c r="D286" s="2" t="s">
        <v>1134</v>
      </c>
      <c r="F286" s="24">
        <f t="shared" ref="F286:F292" si="44">H286+J286+L286</f>
        <v>2438</v>
      </c>
      <c r="H286" s="24">
        <f>TRUNC(H292,0)</f>
        <v>148</v>
      </c>
      <c r="J286" s="24">
        <f>TRUNC(J292,0)</f>
        <v>1846</v>
      </c>
      <c r="L286" s="24">
        <f>TRUNC(L292,0)</f>
        <v>444</v>
      </c>
      <c r="M286" s="18" t="s">
        <v>1313</v>
      </c>
      <c r="N286" t="s">
        <v>1850</v>
      </c>
      <c r="O286" t="s">
        <v>1114</v>
      </c>
    </row>
    <row r="287" spans="1:61" ht="18.399999999999999" customHeight="1" x14ac:dyDescent="0.15">
      <c r="A287" s="11" t="s">
        <v>628</v>
      </c>
      <c r="B287" s="2" t="s">
        <v>1024</v>
      </c>
      <c r="C287" s="2">
        <v>2</v>
      </c>
      <c r="D287" s="2" t="s">
        <v>1735</v>
      </c>
      <c r="E287" s="24">
        <f t="shared" ref="E287:E292" si="45">G287+I287+K287</f>
        <v>214222</v>
      </c>
      <c r="F287" s="24">
        <f t="shared" si="44"/>
        <v>428444</v>
      </c>
      <c r="G287" s="24">
        <v>0</v>
      </c>
      <c r="H287" s="24"/>
      <c r="I287" s="24">
        <f>노임!D5</f>
        <v>214222</v>
      </c>
      <c r="J287" s="24">
        <f>TRUNC(I287*C287,0)</f>
        <v>428444</v>
      </c>
      <c r="K287" s="24">
        <v>0</v>
      </c>
      <c r="L287" s="24"/>
      <c r="M287" s="18" t="s">
        <v>1850</v>
      </c>
      <c r="N287" t="s">
        <v>1850</v>
      </c>
      <c r="P287" t="s">
        <v>239</v>
      </c>
      <c r="Q287" t="s">
        <v>1217</v>
      </c>
      <c r="R287" t="s">
        <v>511</v>
      </c>
      <c r="BI287" s="29" t="str">
        <f>HYPERLINK("#노임!A5","L001010101000003 →")</f>
        <v>L001010101000003 →</v>
      </c>
    </row>
    <row r="288" spans="1:61" ht="18.399999999999999" customHeight="1" x14ac:dyDescent="0.15">
      <c r="A288" s="11" t="s">
        <v>597</v>
      </c>
      <c r="B288" s="2" t="s">
        <v>1024</v>
      </c>
      <c r="C288" s="2">
        <v>1</v>
      </c>
      <c r="D288" s="2" t="s">
        <v>1735</v>
      </c>
      <c r="E288" s="24">
        <f t="shared" si="45"/>
        <v>165545</v>
      </c>
      <c r="F288" s="24">
        <f t="shared" si="44"/>
        <v>165545</v>
      </c>
      <c r="G288" s="24">
        <v>0</v>
      </c>
      <c r="H288" s="24"/>
      <c r="I288" s="24">
        <f>노임!D4</f>
        <v>165545</v>
      </c>
      <c r="J288" s="24">
        <f>TRUNC(I288*C288,0)</f>
        <v>165545</v>
      </c>
      <c r="K288" s="24">
        <v>0</v>
      </c>
      <c r="L288" s="24"/>
      <c r="M288" s="18" t="s">
        <v>1850</v>
      </c>
      <c r="N288" t="s">
        <v>1850</v>
      </c>
      <c r="P288" t="s">
        <v>1619</v>
      </c>
      <c r="Q288" t="s">
        <v>1217</v>
      </c>
      <c r="R288" t="s">
        <v>1563</v>
      </c>
      <c r="BI288" s="29" t="str">
        <f>HYPERLINK("#노임!A4","L001010101000002 →")</f>
        <v>L001010101000002 →</v>
      </c>
    </row>
    <row r="289" spans="1:61" ht="18.399999999999999" customHeight="1" x14ac:dyDescent="0.15">
      <c r="A289" s="11" t="s">
        <v>885</v>
      </c>
      <c r="B289" s="2" t="s">
        <v>1850</v>
      </c>
      <c r="C289" s="2">
        <v>8</v>
      </c>
      <c r="D289" s="2" t="s">
        <v>1570</v>
      </c>
      <c r="E289" s="24">
        <f t="shared" si="45"/>
        <v>20000</v>
      </c>
      <c r="F289" s="24">
        <f t="shared" si="44"/>
        <v>160000</v>
      </c>
      <c r="G289" s="24">
        <f>중기사용료목록!E34</f>
        <v>0</v>
      </c>
      <c r="H289" s="24">
        <f>TRUNC(G289*C289,0)</f>
        <v>0</v>
      </c>
      <c r="I289" s="24">
        <f>중기사용료목록!F34</f>
        <v>0</v>
      </c>
      <c r="J289" s="24">
        <f>TRUNC(I289*C289,0)</f>
        <v>0</v>
      </c>
      <c r="K289" s="24">
        <f>중기사용료목록!G34</f>
        <v>20000</v>
      </c>
      <c r="L289" s="24">
        <f>TRUNC(K289*C289,0)</f>
        <v>160000</v>
      </c>
      <c r="M289" s="18" t="s">
        <v>1850</v>
      </c>
      <c r="N289" t="s">
        <v>1850</v>
      </c>
      <c r="P289" t="s">
        <v>1167</v>
      </c>
      <c r="Q289" t="s">
        <v>1217</v>
      </c>
      <c r="R289" t="s">
        <v>990</v>
      </c>
      <c r="BI289" s="29" t="str">
        <f>HYPERLINK("#중기사용료목록!A34","EDD00010100 →")</f>
        <v>EDD00010100 →</v>
      </c>
    </row>
    <row r="290" spans="1:61" ht="18.399999999999999" customHeight="1" x14ac:dyDescent="0.15">
      <c r="A290" s="11" t="s">
        <v>1412</v>
      </c>
      <c r="B290" s="2" t="s">
        <v>1850</v>
      </c>
      <c r="C290" s="2">
        <v>8</v>
      </c>
      <c r="D290" s="2" t="s">
        <v>1570</v>
      </c>
      <c r="E290" s="24">
        <f t="shared" si="45"/>
        <v>62874.69</v>
      </c>
      <c r="F290" s="24">
        <f t="shared" si="44"/>
        <v>502997</v>
      </c>
      <c r="G290" s="24">
        <f>중기사용료목록!E35</f>
        <v>7113.69</v>
      </c>
      <c r="H290" s="24">
        <f>TRUNC(G290*C290,0)</f>
        <v>56909</v>
      </c>
      <c r="I290" s="24">
        <f>중기사용료목록!F35</f>
        <v>47231</v>
      </c>
      <c r="J290" s="24">
        <f>TRUNC(I290*C290,0)</f>
        <v>377848</v>
      </c>
      <c r="K290" s="24">
        <f>중기사용료목록!G35</f>
        <v>8530</v>
      </c>
      <c r="L290" s="24">
        <f>TRUNC(K290*C290,0)</f>
        <v>68240</v>
      </c>
      <c r="M290" s="18" t="s">
        <v>1850</v>
      </c>
      <c r="N290" t="s">
        <v>1850</v>
      </c>
      <c r="P290" t="s">
        <v>715</v>
      </c>
      <c r="Q290" t="s">
        <v>1217</v>
      </c>
      <c r="R290" t="s">
        <v>623</v>
      </c>
      <c r="BI290" s="29" t="str">
        <f>HYPERLINK("#중기사용료목록!A35","EDD00020100 →")</f>
        <v>EDD00020100 →</v>
      </c>
    </row>
    <row r="291" spans="1:61" ht="18.399999999999999" customHeight="1" x14ac:dyDescent="0.15">
      <c r="A291" s="11" t="s">
        <v>1242</v>
      </c>
      <c r="B291" s="2" t="s">
        <v>111</v>
      </c>
      <c r="C291" s="2">
        <v>8</v>
      </c>
      <c r="D291" s="2" t="s">
        <v>1570</v>
      </c>
      <c r="E291" s="24">
        <f t="shared" si="45"/>
        <v>3405.71</v>
      </c>
      <c r="F291" s="24">
        <f t="shared" si="44"/>
        <v>27245</v>
      </c>
      <c r="G291" s="24">
        <f>중기사용료목록!E27</f>
        <v>2666.71</v>
      </c>
      <c r="H291" s="24">
        <f>TRUNC(G291*C291,0)</f>
        <v>21333</v>
      </c>
      <c r="I291" s="24">
        <f>중기사용료목록!F27</f>
        <v>0</v>
      </c>
      <c r="J291" s="24">
        <f>TRUNC(I291*C291,0)</f>
        <v>0</v>
      </c>
      <c r="K291" s="24">
        <f>중기사용료목록!G27</f>
        <v>739</v>
      </c>
      <c r="L291" s="24">
        <f>TRUNC(K291*C291,0)</f>
        <v>5912</v>
      </c>
      <c r="M291" s="18" t="s">
        <v>1850</v>
      </c>
      <c r="N291" t="s">
        <v>1850</v>
      </c>
      <c r="P291" t="s">
        <v>207</v>
      </c>
      <c r="Q291" t="s">
        <v>1217</v>
      </c>
      <c r="R291" t="s">
        <v>723</v>
      </c>
      <c r="AA291" s="33" t="s">
        <v>1396</v>
      </c>
      <c r="AB291" s="8">
        <f>ROUND((일위대가_호표!H287+일위대가_호표!H288+일위대가_호표!H289+일위대가_호표!H290+일위대가_호표!H291)*0.0019,2)</f>
        <v>148.66</v>
      </c>
      <c r="AC291" s="33" t="s">
        <v>1559</v>
      </c>
      <c r="AD291" s="7">
        <f>$AB291</f>
        <v>148.66</v>
      </c>
      <c r="AE291" s="33" t="s">
        <v>213</v>
      </c>
      <c r="AF291" s="8">
        <f>ROUND((일위대가_호표!J287+일위대가_호표!J288+일위대가_호표!J289+일위대가_호표!J290+일위대가_호표!J291)*0.0019,2)</f>
        <v>1846.49</v>
      </c>
      <c r="AG291" s="33" t="s">
        <v>762</v>
      </c>
      <c r="AH291" s="7">
        <f>$AF291</f>
        <v>1846.49</v>
      </c>
      <c r="AI291" s="33" t="s">
        <v>615</v>
      </c>
      <c r="AJ291" s="8">
        <f>ROUND((일위대가_호표!L287+일위대가_호표!L288+일위대가_호표!L289+일위대가_호표!L290+일위대가_호표!L291)*0.0019,2)</f>
        <v>444.89</v>
      </c>
      <c r="AK291" s="33" t="s">
        <v>1036</v>
      </c>
      <c r="AL291" s="7">
        <f>$AJ291</f>
        <v>444.89</v>
      </c>
      <c r="BI291" s="29" t="str">
        <f>HYPERLINK("#중기사용료목록!A27","E0000750500150000 →")</f>
        <v>E0000750500150000 →</v>
      </c>
    </row>
    <row r="292" spans="1:61" ht="18.399999999999999" customHeight="1" x14ac:dyDescent="0.15">
      <c r="A292" s="11" t="s">
        <v>358</v>
      </c>
      <c r="B292" s="2" t="s">
        <v>1170</v>
      </c>
      <c r="C292" s="2"/>
      <c r="D292" s="2" t="s">
        <v>1134</v>
      </c>
      <c r="E292" s="24">
        <f t="shared" si="45"/>
        <v>0</v>
      </c>
      <c r="F292" s="24">
        <f t="shared" si="44"/>
        <v>2438</v>
      </c>
      <c r="G292" s="1"/>
      <c r="H292" s="24">
        <f>TRUNC((ROUND((H287+H288+H289+H290+H291)*0.0019,2)),0)</f>
        <v>148</v>
      </c>
      <c r="I292" s="1"/>
      <c r="J292" s="24">
        <f>TRUNC((ROUND((J287+J288+J289+J290+J291)*0.0019,2)),0)</f>
        <v>1846</v>
      </c>
      <c r="K292" s="1"/>
      <c r="L292" s="24">
        <f>TRUNC((ROUND((L287+L288+L289+L290+L291)*0.0019,2)),0)</f>
        <v>444</v>
      </c>
      <c r="M292" s="18" t="s">
        <v>1850</v>
      </c>
      <c r="N292" t="s">
        <v>1850</v>
      </c>
      <c r="P292" t="s">
        <v>1598</v>
      </c>
      <c r="Q292" t="s">
        <v>1850</v>
      </c>
      <c r="R292" t="s">
        <v>1589</v>
      </c>
      <c r="X292" t="s">
        <v>1209</v>
      </c>
    </row>
    <row r="293" spans="1:61" ht="18.399999999999999" customHeight="1" x14ac:dyDescent="0.15">
      <c r="A293" s="4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46"/>
    </row>
    <row r="294" spans="1:61" ht="18.399999999999999" customHeight="1" x14ac:dyDescent="0.15">
      <c r="A294" s="11" t="s">
        <v>368</v>
      </c>
      <c r="B294" s="2" t="s">
        <v>1038</v>
      </c>
      <c r="C294" s="2">
        <v>1</v>
      </c>
      <c r="D294" s="2" t="s">
        <v>1134</v>
      </c>
      <c r="F294" s="24">
        <f t="shared" ref="F294:F300" si="46">H294+J294+L294</f>
        <v>554</v>
      </c>
      <c r="H294" s="24">
        <f>TRUNC(H300,0)</f>
        <v>8</v>
      </c>
      <c r="J294" s="24">
        <f>TRUNC(J300,0)</f>
        <v>518</v>
      </c>
      <c r="L294" s="24">
        <f>TRUNC(L300,0)</f>
        <v>28</v>
      </c>
      <c r="M294" s="18" t="s">
        <v>1850</v>
      </c>
      <c r="N294" t="s">
        <v>1850</v>
      </c>
      <c r="O294" t="s">
        <v>1061</v>
      </c>
    </row>
    <row r="295" spans="1:61" ht="18.399999999999999" customHeight="1" x14ac:dyDescent="0.15">
      <c r="A295" s="11" t="s">
        <v>801</v>
      </c>
      <c r="B295" s="2" t="s">
        <v>1277</v>
      </c>
      <c r="C295" s="2">
        <v>1</v>
      </c>
      <c r="D295" s="2" t="s">
        <v>1735</v>
      </c>
      <c r="E295" s="24">
        <f t="shared" ref="E295:E300" si="47">G295+I295+K295</f>
        <v>272915</v>
      </c>
      <c r="F295" s="24">
        <f t="shared" si="46"/>
        <v>272915</v>
      </c>
      <c r="G295" s="24">
        <v>0</v>
      </c>
      <c r="H295" s="24"/>
      <c r="I295" s="24">
        <f>노임!D13</f>
        <v>272915</v>
      </c>
      <c r="J295" s="24">
        <f>TRUNC(I295*C295,0)</f>
        <v>272915</v>
      </c>
      <c r="K295" s="24">
        <v>0</v>
      </c>
      <c r="L295" s="24"/>
      <c r="M295" s="18" t="s">
        <v>1850</v>
      </c>
      <c r="N295" t="s">
        <v>1850</v>
      </c>
      <c r="P295" t="s">
        <v>239</v>
      </c>
      <c r="Q295" t="s">
        <v>1217</v>
      </c>
      <c r="R295" t="s">
        <v>1435</v>
      </c>
      <c r="BI295" s="29" t="str">
        <f>HYPERLINK("#노임!A13","L001020701000028 →")</f>
        <v>L001020701000028 →</v>
      </c>
    </row>
    <row r="296" spans="1:61" ht="18.399999999999999" customHeight="1" x14ac:dyDescent="0.15">
      <c r="A296" s="11" t="s">
        <v>1343</v>
      </c>
      <c r="B296" s="2" t="s">
        <v>1428</v>
      </c>
      <c r="C296" s="2">
        <v>2</v>
      </c>
      <c r="D296" s="2" t="s">
        <v>1408</v>
      </c>
      <c r="E296" s="24">
        <f t="shared" si="47"/>
        <v>240.2</v>
      </c>
      <c r="F296" s="24">
        <f t="shared" si="46"/>
        <v>480</v>
      </c>
      <c r="G296" s="24">
        <f>자재!D4</f>
        <v>240.2</v>
      </c>
      <c r="H296" s="24">
        <f>TRUNC(G296*C296,0)</f>
        <v>480</v>
      </c>
      <c r="I296" s="24">
        <v>0</v>
      </c>
      <c r="J296" s="24"/>
      <c r="K296" s="24">
        <v>0</v>
      </c>
      <c r="L296" s="24"/>
      <c r="M296" s="18" t="s">
        <v>1850</v>
      </c>
      <c r="N296" t="s">
        <v>1850</v>
      </c>
      <c r="P296" t="s">
        <v>1619</v>
      </c>
      <c r="Q296" t="s">
        <v>1217</v>
      </c>
      <c r="R296" t="s">
        <v>1384</v>
      </c>
      <c r="BI296" s="29" t="str">
        <f>HYPERLINK("#자재!A4","MDD0004 →")</f>
        <v>MDD0004 →</v>
      </c>
    </row>
    <row r="297" spans="1:61" ht="18.399999999999999" customHeight="1" x14ac:dyDescent="0.15">
      <c r="A297" s="11" t="s">
        <v>1216</v>
      </c>
      <c r="B297" s="2" t="s">
        <v>1476</v>
      </c>
      <c r="C297" s="2">
        <v>10</v>
      </c>
      <c r="D297" s="2" t="s">
        <v>1408</v>
      </c>
      <c r="E297" s="24">
        <f t="shared" si="47"/>
        <v>370</v>
      </c>
      <c r="F297" s="24">
        <f t="shared" si="46"/>
        <v>3700</v>
      </c>
      <c r="G297" s="24">
        <f>자재!D37</f>
        <v>370</v>
      </c>
      <c r="H297" s="24">
        <f>TRUNC(G297*C297,0)</f>
        <v>3700</v>
      </c>
      <c r="I297" s="24">
        <v>0</v>
      </c>
      <c r="J297" s="24"/>
      <c r="K297" s="24">
        <v>0</v>
      </c>
      <c r="L297" s="24"/>
      <c r="M297" s="18" t="s">
        <v>1850</v>
      </c>
      <c r="N297" t="s">
        <v>1850</v>
      </c>
      <c r="P297" t="s">
        <v>1167</v>
      </c>
      <c r="Q297" t="s">
        <v>1217</v>
      </c>
      <c r="R297" t="s">
        <v>980</v>
      </c>
      <c r="BI297" s="29" t="str">
        <f>HYPERLINK("#자재!A37","MDD0601 →")</f>
        <v>MDD0601 →</v>
      </c>
    </row>
    <row r="298" spans="1:61" ht="18.399999999999999" customHeight="1" x14ac:dyDescent="0.15">
      <c r="A298" s="11" t="s">
        <v>1817</v>
      </c>
      <c r="B298" s="2" t="s">
        <v>1850</v>
      </c>
      <c r="C298" s="2">
        <v>6</v>
      </c>
      <c r="D298" s="2" t="s">
        <v>1407</v>
      </c>
      <c r="E298" s="24">
        <f t="shared" si="47"/>
        <v>2485</v>
      </c>
      <c r="F298" s="24">
        <f t="shared" si="46"/>
        <v>14910</v>
      </c>
      <c r="G298" s="24">
        <f>중기사용료목록!E47</f>
        <v>0</v>
      </c>
      <c r="H298" s="24">
        <f>TRUNC(G298*C298,0)</f>
        <v>0</v>
      </c>
      <c r="I298" s="24">
        <f>중기사용료목록!F47</f>
        <v>0</v>
      </c>
      <c r="J298" s="24">
        <f>TRUNC(I298*C298,0)</f>
        <v>0</v>
      </c>
      <c r="K298" s="24">
        <f>중기사용료목록!G47</f>
        <v>2485</v>
      </c>
      <c r="L298" s="24">
        <f>TRUNC(K298*C298,0)</f>
        <v>14910</v>
      </c>
      <c r="M298" s="18" t="s">
        <v>1850</v>
      </c>
      <c r="N298" t="s">
        <v>1850</v>
      </c>
      <c r="P298" t="s">
        <v>715</v>
      </c>
      <c r="Q298" t="s">
        <v>1217</v>
      </c>
      <c r="R298" t="s">
        <v>916</v>
      </c>
      <c r="AA298" s="33" t="s">
        <v>1396</v>
      </c>
      <c r="AB298" s="8">
        <f>(일위대가_호표!H295+일위대가_호표!H296+일위대가_호표!H297+일위대가_호표!H298)*0.05</f>
        <v>209</v>
      </c>
      <c r="AC298" s="33" t="s">
        <v>1559</v>
      </c>
      <c r="AD298" s="7">
        <f>$AB298</f>
        <v>209</v>
      </c>
      <c r="BI298" s="29" t="str">
        <f>HYPERLINK("#중기사용료목록!A47","EDD00180004 →")</f>
        <v>EDD00180004 →</v>
      </c>
    </row>
    <row r="299" spans="1:61" ht="18.399999999999999" customHeight="1" x14ac:dyDescent="0.15">
      <c r="A299" s="11" t="s">
        <v>225</v>
      </c>
      <c r="B299" s="2" t="s">
        <v>949</v>
      </c>
      <c r="C299" s="2">
        <v>1</v>
      </c>
      <c r="D299" s="2" t="s">
        <v>1529</v>
      </c>
      <c r="E299" s="24">
        <f t="shared" si="47"/>
        <v>0</v>
      </c>
      <c r="F299" s="24">
        <f t="shared" si="46"/>
        <v>209</v>
      </c>
      <c r="G299" s="1"/>
      <c r="H299" s="24">
        <f>TRUNC(((H295+H296+H297+H298)*0.05),0)</f>
        <v>209</v>
      </c>
      <c r="I299" s="1"/>
      <c r="J299" s="24">
        <v>0</v>
      </c>
      <c r="K299" s="1"/>
      <c r="L299" s="24">
        <v>0</v>
      </c>
      <c r="M299" s="18" t="s">
        <v>1850</v>
      </c>
      <c r="N299" t="s">
        <v>1850</v>
      </c>
      <c r="P299" t="s">
        <v>207</v>
      </c>
      <c r="Q299" t="s">
        <v>1217</v>
      </c>
      <c r="R299" t="s">
        <v>1589</v>
      </c>
      <c r="X299" t="s">
        <v>492</v>
      </c>
      <c r="AA299" s="33" t="s">
        <v>1396</v>
      </c>
      <c r="AB299" s="8">
        <f>ROUND((일위대가_호표!H295+일위대가_호표!H296+일위대가_호표!H297+일위대가_호표!H298+일위대가_호표!H299)*0.0019,2)</f>
        <v>8.34</v>
      </c>
      <c r="AC299" s="33" t="s">
        <v>1559</v>
      </c>
      <c r="AD299" s="7">
        <f>$AB299</f>
        <v>8.34</v>
      </c>
      <c r="AE299" s="33" t="s">
        <v>213</v>
      </c>
      <c r="AF299" s="8">
        <f>ROUND((일위대가_호표!J295+일위대가_호표!J296+일위대가_호표!J297+일위대가_호표!J298+일위대가_호표!J299)*0.0019,2)</f>
        <v>518.54</v>
      </c>
      <c r="AG299" s="33" t="s">
        <v>762</v>
      </c>
      <c r="AH299" s="7">
        <f>$AF299</f>
        <v>518.54</v>
      </c>
      <c r="AI299" s="33" t="s">
        <v>615</v>
      </c>
      <c r="AJ299" s="8">
        <f>ROUND((일위대가_호표!L295+일위대가_호표!L296+일위대가_호표!L297+일위대가_호표!L298+일위대가_호표!L299)*0.0019,2)</f>
        <v>28.33</v>
      </c>
      <c r="AK299" s="33" t="s">
        <v>1036</v>
      </c>
      <c r="AL299" s="7">
        <f>$AJ299</f>
        <v>28.33</v>
      </c>
    </row>
    <row r="300" spans="1:61" ht="18.399999999999999" customHeight="1" x14ac:dyDescent="0.15">
      <c r="A300" s="11" t="s">
        <v>1411</v>
      </c>
      <c r="B300" s="2" t="s">
        <v>1170</v>
      </c>
      <c r="C300" s="2">
        <v>1</v>
      </c>
      <c r="D300" s="2" t="s">
        <v>1134</v>
      </c>
      <c r="E300" s="24">
        <f t="shared" si="47"/>
        <v>0</v>
      </c>
      <c r="F300" s="24">
        <f t="shared" si="46"/>
        <v>554</v>
      </c>
      <c r="G300" s="1"/>
      <c r="H300" s="24">
        <f>TRUNC((ROUND((H295+H296+H297+H298+H299)*0.0019,2)),0)</f>
        <v>8</v>
      </c>
      <c r="I300" s="1"/>
      <c r="J300" s="24">
        <f>TRUNC((ROUND((J295+J296+J297+J298+J299)*0.0019,2)),0)</f>
        <v>518</v>
      </c>
      <c r="K300" s="1"/>
      <c r="L300" s="24">
        <f>TRUNC((ROUND((L295+L296+L297+L298+L299)*0.0019,2)),0)</f>
        <v>28</v>
      </c>
      <c r="M300" s="18" t="s">
        <v>1850</v>
      </c>
      <c r="N300" t="s">
        <v>1850</v>
      </c>
      <c r="P300" t="s">
        <v>1598</v>
      </c>
      <c r="Q300" t="s">
        <v>1850</v>
      </c>
      <c r="R300" t="s">
        <v>1589</v>
      </c>
      <c r="X300" t="s">
        <v>1209</v>
      </c>
    </row>
    <row r="301" spans="1:61" ht="18.399999999999999" customHeight="1" x14ac:dyDescent="0.15">
      <c r="A301" s="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46"/>
    </row>
    <row r="302" spans="1:61" ht="18.399999999999999" customHeight="1" x14ac:dyDescent="0.15">
      <c r="A302" s="11" t="s">
        <v>1833</v>
      </c>
      <c r="B302" s="2" t="s">
        <v>576</v>
      </c>
      <c r="C302" s="2">
        <v>1</v>
      </c>
      <c r="D302" s="2" t="s">
        <v>1705</v>
      </c>
      <c r="F302" s="24">
        <f t="shared" ref="F302:F309" si="48">H302+J302+L302</f>
        <v>12300</v>
      </c>
      <c r="H302" s="24">
        <f>TRUNC(H309,0)</f>
        <v>0</v>
      </c>
      <c r="J302" s="24">
        <f>TRUNC(J309,0)</f>
        <v>0</v>
      </c>
      <c r="L302" s="24">
        <f>TRUNC(L309,0)</f>
        <v>12300</v>
      </c>
      <c r="M302" s="18" t="s">
        <v>1410</v>
      </c>
      <c r="N302" t="s">
        <v>1850</v>
      </c>
      <c r="O302" t="s">
        <v>1092</v>
      </c>
    </row>
    <row r="303" spans="1:61" ht="18.399999999999999" customHeight="1" x14ac:dyDescent="0.15">
      <c r="A303" s="11" t="s">
        <v>1838</v>
      </c>
      <c r="B303" s="2" t="s">
        <v>1191</v>
      </c>
      <c r="C303" s="2">
        <v>30</v>
      </c>
      <c r="D303" s="2" t="s">
        <v>1186</v>
      </c>
      <c r="E303" s="24">
        <f t="shared" ref="E303:E309" si="49">G303+I303+K303</f>
        <v>9000</v>
      </c>
      <c r="F303" s="24">
        <f t="shared" si="48"/>
        <v>270000</v>
      </c>
      <c r="G303" s="24">
        <f>자재!D20</f>
        <v>9000</v>
      </c>
      <c r="H303" s="24">
        <f>TRUNC(G303*C303,0)</f>
        <v>270000</v>
      </c>
      <c r="I303" s="24">
        <v>0</v>
      </c>
      <c r="J303" s="24"/>
      <c r="K303" s="24">
        <v>0</v>
      </c>
      <c r="L303" s="24"/>
      <c r="M303" s="18" t="s">
        <v>1850</v>
      </c>
      <c r="N303" t="s">
        <v>1850</v>
      </c>
      <c r="P303" t="s">
        <v>239</v>
      </c>
      <c r="Q303" t="s">
        <v>1217</v>
      </c>
      <c r="R303" t="s">
        <v>688</v>
      </c>
      <c r="BI303" s="29" t="str">
        <f>HYPERLINK("#자재!A20","MDD0155 →")</f>
        <v>MDD0155 →</v>
      </c>
    </row>
    <row r="304" spans="1:61" ht="18.399999999999999" customHeight="1" x14ac:dyDescent="0.15">
      <c r="A304" s="11" t="s">
        <v>747</v>
      </c>
      <c r="B304" s="2" t="s">
        <v>289</v>
      </c>
      <c r="C304" s="2">
        <v>5</v>
      </c>
      <c r="D304" s="2" t="s">
        <v>880</v>
      </c>
      <c r="E304" s="24">
        <f t="shared" si="49"/>
        <v>95000</v>
      </c>
      <c r="F304" s="24">
        <f t="shared" si="48"/>
        <v>475000</v>
      </c>
      <c r="G304" s="24">
        <f>자재!D21</f>
        <v>95000</v>
      </c>
      <c r="H304" s="24">
        <f>TRUNC(G304*C304,0)</f>
        <v>475000</v>
      </c>
      <c r="I304" s="24">
        <v>0</v>
      </c>
      <c r="J304" s="24"/>
      <c r="K304" s="24">
        <v>0</v>
      </c>
      <c r="L304" s="24"/>
      <c r="M304" s="18" t="s">
        <v>1850</v>
      </c>
      <c r="N304" t="s">
        <v>1850</v>
      </c>
      <c r="P304" t="s">
        <v>1619</v>
      </c>
      <c r="Q304" t="s">
        <v>1217</v>
      </c>
      <c r="R304" t="s">
        <v>1662</v>
      </c>
      <c r="BI304" s="29" t="str">
        <f>HYPERLINK("#자재!A21","MDD0156 →")</f>
        <v>MDD0156 →</v>
      </c>
    </row>
    <row r="305" spans="1:61" ht="18.399999999999999" customHeight="1" x14ac:dyDescent="0.15">
      <c r="A305" s="11" t="s">
        <v>821</v>
      </c>
      <c r="B305" s="2" t="s">
        <v>598</v>
      </c>
      <c r="C305" s="2">
        <v>1</v>
      </c>
      <c r="D305" s="2" t="s">
        <v>880</v>
      </c>
      <c r="E305" s="24">
        <f t="shared" si="49"/>
        <v>47000</v>
      </c>
      <c r="F305" s="24">
        <f t="shared" si="48"/>
        <v>47000</v>
      </c>
      <c r="G305" s="24">
        <f>자재!D22</f>
        <v>47000</v>
      </c>
      <c r="H305" s="24">
        <f>TRUNC(G305*C305,0)</f>
        <v>47000</v>
      </c>
      <c r="I305" s="24">
        <v>0</v>
      </c>
      <c r="J305" s="24"/>
      <c r="K305" s="24">
        <v>0</v>
      </c>
      <c r="L305" s="24"/>
      <c r="M305" s="18" t="s">
        <v>1850</v>
      </c>
      <c r="N305" t="s">
        <v>1850</v>
      </c>
      <c r="P305" t="s">
        <v>1167</v>
      </c>
      <c r="Q305" t="s">
        <v>1217</v>
      </c>
      <c r="R305" t="s">
        <v>876</v>
      </c>
      <c r="BI305" s="29" t="str">
        <f>HYPERLINK("#자재!A22","MDD0157 →")</f>
        <v>MDD0157 →</v>
      </c>
    </row>
    <row r="306" spans="1:61" ht="18.399999999999999" customHeight="1" x14ac:dyDescent="0.15">
      <c r="A306" s="11" t="s">
        <v>416</v>
      </c>
      <c r="B306" s="2" t="s">
        <v>1383</v>
      </c>
      <c r="C306" s="2">
        <v>1</v>
      </c>
      <c r="D306" s="2" t="s">
        <v>880</v>
      </c>
      <c r="E306" s="24">
        <f t="shared" si="49"/>
        <v>150000</v>
      </c>
      <c r="F306" s="24">
        <f t="shared" si="48"/>
        <v>150000</v>
      </c>
      <c r="G306" s="24">
        <f>자재!D24</f>
        <v>150000</v>
      </c>
      <c r="H306" s="24">
        <f>TRUNC(G306*C306,0)</f>
        <v>150000</v>
      </c>
      <c r="I306" s="24">
        <v>0</v>
      </c>
      <c r="J306" s="24"/>
      <c r="K306" s="24">
        <v>0</v>
      </c>
      <c r="L306" s="24"/>
      <c r="M306" s="18" t="s">
        <v>1850</v>
      </c>
      <c r="N306" t="s">
        <v>1850</v>
      </c>
      <c r="P306" t="s">
        <v>715</v>
      </c>
      <c r="Q306" t="s">
        <v>1217</v>
      </c>
      <c r="R306" t="s">
        <v>870</v>
      </c>
      <c r="BI306" s="29" t="str">
        <f>HYPERLINK("#자재!A24","MDD0159 →")</f>
        <v>MDD0159 →</v>
      </c>
    </row>
    <row r="307" spans="1:61" ht="18.399999999999999" customHeight="1" x14ac:dyDescent="0.15">
      <c r="A307" s="11" t="s">
        <v>219</v>
      </c>
      <c r="B307" s="2" t="s">
        <v>67</v>
      </c>
      <c r="C307" s="2">
        <v>3</v>
      </c>
      <c r="D307" s="2" t="s">
        <v>880</v>
      </c>
      <c r="E307" s="24">
        <f t="shared" si="49"/>
        <v>96000</v>
      </c>
      <c r="F307" s="24">
        <f t="shared" si="48"/>
        <v>288000</v>
      </c>
      <c r="G307" s="24">
        <f>자재!D23</f>
        <v>96000</v>
      </c>
      <c r="H307" s="24">
        <f>TRUNC(G307*C307,0)</f>
        <v>288000</v>
      </c>
      <c r="I307" s="24">
        <v>0</v>
      </c>
      <c r="J307" s="24"/>
      <c r="K307" s="24">
        <v>0</v>
      </c>
      <c r="L307" s="24"/>
      <c r="M307" s="18" t="s">
        <v>1850</v>
      </c>
      <c r="N307" t="s">
        <v>1850</v>
      </c>
      <c r="P307" t="s">
        <v>207</v>
      </c>
      <c r="Q307" t="s">
        <v>1217</v>
      </c>
      <c r="R307" t="s">
        <v>1680</v>
      </c>
      <c r="AA307" s="33" t="s">
        <v>1396</v>
      </c>
      <c r="AB307" s="8">
        <f>ROUND((일위대가_호표!H303+일위대가_호표!H304+일위대가_호표!H305+일위대가_호표!H306+일위대가_호표!H307),2)</f>
        <v>1230000</v>
      </c>
      <c r="AC307" s="33" t="s">
        <v>1559</v>
      </c>
      <c r="AD307" s="7">
        <f>$AB307</f>
        <v>1230000</v>
      </c>
      <c r="AE307" s="33" t="s">
        <v>213</v>
      </c>
      <c r="AF307" s="8">
        <f>ROUND((일위대가_호표!J303+일위대가_호표!J304+일위대가_호표!J305+일위대가_호표!J306+일위대가_호표!J307),2)</f>
        <v>0</v>
      </c>
      <c r="AG307" s="33" t="s">
        <v>762</v>
      </c>
      <c r="AH307" s="7">
        <f>$AF307</f>
        <v>0</v>
      </c>
      <c r="AI307" s="33" t="s">
        <v>615</v>
      </c>
      <c r="AJ307" s="8">
        <f>ROUND((일위대가_호표!L303+일위대가_호표!L304+일위대가_호표!L305+일위대가_호표!L306+일위대가_호표!L307),2)</f>
        <v>0</v>
      </c>
      <c r="AK307" s="33" t="s">
        <v>1036</v>
      </c>
      <c r="AL307" s="7">
        <f>$AJ307</f>
        <v>0</v>
      </c>
      <c r="BI307" s="29" t="str">
        <f>HYPERLINK("#자재!A23","MDD0158 →")</f>
        <v>MDD0158 →</v>
      </c>
    </row>
    <row r="308" spans="1:61" ht="18.399999999999999" customHeight="1" x14ac:dyDescent="0.15">
      <c r="A308" s="11" t="s">
        <v>1215</v>
      </c>
      <c r="B308" s="2" t="s">
        <v>1850</v>
      </c>
      <c r="C308" s="2">
        <v>1</v>
      </c>
      <c r="D308" s="2" t="s">
        <v>1529</v>
      </c>
      <c r="E308" s="24">
        <f t="shared" si="49"/>
        <v>0</v>
      </c>
      <c r="F308" s="24">
        <f t="shared" si="48"/>
        <v>1230000</v>
      </c>
      <c r="G308" s="1"/>
      <c r="H308" s="24">
        <f>TRUNC((ROUND((H303+H304+H305+H306+H307),2)),0)</f>
        <v>1230000</v>
      </c>
      <c r="I308" s="1"/>
      <c r="J308" s="24">
        <f>TRUNC((ROUND((J303+J304+J305+J306+J307),2)),0)</f>
        <v>0</v>
      </c>
      <c r="K308" s="1"/>
      <c r="L308" s="24">
        <f>TRUNC((ROUND((L303+L304+L305+L306+L307),2)),0)</f>
        <v>0</v>
      </c>
      <c r="M308" s="18" t="s">
        <v>1850</v>
      </c>
      <c r="N308" t="s">
        <v>1850</v>
      </c>
      <c r="P308" t="s">
        <v>1598</v>
      </c>
      <c r="Q308" t="s">
        <v>1217</v>
      </c>
      <c r="R308" t="s">
        <v>1589</v>
      </c>
      <c r="X308" t="s">
        <v>906</v>
      </c>
      <c r="AA308" s="33" t="s">
        <v>615</v>
      </c>
      <c r="AB308" s="8">
        <f>(일위대가_호표!H308+일위대가_호표!J308+일위대가_호표!L308)*0.01</f>
        <v>12300</v>
      </c>
      <c r="AC308" s="33" t="s">
        <v>1036</v>
      </c>
      <c r="AD308" s="7">
        <f>$AB308</f>
        <v>12300</v>
      </c>
    </row>
    <row r="309" spans="1:61" ht="18.399999999999999" customHeight="1" x14ac:dyDescent="0.15">
      <c r="A309" s="11" t="s">
        <v>1350</v>
      </c>
      <c r="B309" s="2" t="s">
        <v>15</v>
      </c>
      <c r="C309" s="2">
        <v>1</v>
      </c>
      <c r="D309" s="2" t="s">
        <v>1705</v>
      </c>
      <c r="E309" s="24">
        <f t="shared" si="49"/>
        <v>0</v>
      </c>
      <c r="F309" s="24">
        <f t="shared" si="48"/>
        <v>12300</v>
      </c>
      <c r="G309" s="1"/>
      <c r="H309" s="24">
        <v>0</v>
      </c>
      <c r="I309" s="1"/>
      <c r="J309" s="24">
        <v>0</v>
      </c>
      <c r="K309" s="1"/>
      <c r="L309" s="24">
        <f>TRUNC(((H308+J308+L308)*0.01),0)</f>
        <v>12300</v>
      </c>
      <c r="M309" s="18" t="s">
        <v>1850</v>
      </c>
      <c r="N309" t="s">
        <v>1850</v>
      </c>
      <c r="P309" t="s">
        <v>1137</v>
      </c>
      <c r="Q309" t="s">
        <v>1850</v>
      </c>
      <c r="R309" t="s">
        <v>1589</v>
      </c>
      <c r="X309" t="s">
        <v>594</v>
      </c>
    </row>
    <row r="310" spans="1:61" ht="18.399999999999999" customHeight="1" x14ac:dyDescent="0.1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6"/>
    </row>
    <row r="311" spans="1:61" ht="18.399999999999999" customHeight="1" x14ac:dyDescent="0.15">
      <c r="A311" s="11" t="s">
        <v>390</v>
      </c>
      <c r="B311" s="2" t="s">
        <v>713</v>
      </c>
      <c r="C311" s="2">
        <v>1</v>
      </c>
      <c r="D311" s="2" t="s">
        <v>1201</v>
      </c>
      <c r="F311" s="24">
        <f>H311+J311+L311</f>
        <v>5105</v>
      </c>
      <c r="H311" s="24">
        <f>TRUNC(H315,0)</f>
        <v>2</v>
      </c>
      <c r="J311" s="24">
        <f>TRUNC(J315,0)</f>
        <v>4861</v>
      </c>
      <c r="L311" s="24">
        <f>TRUNC(L315,0)</f>
        <v>242</v>
      </c>
      <c r="M311" s="18" t="s">
        <v>1783</v>
      </c>
      <c r="N311" t="s">
        <v>1850</v>
      </c>
      <c r="O311" t="s">
        <v>1320</v>
      </c>
    </row>
    <row r="312" spans="1:61" ht="18.399999999999999" customHeight="1" x14ac:dyDescent="0.15">
      <c r="A312" s="11" t="s">
        <v>394</v>
      </c>
      <c r="B312" s="2" t="s">
        <v>977</v>
      </c>
      <c r="C312" s="2">
        <v>1.4999999999999999E-2</v>
      </c>
      <c r="D312" s="2" t="s">
        <v>1735</v>
      </c>
      <c r="E312" s="24">
        <f>G312+I312+K312</f>
        <v>243126</v>
      </c>
      <c r="F312" s="24">
        <f>H312+J312+L312</f>
        <v>3646</v>
      </c>
      <c r="G312" s="24">
        <v>0</v>
      </c>
      <c r="H312" s="24"/>
      <c r="I312" s="24">
        <f>노임!D8</f>
        <v>243126</v>
      </c>
      <c r="J312" s="24">
        <f>TRUNC(I312*C312,0)</f>
        <v>3646</v>
      </c>
      <c r="K312" s="24">
        <v>0</v>
      </c>
      <c r="L312" s="24"/>
      <c r="M312" s="18" t="s">
        <v>1850</v>
      </c>
      <c r="N312" t="s">
        <v>1850</v>
      </c>
      <c r="P312" t="s">
        <v>239</v>
      </c>
      <c r="Q312" t="s">
        <v>1217</v>
      </c>
      <c r="R312" t="s">
        <v>373</v>
      </c>
      <c r="BI312" s="29" t="str">
        <f>HYPERLINK("#노임!A8","L001010101000011 →")</f>
        <v>L001010101000011 →</v>
      </c>
    </row>
    <row r="313" spans="1:61" ht="18.399999999999999" customHeight="1" x14ac:dyDescent="0.15">
      <c r="A313" s="11" t="s">
        <v>345</v>
      </c>
      <c r="B313" s="2" t="s">
        <v>1075</v>
      </c>
      <c r="C313" s="2">
        <v>5.0000000000000001E-4</v>
      </c>
      <c r="D313" s="2" t="s">
        <v>1507</v>
      </c>
      <c r="E313" s="24">
        <f>G313+I313+K313</f>
        <v>4145</v>
      </c>
      <c r="F313" s="24">
        <f>H313+J313+L313</f>
        <v>2</v>
      </c>
      <c r="G313" s="24">
        <f>자재!D10</f>
        <v>4145</v>
      </c>
      <c r="H313" s="24">
        <f>TRUNC(G313*C313,0)</f>
        <v>2</v>
      </c>
      <c r="I313" s="24">
        <v>0</v>
      </c>
      <c r="J313" s="24"/>
      <c r="K313" s="24">
        <v>0</v>
      </c>
      <c r="L313" s="24"/>
      <c r="M313" s="18" t="s">
        <v>1850</v>
      </c>
      <c r="N313" t="s">
        <v>1850</v>
      </c>
      <c r="P313" t="s">
        <v>1619</v>
      </c>
      <c r="Q313" t="s">
        <v>1217</v>
      </c>
      <c r="R313" t="s">
        <v>923</v>
      </c>
      <c r="AA313" s="33" t="s">
        <v>615</v>
      </c>
      <c r="AB313" s="8">
        <f>일위대가_호표!J312*0.05</f>
        <v>182.3</v>
      </c>
      <c r="AC313" s="33" t="s">
        <v>1036</v>
      </c>
      <c r="AD313" s="7">
        <f>$AB313</f>
        <v>182.3</v>
      </c>
      <c r="BI313" s="29" t="str">
        <f>HYPERLINK("#자재!A10","MDD0091 →")</f>
        <v>MDD0091 →</v>
      </c>
    </row>
    <row r="314" spans="1:61" ht="18.399999999999999" customHeight="1" x14ac:dyDescent="0.15">
      <c r="A314" s="11" t="s">
        <v>69</v>
      </c>
      <c r="B314" s="2" t="s">
        <v>559</v>
      </c>
      <c r="C314" s="2">
        <v>1</v>
      </c>
      <c r="D314" s="2" t="s">
        <v>1529</v>
      </c>
      <c r="E314" s="24">
        <f>G314+I314+K314</f>
        <v>0</v>
      </c>
      <c r="F314" s="24">
        <f>H314+J314+L314</f>
        <v>182</v>
      </c>
      <c r="G314" s="1"/>
      <c r="H314" s="24">
        <v>0</v>
      </c>
      <c r="I314" s="1"/>
      <c r="J314" s="24">
        <v>0</v>
      </c>
      <c r="K314" s="1"/>
      <c r="L314" s="24">
        <f>TRUNC((J312*0.05),0)</f>
        <v>182</v>
      </c>
      <c r="M314" s="18" t="s">
        <v>1850</v>
      </c>
      <c r="N314" t="s">
        <v>1850</v>
      </c>
      <c r="P314" t="s">
        <v>1167</v>
      </c>
      <c r="Q314" t="s">
        <v>1217</v>
      </c>
      <c r="R314" t="s">
        <v>1589</v>
      </c>
      <c r="X314" t="s">
        <v>1726</v>
      </c>
      <c r="AA314" s="33" t="s">
        <v>1396</v>
      </c>
      <c r="AB314" s="8">
        <f>ROUND((일위대가_호표!H312+일위대가_호표!H313+일위대가_호표!H314)*1.3333,2)</f>
        <v>2.67</v>
      </c>
      <c r="AC314" s="33" t="s">
        <v>1559</v>
      </c>
      <c r="AD314" s="7">
        <f>$AB314</f>
        <v>2.67</v>
      </c>
      <c r="AE314" s="33" t="s">
        <v>213</v>
      </c>
      <c r="AF314" s="8">
        <f>ROUND((일위대가_호표!J312+일위대가_호표!J313+일위대가_호표!J314)*1.3333,2)</f>
        <v>4861.21</v>
      </c>
      <c r="AG314" s="33" t="s">
        <v>762</v>
      </c>
      <c r="AH314" s="7">
        <f>$AF314</f>
        <v>4861.21</v>
      </c>
      <c r="AI314" s="33" t="s">
        <v>615</v>
      </c>
      <c r="AJ314" s="8">
        <f>ROUND((일위대가_호표!L312+일위대가_호표!L313+일위대가_호표!L314)*1.3333,2)</f>
        <v>242.66</v>
      </c>
      <c r="AK314" s="33" t="s">
        <v>1036</v>
      </c>
      <c r="AL314" s="7">
        <f>$AJ314</f>
        <v>242.66</v>
      </c>
    </row>
    <row r="315" spans="1:61" ht="18.399999999999999" customHeight="1" x14ac:dyDescent="0.15">
      <c r="A315" s="11" t="s">
        <v>430</v>
      </c>
      <c r="B315" s="2" t="s">
        <v>976</v>
      </c>
      <c r="C315" s="2">
        <v>1</v>
      </c>
      <c r="D315" s="2" t="s">
        <v>1201</v>
      </c>
      <c r="E315" s="24">
        <f>G315+I315+K315</f>
        <v>0</v>
      </c>
      <c r="F315" s="24">
        <f>H315+J315+L315</f>
        <v>5105</v>
      </c>
      <c r="G315" s="1"/>
      <c r="H315" s="24">
        <f>TRUNC((ROUND((H312+H313+H314)*1.3333,2)),0)</f>
        <v>2</v>
      </c>
      <c r="I315" s="1"/>
      <c r="J315" s="24">
        <f>TRUNC((ROUND((J312+J313+J314)*1.3333,2)),0)</f>
        <v>4861</v>
      </c>
      <c r="K315" s="1"/>
      <c r="L315" s="24">
        <f>TRUNC((ROUND((L312+L313+L314)*1.3333,2)),0)</f>
        <v>242</v>
      </c>
      <c r="M315" s="18" t="s">
        <v>1850</v>
      </c>
      <c r="N315" t="s">
        <v>1850</v>
      </c>
      <c r="P315" t="s">
        <v>715</v>
      </c>
      <c r="Q315" t="s">
        <v>1850</v>
      </c>
      <c r="R315" t="s">
        <v>1589</v>
      </c>
      <c r="X315" t="s">
        <v>546</v>
      </c>
    </row>
    <row r="316" spans="1:61" ht="18.399999999999999" customHeight="1" x14ac:dyDescent="0.15">
      <c r="A316" s="4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46"/>
    </row>
    <row r="317" spans="1:61" ht="18.399999999999999" customHeight="1" x14ac:dyDescent="0.15">
      <c r="A317" s="11" t="s">
        <v>1709</v>
      </c>
      <c r="B317" s="2" t="s">
        <v>1312</v>
      </c>
      <c r="C317" s="2">
        <v>1</v>
      </c>
      <c r="D317" s="2" t="s">
        <v>1201</v>
      </c>
      <c r="F317" s="24">
        <f>H317+J317+L317</f>
        <v>4241</v>
      </c>
      <c r="H317" s="24">
        <f>TRUNC(H318+H319,0)</f>
        <v>0</v>
      </c>
      <c r="J317" s="24">
        <f>TRUNC(J318+J319,0)</f>
        <v>4241</v>
      </c>
      <c r="L317" s="24">
        <f>TRUNC(L318+L319,0)</f>
        <v>0</v>
      </c>
      <c r="M317" s="18" t="s">
        <v>1850</v>
      </c>
      <c r="N317" t="s">
        <v>1850</v>
      </c>
      <c r="O317" t="s">
        <v>1618</v>
      </c>
    </row>
    <row r="318" spans="1:61" ht="18.399999999999999" customHeight="1" x14ac:dyDescent="0.15">
      <c r="A318" s="11" t="s">
        <v>212</v>
      </c>
      <c r="B318" s="2" t="s">
        <v>1312</v>
      </c>
      <c r="C318" s="2">
        <v>1</v>
      </c>
      <c r="D318" s="2" t="s">
        <v>1201</v>
      </c>
      <c r="E318" s="24">
        <f>G318+I318+K318</f>
        <v>3579</v>
      </c>
      <c r="F318" s="24">
        <f>H318+J318+L318</f>
        <v>3579</v>
      </c>
      <c r="G318" s="24">
        <f>일위대가목록!F68</f>
        <v>0</v>
      </c>
      <c r="H318" s="24">
        <f>TRUNC(G318*C318,0)</f>
        <v>0</v>
      </c>
      <c r="I318" s="24">
        <f>일위대가목록!G68</f>
        <v>3579</v>
      </c>
      <c r="J318" s="24">
        <f>TRUNC(I318*C318,0)</f>
        <v>3579</v>
      </c>
      <c r="K318" s="24">
        <f>일위대가목록!H68</f>
        <v>0</v>
      </c>
      <c r="L318" s="24">
        <f>TRUNC(K318*C318,0)</f>
        <v>0</v>
      </c>
      <c r="M318" s="18" t="s">
        <v>1410</v>
      </c>
      <c r="N318" t="s">
        <v>1850</v>
      </c>
      <c r="P318" t="s">
        <v>239</v>
      </c>
      <c r="Q318" t="s">
        <v>1850</v>
      </c>
      <c r="R318" t="s">
        <v>1293</v>
      </c>
      <c r="T318" t="s">
        <v>1190</v>
      </c>
      <c r="BI318" s="29" t="str">
        <f>HYPERLINK("#일위대가목록!A68","HDD1569 →")</f>
        <v>HDD1569 →</v>
      </c>
    </row>
    <row r="319" spans="1:61" ht="18.399999999999999" customHeight="1" x14ac:dyDescent="0.15">
      <c r="A319" s="11" t="s">
        <v>1708</v>
      </c>
      <c r="B319" s="2" t="s">
        <v>1312</v>
      </c>
      <c r="C319" s="2">
        <v>1</v>
      </c>
      <c r="D319" s="2" t="s">
        <v>1201</v>
      </c>
      <c r="E319" s="24">
        <f>G319+I319+K319</f>
        <v>662</v>
      </c>
      <c r="F319" s="24">
        <f>H319+J319+L319</f>
        <v>662</v>
      </c>
      <c r="G319" s="24">
        <f>일위대가목록!F69</f>
        <v>0</v>
      </c>
      <c r="H319" s="24">
        <f>TRUNC(G319*C319,0)</f>
        <v>0</v>
      </c>
      <c r="I319" s="24">
        <f>일위대가목록!G69</f>
        <v>662</v>
      </c>
      <c r="J319" s="24">
        <f>TRUNC(I319*C319,0)</f>
        <v>662</v>
      </c>
      <c r="K319" s="24">
        <f>일위대가목록!H69</f>
        <v>0</v>
      </c>
      <c r="L319" s="24">
        <f>TRUNC(K319*C319,0)</f>
        <v>0</v>
      </c>
      <c r="M319" s="18" t="s">
        <v>1410</v>
      </c>
      <c r="N319" t="s">
        <v>1850</v>
      </c>
      <c r="P319" t="s">
        <v>1619</v>
      </c>
      <c r="Q319" t="s">
        <v>1850</v>
      </c>
      <c r="R319" t="s">
        <v>566</v>
      </c>
      <c r="T319" t="s">
        <v>1190</v>
      </c>
      <c r="BI319" s="29" t="str">
        <f>HYPERLINK("#일위대가목록!A69","HDD1570 →")</f>
        <v>HDD1570 →</v>
      </c>
    </row>
    <row r="320" spans="1:61" ht="18.399999999999999" customHeight="1" x14ac:dyDescent="0.15">
      <c r="A320" s="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46"/>
    </row>
    <row r="321" spans="1:61" ht="18.399999999999999" customHeight="1" x14ac:dyDescent="0.15">
      <c r="A321" s="11" t="s">
        <v>53</v>
      </c>
      <c r="B321" s="2" t="s">
        <v>1032</v>
      </c>
      <c r="C321" s="2">
        <v>1</v>
      </c>
      <c r="D321" s="2" t="s">
        <v>1134</v>
      </c>
      <c r="F321" s="24">
        <f t="shared" ref="F321:F326" si="50">H321+J321+L321</f>
        <v>3553</v>
      </c>
      <c r="H321" s="24">
        <f>TRUNC(H322+H323+H324+H325+H326,0)</f>
        <v>830</v>
      </c>
      <c r="J321" s="24">
        <f>TRUNC(J322+J323+J324+J325+J326,0)</f>
        <v>2644</v>
      </c>
      <c r="L321" s="24">
        <f>TRUNC(L322+L323+L324+L325+L326,0)</f>
        <v>79</v>
      </c>
      <c r="M321" s="18" t="s">
        <v>1713</v>
      </c>
      <c r="N321" t="s">
        <v>1850</v>
      </c>
      <c r="O321" t="s">
        <v>1000</v>
      </c>
    </row>
    <row r="322" spans="1:61" ht="18.399999999999999" customHeight="1" x14ac:dyDescent="0.15">
      <c r="A322" s="11" t="s">
        <v>1035</v>
      </c>
      <c r="B322" s="2" t="s">
        <v>1024</v>
      </c>
      <c r="C322" s="2">
        <v>7.1000000000000004E-3</v>
      </c>
      <c r="D322" s="2" t="s">
        <v>1735</v>
      </c>
      <c r="E322" s="24">
        <f>G322+I322+K322</f>
        <v>267021</v>
      </c>
      <c r="F322" s="24">
        <f t="shared" si="50"/>
        <v>1895</v>
      </c>
      <c r="G322" s="24">
        <v>0</v>
      </c>
      <c r="H322" s="24"/>
      <c r="I322" s="24">
        <f>노임!D9</f>
        <v>267021</v>
      </c>
      <c r="J322" s="24">
        <f>TRUNC(I322*C322,0)</f>
        <v>1895</v>
      </c>
      <c r="K322" s="24">
        <v>0</v>
      </c>
      <c r="L322" s="24"/>
      <c r="M322" s="18" t="s">
        <v>1850</v>
      </c>
      <c r="N322" t="s">
        <v>1850</v>
      </c>
      <c r="P322" t="s">
        <v>239</v>
      </c>
      <c r="Q322" t="s">
        <v>1850</v>
      </c>
      <c r="R322" t="s">
        <v>1123</v>
      </c>
      <c r="BI322" s="29" t="str">
        <f>HYPERLINK("#노임!A9","L001010101000012 →")</f>
        <v>L001010101000012 →</v>
      </c>
    </row>
    <row r="323" spans="1:61" ht="18.399999999999999" customHeight="1" x14ac:dyDescent="0.15">
      <c r="A323" s="11" t="s">
        <v>628</v>
      </c>
      <c r="B323" s="2" t="s">
        <v>1024</v>
      </c>
      <c r="C323" s="2">
        <v>3.5000000000000001E-3</v>
      </c>
      <c r="D323" s="2" t="s">
        <v>1735</v>
      </c>
      <c r="E323" s="24">
        <f>G323+I323+K323</f>
        <v>214222</v>
      </c>
      <c r="F323" s="24">
        <f t="shared" si="50"/>
        <v>749</v>
      </c>
      <c r="G323" s="24">
        <v>0</v>
      </c>
      <c r="H323" s="24"/>
      <c r="I323" s="24">
        <f>노임!D5</f>
        <v>214222</v>
      </c>
      <c r="J323" s="24">
        <f>TRUNC(I323*C323,0)</f>
        <v>749</v>
      </c>
      <c r="K323" s="24">
        <v>0</v>
      </c>
      <c r="L323" s="24"/>
      <c r="M323" s="18" t="s">
        <v>1850</v>
      </c>
      <c r="N323" t="s">
        <v>1850</v>
      </c>
      <c r="P323" t="s">
        <v>1619</v>
      </c>
      <c r="Q323" t="s">
        <v>1850</v>
      </c>
      <c r="R323" t="s">
        <v>511</v>
      </c>
      <c r="BI323" s="29" t="str">
        <f>HYPERLINK("#노임!A5","L001010101000003 →")</f>
        <v>L001010101000003 →</v>
      </c>
    </row>
    <row r="324" spans="1:61" ht="18.399999999999999" customHeight="1" x14ac:dyDescent="0.15">
      <c r="A324" s="11" t="s">
        <v>985</v>
      </c>
      <c r="B324" s="2" t="s">
        <v>1850</v>
      </c>
      <c r="C324" s="2">
        <v>150.5</v>
      </c>
      <c r="D324" s="2" t="s">
        <v>1507</v>
      </c>
      <c r="E324" s="24">
        <f>G324+I324+K324</f>
        <v>3.03</v>
      </c>
      <c r="F324" s="24">
        <f t="shared" si="50"/>
        <v>456</v>
      </c>
      <c r="G324" s="24">
        <f>자재!D6</f>
        <v>3.03</v>
      </c>
      <c r="H324" s="24">
        <f>TRUNC(G324*C324,0)</f>
        <v>456</v>
      </c>
      <c r="I324" s="24">
        <v>0</v>
      </c>
      <c r="J324" s="24"/>
      <c r="K324" s="24">
        <v>0</v>
      </c>
      <c r="L324" s="24"/>
      <c r="M324" s="18" t="s">
        <v>1850</v>
      </c>
      <c r="N324" t="s">
        <v>1850</v>
      </c>
      <c r="P324" t="s">
        <v>1167</v>
      </c>
      <c r="Q324" t="s">
        <v>1850</v>
      </c>
      <c r="R324" t="s">
        <v>1497</v>
      </c>
      <c r="BI324" s="29" t="str">
        <f>HYPERLINK("#자재!A6","MDD0052 →")</f>
        <v>MDD0052 →</v>
      </c>
    </row>
    <row r="325" spans="1:61" ht="18.399999999999999" customHeight="1" x14ac:dyDescent="0.15">
      <c r="A325" s="11" t="s">
        <v>1552</v>
      </c>
      <c r="B325" s="2" t="s">
        <v>361</v>
      </c>
      <c r="C325" s="2">
        <v>0.14699999999999999</v>
      </c>
      <c r="D325" s="2" t="s">
        <v>1133</v>
      </c>
      <c r="E325" s="24">
        <f>G325+I325+K325</f>
        <v>2546.3000000000002</v>
      </c>
      <c r="F325" s="24">
        <f t="shared" si="50"/>
        <v>374</v>
      </c>
      <c r="G325" s="24">
        <f>자재!D7</f>
        <v>2546.3000000000002</v>
      </c>
      <c r="H325" s="24">
        <f>TRUNC(G325*C325,0)</f>
        <v>374</v>
      </c>
      <c r="I325" s="24">
        <v>0</v>
      </c>
      <c r="J325" s="24"/>
      <c r="K325" s="24">
        <v>0</v>
      </c>
      <c r="L325" s="24"/>
      <c r="M325" s="18" t="s">
        <v>1850</v>
      </c>
      <c r="N325" t="s">
        <v>1850</v>
      </c>
      <c r="P325" t="s">
        <v>715</v>
      </c>
      <c r="Q325" t="s">
        <v>1850</v>
      </c>
      <c r="R325" t="s">
        <v>841</v>
      </c>
      <c r="AA325" s="33" t="s">
        <v>615</v>
      </c>
      <c r="AB325" s="8">
        <f>(일위대가_호표!J322+일위대가_호표!J323)*0.03</f>
        <v>79.319999999999993</v>
      </c>
      <c r="AC325" s="33" t="s">
        <v>1036</v>
      </c>
      <c r="AD325" s="7">
        <f>$AB325</f>
        <v>79.319999999999993</v>
      </c>
      <c r="BI325" s="29" t="str">
        <f>HYPERLINK("#자재!A7","MDD0055 →")</f>
        <v>MDD0055 →</v>
      </c>
    </row>
    <row r="326" spans="1:61" ht="18.399999999999999" customHeight="1" x14ac:dyDescent="0.15">
      <c r="A326" s="11" t="s">
        <v>898</v>
      </c>
      <c r="B326" s="2" t="s">
        <v>1125</v>
      </c>
      <c r="C326" s="2">
        <v>1</v>
      </c>
      <c r="D326" s="2" t="s">
        <v>1529</v>
      </c>
      <c r="E326" s="24">
        <f>G326+I326+K326</f>
        <v>0</v>
      </c>
      <c r="F326" s="24">
        <f t="shared" si="50"/>
        <v>79</v>
      </c>
      <c r="G326" s="1"/>
      <c r="H326" s="24">
        <v>0</v>
      </c>
      <c r="I326" s="1"/>
      <c r="J326" s="24">
        <v>0</v>
      </c>
      <c r="K326" s="1"/>
      <c r="L326" s="24">
        <f>TRUNC(((J322+J323)*0.03),0)</f>
        <v>79</v>
      </c>
      <c r="M326" s="18" t="s">
        <v>1850</v>
      </c>
      <c r="N326" t="s">
        <v>1850</v>
      </c>
      <c r="P326" t="s">
        <v>207</v>
      </c>
      <c r="Q326" t="s">
        <v>1850</v>
      </c>
      <c r="R326" t="s">
        <v>1589</v>
      </c>
      <c r="X326" t="s">
        <v>913</v>
      </c>
    </row>
    <row r="327" spans="1:61" ht="18.399999999999999" customHeight="1" x14ac:dyDescent="0.15">
      <c r="A327" s="4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46"/>
    </row>
    <row r="328" spans="1:61" ht="18.399999999999999" customHeight="1" x14ac:dyDescent="0.15">
      <c r="A328" s="11" t="s">
        <v>1056</v>
      </c>
      <c r="B328" s="2" t="s">
        <v>1312</v>
      </c>
      <c r="C328" s="2">
        <v>1</v>
      </c>
      <c r="D328" s="2" t="s">
        <v>1201</v>
      </c>
      <c r="F328" s="24">
        <f>H328+J328+L328</f>
        <v>3579</v>
      </c>
      <c r="H328" s="24">
        <f>TRUNC(H329+H330,0)</f>
        <v>0</v>
      </c>
      <c r="J328" s="24">
        <f>TRUNC(J329+J330,0)</f>
        <v>3579</v>
      </c>
      <c r="L328" s="24">
        <f>TRUNC(L329+L330,0)</f>
        <v>0</v>
      </c>
      <c r="M328" s="18" t="s">
        <v>1410</v>
      </c>
      <c r="N328" t="s">
        <v>1850</v>
      </c>
      <c r="O328" t="s">
        <v>1293</v>
      </c>
    </row>
    <row r="329" spans="1:61" ht="18.399999999999999" customHeight="1" x14ac:dyDescent="0.15">
      <c r="A329" s="11" t="s">
        <v>394</v>
      </c>
      <c r="B329" s="2" t="s">
        <v>398</v>
      </c>
      <c r="C329" s="2">
        <v>1.2E-2</v>
      </c>
      <c r="D329" s="2" t="s">
        <v>1735</v>
      </c>
      <c r="E329" s="24">
        <f>G329+I329+K329</f>
        <v>243126</v>
      </c>
      <c r="F329" s="24">
        <f>H329+J329+L329</f>
        <v>2917</v>
      </c>
      <c r="G329" s="24">
        <v>0</v>
      </c>
      <c r="H329" s="24"/>
      <c r="I329" s="24">
        <f>노임!D8</f>
        <v>243126</v>
      </c>
      <c r="J329" s="24">
        <f>TRUNC(I329*C329,0)</f>
        <v>2917</v>
      </c>
      <c r="K329" s="24">
        <v>0</v>
      </c>
      <c r="L329" s="24"/>
      <c r="M329" s="18" t="s">
        <v>1850</v>
      </c>
      <c r="N329" t="s">
        <v>1850</v>
      </c>
      <c r="P329" t="s">
        <v>239</v>
      </c>
      <c r="Q329" t="s">
        <v>1850</v>
      </c>
      <c r="R329" t="s">
        <v>373</v>
      </c>
      <c r="BI329" s="29" t="str">
        <f>HYPERLINK("#노임!A8","L001010101000011 →")</f>
        <v>L001010101000011 →</v>
      </c>
    </row>
    <row r="330" spans="1:61" ht="18.399999999999999" customHeight="1" x14ac:dyDescent="0.15">
      <c r="A330" s="11" t="s">
        <v>597</v>
      </c>
      <c r="B330" s="2" t="s">
        <v>1310</v>
      </c>
      <c r="C330" s="2">
        <v>4.0000000000000001E-3</v>
      </c>
      <c r="D330" s="2" t="s">
        <v>1735</v>
      </c>
      <c r="E330" s="24">
        <f>G330+I330+K330</f>
        <v>165545</v>
      </c>
      <c r="F330" s="24">
        <f>H330+J330+L330</f>
        <v>662</v>
      </c>
      <c r="G330" s="24">
        <v>0</v>
      </c>
      <c r="H330" s="24"/>
      <c r="I330" s="24">
        <f>노임!D4</f>
        <v>165545</v>
      </c>
      <c r="J330" s="24">
        <f>TRUNC(I330*C330,0)</f>
        <v>662</v>
      </c>
      <c r="K330" s="24">
        <v>0</v>
      </c>
      <c r="L330" s="24"/>
      <c r="M330" s="18" t="s">
        <v>1850</v>
      </c>
      <c r="N330" t="s">
        <v>1850</v>
      </c>
      <c r="P330" t="s">
        <v>1619</v>
      </c>
      <c r="Q330" t="s">
        <v>1850</v>
      </c>
      <c r="R330" t="s">
        <v>1563</v>
      </c>
      <c r="BI330" s="29" t="str">
        <f>HYPERLINK("#노임!A4","L001010101000002 →")</f>
        <v>L001010101000002 →</v>
      </c>
    </row>
    <row r="331" spans="1:61" ht="18.399999999999999" customHeight="1" x14ac:dyDescent="0.15">
      <c r="A331" s="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6"/>
    </row>
    <row r="332" spans="1:61" ht="18.399999999999999" customHeight="1" x14ac:dyDescent="0.15">
      <c r="A332" s="11" t="s">
        <v>1387</v>
      </c>
      <c r="B332" s="2" t="s">
        <v>1312</v>
      </c>
      <c r="C332" s="2">
        <v>1</v>
      </c>
      <c r="D332" s="2" t="s">
        <v>1201</v>
      </c>
      <c r="F332" s="24">
        <f>H332+J332+L332</f>
        <v>662</v>
      </c>
      <c r="H332" s="24">
        <f>TRUNC(H333,0)</f>
        <v>0</v>
      </c>
      <c r="J332" s="24">
        <f>TRUNC(J333,0)</f>
        <v>662</v>
      </c>
      <c r="L332" s="24">
        <f>TRUNC(L333,0)</f>
        <v>0</v>
      </c>
      <c r="M332" s="18" t="s">
        <v>1410</v>
      </c>
      <c r="N332" t="s">
        <v>1850</v>
      </c>
      <c r="O332" t="s">
        <v>566</v>
      </c>
    </row>
    <row r="333" spans="1:61" ht="18.399999999999999" customHeight="1" x14ac:dyDescent="0.15">
      <c r="A333" s="11" t="s">
        <v>597</v>
      </c>
      <c r="B333" s="2" t="s">
        <v>1310</v>
      </c>
      <c r="C333" s="2">
        <v>4.0000000000000001E-3</v>
      </c>
      <c r="D333" s="2" t="s">
        <v>1735</v>
      </c>
      <c r="E333" s="24">
        <f>G333+I333+K333</f>
        <v>165545</v>
      </c>
      <c r="F333" s="24">
        <f>H333+J333+L333</f>
        <v>662</v>
      </c>
      <c r="G333" s="24">
        <v>0</v>
      </c>
      <c r="H333" s="24"/>
      <c r="I333" s="24">
        <f>노임!D4</f>
        <v>165545</v>
      </c>
      <c r="J333" s="24">
        <f>TRUNC(I333*C333,0)</f>
        <v>662</v>
      </c>
      <c r="K333" s="24">
        <v>0</v>
      </c>
      <c r="L333" s="24"/>
      <c r="M333" s="18" t="s">
        <v>1850</v>
      </c>
      <c r="N333" t="s">
        <v>1850</v>
      </c>
      <c r="P333" t="s">
        <v>1619</v>
      </c>
      <c r="Q333" t="s">
        <v>1850</v>
      </c>
      <c r="R333" t="s">
        <v>1563</v>
      </c>
      <c r="BI333" s="29" t="str">
        <f>HYPERLINK("#노임!A4","L001010101000002 →")</f>
        <v>L001010101000002 →</v>
      </c>
    </row>
    <row r="334" spans="1:61" ht="18.399999999999999" customHeight="1" x14ac:dyDescent="0.15">
      <c r="A334" s="43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775</v>
      </c>
    </row>
    <row r="2" spans="1:38" ht="18.399999999999999" customHeight="1" x14ac:dyDescent="0.15">
      <c r="A2" s="14" t="s">
        <v>562</v>
      </c>
      <c r="B2" s="15" t="s">
        <v>1791</v>
      </c>
      <c r="C2" s="15" t="s">
        <v>1307</v>
      </c>
      <c r="D2" s="15" t="s">
        <v>789</v>
      </c>
      <c r="E2" s="15" t="s">
        <v>128</v>
      </c>
      <c r="F2" s="17" t="s">
        <v>515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54" t="s">
        <v>461</v>
      </c>
      <c r="AB3" s="54"/>
      <c r="AC3" s="54"/>
      <c r="AD3" s="54"/>
      <c r="AE3" s="54"/>
      <c r="AF3" s="54"/>
      <c r="AG3" s="54"/>
    </row>
    <row r="4" spans="1:38" ht="18.399999999999999" customHeight="1" x14ac:dyDescent="0.15">
      <c r="A4" s="35" t="s">
        <v>1388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1850</v>
      </c>
      <c r="G4" t="s">
        <v>1850</v>
      </c>
      <c r="H4" t="s">
        <v>1275</v>
      </c>
      <c r="K4">
        <v>1</v>
      </c>
      <c r="Y4" s="7" t="b">
        <f>EXACT($Z4,$B31)</f>
        <v>1</v>
      </c>
      <c r="Z4" s="32">
        <v>13584</v>
      </c>
      <c r="AA4" s="54" t="s">
        <v>1007</v>
      </c>
      <c r="AB4" s="54"/>
      <c r="AC4" s="54"/>
      <c r="AD4" s="54"/>
      <c r="AE4" s="54"/>
      <c r="AF4" s="54"/>
      <c r="AG4" s="54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1850</v>
      </c>
      <c r="B6" s="3"/>
      <c r="C6" s="3"/>
      <c r="D6" s="3"/>
      <c r="E6" s="3"/>
      <c r="F6" s="38"/>
      <c r="G6" t="s">
        <v>1850</v>
      </c>
      <c r="I6" t="s">
        <v>243</v>
      </c>
      <c r="J6" t="s">
        <v>1850</v>
      </c>
      <c r="K6" t="s">
        <v>1591</v>
      </c>
    </row>
    <row r="7" spans="1:38" ht="18.399999999999999" customHeight="1" x14ac:dyDescent="0.15">
      <c r="A7" s="35" t="s">
        <v>1274</v>
      </c>
      <c r="B7" s="31"/>
      <c r="C7" s="31"/>
      <c r="D7" s="31"/>
      <c r="E7" s="31"/>
      <c r="F7" s="39"/>
      <c r="K7" s="3" t="s">
        <v>1274</v>
      </c>
    </row>
    <row r="8" spans="1:38" ht="18.399999999999999" customHeight="1" x14ac:dyDescent="0.15">
      <c r="A8" s="35" t="s">
        <v>1850</v>
      </c>
      <c r="B8" s="31"/>
      <c r="C8" s="31"/>
      <c r="D8" s="31"/>
      <c r="E8" s="31"/>
      <c r="F8" s="39"/>
      <c r="K8" s="3" t="s">
        <v>1850</v>
      </c>
    </row>
    <row r="9" spans="1:38" ht="18.399999999999999" customHeight="1" x14ac:dyDescent="0.15">
      <c r="A9" s="35" t="s">
        <v>1850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98</v>
      </c>
      <c r="AA9" s="33" t="s">
        <v>829</v>
      </c>
      <c r="AB9" s="8">
        <f>ROUND(0,2)</f>
        <v>0</v>
      </c>
      <c r="AC9" s="33" t="s">
        <v>529</v>
      </c>
      <c r="AD9" s="7">
        <f>$AB9</f>
        <v>0</v>
      </c>
      <c r="AE9" s="33" t="s">
        <v>1602</v>
      </c>
      <c r="AF9" s="8">
        <f>ROUND(0,2)</f>
        <v>0</v>
      </c>
      <c r="AG9" s="33" t="s">
        <v>1640</v>
      </c>
      <c r="AH9" s="7">
        <f>$AF9</f>
        <v>0</v>
      </c>
      <c r="AI9" s="33" t="s">
        <v>1091</v>
      </c>
      <c r="AJ9" s="8">
        <f>ROUND(0,2)</f>
        <v>0</v>
      </c>
      <c r="AK9" s="33" t="s">
        <v>1264</v>
      </c>
      <c r="AL9" s="7">
        <f>$AJ9</f>
        <v>0</v>
      </c>
    </row>
    <row r="10" spans="1:38" ht="18.399999999999999" customHeight="1" x14ac:dyDescent="0.15">
      <c r="A10" s="35" t="s">
        <v>1766</v>
      </c>
      <c r="B10" s="31"/>
      <c r="C10" s="31"/>
      <c r="D10" s="31"/>
      <c r="E10" s="31"/>
      <c r="F10" s="39"/>
      <c r="K10" s="3" t="s">
        <v>1766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1323</v>
      </c>
      <c r="AB11" s="6">
        <v>0.18</v>
      </c>
      <c r="AC11" s="34" t="s">
        <v>1323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555</v>
      </c>
      <c r="AB12" s="6">
        <v>0.9</v>
      </c>
      <c r="AC12" s="34" t="s">
        <v>555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329</v>
      </c>
      <c r="AA13" s="34" t="s">
        <v>1205</v>
      </c>
      <c r="AB13" s="8">
        <f>ROUND(1/1.25,2)</f>
        <v>0.8</v>
      </c>
      <c r="AC13" s="34" t="s">
        <v>1112</v>
      </c>
      <c r="AD13" s="7">
        <f t="shared" si="0"/>
        <v>0.8</v>
      </c>
      <c r="AE13" s="34" t="s">
        <v>1249</v>
      </c>
      <c r="AF13" s="8">
        <f>ROUND(ROUND(1/1.25,2),2)</f>
        <v>0.8</v>
      </c>
      <c r="AG13" s="34" t="s">
        <v>483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932</v>
      </c>
      <c r="AB14" s="6">
        <v>0.3</v>
      </c>
      <c r="AC14" s="34" t="s">
        <v>932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96</v>
      </c>
      <c r="AB15" s="6">
        <v>18</v>
      </c>
      <c r="AC15" s="34" t="s">
        <v>96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134</v>
      </c>
      <c r="AA16" s="34" t="s">
        <v>383</v>
      </c>
      <c r="AB16" s="8">
        <f>ROUND(3600*$AD11*$AD12*$AD13*$AD14/$AD15,2)</f>
        <v>7.78</v>
      </c>
      <c r="AC16" s="34" t="s">
        <v>1323</v>
      </c>
      <c r="AD16" s="7">
        <f t="shared" si="0"/>
        <v>7.78</v>
      </c>
      <c r="AE16" s="34" t="s">
        <v>1685</v>
      </c>
      <c r="AF16" s="8">
        <f>ROUND(ROUND(3600*$AD11*$AD12*$AD13*$AD14/$AD15,2),2)</f>
        <v>7.78</v>
      </c>
      <c r="AG16" s="34" t="s">
        <v>286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1850</v>
      </c>
      <c r="K17" s="3" t="s">
        <v>561</v>
      </c>
      <c r="AA17" s="33" t="s">
        <v>829</v>
      </c>
      <c r="AB17" s="8">
        <f>TRUNC(중기사용료목록!E3/$AD16*0.9,0)</f>
        <v>1089</v>
      </c>
      <c r="AC17" s="33" t="s">
        <v>529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1850</v>
      </c>
      <c r="K18" s="3" t="s">
        <v>1422</v>
      </c>
      <c r="AA18" s="33" t="s">
        <v>1602</v>
      </c>
      <c r="AB18" s="8">
        <f>TRUNC(중기사용료목록!F3/$AD16*0.9,0)</f>
        <v>6443</v>
      </c>
      <c r="AC18" s="33" t="s">
        <v>1640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1850</v>
      </c>
      <c r="K19" s="3" t="s">
        <v>1515</v>
      </c>
      <c r="AA19" s="33" t="s">
        <v>1091</v>
      </c>
      <c r="AB19" s="8">
        <f>TRUNC(중기사용료목록!G3/$AD16*0.9,0)</f>
        <v>1748</v>
      </c>
      <c r="AC19" s="33" t="s">
        <v>1264</v>
      </c>
      <c r="AD19" s="7">
        <f>$AL9+$AB19</f>
        <v>1748</v>
      </c>
    </row>
    <row r="20" spans="1:38" ht="18.399999999999999" customHeight="1" x14ac:dyDescent="0.15">
      <c r="A20" s="35" t="s">
        <v>1414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767</v>
      </c>
      <c r="AA20" s="33" t="s">
        <v>829</v>
      </c>
      <c r="AB20" s="8">
        <f>TRUNC($AD17,0)</f>
        <v>1089</v>
      </c>
      <c r="AC20" s="33" t="s">
        <v>529</v>
      </c>
      <c r="AD20" s="7">
        <f>$AB20</f>
        <v>1089</v>
      </c>
      <c r="AE20" s="33" t="s">
        <v>1602</v>
      </c>
      <c r="AF20" s="8">
        <f>TRUNC($AD18,0)</f>
        <v>6443</v>
      </c>
      <c r="AG20" s="33" t="s">
        <v>1640</v>
      </c>
      <c r="AH20" s="7">
        <f>$AF20</f>
        <v>6443</v>
      </c>
      <c r="AI20" s="33" t="s">
        <v>1091</v>
      </c>
      <c r="AJ20" s="8">
        <f>TRUNC($AD19,0)</f>
        <v>1748</v>
      </c>
      <c r="AK20" s="33" t="s">
        <v>1264</v>
      </c>
      <c r="AL20" s="7">
        <f>$AJ20</f>
        <v>1748</v>
      </c>
    </row>
    <row r="21" spans="1:38" ht="18.399999999999999" customHeight="1" x14ac:dyDescent="0.15">
      <c r="A21" s="35" t="s">
        <v>1850</v>
      </c>
      <c r="B21" s="31"/>
      <c r="C21" s="31"/>
      <c r="D21" s="31"/>
      <c r="E21" s="31"/>
      <c r="F21" s="39"/>
      <c r="K21" s="3" t="s">
        <v>1850</v>
      </c>
    </row>
    <row r="22" spans="1:38" ht="18.399999999999999" customHeight="1" x14ac:dyDescent="0.15">
      <c r="A22" s="35" t="s">
        <v>1850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1668</v>
      </c>
      <c r="AA22" s="33" t="s">
        <v>1392</v>
      </c>
      <c r="AB22" s="8">
        <f>ROUND(0,2)</f>
        <v>0</v>
      </c>
      <c r="AC22" s="33" t="s">
        <v>1272</v>
      </c>
      <c r="AD22" s="7">
        <f>$AB22</f>
        <v>0</v>
      </c>
      <c r="AE22" s="33" t="s">
        <v>82</v>
      </c>
      <c r="AF22" s="8">
        <f>ROUND(0,2)</f>
        <v>0</v>
      </c>
      <c r="AG22" s="33" t="s">
        <v>103</v>
      </c>
      <c r="AH22" s="7">
        <f>$AF22</f>
        <v>0</v>
      </c>
      <c r="AI22" s="33" t="s">
        <v>504</v>
      </c>
      <c r="AJ22" s="8">
        <f>ROUND(0,2)</f>
        <v>0</v>
      </c>
      <c r="AK22" s="33" t="s">
        <v>524</v>
      </c>
      <c r="AL22" s="7">
        <f>$AJ22</f>
        <v>0</v>
      </c>
    </row>
    <row r="23" spans="1:38" ht="18.399999999999999" customHeight="1" x14ac:dyDescent="0.15">
      <c r="A23" s="35" t="s">
        <v>1044</v>
      </c>
      <c r="B23" s="31"/>
      <c r="C23" s="31"/>
      <c r="D23" s="31"/>
      <c r="E23" s="31"/>
      <c r="F23" s="39"/>
      <c r="K23" s="3" t="s">
        <v>1044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1850</v>
      </c>
      <c r="K24" s="3" t="s">
        <v>965</v>
      </c>
      <c r="AA24" s="33" t="s">
        <v>1392</v>
      </c>
      <c r="AB24" s="8">
        <f>TRUNC(일위대가목록!F20*0.1,0)</f>
        <v>0</v>
      </c>
      <c r="AC24" s="33" t="s">
        <v>1272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1850</v>
      </c>
      <c r="K25" s="3" t="s">
        <v>1070</v>
      </c>
      <c r="AA25" s="33" t="s">
        <v>82</v>
      </c>
      <c r="AB25" s="8">
        <f>TRUNC(일위대가목록!G20*0.1,0)</f>
        <v>4304</v>
      </c>
      <c r="AC25" s="33" t="s">
        <v>103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1850</v>
      </c>
      <c r="K26" s="3" t="s">
        <v>589</v>
      </c>
      <c r="AA26" s="33" t="s">
        <v>504</v>
      </c>
      <c r="AB26" s="8">
        <f>TRUNC(일위대가목록!H20*0.1,0)</f>
        <v>0</v>
      </c>
      <c r="AC26" s="33" t="s">
        <v>524</v>
      </c>
      <c r="AD26" s="7">
        <f>$AL22+$AB26</f>
        <v>0</v>
      </c>
    </row>
    <row r="27" spans="1:38" ht="18.399999999999999" customHeight="1" x14ac:dyDescent="0.15">
      <c r="A27" s="35" t="s">
        <v>1414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33</v>
      </c>
      <c r="AA27" s="33" t="s">
        <v>1392</v>
      </c>
      <c r="AB27" s="8">
        <f>TRUNC($AD24,0)</f>
        <v>0</v>
      </c>
      <c r="AC27" s="33" t="s">
        <v>1272</v>
      </c>
      <c r="AD27" s="7">
        <f>$AB27</f>
        <v>0</v>
      </c>
      <c r="AE27" s="33" t="s">
        <v>82</v>
      </c>
      <c r="AF27" s="8">
        <f>TRUNC($AD25,0)</f>
        <v>4304</v>
      </c>
      <c r="AG27" s="33" t="s">
        <v>103</v>
      </c>
      <c r="AH27" s="7">
        <f>$AF27</f>
        <v>4304</v>
      </c>
      <c r="AI27" s="33" t="s">
        <v>504</v>
      </c>
      <c r="AJ27" s="8">
        <f>TRUNC($AD26,0)</f>
        <v>0</v>
      </c>
      <c r="AK27" s="33" t="s">
        <v>524</v>
      </c>
      <c r="AL27" s="7">
        <f>$AJ27</f>
        <v>0</v>
      </c>
    </row>
    <row r="28" spans="1:38" ht="18.399999999999999" customHeight="1" x14ac:dyDescent="0.15">
      <c r="A28" s="35" t="s">
        <v>1850</v>
      </c>
      <c r="B28" s="31"/>
      <c r="C28" s="31"/>
      <c r="D28" s="31"/>
      <c r="E28" s="31"/>
      <c r="F28" s="39"/>
      <c r="K28" s="3" t="s">
        <v>1850</v>
      </c>
    </row>
    <row r="29" spans="1:38" ht="18.399999999999999" customHeight="1" x14ac:dyDescent="0.15">
      <c r="A29" s="35" t="s">
        <v>641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648</v>
      </c>
      <c r="AA29" s="33" t="s">
        <v>1396</v>
      </c>
      <c r="AB29" s="8">
        <f>TRUNC(($AD20+$AD27),0)</f>
        <v>1089</v>
      </c>
      <c r="AC29" s="33" t="s">
        <v>1559</v>
      </c>
      <c r="AD29" s="7">
        <f>$AB29</f>
        <v>1089</v>
      </c>
      <c r="AE29" s="33" t="s">
        <v>213</v>
      </c>
      <c r="AF29" s="8">
        <f>TRUNC(($AH20+$AH27),0)</f>
        <v>10747</v>
      </c>
      <c r="AG29" s="33" t="s">
        <v>762</v>
      </c>
      <c r="AH29" s="7">
        <f>$AF29</f>
        <v>10747</v>
      </c>
      <c r="AI29" s="33" t="s">
        <v>615</v>
      </c>
      <c r="AJ29" s="8">
        <f>TRUNC(($AL20+$AL27),0)</f>
        <v>1748</v>
      </c>
      <c r="AK29" s="33" t="s">
        <v>1036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1089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160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1850</v>
      </c>
      <c r="G33" t="s">
        <v>1850</v>
      </c>
      <c r="H33" t="s">
        <v>764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1850</v>
      </c>
      <c r="B35" s="3"/>
      <c r="C35" s="3"/>
      <c r="D35" s="3"/>
      <c r="E35" s="3"/>
      <c r="F35" s="38"/>
      <c r="G35" t="s">
        <v>1850</v>
      </c>
      <c r="I35" t="s">
        <v>243</v>
      </c>
      <c r="J35" t="s">
        <v>1850</v>
      </c>
      <c r="K35" t="s">
        <v>1591</v>
      </c>
    </row>
    <row r="36" spans="1:38" ht="18.399999999999999" customHeight="1" x14ac:dyDescent="0.15">
      <c r="A36" s="35" t="s">
        <v>1212</v>
      </c>
      <c r="B36" s="31"/>
      <c r="C36" s="31"/>
      <c r="D36" s="31"/>
      <c r="E36" s="31"/>
      <c r="F36" s="39"/>
      <c r="K36" s="3" t="s">
        <v>1212</v>
      </c>
    </row>
    <row r="37" spans="1:38" ht="18.399999999999999" customHeight="1" x14ac:dyDescent="0.15">
      <c r="A37" s="35" t="s">
        <v>1850</v>
      </c>
      <c r="B37" s="31"/>
      <c r="C37" s="31"/>
      <c r="D37" s="31"/>
      <c r="E37" s="31"/>
      <c r="F37" s="39"/>
      <c r="K37" s="3" t="s">
        <v>1850</v>
      </c>
    </row>
    <row r="38" spans="1:38" ht="18.399999999999999" customHeight="1" x14ac:dyDescent="0.15">
      <c r="A38" s="35" t="s">
        <v>1850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98</v>
      </c>
      <c r="AA38" s="33" t="s">
        <v>829</v>
      </c>
      <c r="AB38" s="8">
        <f>ROUND(0,2)</f>
        <v>0</v>
      </c>
      <c r="AC38" s="33" t="s">
        <v>529</v>
      </c>
      <c r="AD38" s="7">
        <f>$AB38</f>
        <v>0</v>
      </c>
      <c r="AE38" s="33" t="s">
        <v>1602</v>
      </c>
      <c r="AF38" s="8">
        <f>ROUND(0,2)</f>
        <v>0</v>
      </c>
      <c r="AG38" s="33" t="s">
        <v>1640</v>
      </c>
      <c r="AH38" s="7">
        <f>$AF38</f>
        <v>0</v>
      </c>
      <c r="AI38" s="33" t="s">
        <v>1091</v>
      </c>
      <c r="AJ38" s="8">
        <f>ROUND(0,2)</f>
        <v>0</v>
      </c>
      <c r="AK38" s="33" t="s">
        <v>1264</v>
      </c>
      <c r="AL38" s="7">
        <f>$AJ38</f>
        <v>0</v>
      </c>
    </row>
    <row r="39" spans="1:38" ht="18.399999999999999" customHeight="1" x14ac:dyDescent="0.15">
      <c r="A39" s="35" t="s">
        <v>328</v>
      </c>
      <c r="B39" s="31"/>
      <c r="C39" s="31"/>
      <c r="D39" s="31"/>
      <c r="E39" s="31"/>
      <c r="F39" s="39"/>
      <c r="K39" s="3" t="s">
        <v>328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1323</v>
      </c>
      <c r="AB40" s="6">
        <v>0.18</v>
      </c>
      <c r="AC40" s="34" t="s">
        <v>1323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555</v>
      </c>
      <c r="AB41" s="6">
        <v>1.1000000000000001</v>
      </c>
      <c r="AC41" s="34" t="s">
        <v>555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1482</v>
      </c>
      <c r="AA42" s="34" t="s">
        <v>1205</v>
      </c>
      <c r="AB42" s="8">
        <f>ROUND(1/1.15,2)</f>
        <v>0.87</v>
      </c>
      <c r="AC42" s="34" t="s">
        <v>1112</v>
      </c>
      <c r="AD42" s="7">
        <f t="shared" si="1"/>
        <v>0.87</v>
      </c>
      <c r="AE42" s="34" t="s">
        <v>1295</v>
      </c>
      <c r="AF42" s="8">
        <f>ROUND(ROUND(1/1.15,2),2)</f>
        <v>0.87</v>
      </c>
      <c r="AG42" s="34" t="s">
        <v>1083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932</v>
      </c>
      <c r="AB43" s="6">
        <v>0.9</v>
      </c>
      <c r="AC43" s="34" t="s">
        <v>932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96</v>
      </c>
      <c r="AB44" s="6">
        <v>15</v>
      </c>
      <c r="AC44" s="34" t="s">
        <v>96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134</v>
      </c>
      <c r="AA45" s="34" t="s">
        <v>383</v>
      </c>
      <c r="AB45" s="8">
        <f>ROUND(3600*$AD40*$AD41*$AD42*$AD43/$AD44,2)</f>
        <v>37.21</v>
      </c>
      <c r="AC45" s="34" t="s">
        <v>1323</v>
      </c>
      <c r="AD45" s="7">
        <f t="shared" si="1"/>
        <v>37.21</v>
      </c>
      <c r="AE45" s="34" t="s">
        <v>783</v>
      </c>
      <c r="AF45" s="8">
        <f>ROUND(ROUND(3600*$AD40*$AD41*$AD42*$AD43/$AD44,2),2)</f>
        <v>37.21</v>
      </c>
      <c r="AG45" s="34" t="s">
        <v>1019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1850</v>
      </c>
      <c r="K46" s="3" t="s">
        <v>959</v>
      </c>
      <c r="AA46" s="33" t="s">
        <v>829</v>
      </c>
      <c r="AB46" s="8">
        <f>TRUNC(중기사용료목록!E3/$AD45,0)</f>
        <v>253</v>
      </c>
      <c r="AC46" s="33" t="s">
        <v>529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1850</v>
      </c>
      <c r="K47" s="3" t="s">
        <v>972</v>
      </c>
      <c r="AA47" s="33" t="s">
        <v>1602</v>
      </c>
      <c r="AB47" s="8">
        <f>TRUNC(중기사용료목록!F3/$AD45,0)</f>
        <v>1496</v>
      </c>
      <c r="AC47" s="33" t="s">
        <v>1640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1850</v>
      </c>
      <c r="K48" s="3" t="s">
        <v>1691</v>
      </c>
      <c r="AA48" s="33" t="s">
        <v>1091</v>
      </c>
      <c r="AB48" s="8">
        <f>TRUNC(중기사용료목록!G3/$AD45,0)</f>
        <v>406</v>
      </c>
      <c r="AC48" s="33" t="s">
        <v>1264</v>
      </c>
      <c r="AD48" s="7">
        <f>$AL38+$AB48</f>
        <v>406</v>
      </c>
    </row>
    <row r="49" spans="1:38" ht="18.399999999999999" customHeight="1" x14ac:dyDescent="0.15">
      <c r="A49" s="35" t="s">
        <v>1414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767</v>
      </c>
      <c r="AA49" s="33" t="s">
        <v>829</v>
      </c>
      <c r="AB49" s="8">
        <f>TRUNC($AD46,0)</f>
        <v>253</v>
      </c>
      <c r="AC49" s="33" t="s">
        <v>529</v>
      </c>
      <c r="AD49" s="7">
        <f>$AB49</f>
        <v>253</v>
      </c>
      <c r="AE49" s="33" t="s">
        <v>1602</v>
      </c>
      <c r="AF49" s="8">
        <f>TRUNC($AD47,0)</f>
        <v>1496</v>
      </c>
      <c r="AG49" s="33" t="s">
        <v>1640</v>
      </c>
      <c r="AH49" s="7">
        <f>$AF49</f>
        <v>1496</v>
      </c>
      <c r="AI49" s="33" t="s">
        <v>1091</v>
      </c>
      <c r="AJ49" s="8">
        <f>TRUNC($AD48,0)</f>
        <v>406</v>
      </c>
      <c r="AK49" s="33" t="s">
        <v>1264</v>
      </c>
      <c r="AL49" s="7">
        <f>$AJ49</f>
        <v>406</v>
      </c>
    </row>
    <row r="50" spans="1:38" ht="18.399999999999999" customHeight="1" x14ac:dyDescent="0.15">
      <c r="A50" s="35" t="s">
        <v>1850</v>
      </c>
      <c r="B50" s="31"/>
      <c r="C50" s="31"/>
      <c r="D50" s="31"/>
      <c r="E50" s="31"/>
      <c r="F50" s="39"/>
      <c r="K50" s="3" t="s">
        <v>1850</v>
      </c>
    </row>
    <row r="51" spans="1:38" ht="18.399999999999999" customHeight="1" x14ac:dyDescent="0.15">
      <c r="A51" s="35" t="s">
        <v>641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395</v>
      </c>
      <c r="AA51" s="33" t="s">
        <v>1396</v>
      </c>
      <c r="AB51" s="8">
        <f>TRUNC(($AD49),0)</f>
        <v>253</v>
      </c>
      <c r="AC51" s="33" t="s">
        <v>1559</v>
      </c>
      <c r="AD51" s="7">
        <f>$AB51</f>
        <v>253</v>
      </c>
      <c r="AE51" s="33" t="s">
        <v>213</v>
      </c>
      <c r="AF51" s="8">
        <f>TRUNC(($AH49),0)</f>
        <v>1496</v>
      </c>
      <c r="AG51" s="33" t="s">
        <v>762</v>
      </c>
      <c r="AH51" s="7">
        <f>$AF51</f>
        <v>1496</v>
      </c>
      <c r="AI51" s="33" t="s">
        <v>615</v>
      </c>
      <c r="AJ51" s="8">
        <f>TRUNC(($AL49),0)</f>
        <v>406</v>
      </c>
      <c r="AK51" s="33" t="s">
        <v>1036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1089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1722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1850</v>
      </c>
      <c r="G55" t="s">
        <v>1850</v>
      </c>
      <c r="H55" t="s">
        <v>409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1850</v>
      </c>
      <c r="B57" s="3"/>
      <c r="C57" s="3"/>
      <c r="D57" s="3"/>
      <c r="E57" s="3"/>
      <c r="F57" s="38"/>
      <c r="G57" t="s">
        <v>1850</v>
      </c>
      <c r="I57" t="s">
        <v>243</v>
      </c>
      <c r="J57" t="s">
        <v>1850</v>
      </c>
      <c r="K57" t="s">
        <v>1591</v>
      </c>
    </row>
    <row r="58" spans="1:38" ht="18.399999999999999" customHeight="1" x14ac:dyDescent="0.15">
      <c r="A58" s="35" t="s">
        <v>506</v>
      </c>
      <c r="B58" s="31"/>
      <c r="C58" s="31"/>
      <c r="D58" s="31"/>
      <c r="E58" s="31"/>
      <c r="F58" s="39"/>
      <c r="K58" s="3" t="s">
        <v>506</v>
      </c>
    </row>
    <row r="59" spans="1:38" ht="18.399999999999999" customHeight="1" x14ac:dyDescent="0.15">
      <c r="A59" s="35" t="s">
        <v>1850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98</v>
      </c>
      <c r="AA59" s="33" t="s">
        <v>829</v>
      </c>
      <c r="AB59" s="8">
        <f>ROUND(0,2)</f>
        <v>0</v>
      </c>
      <c r="AC59" s="33" t="s">
        <v>529</v>
      </c>
      <c r="AD59" s="7">
        <f>$AB59</f>
        <v>0</v>
      </c>
      <c r="AE59" s="33" t="s">
        <v>1602</v>
      </c>
      <c r="AF59" s="8">
        <f>ROUND(0,2)</f>
        <v>0</v>
      </c>
      <c r="AG59" s="33" t="s">
        <v>1640</v>
      </c>
      <c r="AH59" s="7">
        <f>$AF59</f>
        <v>0</v>
      </c>
      <c r="AI59" s="33" t="s">
        <v>1091</v>
      </c>
      <c r="AJ59" s="8">
        <f>ROUND(0,2)</f>
        <v>0</v>
      </c>
      <c r="AK59" s="33" t="s">
        <v>1264</v>
      </c>
      <c r="AL59" s="7">
        <f>$AJ59</f>
        <v>0</v>
      </c>
    </row>
    <row r="60" spans="1:38" ht="18.399999999999999" customHeight="1" x14ac:dyDescent="0.15">
      <c r="A60" s="35" t="s">
        <v>1643</v>
      </c>
      <c r="B60" s="31"/>
      <c r="C60" s="31"/>
      <c r="D60" s="31"/>
      <c r="E60" s="31"/>
      <c r="F60" s="39"/>
      <c r="K60" s="3" t="s">
        <v>1643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1830</v>
      </c>
      <c r="AA61" s="34" t="s">
        <v>1322</v>
      </c>
      <c r="AB61" s="8">
        <f>ROUND(0.28*0.33,4)</f>
        <v>9.2399999999999996E-2</v>
      </c>
      <c r="AC61" s="34" t="s">
        <v>352</v>
      </c>
      <c r="AD61" s="7">
        <f t="shared" ref="AD61:AD67" si="2">$AB61</f>
        <v>9.2399999999999996E-2</v>
      </c>
      <c r="AE61" s="34" t="s">
        <v>658</v>
      </c>
      <c r="AF61" s="8">
        <f>ROUND(ROUND(0.28*0.33,4),4)</f>
        <v>9.2399999999999996E-2</v>
      </c>
      <c r="AG61" s="34" t="s">
        <v>1769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939</v>
      </c>
      <c r="AB62" s="6">
        <v>36000</v>
      </c>
      <c r="AC62" s="34" t="s">
        <v>939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1234</v>
      </c>
      <c r="AB63" s="6">
        <v>0.15</v>
      </c>
      <c r="AC63" s="34" t="s">
        <v>1234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1112</v>
      </c>
      <c r="AB64" s="6">
        <v>1</v>
      </c>
      <c r="AC64" s="34" t="s">
        <v>1112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932</v>
      </c>
      <c r="AB65" s="6">
        <v>0.7</v>
      </c>
      <c r="AC65" s="34" t="s">
        <v>932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1583</v>
      </c>
      <c r="AB66" s="6">
        <v>57</v>
      </c>
      <c r="AC66" s="34" t="s">
        <v>1583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1700</v>
      </c>
      <c r="AA67" s="34" t="s">
        <v>383</v>
      </c>
      <c r="AB67" s="8">
        <f>ROUND($AD61*$AD62*$AD63*$AD64*$AD65/$AD66,2)</f>
        <v>6.13</v>
      </c>
      <c r="AC67" s="34" t="s">
        <v>1323</v>
      </c>
      <c r="AD67" s="7">
        <f t="shared" si="2"/>
        <v>6.13</v>
      </c>
      <c r="AE67" s="34" t="s">
        <v>1614</v>
      </c>
      <c r="AF67" s="8">
        <f>ROUND(ROUND($AD61*$AD62*$AD63*$AD64*$AD65/$AD66,2),2)</f>
        <v>6.13</v>
      </c>
      <c r="AG67" s="34" t="s">
        <v>867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1850</v>
      </c>
      <c r="K68" s="3" t="s">
        <v>7</v>
      </c>
      <c r="AA68" s="33" t="s">
        <v>829</v>
      </c>
      <c r="AB68" s="8">
        <f>TRUNC(중기사용료목록!E12/$AD67,0)</f>
        <v>180</v>
      </c>
      <c r="AC68" s="33" t="s">
        <v>529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1850</v>
      </c>
      <c r="K69" s="3" t="s">
        <v>1841</v>
      </c>
      <c r="AA69" s="33" t="s">
        <v>1602</v>
      </c>
      <c r="AB69" s="8">
        <f>TRUNC(중기사용료목록!F12/$AD67,0)</f>
        <v>5476</v>
      </c>
      <c r="AC69" s="33" t="s">
        <v>1640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1850</v>
      </c>
      <c r="K70" s="3" t="s">
        <v>751</v>
      </c>
      <c r="AA70" s="33" t="s">
        <v>1091</v>
      </c>
      <c r="AB70" s="8">
        <f>TRUNC(중기사용료목록!G12/$AD67,0)</f>
        <v>80</v>
      </c>
      <c r="AC70" s="33" t="s">
        <v>1264</v>
      </c>
      <c r="AD70" s="7">
        <f>$AL59+$AB70</f>
        <v>80</v>
      </c>
    </row>
    <row r="71" spans="1:38" ht="18.399999999999999" customHeight="1" x14ac:dyDescent="0.15">
      <c r="A71" s="35" t="s">
        <v>1414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767</v>
      </c>
      <c r="AA71" s="33" t="s">
        <v>829</v>
      </c>
      <c r="AB71" s="8">
        <f>TRUNC($AD68,0)</f>
        <v>180</v>
      </c>
      <c r="AC71" s="33" t="s">
        <v>529</v>
      </c>
      <c r="AD71" s="7">
        <f>$AB71</f>
        <v>180</v>
      </c>
      <c r="AE71" s="33" t="s">
        <v>1602</v>
      </c>
      <c r="AF71" s="8">
        <f>TRUNC($AD69,0)</f>
        <v>5476</v>
      </c>
      <c r="AG71" s="33" t="s">
        <v>1640</v>
      </c>
      <c r="AH71" s="7">
        <f>$AF71</f>
        <v>5476</v>
      </c>
      <c r="AI71" s="33" t="s">
        <v>1091</v>
      </c>
      <c r="AJ71" s="8">
        <f>TRUNC($AD70,0)</f>
        <v>80</v>
      </c>
      <c r="AK71" s="33" t="s">
        <v>1264</v>
      </c>
      <c r="AL71" s="7">
        <f>$AJ71</f>
        <v>80</v>
      </c>
    </row>
    <row r="72" spans="1:38" ht="18.399999999999999" customHeight="1" x14ac:dyDescent="0.15">
      <c r="A72" s="35" t="s">
        <v>1850</v>
      </c>
      <c r="B72" s="31"/>
      <c r="C72" s="31"/>
      <c r="D72" s="31"/>
      <c r="E72" s="31"/>
      <c r="F72" s="39"/>
      <c r="K72" s="3" t="s">
        <v>1850</v>
      </c>
    </row>
    <row r="73" spans="1:38" ht="18.399999999999999" customHeight="1" x14ac:dyDescent="0.15">
      <c r="A73" s="35" t="s">
        <v>641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395</v>
      </c>
      <c r="AA73" s="33" t="s">
        <v>1396</v>
      </c>
      <c r="AB73" s="8">
        <f>TRUNC(($AD71),0)</f>
        <v>180</v>
      </c>
      <c r="AC73" s="33" t="s">
        <v>1559</v>
      </c>
      <c r="AD73" s="7">
        <f>$AB73</f>
        <v>180</v>
      </c>
      <c r="AE73" s="33" t="s">
        <v>213</v>
      </c>
      <c r="AF73" s="8">
        <f>TRUNC(($AH71),0)</f>
        <v>5476</v>
      </c>
      <c r="AG73" s="33" t="s">
        <v>762</v>
      </c>
      <c r="AH73" s="7">
        <f>$AF73</f>
        <v>5476</v>
      </c>
      <c r="AI73" s="33" t="s">
        <v>615</v>
      </c>
      <c r="AJ73" s="8">
        <f>TRUNC(($AL71),0)</f>
        <v>80</v>
      </c>
      <c r="AK73" s="33" t="s">
        <v>1036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1089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1455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1850</v>
      </c>
      <c r="G77" t="s">
        <v>1850</v>
      </c>
      <c r="H77" t="s">
        <v>1432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1850</v>
      </c>
      <c r="B79" s="3"/>
      <c r="C79" s="3"/>
      <c r="D79" s="3"/>
      <c r="E79" s="3"/>
      <c r="F79" s="38"/>
      <c r="G79" t="s">
        <v>1850</v>
      </c>
      <c r="I79" t="s">
        <v>243</v>
      </c>
      <c r="J79" t="s">
        <v>1850</v>
      </c>
      <c r="K79" t="s">
        <v>1591</v>
      </c>
    </row>
    <row r="80" spans="1:38" ht="18.399999999999999" customHeight="1" x14ac:dyDescent="0.15">
      <c r="A80" s="35" t="s">
        <v>737</v>
      </c>
      <c r="B80" s="31"/>
      <c r="C80" s="31"/>
      <c r="D80" s="31"/>
      <c r="E80" s="31"/>
      <c r="F80" s="39"/>
      <c r="K80" s="3" t="s">
        <v>737</v>
      </c>
    </row>
    <row r="81" spans="1:38" ht="18.399999999999999" customHeight="1" x14ac:dyDescent="0.15">
      <c r="A81" s="35" t="s">
        <v>1508</v>
      </c>
      <c r="B81" s="31"/>
      <c r="C81" s="31"/>
      <c r="D81" s="31"/>
      <c r="E81" s="31"/>
      <c r="F81" s="39"/>
      <c r="K81" s="3" t="s">
        <v>1508</v>
      </c>
    </row>
    <row r="82" spans="1:38" ht="18.399999999999999" customHeight="1" x14ac:dyDescent="0.15">
      <c r="A82" s="35" t="s">
        <v>1494</v>
      </c>
      <c r="B82" s="31"/>
      <c r="C82" s="31"/>
      <c r="D82" s="31"/>
      <c r="E82" s="31"/>
      <c r="F82" s="39"/>
      <c r="K82" s="3" t="s">
        <v>6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352</v>
      </c>
      <c r="AB83" s="6">
        <v>1700</v>
      </c>
      <c r="AC83" s="34" t="s">
        <v>352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1749</v>
      </c>
      <c r="AB84" s="6">
        <v>3</v>
      </c>
      <c r="AC84" s="34" t="s">
        <v>1749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87</v>
      </c>
      <c r="AB85" s="6">
        <v>20</v>
      </c>
      <c r="AC85" s="34" t="s">
        <v>87</v>
      </c>
      <c r="AD85" s="7">
        <f>$AB85</f>
        <v>20</v>
      </c>
    </row>
    <row r="86" spans="1:38" ht="18.399999999999999" customHeight="1" x14ac:dyDescent="0.15">
      <c r="A86" s="35" t="s">
        <v>1355</v>
      </c>
      <c r="B86" s="31"/>
      <c r="C86" s="31"/>
      <c r="D86" s="31"/>
      <c r="E86" s="31"/>
      <c r="F86" s="39"/>
      <c r="K86" s="3" t="s">
        <v>1355</v>
      </c>
    </row>
    <row r="87" spans="1:38" ht="18.399999999999999" customHeight="1" x14ac:dyDescent="0.15">
      <c r="A87" s="35" t="s">
        <v>460</v>
      </c>
      <c r="B87" s="31"/>
      <c r="C87" s="31"/>
      <c r="D87" s="31"/>
      <c r="E87" s="31"/>
      <c r="F87" s="39"/>
      <c r="K87" s="3" t="s">
        <v>460</v>
      </c>
    </row>
    <row r="88" spans="1:38" ht="18.399999999999999" customHeight="1" x14ac:dyDescent="0.15">
      <c r="A88" s="35" t="s">
        <v>1850</v>
      </c>
      <c r="B88" s="31"/>
      <c r="C88" s="31"/>
      <c r="D88" s="31"/>
      <c r="E88" s="31"/>
      <c r="F88" s="39"/>
      <c r="K88" s="3" t="s">
        <v>1850</v>
      </c>
    </row>
    <row r="89" spans="1:38" ht="18.399999999999999" customHeight="1" x14ac:dyDescent="0.15">
      <c r="A89" s="35" t="s">
        <v>1850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98</v>
      </c>
      <c r="AA89" s="33" t="s">
        <v>829</v>
      </c>
      <c r="AB89" s="8">
        <f>ROUND(0,2)</f>
        <v>0</v>
      </c>
      <c r="AC89" s="33" t="s">
        <v>529</v>
      </c>
      <c r="AD89" s="7">
        <f>$AB89</f>
        <v>0</v>
      </c>
      <c r="AE89" s="33" t="s">
        <v>1602</v>
      </c>
      <c r="AF89" s="8">
        <f>ROUND(0,2)</f>
        <v>0</v>
      </c>
      <c r="AG89" s="33" t="s">
        <v>1640</v>
      </c>
      <c r="AH89" s="7">
        <f>$AF89</f>
        <v>0</v>
      </c>
      <c r="AI89" s="33" t="s">
        <v>1091</v>
      </c>
      <c r="AJ89" s="8">
        <f>ROUND(0,2)</f>
        <v>0</v>
      </c>
      <c r="AK89" s="33" t="s">
        <v>1264</v>
      </c>
      <c r="AL89" s="7">
        <f>$AJ89</f>
        <v>0</v>
      </c>
    </row>
    <row r="90" spans="1:38" ht="18.399999999999999" customHeight="1" x14ac:dyDescent="0.15">
      <c r="A90" s="35" t="s">
        <v>328</v>
      </c>
      <c r="B90" s="31"/>
      <c r="C90" s="31"/>
      <c r="D90" s="31"/>
      <c r="E90" s="31"/>
      <c r="F90" s="39"/>
      <c r="K90" s="3" t="s">
        <v>328</v>
      </c>
    </row>
    <row r="91" spans="1:38" ht="18.399999999999999" customHeight="1" x14ac:dyDescent="0.15">
      <c r="A91" s="35" t="s">
        <v>1140</v>
      </c>
      <c r="B91" s="31"/>
      <c r="C91" s="31"/>
      <c r="D91" s="31"/>
      <c r="E91" s="31"/>
      <c r="F91" s="39"/>
      <c r="K91" s="3" t="s">
        <v>1140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1492</v>
      </c>
      <c r="AB92" s="6">
        <v>0.18</v>
      </c>
      <c r="AC92" s="34" t="s">
        <v>1492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1698</v>
      </c>
      <c r="AB93" s="6">
        <v>0.9</v>
      </c>
      <c r="AC93" s="34" t="s">
        <v>1698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1649</v>
      </c>
      <c r="AA94" s="34" t="s">
        <v>1205</v>
      </c>
      <c r="AB94" s="8">
        <f>ROUND(1/1.25,2)</f>
        <v>0.8</v>
      </c>
      <c r="AC94" s="34" t="s">
        <v>1112</v>
      </c>
      <c r="AD94" s="7">
        <f t="shared" si="3"/>
        <v>0.8</v>
      </c>
      <c r="AE94" s="34" t="s">
        <v>1111</v>
      </c>
      <c r="AF94" s="8">
        <f>ROUND(ROUND(1/1.25,2),2)</f>
        <v>0.8</v>
      </c>
      <c r="AG94" s="34" t="s">
        <v>494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1026</v>
      </c>
      <c r="AB95" s="6">
        <v>0.3</v>
      </c>
      <c r="AC95" s="34" t="s">
        <v>1026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406</v>
      </c>
      <c r="AB96" s="6">
        <v>18</v>
      </c>
      <c r="AC96" s="34" t="s">
        <v>406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108</v>
      </c>
      <c r="AA97" s="34" t="s">
        <v>1280</v>
      </c>
      <c r="AB97" s="8">
        <f>ROUND(15*1000/$AD83*1.25,2)</f>
        <v>11.03</v>
      </c>
      <c r="AC97" s="34" t="s">
        <v>1806</v>
      </c>
      <c r="AD97" s="7">
        <f t="shared" si="3"/>
        <v>11.03</v>
      </c>
      <c r="AE97" s="34" t="s">
        <v>614</v>
      </c>
      <c r="AF97" s="8">
        <f>ROUND(ROUND(15*1000/$AD83*1.25,2),2)</f>
        <v>11.03</v>
      </c>
      <c r="AG97" s="34" t="s">
        <v>1204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1493</v>
      </c>
      <c r="AA98" s="34" t="s">
        <v>756</v>
      </c>
      <c r="AB98" s="8">
        <f>ROUND($AD97/($AD92*$AD93),2)</f>
        <v>68.09</v>
      </c>
      <c r="AC98" s="34" t="s">
        <v>939</v>
      </c>
      <c r="AD98" s="7">
        <f t="shared" si="3"/>
        <v>68.09</v>
      </c>
      <c r="AE98" s="34" t="s">
        <v>971</v>
      </c>
      <c r="AF98" s="8">
        <f>ROUND(ROUND($AD97/($AD92*$AD93),2),2)</f>
        <v>68.09</v>
      </c>
      <c r="AG98" s="34" t="s">
        <v>102</v>
      </c>
      <c r="AH98" s="7">
        <f>$AF98</f>
        <v>68.09</v>
      </c>
    </row>
    <row r="99" spans="1:38" ht="18.399999999999999" customHeight="1" x14ac:dyDescent="0.15">
      <c r="A99" s="35" t="s">
        <v>1147</v>
      </c>
      <c r="B99" s="31"/>
      <c r="C99" s="31"/>
      <c r="D99" s="31"/>
      <c r="E99" s="31"/>
      <c r="F99" s="39"/>
      <c r="K99" s="3" t="s">
        <v>1147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1113</v>
      </c>
      <c r="AA100" s="34" t="s">
        <v>276</v>
      </c>
      <c r="AB100" s="8">
        <f>ROUND(($AD96*$AD98)/(60*$AD95),2)</f>
        <v>68.09</v>
      </c>
      <c r="AC100" s="34" t="s">
        <v>1375</v>
      </c>
      <c r="AD100" s="7">
        <f t="shared" ref="AD100:AD107" si="4">$AB100</f>
        <v>68.09</v>
      </c>
      <c r="AE100" s="34" t="s">
        <v>157</v>
      </c>
      <c r="AF100" s="8">
        <f>ROUND(ROUND(($AD96*$AD98)/(60*$AD95),2),2)</f>
        <v>68.09</v>
      </c>
      <c r="AG100" s="34" t="s">
        <v>467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273</v>
      </c>
      <c r="AA101" s="34" t="s">
        <v>1760</v>
      </c>
      <c r="AB101" s="8">
        <f>ROUND($AD84/$AD85*2*60,2)</f>
        <v>18</v>
      </c>
      <c r="AC101" s="34" t="s">
        <v>639</v>
      </c>
      <c r="AD101" s="7">
        <f t="shared" si="4"/>
        <v>18</v>
      </c>
      <c r="AE101" s="34" t="s">
        <v>676</v>
      </c>
      <c r="AF101" s="8">
        <f>ROUND(ROUND($AD84/$AD85*2*60,2),2)</f>
        <v>18</v>
      </c>
      <c r="AG101" s="34" t="s">
        <v>1194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377</v>
      </c>
      <c r="AB102" s="6">
        <v>0.8</v>
      </c>
      <c r="AC102" s="34" t="s">
        <v>377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1022</v>
      </c>
      <c r="AB103" s="6">
        <v>0.42</v>
      </c>
      <c r="AC103" s="34" t="s">
        <v>1022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1725</v>
      </c>
      <c r="AB104" s="6">
        <v>0.5</v>
      </c>
      <c r="AC104" s="34" t="s">
        <v>1725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1235</v>
      </c>
      <c r="AA105" s="34" t="s">
        <v>886</v>
      </c>
      <c r="AB105" s="8">
        <f>ROUND($AD100+$AD101+$AD102+$AD103+$AD104,2)</f>
        <v>87.81</v>
      </c>
      <c r="AC105" s="34" t="s">
        <v>42</v>
      </c>
      <c r="AD105" s="7">
        <f t="shared" si="4"/>
        <v>87.81</v>
      </c>
      <c r="AE105" s="34" t="s">
        <v>714</v>
      </c>
      <c r="AF105" s="8">
        <f>ROUND(ROUND($AD100+$AD101+$AD102+$AD103+$AD104,2),2)</f>
        <v>87.81</v>
      </c>
      <c r="AG105" s="34" t="s">
        <v>699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932</v>
      </c>
      <c r="AB106" s="6">
        <v>0.9</v>
      </c>
      <c r="AC106" s="34" t="s">
        <v>932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66</v>
      </c>
      <c r="AA107" s="34" t="s">
        <v>383</v>
      </c>
      <c r="AB107" s="8">
        <f>ROUND(60*$AD97*$AD94*$AD106/$AD105,2)</f>
        <v>5.43</v>
      </c>
      <c r="AC107" s="34" t="s">
        <v>1323</v>
      </c>
      <c r="AD107" s="7">
        <f t="shared" si="4"/>
        <v>5.43</v>
      </c>
      <c r="AE107" s="34" t="s">
        <v>1617</v>
      </c>
      <c r="AF107" s="8">
        <f>ROUND(ROUND(60*$AD97*$AD94*$AD106/$AD105,2),2)</f>
        <v>5.43</v>
      </c>
      <c r="AG107" s="34" t="s">
        <v>308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1850</v>
      </c>
      <c r="K108" s="3" t="s">
        <v>256</v>
      </c>
      <c r="AA108" s="33" t="s">
        <v>829</v>
      </c>
      <c r="AB108" s="8">
        <f>TRUNC((중기사용료목록!E8+중기사용료목록!E9)*($AD105-$AD100)/$AD105/$AD107,0)</f>
        <v>1231</v>
      </c>
      <c r="AC108" s="33" t="s">
        <v>529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1850</v>
      </c>
      <c r="K109" s="3" t="s">
        <v>321</v>
      </c>
      <c r="AA109" s="33" t="s">
        <v>1602</v>
      </c>
      <c r="AB109" s="8">
        <f>TRUNC((중기사용료목록!F8+중기사용료목록!F9)/$AD107,0)</f>
        <v>10257</v>
      </c>
      <c r="AC109" s="33" t="s">
        <v>1640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1850</v>
      </c>
      <c r="K110" s="3" t="s">
        <v>795</v>
      </c>
      <c r="AA110" s="33" t="s">
        <v>1091</v>
      </c>
      <c r="AB110" s="8">
        <f>TRUNC((중기사용료목록!G8+중기사용료목록!G9)/$AD107,0)</f>
        <v>3691</v>
      </c>
      <c r="AC110" s="33" t="s">
        <v>1264</v>
      </c>
      <c r="AD110" s="7">
        <f>$AL89+$AB110</f>
        <v>3691</v>
      </c>
    </row>
    <row r="111" spans="1:38" ht="18.399999999999999" customHeight="1" x14ac:dyDescent="0.15">
      <c r="A111" s="35" t="s">
        <v>1414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767</v>
      </c>
      <c r="AA111" s="33" t="s">
        <v>829</v>
      </c>
      <c r="AB111" s="8">
        <f>TRUNC($AD108,0)</f>
        <v>1231</v>
      </c>
      <c r="AC111" s="33" t="s">
        <v>529</v>
      </c>
      <c r="AD111" s="7">
        <f>$AB111</f>
        <v>1231</v>
      </c>
      <c r="AE111" s="33" t="s">
        <v>1602</v>
      </c>
      <c r="AF111" s="8">
        <f>TRUNC($AD109,0)</f>
        <v>10257</v>
      </c>
      <c r="AG111" s="33" t="s">
        <v>1640</v>
      </c>
      <c r="AH111" s="7">
        <f>$AF111</f>
        <v>10257</v>
      </c>
      <c r="AI111" s="33" t="s">
        <v>1091</v>
      </c>
      <c r="AJ111" s="8">
        <f>TRUNC($AD110,0)</f>
        <v>3691</v>
      </c>
      <c r="AK111" s="33" t="s">
        <v>1264</v>
      </c>
      <c r="AL111" s="7">
        <f>$AJ111</f>
        <v>3691</v>
      </c>
    </row>
    <row r="112" spans="1:38" ht="18.399999999999999" customHeight="1" x14ac:dyDescent="0.15">
      <c r="A112" s="35" t="s">
        <v>1850</v>
      </c>
      <c r="B112" s="31"/>
      <c r="C112" s="31"/>
      <c r="D112" s="31"/>
      <c r="E112" s="31"/>
      <c r="F112" s="39"/>
      <c r="K112" s="3" t="s">
        <v>1850</v>
      </c>
    </row>
    <row r="113" spans="1:38" ht="18.399999999999999" customHeight="1" x14ac:dyDescent="0.15">
      <c r="A113" s="35" t="s">
        <v>1103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1593</v>
      </c>
      <c r="AA113" s="33" t="s">
        <v>1396</v>
      </c>
      <c r="AB113" s="8">
        <f>TRUNC(($AD111),0)</f>
        <v>1231</v>
      </c>
      <c r="AC113" s="33" t="s">
        <v>1559</v>
      </c>
      <c r="AD113" s="7">
        <f>$AB113</f>
        <v>1231</v>
      </c>
      <c r="AE113" s="33" t="s">
        <v>213</v>
      </c>
      <c r="AF113" s="8">
        <f>TRUNC(($AH111),0)</f>
        <v>10257</v>
      </c>
      <c r="AG113" s="33" t="s">
        <v>762</v>
      </c>
      <c r="AH113" s="7">
        <f>$AF113</f>
        <v>10257</v>
      </c>
      <c r="AI113" s="33" t="s">
        <v>615</v>
      </c>
      <c r="AJ113" s="8">
        <f>TRUNC(($AL111),0)</f>
        <v>3691</v>
      </c>
      <c r="AK113" s="33" t="s">
        <v>1036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1089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1043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1850</v>
      </c>
      <c r="G117" t="s">
        <v>1850</v>
      </c>
      <c r="H117" t="s">
        <v>953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1850</v>
      </c>
      <c r="B119" s="3"/>
      <c r="C119" s="3"/>
      <c r="D119" s="3"/>
      <c r="E119" s="3"/>
      <c r="F119" s="38"/>
      <c r="G119" t="s">
        <v>1850</v>
      </c>
      <c r="I119" t="s">
        <v>243</v>
      </c>
      <c r="J119" t="s">
        <v>1850</v>
      </c>
      <c r="K119" t="s">
        <v>1591</v>
      </c>
    </row>
    <row r="120" spans="1:38" ht="18.399999999999999" customHeight="1" x14ac:dyDescent="0.15">
      <c r="A120" s="35" t="s">
        <v>531</v>
      </c>
      <c r="B120" s="31"/>
      <c r="C120" s="31"/>
      <c r="D120" s="31"/>
      <c r="E120" s="31"/>
      <c r="F120" s="39"/>
      <c r="K120" s="3" t="s">
        <v>531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352</v>
      </c>
      <c r="AB121" s="6">
        <v>1700</v>
      </c>
      <c r="AC121" s="34" t="s">
        <v>352</v>
      </c>
      <c r="AD121" s="7">
        <f>$AB121</f>
        <v>1700</v>
      </c>
    </row>
    <row r="122" spans="1:38" ht="18.399999999999999" customHeight="1" x14ac:dyDescent="0.15">
      <c r="A122" s="35" t="s">
        <v>198</v>
      </c>
      <c r="B122" s="31"/>
      <c r="C122" s="31"/>
      <c r="D122" s="31"/>
      <c r="E122" s="31"/>
      <c r="F122" s="39"/>
      <c r="K122" s="3" t="s">
        <v>439</v>
      </c>
    </row>
    <row r="123" spans="1:38" ht="18.399999999999999" customHeight="1" x14ac:dyDescent="0.15">
      <c r="A123" s="35" t="s">
        <v>530</v>
      </c>
      <c r="B123" s="31"/>
      <c r="C123" s="31"/>
      <c r="D123" s="31"/>
      <c r="E123" s="31"/>
      <c r="F123" s="39"/>
      <c r="K123" s="3" t="s">
        <v>1354</v>
      </c>
    </row>
    <row r="124" spans="1:38" ht="18.399999999999999" customHeight="1" x14ac:dyDescent="0.15">
      <c r="A124" s="35" t="s">
        <v>1340</v>
      </c>
      <c r="B124" s="31"/>
      <c r="C124" s="31"/>
      <c r="D124" s="31"/>
      <c r="E124" s="31"/>
      <c r="F124" s="39"/>
      <c r="K124" s="3" t="s">
        <v>423</v>
      </c>
    </row>
    <row r="125" spans="1:38" ht="18.399999999999999" customHeight="1" x14ac:dyDescent="0.15">
      <c r="A125" s="35" t="s">
        <v>1474</v>
      </c>
      <c r="B125" s="31"/>
      <c r="C125" s="31"/>
      <c r="D125" s="31"/>
      <c r="E125" s="31"/>
      <c r="F125" s="39"/>
      <c r="K125" s="3" t="s">
        <v>1474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1796</v>
      </c>
      <c r="AB126" s="6">
        <v>2</v>
      </c>
      <c r="AC126" s="34" t="s">
        <v>1796</v>
      </c>
      <c r="AD126" s="7">
        <f>$AB126</f>
        <v>2</v>
      </c>
      <c r="AE126" s="34" t="s">
        <v>177</v>
      </c>
      <c r="AF126" s="6">
        <v>16</v>
      </c>
      <c r="AG126" s="34" t="s">
        <v>177</v>
      </c>
      <c r="AH126" s="7">
        <f>$AF126</f>
        <v>16</v>
      </c>
      <c r="AI126" s="34" t="s">
        <v>866</v>
      </c>
      <c r="AJ126" s="6">
        <v>2</v>
      </c>
      <c r="AK126" s="34" t="s">
        <v>866</v>
      </c>
      <c r="AL126" s="7">
        <f>$AJ126</f>
        <v>2</v>
      </c>
    </row>
    <row r="127" spans="1:38" ht="18.399999999999999" customHeight="1" x14ac:dyDescent="0.15">
      <c r="A127" s="35" t="s">
        <v>1188</v>
      </c>
      <c r="B127" s="31"/>
      <c r="C127" s="31"/>
      <c r="D127" s="31"/>
      <c r="E127" s="31"/>
      <c r="F127" s="39"/>
      <c r="K127" s="3" t="s">
        <v>1188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1609</v>
      </c>
      <c r="AB128" s="6">
        <v>20</v>
      </c>
      <c r="AC128" s="34" t="s">
        <v>1609</v>
      </c>
      <c r="AD128" s="7">
        <f>$AB128</f>
        <v>20</v>
      </c>
      <c r="AE128" s="34" t="s">
        <v>407</v>
      </c>
      <c r="AF128" s="6">
        <v>50</v>
      </c>
      <c r="AG128" s="34" t="s">
        <v>407</v>
      </c>
      <c r="AH128" s="7">
        <f>$AF128</f>
        <v>50</v>
      </c>
      <c r="AI128" s="34" t="s">
        <v>609</v>
      </c>
      <c r="AJ128" s="6">
        <v>20</v>
      </c>
      <c r="AK128" s="34" t="s">
        <v>609</v>
      </c>
      <c r="AL128" s="7">
        <f>$AJ128</f>
        <v>20</v>
      </c>
    </row>
    <row r="129" spans="1:38" ht="18.399999999999999" customHeight="1" x14ac:dyDescent="0.15">
      <c r="A129" s="35" t="s">
        <v>1850</v>
      </c>
      <c r="B129" s="31"/>
      <c r="C129" s="31"/>
      <c r="D129" s="31"/>
      <c r="E129" s="31"/>
      <c r="F129" s="39"/>
      <c r="K129" s="3" t="s">
        <v>1850</v>
      </c>
    </row>
    <row r="130" spans="1:38" ht="18.399999999999999" customHeight="1" x14ac:dyDescent="0.15">
      <c r="A130" s="35" t="s">
        <v>1850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98</v>
      </c>
      <c r="AA130" s="33" t="s">
        <v>829</v>
      </c>
      <c r="AB130" s="8">
        <f>ROUND(0,2)</f>
        <v>0</v>
      </c>
      <c r="AC130" s="33" t="s">
        <v>529</v>
      </c>
      <c r="AD130" s="7">
        <f>$AB130</f>
        <v>0</v>
      </c>
      <c r="AE130" s="33" t="s">
        <v>1602</v>
      </c>
      <c r="AF130" s="8">
        <f>ROUND(0,2)</f>
        <v>0</v>
      </c>
      <c r="AG130" s="33" t="s">
        <v>1640</v>
      </c>
      <c r="AH130" s="7">
        <f>$AF130</f>
        <v>0</v>
      </c>
      <c r="AI130" s="33" t="s">
        <v>1091</v>
      </c>
      <c r="AJ130" s="8">
        <f>ROUND(0,2)</f>
        <v>0</v>
      </c>
      <c r="AK130" s="33" t="s">
        <v>1264</v>
      </c>
      <c r="AL130" s="7">
        <f>$AJ130</f>
        <v>0</v>
      </c>
    </row>
    <row r="131" spans="1:38" ht="18.399999999999999" customHeight="1" x14ac:dyDescent="0.15">
      <c r="A131" s="35" t="s">
        <v>328</v>
      </c>
      <c r="B131" s="31"/>
      <c r="C131" s="31"/>
      <c r="D131" s="31"/>
      <c r="E131" s="31"/>
      <c r="F131" s="39"/>
      <c r="K131" s="3" t="s">
        <v>328</v>
      </c>
    </row>
    <row r="132" spans="1:38" ht="18.399999999999999" customHeight="1" x14ac:dyDescent="0.15">
      <c r="A132" s="35" t="s">
        <v>693</v>
      </c>
      <c r="B132" s="31"/>
      <c r="C132" s="31"/>
      <c r="D132" s="31"/>
      <c r="E132" s="31"/>
      <c r="F132" s="39"/>
      <c r="K132" s="3" t="s">
        <v>693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1492</v>
      </c>
      <c r="AB133" s="6">
        <v>0.6</v>
      </c>
      <c r="AC133" s="34" t="s">
        <v>1492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1698</v>
      </c>
      <c r="AB134" s="6">
        <v>0.9</v>
      </c>
      <c r="AC134" s="34" t="s">
        <v>1698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1298</v>
      </c>
      <c r="AA135" s="34" t="s">
        <v>1205</v>
      </c>
      <c r="AB135" s="8">
        <f>ROUND(1/1.25,2)</f>
        <v>0.8</v>
      </c>
      <c r="AC135" s="34" t="s">
        <v>1112</v>
      </c>
      <c r="AD135" s="7">
        <f t="shared" si="5"/>
        <v>0.8</v>
      </c>
      <c r="AE135" s="34" t="s">
        <v>679</v>
      </c>
      <c r="AF135" s="8">
        <f>ROUND(ROUND(1/1.25,2),2)</f>
        <v>0.8</v>
      </c>
      <c r="AG135" s="34" t="s">
        <v>1187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1026</v>
      </c>
      <c r="AB136" s="6">
        <v>0.3</v>
      </c>
      <c r="AC136" s="34" t="s">
        <v>1026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406</v>
      </c>
      <c r="AB137" s="6">
        <v>20</v>
      </c>
      <c r="AC137" s="34" t="s">
        <v>406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108</v>
      </c>
      <c r="AA138" s="34" t="s">
        <v>1280</v>
      </c>
      <c r="AB138" s="8">
        <f>ROUND(15*1000/$AD121*1.25,2)</f>
        <v>11.03</v>
      </c>
      <c r="AC138" s="34" t="s">
        <v>1806</v>
      </c>
      <c r="AD138" s="7">
        <f t="shared" si="5"/>
        <v>11.03</v>
      </c>
      <c r="AE138" s="34" t="s">
        <v>116</v>
      </c>
      <c r="AF138" s="8">
        <f>ROUND(ROUND(15*1000/$AD121*1.25,2),2)</f>
        <v>11.03</v>
      </c>
      <c r="AG138" s="34" t="s">
        <v>588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1012</v>
      </c>
      <c r="AA139" s="34" t="s">
        <v>756</v>
      </c>
      <c r="AB139" s="8">
        <f>ROUND($AD138/($AD133*$AD134),2)</f>
        <v>20.43</v>
      </c>
      <c r="AC139" s="34" t="s">
        <v>939</v>
      </c>
      <c r="AD139" s="7">
        <f t="shared" si="5"/>
        <v>20.43</v>
      </c>
      <c r="AE139" s="34" t="s">
        <v>574</v>
      </c>
      <c r="AF139" s="8">
        <f>ROUND(ROUND($AD138/($AD133*$AD134),2),2)</f>
        <v>20.43</v>
      </c>
      <c r="AG139" s="34" t="s">
        <v>1536</v>
      </c>
      <c r="AH139" s="7">
        <f>$AF139</f>
        <v>20.43</v>
      </c>
    </row>
    <row r="140" spans="1:38" ht="18.399999999999999" customHeight="1" x14ac:dyDescent="0.15">
      <c r="A140" s="35" t="s">
        <v>1147</v>
      </c>
      <c r="B140" s="31"/>
      <c r="C140" s="31"/>
      <c r="D140" s="31"/>
      <c r="E140" s="31"/>
      <c r="F140" s="39"/>
      <c r="K140" s="3" t="s">
        <v>1147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1782</v>
      </c>
      <c r="AA141" s="34" t="s">
        <v>276</v>
      </c>
      <c r="AB141" s="8">
        <f>ROUND(($AD137*$AD139)/(60*$AD136),2)</f>
        <v>22.7</v>
      </c>
      <c r="AC141" s="34" t="s">
        <v>1375</v>
      </c>
      <c r="AD141" s="7">
        <f t="shared" ref="AD141:AD148" si="6">$AB141</f>
        <v>22.7</v>
      </c>
      <c r="AE141" s="34" t="s">
        <v>351</v>
      </c>
      <c r="AF141" s="8">
        <f>ROUND(ROUND(($AD137*$AD139)/(60*$AD136),2),2)</f>
        <v>22.7</v>
      </c>
      <c r="AG141" s="34" t="s">
        <v>1279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32</v>
      </c>
      <c r="AA142" s="34" t="s">
        <v>1760</v>
      </c>
      <c r="AB142" s="8">
        <f>ROUND(($AD126/$AD128+$AH126/$AH128+$AL126/$AL128)*2*60,2)</f>
        <v>62.4</v>
      </c>
      <c r="AC142" s="34" t="s">
        <v>639</v>
      </c>
      <c r="AD142" s="7">
        <f t="shared" si="6"/>
        <v>62.4</v>
      </c>
      <c r="AE142" s="34" t="s">
        <v>1697</v>
      </c>
      <c r="AF142" s="8">
        <f>ROUND(ROUND(($AD126/$AD128+$AH126/$AH128+$AL126/$AL128)*2*60,2),2)</f>
        <v>62.4</v>
      </c>
      <c r="AG142" s="34" t="s">
        <v>593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377</v>
      </c>
      <c r="AB143" s="6">
        <v>0.5</v>
      </c>
      <c r="AC143" s="34" t="s">
        <v>377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1022</v>
      </c>
      <c r="AB144" s="6">
        <v>0.42</v>
      </c>
      <c r="AC144" s="34" t="s">
        <v>1022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1725</v>
      </c>
      <c r="AB145" s="6">
        <v>0.5</v>
      </c>
      <c r="AC145" s="34" t="s">
        <v>1725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932</v>
      </c>
      <c r="AB146" s="6">
        <v>0.9</v>
      </c>
      <c r="AC146" s="34" t="s">
        <v>932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1108</v>
      </c>
      <c r="AA147" s="34" t="s">
        <v>886</v>
      </c>
      <c r="AB147" s="8">
        <f>ROUND($AD141+$AD142+$AD143+$AD144+$AD145,2)</f>
        <v>86.52</v>
      </c>
      <c r="AC147" s="34" t="s">
        <v>42</v>
      </c>
      <c r="AD147" s="7">
        <f t="shared" si="6"/>
        <v>86.52</v>
      </c>
      <c r="AE147" s="34" t="s">
        <v>1233</v>
      </c>
      <c r="AF147" s="8">
        <f>ROUND(ROUND($AD141+$AD142+$AD143+$AD144+$AD145,2),2)</f>
        <v>86.52</v>
      </c>
      <c r="AG147" s="34" t="s">
        <v>339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720</v>
      </c>
      <c r="AA148" s="34" t="s">
        <v>383</v>
      </c>
      <c r="AB148" s="8">
        <f>ROUND(60*$AD138*$AD146*$AD135/$AD147,2)</f>
        <v>5.51</v>
      </c>
      <c r="AC148" s="34" t="s">
        <v>1323</v>
      </c>
      <c r="AD148" s="7">
        <f t="shared" si="6"/>
        <v>5.51</v>
      </c>
      <c r="AE148" s="34" t="s">
        <v>904</v>
      </c>
      <c r="AF148" s="8">
        <f>ROUND(ROUND(60*$AD138*$AD146*$AD135/$AD147,2),2)</f>
        <v>5.51</v>
      </c>
      <c r="AG148" s="34" t="s">
        <v>1010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1850</v>
      </c>
      <c r="K149" s="3" t="s">
        <v>256</v>
      </c>
      <c r="AA149" s="33" t="s">
        <v>829</v>
      </c>
      <c r="AB149" s="8">
        <f>TRUNC((중기사용료목록!E8+중기사용료목록!E9)*($AD147-$AD141)/$AD147/$AD148,0)</f>
        <v>3985</v>
      </c>
      <c r="AC149" s="33" t="s">
        <v>529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1850</v>
      </c>
      <c r="K150" s="3" t="s">
        <v>321</v>
      </c>
      <c r="AA150" s="33" t="s">
        <v>1602</v>
      </c>
      <c r="AB150" s="8">
        <f>TRUNC((중기사용료목록!F8+중기사용료목록!F9)/$AD148,0)</f>
        <v>10108</v>
      </c>
      <c r="AC150" s="33" t="s">
        <v>1640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1850</v>
      </c>
      <c r="K151" s="3" t="s">
        <v>795</v>
      </c>
      <c r="AA151" s="33" t="s">
        <v>1091</v>
      </c>
      <c r="AB151" s="8">
        <f>TRUNC((중기사용료목록!G8+중기사용료목록!G9)/$AD148,0)</f>
        <v>3637</v>
      </c>
      <c r="AC151" s="33" t="s">
        <v>1264</v>
      </c>
      <c r="AD151" s="7">
        <f>$AL130+$AB151</f>
        <v>3637</v>
      </c>
    </row>
    <row r="152" spans="1:38" ht="18.399999999999999" customHeight="1" x14ac:dyDescent="0.15">
      <c r="A152" s="35" t="s">
        <v>1414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767</v>
      </c>
      <c r="AA152" s="33" t="s">
        <v>829</v>
      </c>
      <c r="AB152" s="8">
        <f>TRUNC($AD149,0)</f>
        <v>3985</v>
      </c>
      <c r="AC152" s="33" t="s">
        <v>529</v>
      </c>
      <c r="AD152" s="7">
        <f>$AB152</f>
        <v>3985</v>
      </c>
      <c r="AE152" s="33" t="s">
        <v>1602</v>
      </c>
      <c r="AF152" s="8">
        <f>TRUNC($AD150,0)</f>
        <v>10108</v>
      </c>
      <c r="AG152" s="33" t="s">
        <v>1640</v>
      </c>
      <c r="AH152" s="7">
        <f>$AF152</f>
        <v>10108</v>
      </c>
      <c r="AI152" s="33" t="s">
        <v>1091</v>
      </c>
      <c r="AJ152" s="8">
        <f>TRUNC($AD151,0)</f>
        <v>3637</v>
      </c>
      <c r="AK152" s="33" t="s">
        <v>1264</v>
      </c>
      <c r="AL152" s="7">
        <f>$AJ152</f>
        <v>3637</v>
      </c>
    </row>
    <row r="153" spans="1:38" ht="18.399999999999999" customHeight="1" x14ac:dyDescent="0.15">
      <c r="A153" s="35" t="s">
        <v>1850</v>
      </c>
      <c r="B153" s="31"/>
      <c r="C153" s="31"/>
      <c r="D153" s="31"/>
      <c r="E153" s="31"/>
      <c r="F153" s="39"/>
      <c r="K153" s="3" t="s">
        <v>1850</v>
      </c>
    </row>
    <row r="154" spans="1:38" ht="18.399999999999999" customHeight="1" x14ac:dyDescent="0.15">
      <c r="A154" s="35" t="s">
        <v>1629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1561</v>
      </c>
      <c r="AA154" s="33" t="s">
        <v>1396</v>
      </c>
      <c r="AB154" s="8">
        <f>TRUNC(($AD152),0)</f>
        <v>3985</v>
      </c>
      <c r="AC154" s="33" t="s">
        <v>1559</v>
      </c>
      <c r="AD154" s="7">
        <f>$AB154</f>
        <v>3985</v>
      </c>
      <c r="AE154" s="33" t="s">
        <v>213</v>
      </c>
      <c r="AF154" s="8">
        <f>TRUNC(($AH152),0)</f>
        <v>10108</v>
      </c>
      <c r="AG154" s="33" t="s">
        <v>762</v>
      </c>
      <c r="AH154" s="7">
        <f>$AF154</f>
        <v>10108</v>
      </c>
      <c r="AI154" s="33" t="s">
        <v>615</v>
      </c>
      <c r="AJ154" s="8">
        <f>TRUNC(($AL152),0)</f>
        <v>3637</v>
      </c>
      <c r="AK154" s="33" t="s">
        <v>1036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1089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1686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1850</v>
      </c>
      <c r="G158" t="s">
        <v>1850</v>
      </c>
      <c r="H158" t="s">
        <v>1498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1850</v>
      </c>
      <c r="B160" s="3"/>
      <c r="C160" s="3"/>
      <c r="D160" s="3"/>
      <c r="E160" s="3"/>
      <c r="F160" s="38"/>
      <c r="G160" t="s">
        <v>1850</v>
      </c>
      <c r="I160" t="s">
        <v>243</v>
      </c>
      <c r="J160" t="s">
        <v>1850</v>
      </c>
      <c r="K160" t="s">
        <v>1591</v>
      </c>
    </row>
    <row r="161" spans="1:38" ht="18.399999999999999" customHeight="1" x14ac:dyDescent="0.15">
      <c r="A161" s="35" t="s">
        <v>28</v>
      </c>
      <c r="B161" s="31"/>
      <c r="C161" s="31"/>
      <c r="D161" s="31"/>
      <c r="E161" s="31"/>
      <c r="F161" s="39"/>
      <c r="K161" s="3" t="s">
        <v>28</v>
      </c>
    </row>
    <row r="162" spans="1:38" ht="18.399999999999999" customHeight="1" x14ac:dyDescent="0.15">
      <c r="A162" s="35" t="s">
        <v>1508</v>
      </c>
      <c r="B162" s="31"/>
      <c r="C162" s="31"/>
      <c r="D162" s="31"/>
      <c r="E162" s="31"/>
      <c r="F162" s="39"/>
      <c r="K162" s="3" t="s">
        <v>1508</v>
      </c>
    </row>
    <row r="163" spans="1:38" ht="18.399999999999999" customHeight="1" x14ac:dyDescent="0.15">
      <c r="A163" s="35" t="s">
        <v>1494</v>
      </c>
      <c r="B163" s="31"/>
      <c r="C163" s="31"/>
      <c r="D163" s="31"/>
      <c r="E163" s="31"/>
      <c r="F163" s="39"/>
      <c r="K163" s="3" t="s">
        <v>6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352</v>
      </c>
      <c r="AB164" s="6">
        <v>2350</v>
      </c>
      <c r="AC164" s="34" t="s">
        <v>352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1749</v>
      </c>
      <c r="AB165" s="6">
        <v>3</v>
      </c>
      <c r="AC165" s="34" t="s">
        <v>1749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87</v>
      </c>
      <c r="AB166" s="6">
        <v>20</v>
      </c>
      <c r="AC166" s="34" t="s">
        <v>87</v>
      </c>
      <c r="AD166" s="7">
        <f>$AB166</f>
        <v>20</v>
      </c>
    </row>
    <row r="167" spans="1:38" ht="18.399999999999999" customHeight="1" x14ac:dyDescent="0.15">
      <c r="A167" s="35" t="s">
        <v>1355</v>
      </c>
      <c r="B167" s="31"/>
      <c r="C167" s="31"/>
      <c r="D167" s="31"/>
      <c r="E167" s="31"/>
      <c r="F167" s="39"/>
      <c r="K167" s="3" t="s">
        <v>1355</v>
      </c>
    </row>
    <row r="168" spans="1:38" ht="18.399999999999999" customHeight="1" x14ac:dyDescent="0.15">
      <c r="A168" s="35" t="s">
        <v>460</v>
      </c>
      <c r="B168" s="31"/>
      <c r="C168" s="31"/>
      <c r="D168" s="31"/>
      <c r="E168" s="31"/>
      <c r="F168" s="39"/>
      <c r="K168" s="3" t="s">
        <v>460</v>
      </c>
    </row>
    <row r="169" spans="1:38" ht="18.399999999999999" customHeight="1" x14ac:dyDescent="0.15">
      <c r="A169" s="35" t="s">
        <v>1850</v>
      </c>
      <c r="B169" s="31"/>
      <c r="C169" s="31"/>
      <c r="D169" s="31"/>
      <c r="E169" s="31"/>
      <c r="F169" s="39"/>
      <c r="K169" s="3" t="s">
        <v>1850</v>
      </c>
    </row>
    <row r="170" spans="1:38" ht="18.399999999999999" customHeight="1" x14ac:dyDescent="0.15">
      <c r="A170" s="35" t="s">
        <v>1850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98</v>
      </c>
      <c r="AA170" s="33" t="s">
        <v>829</v>
      </c>
      <c r="AB170" s="8">
        <f>ROUND(0,2)</f>
        <v>0</v>
      </c>
      <c r="AC170" s="33" t="s">
        <v>529</v>
      </c>
      <c r="AD170" s="7">
        <f>$AB170</f>
        <v>0</v>
      </c>
      <c r="AE170" s="33" t="s">
        <v>1602</v>
      </c>
      <c r="AF170" s="8">
        <f>ROUND(0,2)</f>
        <v>0</v>
      </c>
      <c r="AG170" s="33" t="s">
        <v>1640</v>
      </c>
      <c r="AH170" s="7">
        <f>$AF170</f>
        <v>0</v>
      </c>
      <c r="AI170" s="33" t="s">
        <v>1091</v>
      </c>
      <c r="AJ170" s="8">
        <f>ROUND(0,2)</f>
        <v>0</v>
      </c>
      <c r="AK170" s="33" t="s">
        <v>1264</v>
      </c>
      <c r="AL170" s="7">
        <f>$AJ170</f>
        <v>0</v>
      </c>
    </row>
    <row r="171" spans="1:38" ht="18.399999999999999" customHeight="1" x14ac:dyDescent="0.15">
      <c r="A171" s="35" t="s">
        <v>328</v>
      </c>
      <c r="B171" s="31"/>
      <c r="C171" s="31"/>
      <c r="D171" s="31"/>
      <c r="E171" s="31"/>
      <c r="F171" s="39"/>
      <c r="K171" s="3" t="s">
        <v>328</v>
      </c>
    </row>
    <row r="172" spans="1:38" ht="18.399999999999999" customHeight="1" x14ac:dyDescent="0.15">
      <c r="A172" s="35" t="s">
        <v>1140</v>
      </c>
      <c r="B172" s="31"/>
      <c r="C172" s="31"/>
      <c r="D172" s="31"/>
      <c r="E172" s="31"/>
      <c r="F172" s="39"/>
      <c r="K172" s="3" t="s">
        <v>1140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1492</v>
      </c>
      <c r="AB173" s="6">
        <v>0.18</v>
      </c>
      <c r="AC173" s="34" t="s">
        <v>1492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1698</v>
      </c>
      <c r="AB174" s="6">
        <v>0.55000000000000004</v>
      </c>
      <c r="AC174" s="34" t="s">
        <v>1698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1224</v>
      </c>
      <c r="AA175" s="34" t="s">
        <v>1205</v>
      </c>
      <c r="AB175" s="8">
        <f>ROUND(1/1.4,3)</f>
        <v>0.71399999999999997</v>
      </c>
      <c r="AC175" s="34" t="s">
        <v>1112</v>
      </c>
      <c r="AD175" s="7">
        <f t="shared" si="8"/>
        <v>0.71399999999999997</v>
      </c>
      <c r="AE175" s="34" t="s">
        <v>275</v>
      </c>
      <c r="AF175" s="8">
        <f>ROUND(ROUND(1/1.4,3),3)</f>
        <v>0.71399999999999997</v>
      </c>
      <c r="AG175" s="34" t="s">
        <v>1104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1026</v>
      </c>
      <c r="AB176" s="6">
        <v>0.45</v>
      </c>
      <c r="AC176" s="34" t="s">
        <v>1026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406</v>
      </c>
      <c r="AB177" s="6">
        <v>15</v>
      </c>
      <c r="AC177" s="34" t="s">
        <v>406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1371</v>
      </c>
      <c r="AA178" s="34" t="s">
        <v>1280</v>
      </c>
      <c r="AB178" s="8">
        <f>ROUND(15*1000/$AD164*1.4,2)</f>
        <v>8.94</v>
      </c>
      <c r="AC178" s="34" t="s">
        <v>1806</v>
      </c>
      <c r="AD178" s="7">
        <f t="shared" si="8"/>
        <v>8.94</v>
      </c>
      <c r="AE178" s="34" t="s">
        <v>891</v>
      </c>
      <c r="AF178" s="8">
        <f>ROUND(ROUND(15*1000/$AD164*1.4,2),2)</f>
        <v>8.94</v>
      </c>
      <c r="AG178" s="34" t="s">
        <v>503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1493</v>
      </c>
      <c r="AA179" s="34" t="s">
        <v>756</v>
      </c>
      <c r="AB179" s="8">
        <f>ROUND($AD178/($AD173*$AD174),2)</f>
        <v>90.3</v>
      </c>
      <c r="AC179" s="34" t="s">
        <v>939</v>
      </c>
      <c r="AD179" s="7">
        <f t="shared" si="8"/>
        <v>90.3</v>
      </c>
      <c r="AE179" s="34" t="s">
        <v>419</v>
      </c>
      <c r="AF179" s="8">
        <f>ROUND(ROUND($AD178/($AD173*$AD174),2),2)</f>
        <v>90.3</v>
      </c>
      <c r="AG179" s="34" t="s">
        <v>1613</v>
      </c>
      <c r="AH179" s="7">
        <f>$AF179</f>
        <v>90.3</v>
      </c>
    </row>
    <row r="180" spans="1:38" ht="18.399999999999999" customHeight="1" x14ac:dyDescent="0.15">
      <c r="A180" s="35" t="s">
        <v>1147</v>
      </c>
      <c r="B180" s="31"/>
      <c r="C180" s="31"/>
      <c r="D180" s="31"/>
      <c r="E180" s="31"/>
      <c r="F180" s="39"/>
      <c r="K180" s="3" t="s">
        <v>1147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1113</v>
      </c>
      <c r="AA181" s="34" t="s">
        <v>276</v>
      </c>
      <c r="AB181" s="8">
        <f>ROUND(($AD177*$AD179)/(60*$AD176),2)</f>
        <v>50.17</v>
      </c>
      <c r="AC181" s="34" t="s">
        <v>1375</v>
      </c>
      <c r="AD181" s="7">
        <f t="shared" ref="AD181:AD188" si="9">$AB181</f>
        <v>50.17</v>
      </c>
      <c r="AE181" s="34" t="s">
        <v>1211</v>
      </c>
      <c r="AF181" s="8">
        <f>ROUND(ROUND(($AD177*$AD179)/(60*$AD176),2),2)</f>
        <v>50.17</v>
      </c>
      <c r="AG181" s="34" t="s">
        <v>1361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273</v>
      </c>
      <c r="AA182" s="34" t="s">
        <v>1760</v>
      </c>
      <c r="AB182" s="8">
        <f>ROUND($AD165/$AD166*2*60,2)</f>
        <v>18</v>
      </c>
      <c r="AC182" s="34" t="s">
        <v>639</v>
      </c>
      <c r="AD182" s="7">
        <f t="shared" si="9"/>
        <v>18</v>
      </c>
      <c r="AE182" s="34" t="s">
        <v>772</v>
      </c>
      <c r="AF182" s="8">
        <f>ROUND(ROUND($AD165/$AD166*2*60,2),2)</f>
        <v>18</v>
      </c>
      <c r="AG182" s="34" t="s">
        <v>710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377</v>
      </c>
      <c r="AB183" s="6">
        <v>0.8</v>
      </c>
      <c r="AC183" s="34" t="s">
        <v>377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1022</v>
      </c>
      <c r="AB184" s="6">
        <v>0.42</v>
      </c>
      <c r="AC184" s="34" t="s">
        <v>1022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1725</v>
      </c>
      <c r="AB185" s="6">
        <v>0.5</v>
      </c>
      <c r="AC185" s="34" t="s">
        <v>1725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1235</v>
      </c>
      <c r="AA186" s="34" t="s">
        <v>886</v>
      </c>
      <c r="AB186" s="8">
        <f>ROUND($AD181+$AD182+$AD183+$AD184+$AD185,2)</f>
        <v>69.89</v>
      </c>
      <c r="AC186" s="34" t="s">
        <v>42</v>
      </c>
      <c r="AD186" s="7">
        <f t="shared" si="9"/>
        <v>69.89</v>
      </c>
      <c r="AE186" s="34" t="s">
        <v>807</v>
      </c>
      <c r="AF186" s="8">
        <f>ROUND(ROUND($AD181+$AD182+$AD183+$AD184+$AD185,2),2)</f>
        <v>69.89</v>
      </c>
      <c r="AG186" s="34" t="s">
        <v>1198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932</v>
      </c>
      <c r="AB187" s="6">
        <v>0.9</v>
      </c>
      <c r="AC187" s="34" t="s">
        <v>932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66</v>
      </c>
      <c r="AA188" s="34" t="s">
        <v>383</v>
      </c>
      <c r="AB188" s="8">
        <f>ROUND(60*$AD178*$AD175*$AD187/$AD186,2)</f>
        <v>4.93</v>
      </c>
      <c r="AC188" s="34" t="s">
        <v>1323</v>
      </c>
      <c r="AD188" s="7">
        <f t="shared" si="9"/>
        <v>4.93</v>
      </c>
      <c r="AE188" s="34" t="s">
        <v>1795</v>
      </c>
      <c r="AF188" s="8">
        <f>ROUND(ROUND(60*$AD178*$AD175*$AD187/$AD186,2),2)</f>
        <v>4.93</v>
      </c>
      <c r="AG188" s="34" t="s">
        <v>1105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1850</v>
      </c>
      <c r="K189" s="3" t="s">
        <v>256</v>
      </c>
      <c r="AA189" s="33" t="s">
        <v>829</v>
      </c>
      <c r="AB189" s="8">
        <f>TRUNC((중기사용료목록!E8+중기사용료목록!E9)*($AD186-$AD181)/$AD186/$AD188,0)</f>
        <v>1703</v>
      </c>
      <c r="AC189" s="33" t="s">
        <v>529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1850</v>
      </c>
      <c r="K190" s="3" t="s">
        <v>321</v>
      </c>
      <c r="AA190" s="33" t="s">
        <v>1602</v>
      </c>
      <c r="AB190" s="8">
        <f>TRUNC((중기사용료목록!F8+중기사용료목록!F9)/$AD188,0)</f>
        <v>11298</v>
      </c>
      <c r="AC190" s="33" t="s">
        <v>1640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1850</v>
      </c>
      <c r="K191" s="3" t="s">
        <v>795</v>
      </c>
      <c r="AA191" s="33" t="s">
        <v>1091</v>
      </c>
      <c r="AB191" s="8">
        <f>TRUNC((중기사용료목록!G8+중기사용료목록!G9)/$AD188,0)</f>
        <v>4065</v>
      </c>
      <c r="AC191" s="33" t="s">
        <v>1264</v>
      </c>
      <c r="AD191" s="7">
        <f>$AL170+$AB191</f>
        <v>4065</v>
      </c>
    </row>
    <row r="192" spans="1:38" ht="18.399999999999999" customHeight="1" x14ac:dyDescent="0.15">
      <c r="A192" s="35" t="s">
        <v>1414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767</v>
      </c>
      <c r="AA192" s="33" t="s">
        <v>829</v>
      </c>
      <c r="AB192" s="8">
        <f>TRUNC($AD189,0)</f>
        <v>1703</v>
      </c>
      <c r="AC192" s="33" t="s">
        <v>529</v>
      </c>
      <c r="AD192" s="7">
        <f>$AB192</f>
        <v>1703</v>
      </c>
      <c r="AE192" s="33" t="s">
        <v>1602</v>
      </c>
      <c r="AF192" s="8">
        <f>TRUNC($AD190,0)</f>
        <v>11298</v>
      </c>
      <c r="AG192" s="33" t="s">
        <v>1640</v>
      </c>
      <c r="AH192" s="7">
        <f>$AF192</f>
        <v>11298</v>
      </c>
      <c r="AI192" s="33" t="s">
        <v>1091</v>
      </c>
      <c r="AJ192" s="8">
        <f>TRUNC($AD191,0)</f>
        <v>4065</v>
      </c>
      <c r="AK192" s="33" t="s">
        <v>1264</v>
      </c>
      <c r="AL192" s="7">
        <f>$AJ192</f>
        <v>4065</v>
      </c>
    </row>
    <row r="193" spans="1:38" ht="18.399999999999999" customHeight="1" x14ac:dyDescent="0.15">
      <c r="A193" s="35" t="s">
        <v>1850</v>
      </c>
      <c r="B193" s="31"/>
      <c r="C193" s="31"/>
      <c r="D193" s="31"/>
      <c r="E193" s="31"/>
      <c r="F193" s="39"/>
      <c r="K193" s="3" t="s">
        <v>1850</v>
      </c>
    </row>
    <row r="194" spans="1:38" ht="18.399999999999999" customHeight="1" x14ac:dyDescent="0.15">
      <c r="A194" s="35" t="s">
        <v>1103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1593</v>
      </c>
      <c r="AA194" s="33" t="s">
        <v>1396</v>
      </c>
      <c r="AB194" s="8">
        <f>TRUNC(($AD192),0)</f>
        <v>1703</v>
      </c>
      <c r="AC194" s="33" t="s">
        <v>1559</v>
      </c>
      <c r="AD194" s="7">
        <f>$AB194</f>
        <v>1703</v>
      </c>
      <c r="AE194" s="33" t="s">
        <v>213</v>
      </c>
      <c r="AF194" s="8">
        <f>TRUNC(($AH192),0)</f>
        <v>11298</v>
      </c>
      <c r="AG194" s="33" t="s">
        <v>762</v>
      </c>
      <c r="AH194" s="7">
        <f>$AF194</f>
        <v>11298</v>
      </c>
      <c r="AI194" s="33" t="s">
        <v>615</v>
      </c>
      <c r="AJ194" s="8">
        <f>TRUNC(($AL192),0)</f>
        <v>4065</v>
      </c>
      <c r="AK194" s="33" t="s">
        <v>1036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1089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1196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1850</v>
      </c>
      <c r="G198" t="s">
        <v>1850</v>
      </c>
      <c r="H198" t="s">
        <v>520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1850</v>
      </c>
      <c r="B200" s="3"/>
      <c r="C200" s="3"/>
      <c r="D200" s="3"/>
      <c r="E200" s="3"/>
      <c r="F200" s="38"/>
      <c r="G200" t="s">
        <v>1850</v>
      </c>
      <c r="I200" t="s">
        <v>243</v>
      </c>
      <c r="J200" t="s">
        <v>1850</v>
      </c>
      <c r="K200" t="s">
        <v>1591</v>
      </c>
    </row>
    <row r="201" spans="1:38" ht="18.399999999999999" customHeight="1" x14ac:dyDescent="0.15">
      <c r="A201" s="35" t="s">
        <v>205</v>
      </c>
      <c r="B201" s="31"/>
      <c r="C201" s="31"/>
      <c r="D201" s="31"/>
      <c r="E201" s="31"/>
      <c r="F201" s="39"/>
      <c r="K201" s="3" t="s">
        <v>205</v>
      </c>
    </row>
    <row r="202" spans="1:38" ht="18.399999999999999" customHeight="1" x14ac:dyDescent="0.15">
      <c r="A202" s="35" t="s">
        <v>1850</v>
      </c>
      <c r="B202" s="31"/>
      <c r="C202" s="31"/>
      <c r="D202" s="31"/>
      <c r="E202" s="31"/>
      <c r="F202" s="39"/>
      <c r="K202" s="3" t="s">
        <v>1850</v>
      </c>
    </row>
    <row r="203" spans="1:38" ht="18.399999999999999" customHeight="1" x14ac:dyDescent="0.15">
      <c r="A203" s="35" t="s">
        <v>1850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98</v>
      </c>
      <c r="AA203" s="33" t="s">
        <v>829</v>
      </c>
      <c r="AB203" s="8">
        <f>ROUND(0,2)</f>
        <v>0</v>
      </c>
      <c r="AC203" s="33" t="s">
        <v>529</v>
      </c>
      <c r="AD203" s="7">
        <f>$AB203</f>
        <v>0</v>
      </c>
      <c r="AE203" s="33" t="s">
        <v>1602</v>
      </c>
      <c r="AF203" s="8">
        <f>ROUND(0,2)</f>
        <v>0</v>
      </c>
      <c r="AG203" s="33" t="s">
        <v>1640</v>
      </c>
      <c r="AH203" s="7">
        <f>$AF203</f>
        <v>0</v>
      </c>
      <c r="AI203" s="33" t="s">
        <v>1091</v>
      </c>
      <c r="AJ203" s="8">
        <f>ROUND(0,2)</f>
        <v>0</v>
      </c>
      <c r="AK203" s="33" t="s">
        <v>1264</v>
      </c>
      <c r="AL203" s="7">
        <f>$AJ203</f>
        <v>0</v>
      </c>
    </row>
    <row r="204" spans="1:38" ht="18.399999999999999" customHeight="1" x14ac:dyDescent="0.15">
      <c r="A204" s="35" t="s">
        <v>328</v>
      </c>
      <c r="B204" s="31"/>
      <c r="C204" s="31"/>
      <c r="D204" s="31"/>
      <c r="E204" s="31"/>
      <c r="F204" s="39"/>
      <c r="K204" s="3" t="s">
        <v>328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1323</v>
      </c>
      <c r="AB205" s="6">
        <v>0.6</v>
      </c>
      <c r="AC205" s="34" t="s">
        <v>1323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555</v>
      </c>
      <c r="AB206" s="6">
        <v>1.1000000000000001</v>
      </c>
      <c r="AC206" s="34" t="s">
        <v>555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1770</v>
      </c>
      <c r="AA207" s="34" t="s">
        <v>1205</v>
      </c>
      <c r="AB207" s="8">
        <f>ROUND(1/1.25,2)</f>
        <v>0.8</v>
      </c>
      <c r="AC207" s="34" t="s">
        <v>1112</v>
      </c>
      <c r="AD207" s="7">
        <f t="shared" si="10"/>
        <v>0.8</v>
      </c>
      <c r="AE207" s="34" t="s">
        <v>1612</v>
      </c>
      <c r="AF207" s="8">
        <f>ROUND(ROUND(1/1.25,2),2)</f>
        <v>0.8</v>
      </c>
      <c r="AG207" s="34" t="s">
        <v>287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932</v>
      </c>
      <c r="AB208" s="6">
        <v>0.9</v>
      </c>
      <c r="AC208" s="34" t="s">
        <v>932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96</v>
      </c>
      <c r="AB209" s="6">
        <v>18</v>
      </c>
      <c r="AC209" s="34" t="s">
        <v>96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1439</v>
      </c>
      <c r="AA210" s="34" t="s">
        <v>383</v>
      </c>
      <c r="AB210" s="8">
        <f>ROUND(3600*$AD205*$AD206*$AD207*$AD208/$AD209,2)</f>
        <v>95.04</v>
      </c>
      <c r="AC210" s="34" t="s">
        <v>1323</v>
      </c>
      <c r="AD210" s="7">
        <f t="shared" si="10"/>
        <v>95.04</v>
      </c>
      <c r="AE210" s="34" t="s">
        <v>343</v>
      </c>
      <c r="AF210" s="8">
        <f>ROUND(ROUND(3600*$AD205*$AD206*$AD207*$AD208/$AD209,2),2)</f>
        <v>95.04</v>
      </c>
      <c r="AG210" s="34" t="s">
        <v>958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1850</v>
      </c>
      <c r="K211" s="3" t="s">
        <v>323</v>
      </c>
      <c r="AA211" s="33" t="s">
        <v>829</v>
      </c>
      <c r="AB211" s="8">
        <f>TRUNC(중기사용료목록!E4/$AD210,0)</f>
        <v>205</v>
      </c>
      <c r="AC211" s="33" t="s">
        <v>529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1850</v>
      </c>
      <c r="K212" s="3" t="s">
        <v>1584</v>
      </c>
      <c r="AA212" s="33" t="s">
        <v>1602</v>
      </c>
      <c r="AB212" s="8">
        <f>TRUNC(중기사용료목록!F4/$AD210,0)</f>
        <v>586</v>
      </c>
      <c r="AC212" s="33" t="s">
        <v>1640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1850</v>
      </c>
      <c r="K213" s="3" t="s">
        <v>548</v>
      </c>
      <c r="AA213" s="33" t="s">
        <v>1091</v>
      </c>
      <c r="AB213" s="8">
        <f>TRUNC(중기사용료목록!G4/$AD210,0)</f>
        <v>270</v>
      </c>
      <c r="AC213" s="33" t="s">
        <v>1264</v>
      </c>
      <c r="AD213" s="7">
        <f>$AL203+$AB213</f>
        <v>270</v>
      </c>
    </row>
    <row r="214" spans="1:38" ht="18.399999999999999" customHeight="1" x14ac:dyDescent="0.15">
      <c r="A214" s="35" t="s">
        <v>1414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767</v>
      </c>
      <c r="AA214" s="33" t="s">
        <v>829</v>
      </c>
      <c r="AB214" s="8">
        <f>TRUNC($AD211,0)</f>
        <v>205</v>
      </c>
      <c r="AC214" s="33" t="s">
        <v>529</v>
      </c>
      <c r="AD214" s="7">
        <f>$AB214</f>
        <v>205</v>
      </c>
      <c r="AE214" s="33" t="s">
        <v>1602</v>
      </c>
      <c r="AF214" s="8">
        <f>TRUNC($AD212,0)</f>
        <v>586</v>
      </c>
      <c r="AG214" s="33" t="s">
        <v>1640</v>
      </c>
      <c r="AH214" s="7">
        <f>$AF214</f>
        <v>586</v>
      </c>
      <c r="AI214" s="33" t="s">
        <v>1091</v>
      </c>
      <c r="AJ214" s="8">
        <f>TRUNC($AD213,0)</f>
        <v>270</v>
      </c>
      <c r="AK214" s="33" t="s">
        <v>1264</v>
      </c>
      <c r="AL214" s="7">
        <f>$AJ214</f>
        <v>270</v>
      </c>
    </row>
    <row r="215" spans="1:38" ht="18.399999999999999" customHeight="1" x14ac:dyDescent="0.15">
      <c r="A215" s="35" t="s">
        <v>1850</v>
      </c>
      <c r="B215" s="31"/>
      <c r="C215" s="31"/>
      <c r="D215" s="31"/>
      <c r="E215" s="31"/>
      <c r="F215" s="39"/>
      <c r="K215" s="3" t="s">
        <v>1850</v>
      </c>
    </row>
    <row r="216" spans="1:38" ht="18.399999999999999" customHeight="1" x14ac:dyDescent="0.15">
      <c r="A216" s="35" t="s">
        <v>641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395</v>
      </c>
      <c r="AA216" s="33" t="s">
        <v>1396</v>
      </c>
      <c r="AB216" s="8">
        <f>TRUNC(($AD214),0)</f>
        <v>205</v>
      </c>
      <c r="AC216" s="33" t="s">
        <v>1559</v>
      </c>
      <c r="AD216" s="7">
        <f>$AB216</f>
        <v>205</v>
      </c>
      <c r="AE216" s="33" t="s">
        <v>213</v>
      </c>
      <c r="AF216" s="8">
        <f>TRUNC(($AH214),0)</f>
        <v>586</v>
      </c>
      <c r="AG216" s="33" t="s">
        <v>762</v>
      </c>
      <c r="AH216" s="7">
        <f>$AF216</f>
        <v>586</v>
      </c>
      <c r="AI216" s="33" t="s">
        <v>615</v>
      </c>
      <c r="AJ216" s="8">
        <f>TRUNC(($AL214),0)</f>
        <v>270</v>
      </c>
      <c r="AK216" s="33" t="s">
        <v>1036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1089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512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1850</v>
      </c>
      <c r="G220" t="s">
        <v>1850</v>
      </c>
      <c r="H220" t="s">
        <v>901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1850</v>
      </c>
      <c r="B222" s="3"/>
      <c r="C222" s="3"/>
      <c r="D222" s="3"/>
      <c r="E222" s="3"/>
      <c r="F222" s="38"/>
      <c r="G222" t="s">
        <v>1850</v>
      </c>
      <c r="I222" t="s">
        <v>243</v>
      </c>
      <c r="J222" t="s">
        <v>1850</v>
      </c>
      <c r="K222" t="s">
        <v>1591</v>
      </c>
    </row>
    <row r="223" spans="1:38" ht="18.399999999999999" customHeight="1" x14ac:dyDescent="0.15">
      <c r="A223" s="35" t="s">
        <v>1146</v>
      </c>
      <c r="B223" s="31"/>
      <c r="C223" s="31"/>
      <c r="D223" s="31"/>
      <c r="E223" s="31"/>
      <c r="F223" s="39"/>
      <c r="K223" s="3" t="s">
        <v>1146</v>
      </c>
    </row>
    <row r="224" spans="1:38" ht="18.399999999999999" customHeight="1" x14ac:dyDescent="0.15">
      <c r="A224" s="35" t="s">
        <v>1850</v>
      </c>
      <c r="B224" s="31"/>
      <c r="C224" s="31"/>
      <c r="D224" s="31"/>
      <c r="E224" s="31"/>
      <c r="F224" s="39"/>
      <c r="K224" s="3" t="s">
        <v>1850</v>
      </c>
    </row>
    <row r="225" spans="1:38" ht="18.399999999999999" customHeight="1" x14ac:dyDescent="0.15">
      <c r="A225" s="35" t="s">
        <v>1850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98</v>
      </c>
      <c r="AA225" s="33" t="s">
        <v>829</v>
      </c>
      <c r="AB225" s="8">
        <f>ROUND(0,2)</f>
        <v>0</v>
      </c>
      <c r="AC225" s="33" t="s">
        <v>529</v>
      </c>
      <c r="AD225" s="7">
        <f>$AB225</f>
        <v>0</v>
      </c>
      <c r="AE225" s="33" t="s">
        <v>1602</v>
      </c>
      <c r="AF225" s="8">
        <f>ROUND(0,2)</f>
        <v>0</v>
      </c>
      <c r="AG225" s="33" t="s">
        <v>1640</v>
      </c>
      <c r="AH225" s="7">
        <f>$AF225</f>
        <v>0</v>
      </c>
      <c r="AI225" s="33" t="s">
        <v>1091</v>
      </c>
      <c r="AJ225" s="8">
        <f>ROUND(0,2)</f>
        <v>0</v>
      </c>
      <c r="AK225" s="33" t="s">
        <v>1264</v>
      </c>
      <c r="AL225" s="7">
        <f>$AJ225</f>
        <v>0</v>
      </c>
    </row>
    <row r="226" spans="1:38" ht="18.399999999999999" customHeight="1" x14ac:dyDescent="0.15">
      <c r="A226" s="35" t="s">
        <v>328</v>
      </c>
      <c r="B226" s="31"/>
      <c r="C226" s="31"/>
      <c r="D226" s="31"/>
      <c r="E226" s="31"/>
      <c r="F226" s="39"/>
      <c r="K226" s="3" t="s">
        <v>328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1323</v>
      </c>
      <c r="AB227" s="6">
        <v>0.6</v>
      </c>
      <c r="AC227" s="34" t="s">
        <v>1323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555</v>
      </c>
      <c r="AB228" s="6">
        <v>0.55000000000000004</v>
      </c>
      <c r="AC228" s="34" t="s">
        <v>555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79</v>
      </c>
      <c r="AA229" s="34" t="s">
        <v>1205</v>
      </c>
      <c r="AB229" s="8">
        <f>ROUND(1/1.4,3)</f>
        <v>0.71399999999999997</v>
      </c>
      <c r="AC229" s="34" t="s">
        <v>1112</v>
      </c>
      <c r="AD229" s="7">
        <f t="shared" si="11"/>
        <v>0.71399999999999997</v>
      </c>
      <c r="AE229" s="34" t="s">
        <v>865</v>
      </c>
      <c r="AF229" s="8">
        <f>ROUND(ROUND(1/1.4,3),3)</f>
        <v>0.71399999999999997</v>
      </c>
      <c r="AG229" s="34" t="s">
        <v>1077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932</v>
      </c>
      <c r="AB230" s="6">
        <v>0.45</v>
      </c>
      <c r="AC230" s="34" t="s">
        <v>932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96</v>
      </c>
      <c r="AB231" s="6">
        <v>18</v>
      </c>
      <c r="AC231" s="34" t="s">
        <v>96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497</v>
      </c>
      <c r="AA232" s="34" t="s">
        <v>383</v>
      </c>
      <c r="AB232" s="8">
        <f>ROUND(3600*$AD227*$AD228*$AD229*$AD230/$AD231,2)</f>
        <v>21.21</v>
      </c>
      <c r="AC232" s="34" t="s">
        <v>1323</v>
      </c>
      <c r="AD232" s="7">
        <f t="shared" si="11"/>
        <v>21.21</v>
      </c>
      <c r="AE232" s="34" t="s">
        <v>1076</v>
      </c>
      <c r="AF232" s="8">
        <f>ROUND(ROUND(3600*$AD227*$AD228*$AD229*$AD230/$AD231,2),2)</f>
        <v>21.21</v>
      </c>
      <c r="AG232" s="34" t="s">
        <v>1002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1850</v>
      </c>
      <c r="K233" s="3" t="s">
        <v>1746</v>
      </c>
      <c r="AA233" s="33" t="s">
        <v>829</v>
      </c>
      <c r="AB233" s="8">
        <f>TRUNC(중기사용료목록!E4/$AD232,0)</f>
        <v>920</v>
      </c>
      <c r="AC233" s="33" t="s">
        <v>529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1850</v>
      </c>
      <c r="K234" s="3" t="s">
        <v>124</v>
      </c>
      <c r="AA234" s="33" t="s">
        <v>1602</v>
      </c>
      <c r="AB234" s="8">
        <f>TRUNC(중기사용료목록!F4/$AD232,0)</f>
        <v>2626</v>
      </c>
      <c r="AC234" s="33" t="s">
        <v>1640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1850</v>
      </c>
      <c r="K235" s="3" t="s">
        <v>1011</v>
      </c>
      <c r="AA235" s="33" t="s">
        <v>1091</v>
      </c>
      <c r="AB235" s="8">
        <f>TRUNC(중기사용료목록!G4/$AD232,0)</f>
        <v>1210</v>
      </c>
      <c r="AC235" s="33" t="s">
        <v>1264</v>
      </c>
      <c r="AD235" s="7">
        <f>$AL225+$AB235</f>
        <v>1210</v>
      </c>
    </row>
    <row r="236" spans="1:38" ht="18.399999999999999" customHeight="1" x14ac:dyDescent="0.15">
      <c r="A236" s="35" t="s">
        <v>826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43</v>
      </c>
      <c r="AA236" s="33" t="s">
        <v>829</v>
      </c>
      <c r="AB236" s="8">
        <f>TRUNC($AD233,0)</f>
        <v>920</v>
      </c>
      <c r="AC236" s="33" t="s">
        <v>529</v>
      </c>
      <c r="AD236" s="7">
        <f>$AB236</f>
        <v>920</v>
      </c>
      <c r="AE236" s="33" t="s">
        <v>1602</v>
      </c>
      <c r="AF236" s="8">
        <f>TRUNC($AD234,0)</f>
        <v>2626</v>
      </c>
      <c r="AG236" s="33" t="s">
        <v>1640</v>
      </c>
      <c r="AH236" s="7">
        <f>$AF236</f>
        <v>2626</v>
      </c>
      <c r="AI236" s="33" t="s">
        <v>1091</v>
      </c>
      <c r="AJ236" s="8">
        <f>TRUNC($AD235,0)</f>
        <v>1210</v>
      </c>
      <c r="AK236" s="33" t="s">
        <v>1264</v>
      </c>
      <c r="AL236" s="7">
        <f>$AJ236</f>
        <v>1210</v>
      </c>
    </row>
    <row r="237" spans="1:38" ht="18.399999999999999" customHeight="1" x14ac:dyDescent="0.15">
      <c r="A237" s="35" t="s">
        <v>1850</v>
      </c>
      <c r="B237" s="31"/>
      <c r="C237" s="31"/>
      <c r="D237" s="31"/>
      <c r="E237" s="31"/>
      <c r="F237" s="39"/>
      <c r="K237" s="3" t="s">
        <v>1370</v>
      </c>
    </row>
    <row r="238" spans="1:38" ht="18.399999999999999" customHeight="1" x14ac:dyDescent="0.15">
      <c r="A238" s="35" t="s">
        <v>1443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1473</v>
      </c>
      <c r="AA238" s="33" t="s">
        <v>1396</v>
      </c>
      <c r="AB238" s="8">
        <f>TRUNC(($AD236),0)</f>
        <v>920</v>
      </c>
      <c r="AC238" s="33" t="s">
        <v>1559</v>
      </c>
      <c r="AD238" s="7">
        <f>$AB238</f>
        <v>920</v>
      </c>
      <c r="AE238" s="33" t="s">
        <v>213</v>
      </c>
      <c r="AF238" s="8">
        <f>TRUNC(($AH236),0)</f>
        <v>2626</v>
      </c>
      <c r="AG238" s="33" t="s">
        <v>762</v>
      </c>
      <c r="AH238" s="7">
        <f>$AF238</f>
        <v>2626</v>
      </c>
      <c r="AI238" s="33" t="s">
        <v>615</v>
      </c>
      <c r="AJ238" s="8">
        <f>TRUNC(($AL236),0)</f>
        <v>1210</v>
      </c>
      <c r="AK238" s="33" t="s">
        <v>1036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1089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214</v>
      </c>
      <c r="B242" s="31">
        <f>$B293</f>
        <v>93058</v>
      </c>
      <c r="C242" s="31">
        <f>$C293</f>
        <v>7852</v>
      </c>
      <c r="D242" s="31">
        <f>$D293</f>
        <v>66755</v>
      </c>
      <c r="E242" s="31">
        <f>$E293</f>
        <v>18451</v>
      </c>
      <c r="F242" s="38" t="s">
        <v>1850</v>
      </c>
      <c r="G242" t="s">
        <v>1850</v>
      </c>
      <c r="H242" t="s">
        <v>534</v>
      </c>
      <c r="K242">
        <v>1</v>
      </c>
      <c r="Y242" s="7" t="b">
        <f>EXACT($Z242,$B293)</f>
        <v>1</v>
      </c>
      <c r="Z242" s="32">
        <v>93058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1850</v>
      </c>
      <c r="B244" s="3"/>
      <c r="C244" s="3"/>
      <c r="D244" s="3"/>
      <c r="E244" s="3"/>
      <c r="F244" s="38"/>
      <c r="G244" t="s">
        <v>1850</v>
      </c>
      <c r="I244" t="s">
        <v>243</v>
      </c>
      <c r="J244" t="s">
        <v>1850</v>
      </c>
      <c r="K244" t="s">
        <v>1591</v>
      </c>
    </row>
    <row r="245" spans="1:34" ht="18.399999999999999" customHeight="1" x14ac:dyDescent="0.15">
      <c r="A245" s="35" t="s">
        <v>31</v>
      </c>
      <c r="B245" s="31"/>
      <c r="C245" s="31"/>
      <c r="D245" s="31"/>
      <c r="E245" s="31"/>
      <c r="F245" s="39"/>
      <c r="K245" s="3" t="s">
        <v>31</v>
      </c>
    </row>
    <row r="246" spans="1:34" ht="18.399999999999999" customHeight="1" x14ac:dyDescent="0.15">
      <c r="A246" s="35" t="s">
        <v>1850</v>
      </c>
      <c r="B246" s="31"/>
      <c r="C246" s="31"/>
      <c r="D246" s="31"/>
      <c r="E246" s="31"/>
      <c r="F246" s="39"/>
      <c r="K246" s="3" t="s">
        <v>1850</v>
      </c>
    </row>
    <row r="247" spans="1:34" ht="18.399999999999999" customHeight="1" x14ac:dyDescent="0.15">
      <c r="A247" s="35" t="s">
        <v>778</v>
      </c>
      <c r="B247" s="31"/>
      <c r="C247" s="31"/>
      <c r="D247" s="31"/>
      <c r="E247" s="31"/>
      <c r="F247" s="39"/>
      <c r="K247" s="3" t="s">
        <v>778</v>
      </c>
    </row>
    <row r="248" spans="1:34" ht="18.399999999999999" customHeight="1" x14ac:dyDescent="0.15">
      <c r="A248" s="35" t="s">
        <v>1156</v>
      </c>
      <c r="B248" s="31"/>
      <c r="C248" s="31"/>
      <c r="D248" s="31"/>
      <c r="E248" s="31"/>
      <c r="F248" s="39"/>
      <c r="K248" s="3" t="s">
        <v>1156</v>
      </c>
    </row>
    <row r="249" spans="1:34" ht="18.399999999999999" customHeight="1" x14ac:dyDescent="0.15">
      <c r="A249" s="35" t="s">
        <v>1266</v>
      </c>
      <c r="B249" s="31"/>
      <c r="C249" s="31"/>
      <c r="D249" s="31"/>
      <c r="E249" s="31"/>
      <c r="F249" s="39"/>
      <c r="K249" s="3" t="s">
        <v>1266</v>
      </c>
    </row>
    <row r="250" spans="1:34" ht="18.399999999999999" customHeight="1" x14ac:dyDescent="0.15">
      <c r="A250" s="35" t="s">
        <v>1850</v>
      </c>
      <c r="B250" s="31"/>
      <c r="C250" s="31"/>
      <c r="D250" s="31"/>
      <c r="E250" s="31"/>
      <c r="F250" s="39"/>
      <c r="K250" s="3" t="s">
        <v>1850</v>
      </c>
    </row>
    <row r="251" spans="1:34" ht="18.399999999999999" customHeight="1" x14ac:dyDescent="0.15">
      <c r="A251" s="35" t="s">
        <v>861</v>
      </c>
      <c r="B251" s="31"/>
      <c r="C251" s="31"/>
      <c r="D251" s="31"/>
      <c r="E251" s="31"/>
      <c r="F251" s="39"/>
      <c r="K251" s="3" t="s">
        <v>861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L=3.5 m</v>
      </c>
      <c r="B252" s="31"/>
      <c r="C252" s="31"/>
      <c r="D252" s="31"/>
      <c r="E252" s="31"/>
      <c r="F252" s="39"/>
      <c r="K252" s="10" t="str">
        <f>SUBSTITUTE(SUBSTITUTE("  _x001D_파일 1본당 길이 :_x001D_  L=3.5_x001D_m_x001D_","3.5",TEXT($AB252,"#,##0.0"),1),"_x001D_","'")</f>
        <v xml:space="preserve">  '파일 1본당 길이 :'  L=3.5'm'</v>
      </c>
      <c r="AA252" s="34" t="s">
        <v>1749</v>
      </c>
      <c r="AB252" s="6">
        <v>3.5</v>
      </c>
      <c r="AC252" s="34" t="s">
        <v>1749</v>
      </c>
      <c r="AD252" s="7">
        <f t="shared" ref="AD252:AD262" si="12">$AB252</f>
        <v>3.5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555</v>
      </c>
      <c r="AB253" s="6">
        <v>1</v>
      </c>
      <c r="AC253" s="34" t="s">
        <v>555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939</v>
      </c>
      <c r="AB254" s="6">
        <v>10</v>
      </c>
      <c r="AC254" s="34" t="s">
        <v>939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1239</v>
      </c>
      <c r="AA255" s="34" t="s">
        <v>1639</v>
      </c>
      <c r="AB255" s="8">
        <f>ROUND(0.03*$AD254+0.6,2)</f>
        <v>0.9</v>
      </c>
      <c r="AC255" s="34" t="s">
        <v>718</v>
      </c>
      <c r="AD255" s="7">
        <f t="shared" si="12"/>
        <v>0.9</v>
      </c>
      <c r="AE255" s="34" t="s">
        <v>240</v>
      </c>
      <c r="AF255" s="8">
        <f>ROUND(ROUND(0.03*$AD254+0.6,2),2)</f>
        <v>0.9</v>
      </c>
      <c r="AG255" s="34" t="s">
        <v>175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Tb=r*L*k=3.15 본/분 </v>
      </c>
      <c r="B256" s="31">
        <f>SUM($C256,$D256,$E256)</f>
        <v>0</v>
      </c>
      <c r="C256" s="31"/>
      <c r="D256" s="31"/>
      <c r="E256" s="31"/>
      <c r="F256" s="39"/>
      <c r="K256" s="3" t="s">
        <v>879</v>
      </c>
      <c r="AA256" s="34" t="s">
        <v>459</v>
      </c>
      <c r="AB256" s="8">
        <f>ROUND($AD255*$AD252*$AD253,2)</f>
        <v>3.15</v>
      </c>
      <c r="AC256" s="34" t="s">
        <v>1483</v>
      </c>
      <c r="AD256" s="7">
        <f t="shared" si="12"/>
        <v>3.15</v>
      </c>
      <c r="AE256" s="34" t="s">
        <v>1608</v>
      </c>
      <c r="AF256" s="8">
        <f>ROUND(ROUND($AD255*$AD252*$AD253,2),2)</f>
        <v>3.15</v>
      </c>
      <c r="AG256" s="34" t="s">
        <v>1774</v>
      </c>
      <c r="AH256" s="7">
        <f>$AF256</f>
        <v>3.15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399</v>
      </c>
      <c r="AB257" s="6">
        <v>10</v>
      </c>
      <c r="AC257" s="34" t="s">
        <v>399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1112</v>
      </c>
      <c r="AB258" s="6">
        <v>0.7</v>
      </c>
      <c r="AC258" s="34" t="s">
        <v>1112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691</v>
      </c>
      <c r="AB259" s="6">
        <v>-0.05</v>
      </c>
      <c r="AC259" s="34" t="s">
        <v>691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812</v>
      </c>
      <c r="AB260" s="6">
        <v>-0.05</v>
      </c>
      <c r="AC260" s="34" t="s">
        <v>812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Tc=(Tb+Ts)/F=18.79 mim/본당 </v>
      </c>
      <c r="B261" s="31">
        <f>SUM($C261,$D261,$E261)</f>
        <v>0</v>
      </c>
      <c r="C261" s="31"/>
      <c r="D261" s="31"/>
      <c r="E261" s="31"/>
      <c r="F261" s="39"/>
      <c r="K261" s="3" t="s">
        <v>1273</v>
      </c>
      <c r="AA261" s="34" t="s">
        <v>1059</v>
      </c>
      <c r="AB261" s="8">
        <f>ROUND(($AD256+$AD257)/$AD258,2)</f>
        <v>18.79</v>
      </c>
      <c r="AC261" s="34" t="s">
        <v>1278</v>
      </c>
      <c r="AD261" s="7">
        <f t="shared" si="12"/>
        <v>18.79</v>
      </c>
      <c r="AE261" s="34" t="s">
        <v>123</v>
      </c>
      <c r="AF261" s="8">
        <f>ROUND(ROUND(($AD256+$AD257)/$AD258,2),2)</f>
        <v>18.79</v>
      </c>
      <c r="AG261" s="34" t="s">
        <v>317</v>
      </c>
      <c r="AH261" s="7">
        <f>$AF261</f>
        <v>18.79</v>
      </c>
    </row>
    <row r="262" spans="1:38" ht="18.399999999999999" customHeight="1" x14ac:dyDescent="0.15">
      <c r="A262" s="36" t="str">
        <f>CONCATENATE("   Q=60/Tc=",TEXT($AF262,"#,##0.00")," 본/hr ")</f>
        <v xml:space="preserve">   Q=60/Tc=3.19 본/hr </v>
      </c>
      <c r="B262" s="31">
        <f>SUM($C262,$D262,$E262)</f>
        <v>0</v>
      </c>
      <c r="C262" s="31"/>
      <c r="D262" s="31"/>
      <c r="E262" s="31"/>
      <c r="F262" s="39"/>
      <c r="K262" s="3" t="s">
        <v>1451</v>
      </c>
      <c r="AA262" s="34" t="s">
        <v>383</v>
      </c>
      <c r="AB262" s="8">
        <f>ROUND(60/$AD261,2)</f>
        <v>3.19</v>
      </c>
      <c r="AC262" s="34" t="s">
        <v>1323</v>
      </c>
      <c r="AD262" s="7">
        <f t="shared" si="12"/>
        <v>3.19</v>
      </c>
      <c r="AE262" s="34" t="s">
        <v>1565</v>
      </c>
      <c r="AF262" s="8">
        <f>ROUND(ROUND(60/$AD261,2),2)</f>
        <v>3.19</v>
      </c>
      <c r="AG262" s="34" t="s">
        <v>1490</v>
      </c>
      <c r="AH262" s="7">
        <f>$AF262</f>
        <v>3.19</v>
      </c>
    </row>
    <row r="263" spans="1:38" ht="18.399999999999999" customHeight="1" x14ac:dyDescent="0.15">
      <c r="A263" s="35" t="s">
        <v>1850</v>
      </c>
      <c r="B263" s="31"/>
      <c r="C263" s="31"/>
      <c r="D263" s="31"/>
      <c r="E263" s="31"/>
      <c r="F263" s="39"/>
      <c r="K263" s="3" t="s">
        <v>1850</v>
      </c>
    </row>
    <row r="264" spans="1:38" ht="18.399999999999999" customHeight="1" x14ac:dyDescent="0.15">
      <c r="A264" s="35" t="s">
        <v>1850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1006</v>
      </c>
      <c r="AA264" s="33" t="s">
        <v>101</v>
      </c>
      <c r="AB264" s="8">
        <f>ROUND(0,2)</f>
        <v>0</v>
      </c>
      <c r="AC264" s="33" t="s">
        <v>1520</v>
      </c>
      <c r="AD264" s="7">
        <f>$AB264</f>
        <v>0</v>
      </c>
      <c r="AE264" s="33" t="s">
        <v>1369</v>
      </c>
      <c r="AF264" s="8">
        <f>ROUND(0,2)</f>
        <v>0</v>
      </c>
      <c r="AG264" s="33" t="s">
        <v>811</v>
      </c>
      <c r="AH264" s="7">
        <f>$AF264</f>
        <v>0</v>
      </c>
      <c r="AI264" s="33" t="s">
        <v>1759</v>
      </c>
      <c r="AJ264" s="8">
        <f>ROUND(0,2)</f>
        <v>0</v>
      </c>
      <c r="AK264" s="33" t="s">
        <v>272</v>
      </c>
      <c r="AL264" s="7">
        <f>$AJ264</f>
        <v>0</v>
      </c>
    </row>
    <row r="265" spans="1:38" ht="18.399999999999999" customHeight="1" x14ac:dyDescent="0.15">
      <c r="A265" s="35" t="s">
        <v>1339</v>
      </c>
      <c r="B265" s="31"/>
      <c r="C265" s="31"/>
      <c r="D265" s="31"/>
      <c r="E265" s="31"/>
      <c r="F265" s="39"/>
      <c r="K265" s="3" t="s">
        <v>1339</v>
      </c>
    </row>
    <row r="266" spans="1:38" ht="18.399999999999999" customHeight="1" x14ac:dyDescent="0.15">
      <c r="A266" s="35" t="s">
        <v>11</v>
      </c>
      <c r="B266" s="31"/>
      <c r="C266" s="31"/>
      <c r="D266" s="31"/>
      <c r="E266" s="31"/>
      <c r="F266" s="39"/>
      <c r="K266" s="3" t="s">
        <v>11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1850</v>
      </c>
      <c r="K267" s="3" t="s">
        <v>27</v>
      </c>
      <c r="AA267" s="33" t="s">
        <v>101</v>
      </c>
      <c r="AB267" s="8">
        <f>TRUNC(중기사용료목록!E21/$AD262,0)</f>
        <v>0</v>
      </c>
      <c r="AC267" s="33" t="s">
        <v>1520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1850</v>
      </c>
      <c r="K268" s="3" t="s">
        <v>1820</v>
      </c>
      <c r="AA268" s="33" t="s">
        <v>1369</v>
      </c>
      <c r="AB268" s="8">
        <f>TRUNC(중기사용료목록!F21/$AD262,0)</f>
        <v>0</v>
      </c>
      <c r="AC268" s="33" t="s">
        <v>811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_x001D_20,782_x001D_/Q=6,514.00</v>
      </c>
      <c r="B269" s="31">
        <f>SUM($C269,$D269,$E269)</f>
        <v>6514</v>
      </c>
      <c r="C269" s="31"/>
      <c r="D269" s="31"/>
      <c r="E269" s="31">
        <f>$AB269</f>
        <v>6514</v>
      </c>
      <c r="F269" s="39" t="s">
        <v>1850</v>
      </c>
      <c r="K269" s="3" t="s">
        <v>719</v>
      </c>
      <c r="AA269" s="33" t="s">
        <v>1759</v>
      </c>
      <c r="AB269" s="8">
        <f>TRUNC(중기사용료목록!G21/$AD262,0)</f>
        <v>6514</v>
      </c>
      <c r="AC269" s="33" t="s">
        <v>272</v>
      </c>
      <c r="AD269" s="7">
        <f>$AL264+$AB269</f>
        <v>6514</v>
      </c>
    </row>
    <row r="270" spans="1:38" ht="18.399999999999999" customHeight="1" x14ac:dyDescent="0.15">
      <c r="A270" s="35" t="s">
        <v>1397</v>
      </c>
      <c r="B270" s="31"/>
      <c r="C270" s="31"/>
      <c r="D270" s="31"/>
      <c r="E270" s="31"/>
      <c r="F270" s="39"/>
      <c r="K270" s="3" t="s">
        <v>1397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_x001D_15,628.48_x001D_/Q=4,899.00</v>
      </c>
      <c r="B271" s="31">
        <f>SUM($C271,$D271,$E271)</f>
        <v>4899</v>
      </c>
      <c r="C271" s="31">
        <f>$AB271</f>
        <v>4899</v>
      </c>
      <c r="D271" s="31"/>
      <c r="E271" s="31"/>
      <c r="F271" s="39" t="s">
        <v>1850</v>
      </c>
      <c r="K271" s="3" t="s">
        <v>575</v>
      </c>
      <c r="AA271" s="33" t="s">
        <v>101</v>
      </c>
      <c r="AB271" s="8">
        <f>TRUNC(중기사용료목록!E14/$AD262,0)</f>
        <v>4899</v>
      </c>
      <c r="AC271" s="33" t="s">
        <v>1520</v>
      </c>
      <c r="AD271" s="7">
        <f>$AD267+$AB271</f>
        <v>4899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_x001D_55,700_x001D_/Q=17,460.00</v>
      </c>
      <c r="B272" s="31">
        <f>SUM($C272,$D272,$E272)</f>
        <v>17460</v>
      </c>
      <c r="C272" s="31"/>
      <c r="D272" s="31">
        <f>$AB272</f>
        <v>17460</v>
      </c>
      <c r="E272" s="31"/>
      <c r="F272" s="39" t="s">
        <v>1850</v>
      </c>
      <c r="K272" s="3" t="s">
        <v>1324</v>
      </c>
      <c r="AA272" s="33" t="s">
        <v>1369</v>
      </c>
      <c r="AB272" s="8">
        <f>TRUNC(중기사용료목록!F14/$AD262,0)</f>
        <v>17460</v>
      </c>
      <c r="AC272" s="33" t="s">
        <v>811</v>
      </c>
      <c r="AD272" s="7">
        <f>$AD268+$AB272</f>
        <v>17460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_x001D_29,557_x001D_/Q=9,265.00</v>
      </c>
      <c r="B273" s="31">
        <f>SUM($C273,$D273,$E273)</f>
        <v>9265</v>
      </c>
      <c r="C273" s="31"/>
      <c r="D273" s="31"/>
      <c r="E273" s="31">
        <f>$AB273</f>
        <v>9265</v>
      </c>
      <c r="F273" s="39" t="s">
        <v>1850</v>
      </c>
      <c r="K273" s="3" t="s">
        <v>133</v>
      </c>
      <c r="AA273" s="33" t="s">
        <v>1759</v>
      </c>
      <c r="AB273" s="8">
        <f>TRUNC(중기사용료목록!G14/$AD262,0)</f>
        <v>9265</v>
      </c>
      <c r="AC273" s="33" t="s">
        <v>272</v>
      </c>
      <c r="AD273" s="7">
        <f>$AD269+$AB273</f>
        <v>15779</v>
      </c>
    </row>
    <row r="274" spans="1:38" ht="18.399999999999999" customHeight="1" x14ac:dyDescent="0.15">
      <c r="A274" s="35" t="s">
        <v>1088</v>
      </c>
      <c r="B274" s="31"/>
      <c r="C274" s="31"/>
      <c r="D274" s="31"/>
      <c r="E274" s="31"/>
      <c r="F274" s="39"/>
      <c r="K274" s="3" t="s">
        <v>1088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_x001D_29,270.85_x001D_*Tb/(Tb+Ts)/Q=2,198.00</v>
      </c>
      <c r="B275" s="31">
        <f>SUM($C275,$D275,$E275)</f>
        <v>2198</v>
      </c>
      <c r="C275" s="31">
        <f>$AB275</f>
        <v>2198</v>
      </c>
      <c r="D275" s="31"/>
      <c r="E275" s="31"/>
      <c r="F275" s="39" t="s">
        <v>1850</v>
      </c>
      <c r="K275" s="3" t="s">
        <v>285</v>
      </c>
      <c r="AA275" s="33" t="s">
        <v>101</v>
      </c>
      <c r="AB275" s="8">
        <f>TRUNC(중기사용료목록!E30*$AD256/($AD256+$AD257)/$AD262,0)</f>
        <v>2198</v>
      </c>
      <c r="AC275" s="33" t="s">
        <v>1520</v>
      </c>
      <c r="AD275" s="7">
        <f>$AD271+$AB275</f>
        <v>7097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_x001D_33,571_x001D_/Q=10,523.00</v>
      </c>
      <c r="B276" s="31">
        <f>SUM($C276,$D276,$E276)</f>
        <v>10523</v>
      </c>
      <c r="C276" s="31"/>
      <c r="D276" s="31">
        <f>$AB276</f>
        <v>10523</v>
      </c>
      <c r="E276" s="31"/>
      <c r="F276" s="39" t="s">
        <v>1850</v>
      </c>
      <c r="K276" s="3" t="s">
        <v>109</v>
      </c>
      <c r="AA276" s="33" t="s">
        <v>1369</v>
      </c>
      <c r="AB276" s="8">
        <f>TRUNC(중기사용료목록!F30/$AD262,0)</f>
        <v>10523</v>
      </c>
      <c r="AC276" s="33" t="s">
        <v>811</v>
      </c>
      <c r="AD276" s="7">
        <f>$AD272+$AB276</f>
        <v>27983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_x001D_5,403_x001D_/Q=1,693.00</v>
      </c>
      <c r="B277" s="31">
        <f>SUM($C277,$D277,$E277)</f>
        <v>1693</v>
      </c>
      <c r="C277" s="31"/>
      <c r="D277" s="31"/>
      <c r="E277" s="31">
        <f>$AB277</f>
        <v>1693</v>
      </c>
      <c r="F277" s="39" t="s">
        <v>1850</v>
      </c>
      <c r="K277" s="3" t="s">
        <v>1304</v>
      </c>
      <c r="AA277" s="33" t="s">
        <v>1759</v>
      </c>
      <c r="AB277" s="8">
        <f>TRUNC(중기사용료목록!G30/$AD262,0)</f>
        <v>1693</v>
      </c>
      <c r="AC277" s="33" t="s">
        <v>272</v>
      </c>
      <c r="AD277" s="7">
        <f>$AD273+$AB277</f>
        <v>17472</v>
      </c>
    </row>
    <row r="278" spans="1:38" ht="18.399999999999999" customHeight="1" x14ac:dyDescent="0.15">
      <c r="A278" s="35" t="s">
        <v>868</v>
      </c>
      <c r="B278" s="31"/>
      <c r="C278" s="31"/>
      <c r="D278" s="31"/>
      <c r="E278" s="31"/>
      <c r="F278" s="39"/>
      <c r="K278" s="3" t="s">
        <v>868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_x001D_16,768.06_x001D_*Tb/(Tb+Ts)/Q*0.6=755.00</v>
      </c>
      <c r="B279" s="31">
        <f>SUM($C279,$D279,$E279)</f>
        <v>755</v>
      </c>
      <c r="C279" s="31">
        <f>$AB279</f>
        <v>755</v>
      </c>
      <c r="D279" s="31"/>
      <c r="E279" s="31"/>
      <c r="F279" s="39" t="s">
        <v>1850</v>
      </c>
      <c r="K279" s="3" t="s">
        <v>853</v>
      </c>
      <c r="AA279" s="33" t="s">
        <v>101</v>
      </c>
      <c r="AB279" s="8">
        <f>TRUNC(중기사용료목록!E18*$AD256/($AD256+$AD257)/$AD262*0.6,0)</f>
        <v>755</v>
      </c>
      <c r="AC279" s="33" t="s">
        <v>1520</v>
      </c>
      <c r="AD279" s="7">
        <f>$AD275+$AB279</f>
        <v>7852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_x001D_47,231_x001D_*Tb/(Tb+Ts)/Q*0.6=2,128.00</v>
      </c>
      <c r="B280" s="31">
        <f>SUM($C280,$D280,$E280)</f>
        <v>2128</v>
      </c>
      <c r="C280" s="31"/>
      <c r="D280" s="31">
        <f>$AB280</f>
        <v>2128</v>
      </c>
      <c r="E280" s="31"/>
      <c r="F280" s="39" t="s">
        <v>1850</v>
      </c>
      <c r="K280" s="3" t="s">
        <v>1781</v>
      </c>
      <c r="AA280" s="33" t="s">
        <v>1369</v>
      </c>
      <c r="AB280" s="8">
        <f>TRUNC(중기사용료목록!F18*$AD256/($AD256+$AD257)/$AD262*0.6,0)</f>
        <v>2128</v>
      </c>
      <c r="AC280" s="33" t="s">
        <v>811</v>
      </c>
      <c r="AD280" s="7">
        <f>$AD276+$AB280</f>
        <v>30111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_x001D_21,743_x001D_*Tb/(Tb+Ts)/Q*0.6=979.00</v>
      </c>
      <c r="B281" s="31">
        <f>SUM($C281,$D281,$E281)</f>
        <v>979</v>
      </c>
      <c r="C281" s="31"/>
      <c r="D281" s="31"/>
      <c r="E281" s="31">
        <f>$AB281</f>
        <v>979</v>
      </c>
      <c r="F281" s="39" t="s">
        <v>1850</v>
      </c>
      <c r="K281" s="3" t="s">
        <v>298</v>
      </c>
      <c r="AA281" s="33" t="s">
        <v>1759</v>
      </c>
      <c r="AB281" s="8">
        <f>TRUNC(중기사용료목록!G18*$AD256/($AD256+$AD257)/$AD262*0.6,0)</f>
        <v>979</v>
      </c>
      <c r="AC281" s="33" t="s">
        <v>272</v>
      </c>
      <c r="AD281" s="7">
        <f>$AD277+$AB281</f>
        <v>18451</v>
      </c>
    </row>
    <row r="282" spans="1:38" ht="18.399999999999999" customHeight="1" x14ac:dyDescent="0.15">
      <c r="A282" s="35" t="s">
        <v>1414</v>
      </c>
      <c r="B282" s="31">
        <f>SUM($C282,$D282,$E282)</f>
        <v>56414</v>
      </c>
      <c r="C282" s="31">
        <f>$AB282</f>
        <v>7852</v>
      </c>
      <c r="D282" s="31">
        <f>$AF282</f>
        <v>30111</v>
      </c>
      <c r="E282" s="31">
        <f>$AJ282</f>
        <v>18451</v>
      </c>
      <c r="F282" s="39"/>
      <c r="K282" s="3" t="s">
        <v>264</v>
      </c>
      <c r="AA282" s="33" t="s">
        <v>101</v>
      </c>
      <c r="AB282" s="8">
        <f>TRUNC($AD279,0)</f>
        <v>7852</v>
      </c>
      <c r="AC282" s="33" t="s">
        <v>1520</v>
      </c>
      <c r="AD282" s="7">
        <f>$AB282</f>
        <v>7852</v>
      </c>
      <c r="AE282" s="33" t="s">
        <v>1369</v>
      </c>
      <c r="AF282" s="8">
        <f>TRUNC($AD280,0)</f>
        <v>30111</v>
      </c>
      <c r="AG282" s="33" t="s">
        <v>811</v>
      </c>
      <c r="AH282" s="7">
        <f>$AF282</f>
        <v>30111</v>
      </c>
      <c r="AI282" s="33" t="s">
        <v>1759</v>
      </c>
      <c r="AJ282" s="8">
        <f>TRUNC($AD281,0)</f>
        <v>18451</v>
      </c>
      <c r="AK282" s="33" t="s">
        <v>272</v>
      </c>
      <c r="AL282" s="7">
        <f>$AJ282</f>
        <v>18451</v>
      </c>
    </row>
    <row r="283" spans="1:38" ht="18.399999999999999" customHeight="1" x14ac:dyDescent="0.15">
      <c r="A283" s="35" t="s">
        <v>1850</v>
      </c>
      <c r="B283" s="31"/>
      <c r="C283" s="31"/>
      <c r="D283" s="31"/>
      <c r="E283" s="31"/>
      <c r="F283" s="39"/>
      <c r="K283" s="3" t="s">
        <v>1850</v>
      </c>
    </row>
    <row r="284" spans="1:38" ht="18.399999999999999" customHeight="1" x14ac:dyDescent="0.15">
      <c r="A284" s="35" t="s">
        <v>1850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475</v>
      </c>
      <c r="AA284" s="33" t="s">
        <v>242</v>
      </c>
      <c r="AB284" s="8">
        <f>ROUND(0,2)</f>
        <v>0</v>
      </c>
      <c r="AC284" s="33" t="s">
        <v>909</v>
      </c>
      <c r="AD284" s="7">
        <f>$AB284</f>
        <v>0</v>
      </c>
      <c r="AE284" s="33" t="s">
        <v>1269</v>
      </c>
      <c r="AF284" s="8">
        <f>ROUND(0,2)</f>
        <v>0</v>
      </c>
      <c r="AG284" s="33" t="s">
        <v>1554</v>
      </c>
      <c r="AH284" s="7">
        <f>$AF284</f>
        <v>0</v>
      </c>
      <c r="AI284" s="33" t="s">
        <v>1661</v>
      </c>
      <c r="AJ284" s="8">
        <f>ROUND(0,2)</f>
        <v>0</v>
      </c>
      <c r="AK284" s="33" t="s">
        <v>1139</v>
      </c>
      <c r="AL284" s="7">
        <f>$AJ284</f>
        <v>0</v>
      </c>
    </row>
    <row r="285" spans="1:38" ht="18.399999999999999" customHeight="1" x14ac:dyDescent="0.15">
      <c r="A285" s="35" t="s">
        <v>1132</v>
      </c>
      <c r="B285" s="31"/>
      <c r="C285" s="31"/>
      <c r="D285" s="31"/>
      <c r="E285" s="31"/>
      <c r="F285" s="39"/>
      <c r="K285" s="3" t="s">
        <v>1132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/8/Q=21,980.00</v>
      </c>
      <c r="B286" s="31">
        <f>SUM($C286,$D286,$E286)</f>
        <v>21980</v>
      </c>
      <c r="C286" s="31"/>
      <c r="D286" s="31">
        <f>$AB286</f>
        <v>21980</v>
      </c>
      <c r="E286" s="31"/>
      <c r="F286" s="39" t="s">
        <v>1850</v>
      </c>
      <c r="K286" s="3" t="s">
        <v>236</v>
      </c>
      <c r="AA286" s="33" t="s">
        <v>1269</v>
      </c>
      <c r="AB286" s="8">
        <f>TRUNC(노임!D6*2/8/$AD262,0)</f>
        <v>21980</v>
      </c>
      <c r="AC286" s="33" t="s">
        <v>1554</v>
      </c>
      <c r="AD286" s="7">
        <f>$AH284+$AB286</f>
        <v>21980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/8/Q=6,486.00</v>
      </c>
      <c r="B287" s="31">
        <f>SUM($C287,$D287,$E287)</f>
        <v>6486</v>
      </c>
      <c r="C287" s="31"/>
      <c r="D287" s="31">
        <f>$AB287</f>
        <v>6486</v>
      </c>
      <c r="E287" s="31"/>
      <c r="F287" s="39" t="s">
        <v>1850</v>
      </c>
      <c r="K287" s="3" t="s">
        <v>763</v>
      </c>
      <c r="AA287" s="33" t="s">
        <v>1269</v>
      </c>
      <c r="AB287" s="8">
        <f>TRUNC(노임!D4*1/8/$AD262,0)</f>
        <v>6486</v>
      </c>
      <c r="AC287" s="33" t="s">
        <v>1554</v>
      </c>
      <c r="AD287" s="7">
        <f>$AD286+$AB287</f>
        <v>28466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/8/Q=8,178.00</v>
      </c>
      <c r="B288" s="31">
        <f>SUM($C288,$D288,$E288)</f>
        <v>8178</v>
      </c>
      <c r="C288" s="31"/>
      <c r="D288" s="31">
        <f>$AB288</f>
        <v>8178</v>
      </c>
      <c r="E288" s="31"/>
      <c r="F288" s="39" t="s">
        <v>1850</v>
      </c>
      <c r="K288" s="3" t="s">
        <v>1578</v>
      </c>
      <c r="AA288" s="33" t="s">
        <v>1269</v>
      </c>
      <c r="AB288" s="8">
        <f>TRUNC(노임!D3*1/8/$AD262,0)</f>
        <v>8178</v>
      </c>
      <c r="AC288" s="33" t="s">
        <v>1554</v>
      </c>
      <c r="AD288" s="7">
        <f>$AD287+$AB288</f>
        <v>36644</v>
      </c>
    </row>
    <row r="289" spans="1:38" ht="18.399999999999999" customHeight="1" x14ac:dyDescent="0.15">
      <c r="A289" s="35" t="s">
        <v>1414</v>
      </c>
      <c r="B289" s="31">
        <f>SUM($C289,$D289,$E289)</f>
        <v>36644</v>
      </c>
      <c r="C289" s="31">
        <f>$AB289</f>
        <v>0</v>
      </c>
      <c r="D289" s="31">
        <f>$AF289</f>
        <v>36644</v>
      </c>
      <c r="E289" s="31">
        <f>$AJ289</f>
        <v>0</v>
      </c>
      <c r="F289" s="39"/>
      <c r="K289" s="3" t="s">
        <v>1532</v>
      </c>
      <c r="AA289" s="33" t="s">
        <v>242</v>
      </c>
      <c r="AB289" s="8">
        <f>TRUNC($AD284,0)</f>
        <v>0</v>
      </c>
      <c r="AC289" s="33" t="s">
        <v>909</v>
      </c>
      <c r="AD289" s="7">
        <f>$AB289</f>
        <v>0</v>
      </c>
      <c r="AE289" s="33" t="s">
        <v>1269</v>
      </c>
      <c r="AF289" s="8">
        <f>TRUNC($AD288,0)</f>
        <v>36644</v>
      </c>
      <c r="AG289" s="33" t="s">
        <v>1554</v>
      </c>
      <c r="AH289" s="7">
        <f>$AF289</f>
        <v>36644</v>
      </c>
      <c r="AI289" s="33" t="s">
        <v>1661</v>
      </c>
      <c r="AJ289" s="8">
        <f>TRUNC($AL284,0)</f>
        <v>0</v>
      </c>
      <c r="AK289" s="33" t="s">
        <v>1139</v>
      </c>
      <c r="AL289" s="7">
        <f>$AJ289</f>
        <v>0</v>
      </c>
    </row>
    <row r="290" spans="1:38" ht="18.399999999999999" customHeight="1" x14ac:dyDescent="0.15">
      <c r="A290" s="35" t="s">
        <v>1850</v>
      </c>
      <c r="B290" s="31"/>
      <c r="C290" s="31"/>
      <c r="D290" s="31"/>
      <c r="E290" s="31"/>
      <c r="F290" s="39"/>
      <c r="K290" s="3" t="s">
        <v>1850</v>
      </c>
    </row>
    <row r="291" spans="1:38" ht="18.399999999999999" customHeight="1" x14ac:dyDescent="0.15">
      <c r="A291" s="35" t="s">
        <v>641</v>
      </c>
      <c r="B291" s="31">
        <f>SUM($C291,$D291,$E291)</f>
        <v>93058</v>
      </c>
      <c r="C291" s="31">
        <f>$AB291</f>
        <v>7852</v>
      </c>
      <c r="D291" s="31">
        <f>$AF291</f>
        <v>66755</v>
      </c>
      <c r="E291" s="31">
        <f>$AJ291</f>
        <v>18451</v>
      </c>
      <c r="F291" s="39"/>
      <c r="K291" s="3" t="s">
        <v>736</v>
      </c>
      <c r="AA291" s="33" t="s">
        <v>1396</v>
      </c>
      <c r="AB291" s="8">
        <f>TRUNC(($AD282+$AD289),0)</f>
        <v>7852</v>
      </c>
      <c r="AC291" s="33" t="s">
        <v>1559</v>
      </c>
      <c r="AD291" s="7">
        <f>$AB291</f>
        <v>7852</v>
      </c>
      <c r="AE291" s="33" t="s">
        <v>213</v>
      </c>
      <c r="AF291" s="8">
        <f>TRUNC(($AH282+$AH289),0)</f>
        <v>66755</v>
      </c>
      <c r="AG291" s="33" t="s">
        <v>762</v>
      </c>
      <c r="AH291" s="7">
        <f>$AF291</f>
        <v>66755</v>
      </c>
      <c r="AI291" s="33" t="s">
        <v>615</v>
      </c>
      <c r="AJ291" s="8">
        <f>TRUNC(($AL282+$AL289),0)</f>
        <v>18451</v>
      </c>
      <c r="AK291" s="33" t="s">
        <v>1036</v>
      </c>
      <c r="AL291" s="7">
        <f>$AJ291</f>
        <v>18451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1089</v>
      </c>
      <c r="B293" s="32">
        <f>SUM($C293,$D293,$E293)</f>
        <v>93058</v>
      </c>
      <c r="C293" s="32">
        <f>TRUNC(SUM($AD291),0)</f>
        <v>7852</v>
      </c>
      <c r="D293" s="32">
        <f>TRUNC(SUM($AH291),0)</f>
        <v>66755</v>
      </c>
      <c r="E293" s="32">
        <f>TRUNC(SUM($AL291),0)</f>
        <v>18451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302</v>
      </c>
      <c r="B295" s="31">
        <f>$B345</f>
        <v>47123</v>
      </c>
      <c r="C295" s="31">
        <f>$C345</f>
        <v>3857</v>
      </c>
      <c r="D295" s="31">
        <f>$D345</f>
        <v>33912</v>
      </c>
      <c r="E295" s="31">
        <f>$E345</f>
        <v>9354</v>
      </c>
      <c r="F295" s="38" t="s">
        <v>1850</v>
      </c>
      <c r="G295" t="s">
        <v>1850</v>
      </c>
      <c r="H295" t="s">
        <v>1701</v>
      </c>
      <c r="K295">
        <v>1</v>
      </c>
      <c r="Y295" s="7" t="b">
        <f>EXACT($Z295,$B345)</f>
        <v>1</v>
      </c>
      <c r="Z295" s="32">
        <v>47123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1850</v>
      </c>
      <c r="B297" s="3"/>
      <c r="C297" s="3"/>
      <c r="D297" s="3"/>
      <c r="E297" s="3"/>
      <c r="F297" s="38"/>
      <c r="G297" t="s">
        <v>1850</v>
      </c>
      <c r="I297" t="s">
        <v>243</v>
      </c>
      <c r="J297" t="s">
        <v>1850</v>
      </c>
      <c r="K297" t="s">
        <v>1591</v>
      </c>
    </row>
    <row r="298" spans="1:38" ht="18.399999999999999" customHeight="1" x14ac:dyDescent="0.15">
      <c r="A298" s="35" t="s">
        <v>1063</v>
      </c>
      <c r="B298" s="31"/>
      <c r="C298" s="31"/>
      <c r="D298" s="31"/>
      <c r="E298" s="31"/>
      <c r="F298" s="39"/>
      <c r="K298" s="3" t="s">
        <v>1063</v>
      </c>
    </row>
    <row r="299" spans="1:38" ht="18.399999999999999" customHeight="1" x14ac:dyDescent="0.15">
      <c r="A299" s="35" t="s">
        <v>1850</v>
      </c>
      <c r="B299" s="31"/>
      <c r="C299" s="31"/>
      <c r="D299" s="31"/>
      <c r="E299" s="31"/>
      <c r="F299" s="39"/>
      <c r="K299" s="3" t="s">
        <v>1850</v>
      </c>
    </row>
    <row r="300" spans="1:38" ht="18.399999999999999" customHeight="1" x14ac:dyDescent="0.15">
      <c r="A300" s="35" t="s">
        <v>778</v>
      </c>
      <c r="B300" s="31"/>
      <c r="C300" s="31"/>
      <c r="D300" s="31"/>
      <c r="E300" s="31"/>
      <c r="F300" s="39"/>
      <c r="K300" s="3" t="s">
        <v>778</v>
      </c>
    </row>
    <row r="301" spans="1:38" ht="18.399999999999999" customHeight="1" x14ac:dyDescent="0.15">
      <c r="A301" s="35" t="s">
        <v>1156</v>
      </c>
      <c r="B301" s="31"/>
      <c r="C301" s="31"/>
      <c r="D301" s="31"/>
      <c r="E301" s="31"/>
      <c r="F301" s="39"/>
      <c r="K301" s="3" t="s">
        <v>1156</v>
      </c>
    </row>
    <row r="302" spans="1:38" ht="18.399999999999999" customHeight="1" x14ac:dyDescent="0.15">
      <c r="A302" s="35" t="s">
        <v>1266</v>
      </c>
      <c r="B302" s="31"/>
      <c r="C302" s="31"/>
      <c r="D302" s="31"/>
      <c r="E302" s="31"/>
      <c r="F302" s="39"/>
      <c r="K302" s="3" t="s">
        <v>1266</v>
      </c>
    </row>
    <row r="303" spans="1:38" ht="18.399999999999999" customHeight="1" x14ac:dyDescent="0.15">
      <c r="A303" s="35" t="s">
        <v>1850</v>
      </c>
      <c r="B303" s="31"/>
      <c r="C303" s="31"/>
      <c r="D303" s="31"/>
      <c r="E303" s="31"/>
      <c r="F303" s="39"/>
      <c r="K303" s="3" t="s">
        <v>1850</v>
      </c>
    </row>
    <row r="304" spans="1:38" ht="18.399999999999999" customHeight="1" x14ac:dyDescent="0.15">
      <c r="A304" s="35" t="s">
        <v>861</v>
      </c>
      <c r="B304" s="31"/>
      <c r="C304" s="31"/>
      <c r="D304" s="31"/>
      <c r="E304" s="31"/>
      <c r="F304" s="39"/>
      <c r="K304" s="3" t="s">
        <v>861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L=3.5 m</v>
      </c>
      <c r="B305" s="31"/>
      <c r="C305" s="31"/>
      <c r="D305" s="31"/>
      <c r="E305" s="31"/>
      <c r="F305" s="39"/>
      <c r="K305" s="10" t="str">
        <f>SUBSTITUTE(SUBSTITUTE("  _x001D_파일 1본당 길이 :_x001D_  L=3.5_x001D_m_x001D_","3.5",TEXT($AB305,"#,##0.0"),1),"_x001D_","'")</f>
        <v xml:space="preserve">  '파일 1본당 길이 :'  L=3.5'm'</v>
      </c>
      <c r="AA305" s="34" t="s">
        <v>1749</v>
      </c>
      <c r="AB305" s="6">
        <v>3.5</v>
      </c>
      <c r="AC305" s="34" t="s">
        <v>1749</v>
      </c>
      <c r="AD305" s="7">
        <f t="shared" ref="AD305:AD314" si="13">$AB305</f>
        <v>3.5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555</v>
      </c>
      <c r="AB306" s="6">
        <v>0.95</v>
      </c>
      <c r="AC306" s="34" t="s">
        <v>555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718</v>
      </c>
      <c r="AB307" s="6">
        <v>0.5</v>
      </c>
      <c r="AC307" s="34" t="s">
        <v>718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Tb=r*L*k=1.66 본/분 </v>
      </c>
      <c r="B308" s="31">
        <f>SUM($C308,$D308,$E308)</f>
        <v>0</v>
      </c>
      <c r="C308" s="31"/>
      <c r="D308" s="31"/>
      <c r="E308" s="31"/>
      <c r="F308" s="39"/>
      <c r="K308" s="3" t="s">
        <v>1174</v>
      </c>
      <c r="AA308" s="34" t="s">
        <v>459</v>
      </c>
      <c r="AB308" s="8">
        <f>ROUND($AD307*$AD305*$AD306,2)</f>
        <v>1.66</v>
      </c>
      <c r="AC308" s="34" t="s">
        <v>1483</v>
      </c>
      <c r="AD308" s="7">
        <f t="shared" si="13"/>
        <v>1.66</v>
      </c>
      <c r="AE308" s="34" t="s">
        <v>1517</v>
      </c>
      <c r="AF308" s="8">
        <f>ROUND(ROUND($AD307*$AD305*$AD306,2),2)</f>
        <v>1.66</v>
      </c>
      <c r="AG308" s="34" t="s">
        <v>1346</v>
      </c>
      <c r="AH308" s="7">
        <f>$AF308</f>
        <v>1.66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399</v>
      </c>
      <c r="AB309" s="6">
        <v>6</v>
      </c>
      <c r="AC309" s="34" t="s">
        <v>399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1112</v>
      </c>
      <c r="AB310" s="6">
        <v>0.8</v>
      </c>
      <c r="AC310" s="34" t="s">
        <v>1112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691</v>
      </c>
      <c r="AB311" s="6">
        <v>-0.05</v>
      </c>
      <c r="AC311" s="34" t="s">
        <v>691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812</v>
      </c>
      <c r="AB312" s="6">
        <v>-0.05</v>
      </c>
      <c r="AC312" s="34" t="s">
        <v>812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Tc=(Tb+Ts)/F=9.58 mim/본당 </v>
      </c>
      <c r="B313" s="31">
        <f>SUM($C313,$D313,$E313)</f>
        <v>0</v>
      </c>
      <c r="C313" s="31"/>
      <c r="D313" s="31"/>
      <c r="E313" s="31"/>
      <c r="F313" s="39"/>
      <c r="K313" s="3" t="s">
        <v>1273</v>
      </c>
      <c r="AA313" s="34" t="s">
        <v>1059</v>
      </c>
      <c r="AB313" s="8">
        <f>ROUND(($AD308+$AD309)/$AD310,2)</f>
        <v>9.58</v>
      </c>
      <c r="AC313" s="34" t="s">
        <v>1278</v>
      </c>
      <c r="AD313" s="7">
        <f t="shared" si="13"/>
        <v>9.58</v>
      </c>
      <c r="AE313" s="34" t="s">
        <v>355</v>
      </c>
      <c r="AF313" s="8">
        <f>ROUND(ROUND(($AD308+$AD309)/$AD310,2),2)</f>
        <v>9.58</v>
      </c>
      <c r="AG313" s="34" t="s">
        <v>1210</v>
      </c>
      <c r="AH313" s="7">
        <f>$AF313</f>
        <v>9.58</v>
      </c>
    </row>
    <row r="314" spans="1:38" ht="18.399999999999999" customHeight="1" x14ac:dyDescent="0.15">
      <c r="A314" s="36" t="str">
        <f>CONCATENATE("   Q=60/Tc=",TEXT($AF314,"#,##0.00")," 본/hr ")</f>
        <v xml:space="preserve">   Q=60/Tc=6.26 본/hr </v>
      </c>
      <c r="B314" s="31">
        <f>SUM($C314,$D314,$E314)</f>
        <v>0</v>
      </c>
      <c r="C314" s="31"/>
      <c r="D314" s="31"/>
      <c r="E314" s="31"/>
      <c r="F314" s="39"/>
      <c r="K314" s="3" t="s">
        <v>1451</v>
      </c>
      <c r="AA314" s="34" t="s">
        <v>383</v>
      </c>
      <c r="AB314" s="8">
        <f>ROUND(60/$AD313,2)</f>
        <v>6.26</v>
      </c>
      <c r="AC314" s="34" t="s">
        <v>1323</v>
      </c>
      <c r="AD314" s="7">
        <f t="shared" si="13"/>
        <v>6.26</v>
      </c>
      <c r="AE314" s="34" t="s">
        <v>1690</v>
      </c>
      <c r="AF314" s="8">
        <f>ROUND(ROUND(60/$AD313,2),2)</f>
        <v>6.26</v>
      </c>
      <c r="AG314" s="34" t="s">
        <v>1368</v>
      </c>
      <c r="AH314" s="7">
        <f>$AF314</f>
        <v>6.26</v>
      </c>
    </row>
    <row r="315" spans="1:38" ht="18.399999999999999" customHeight="1" x14ac:dyDescent="0.15">
      <c r="A315" s="35" t="s">
        <v>1850</v>
      </c>
      <c r="B315" s="31"/>
      <c r="C315" s="31"/>
      <c r="D315" s="31"/>
      <c r="E315" s="31"/>
      <c r="F315" s="39"/>
      <c r="K315" s="3" t="s">
        <v>1850</v>
      </c>
    </row>
    <row r="316" spans="1:38" ht="18.399999999999999" customHeight="1" x14ac:dyDescent="0.15">
      <c r="A316" s="35" t="s">
        <v>1850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1006</v>
      </c>
      <c r="AA316" s="33" t="s">
        <v>101</v>
      </c>
      <c r="AB316" s="8">
        <f>ROUND(0,2)</f>
        <v>0</v>
      </c>
      <c r="AC316" s="33" t="s">
        <v>1520</v>
      </c>
      <c r="AD316" s="7">
        <f>$AB316</f>
        <v>0</v>
      </c>
      <c r="AE316" s="33" t="s">
        <v>1369</v>
      </c>
      <c r="AF316" s="8">
        <f>ROUND(0,2)</f>
        <v>0</v>
      </c>
      <c r="AG316" s="33" t="s">
        <v>811</v>
      </c>
      <c r="AH316" s="7">
        <f>$AF316</f>
        <v>0</v>
      </c>
      <c r="AI316" s="33" t="s">
        <v>1759</v>
      </c>
      <c r="AJ316" s="8">
        <f>ROUND(0,2)</f>
        <v>0</v>
      </c>
      <c r="AK316" s="33" t="s">
        <v>272</v>
      </c>
      <c r="AL316" s="7">
        <f>$AJ316</f>
        <v>0</v>
      </c>
    </row>
    <row r="317" spans="1:38" ht="18.399999999999999" customHeight="1" x14ac:dyDescent="0.15">
      <c r="A317" s="35" t="s">
        <v>1339</v>
      </c>
      <c r="B317" s="31"/>
      <c r="C317" s="31"/>
      <c r="D317" s="31"/>
      <c r="E317" s="31"/>
      <c r="F317" s="39"/>
      <c r="K317" s="3" t="s">
        <v>1339</v>
      </c>
    </row>
    <row r="318" spans="1:38" ht="18.399999999999999" customHeight="1" x14ac:dyDescent="0.15">
      <c r="A318" s="35" t="s">
        <v>11</v>
      </c>
      <c r="B318" s="31"/>
      <c r="C318" s="31"/>
      <c r="D318" s="31"/>
      <c r="E318" s="31"/>
      <c r="F318" s="39"/>
      <c r="K318" s="3" t="s">
        <v>11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1850</v>
      </c>
      <c r="K319" s="3" t="s">
        <v>27</v>
      </c>
      <c r="AA319" s="33" t="s">
        <v>101</v>
      </c>
      <c r="AB319" s="8">
        <f>TRUNC(중기사용료목록!E21/$AD314,0)</f>
        <v>0</v>
      </c>
      <c r="AC319" s="33" t="s">
        <v>1520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1850</v>
      </c>
      <c r="K320" s="3" t="s">
        <v>1820</v>
      </c>
      <c r="AA320" s="33" t="s">
        <v>1369</v>
      </c>
      <c r="AB320" s="8">
        <f>TRUNC(중기사용료목록!F21/$AD314,0)</f>
        <v>0</v>
      </c>
      <c r="AC320" s="33" t="s">
        <v>811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_x001D_20,782_x001D_/Q=3,319.00</v>
      </c>
      <c r="B321" s="31">
        <f>SUM($C321,$D321,$E321)</f>
        <v>3319</v>
      </c>
      <c r="C321" s="31"/>
      <c r="D321" s="31"/>
      <c r="E321" s="31">
        <f>$AB321</f>
        <v>3319</v>
      </c>
      <c r="F321" s="39" t="s">
        <v>1850</v>
      </c>
      <c r="K321" s="3" t="s">
        <v>719</v>
      </c>
      <c r="AA321" s="33" t="s">
        <v>1759</v>
      </c>
      <c r="AB321" s="8">
        <f>TRUNC(중기사용료목록!G21/$AD314,0)</f>
        <v>3319</v>
      </c>
      <c r="AC321" s="33" t="s">
        <v>272</v>
      </c>
      <c r="AD321" s="7">
        <f>$AL316+$AB321</f>
        <v>3319</v>
      </c>
    </row>
    <row r="322" spans="1:38" ht="18.399999999999999" customHeight="1" x14ac:dyDescent="0.15">
      <c r="A322" s="35" t="s">
        <v>1397</v>
      </c>
      <c r="B322" s="31"/>
      <c r="C322" s="31"/>
      <c r="D322" s="31"/>
      <c r="E322" s="31"/>
      <c r="F322" s="39"/>
      <c r="K322" s="3" t="s">
        <v>1397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_x001D_15,628.48_x001D_/Q=2,496.00</v>
      </c>
      <c r="B323" s="31">
        <f>SUM($C323,$D323,$E323)</f>
        <v>2496</v>
      </c>
      <c r="C323" s="31">
        <f>$AB323</f>
        <v>2496</v>
      </c>
      <c r="D323" s="31"/>
      <c r="E323" s="31"/>
      <c r="F323" s="39" t="s">
        <v>1850</v>
      </c>
      <c r="K323" s="3" t="s">
        <v>575</v>
      </c>
      <c r="AA323" s="33" t="s">
        <v>101</v>
      </c>
      <c r="AB323" s="8">
        <f>TRUNC(중기사용료목록!E14/$AD314,0)</f>
        <v>2496</v>
      </c>
      <c r="AC323" s="33" t="s">
        <v>1520</v>
      </c>
      <c r="AD323" s="7">
        <f>$AD319+$AB323</f>
        <v>2496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_x001D_55,700_x001D_/Q=8,897.00</v>
      </c>
      <c r="B324" s="31">
        <f>SUM($C324,$D324,$E324)</f>
        <v>8897</v>
      </c>
      <c r="C324" s="31"/>
      <c r="D324" s="31">
        <f>$AB324</f>
        <v>8897</v>
      </c>
      <c r="E324" s="31"/>
      <c r="F324" s="39" t="s">
        <v>1850</v>
      </c>
      <c r="K324" s="3" t="s">
        <v>1324</v>
      </c>
      <c r="AA324" s="33" t="s">
        <v>1369</v>
      </c>
      <c r="AB324" s="8">
        <f>TRUNC(중기사용료목록!F14/$AD314,0)</f>
        <v>8897</v>
      </c>
      <c r="AC324" s="33" t="s">
        <v>811</v>
      </c>
      <c r="AD324" s="7">
        <f>$AD320+$AB324</f>
        <v>8897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_x001D_29,557_x001D_/Q=4,721.00</v>
      </c>
      <c r="B325" s="31">
        <f>SUM($C325,$D325,$E325)</f>
        <v>4721</v>
      </c>
      <c r="C325" s="31"/>
      <c r="D325" s="31"/>
      <c r="E325" s="31">
        <f>$AB325</f>
        <v>4721</v>
      </c>
      <c r="F325" s="39" t="s">
        <v>1850</v>
      </c>
      <c r="K325" s="3" t="s">
        <v>133</v>
      </c>
      <c r="AA325" s="33" t="s">
        <v>1759</v>
      </c>
      <c r="AB325" s="8">
        <f>TRUNC(중기사용료목록!G14/$AD314,0)</f>
        <v>4721</v>
      </c>
      <c r="AC325" s="33" t="s">
        <v>272</v>
      </c>
      <c r="AD325" s="7">
        <f>$AD321+$AB325</f>
        <v>8040</v>
      </c>
    </row>
    <row r="326" spans="1:38" ht="18.399999999999999" customHeight="1" x14ac:dyDescent="0.15">
      <c r="A326" s="35" t="s">
        <v>1088</v>
      </c>
      <c r="B326" s="31"/>
      <c r="C326" s="31"/>
      <c r="D326" s="31"/>
      <c r="E326" s="31"/>
      <c r="F326" s="39"/>
      <c r="K326" s="3" t="s">
        <v>1088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_x001D_29,270.85_x001D_*Tb/(Tb+Ts)/Q=1,013.00</v>
      </c>
      <c r="B327" s="31">
        <f>SUM($C327,$D327,$E327)</f>
        <v>1013</v>
      </c>
      <c r="C327" s="31">
        <f>$AB327</f>
        <v>1013</v>
      </c>
      <c r="D327" s="31"/>
      <c r="E327" s="31"/>
      <c r="F327" s="39" t="s">
        <v>1850</v>
      </c>
      <c r="K327" s="3" t="s">
        <v>285</v>
      </c>
      <c r="AA327" s="33" t="s">
        <v>101</v>
      </c>
      <c r="AB327" s="8">
        <f>TRUNC(중기사용료목록!E30*$AD308/($AD308+$AD309)/$AD314,0)</f>
        <v>1013</v>
      </c>
      <c r="AC327" s="33" t="s">
        <v>1520</v>
      </c>
      <c r="AD327" s="7">
        <f>$AD323+$AB327</f>
        <v>3509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_x001D_33,571_x001D_/Q=5,362.00</v>
      </c>
      <c r="B328" s="31">
        <f>SUM($C328,$D328,$E328)</f>
        <v>5362</v>
      </c>
      <c r="C328" s="31"/>
      <c r="D328" s="31">
        <f>$AB328</f>
        <v>5362</v>
      </c>
      <c r="E328" s="31"/>
      <c r="F328" s="39" t="s">
        <v>1850</v>
      </c>
      <c r="K328" s="3" t="s">
        <v>109</v>
      </c>
      <c r="AA328" s="33" t="s">
        <v>1369</v>
      </c>
      <c r="AB328" s="8">
        <f>TRUNC(중기사용료목록!F30/$AD314,0)</f>
        <v>5362</v>
      </c>
      <c r="AC328" s="33" t="s">
        <v>811</v>
      </c>
      <c r="AD328" s="7">
        <f>$AD324+$AB328</f>
        <v>14259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_x001D_5,403_x001D_/Q=863.00</v>
      </c>
      <c r="B329" s="31">
        <f>SUM($C329,$D329,$E329)</f>
        <v>863</v>
      </c>
      <c r="C329" s="31"/>
      <c r="D329" s="31"/>
      <c r="E329" s="31">
        <f>$AB329</f>
        <v>863</v>
      </c>
      <c r="F329" s="39" t="s">
        <v>1850</v>
      </c>
      <c r="K329" s="3" t="s">
        <v>1304</v>
      </c>
      <c r="AA329" s="33" t="s">
        <v>1759</v>
      </c>
      <c r="AB329" s="8">
        <f>TRUNC(중기사용료목록!G30/$AD314,0)</f>
        <v>863</v>
      </c>
      <c r="AC329" s="33" t="s">
        <v>272</v>
      </c>
      <c r="AD329" s="7">
        <f>$AD325+$AB329</f>
        <v>8903</v>
      </c>
    </row>
    <row r="330" spans="1:38" ht="18.399999999999999" customHeight="1" x14ac:dyDescent="0.15">
      <c r="A330" s="35" t="s">
        <v>868</v>
      </c>
      <c r="B330" s="31"/>
      <c r="C330" s="31"/>
      <c r="D330" s="31"/>
      <c r="E330" s="31"/>
      <c r="F330" s="39"/>
      <c r="K330" s="3" t="s">
        <v>868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_x001D_16,768.06_x001D_*Tb/(Tb+Ts)/Q*0.6=348.00</v>
      </c>
      <c r="B331" s="31">
        <f>SUM($C331,$D331,$E331)</f>
        <v>348</v>
      </c>
      <c r="C331" s="31">
        <f>$AB331</f>
        <v>348</v>
      </c>
      <c r="D331" s="31"/>
      <c r="E331" s="31"/>
      <c r="F331" s="39" t="s">
        <v>1850</v>
      </c>
      <c r="K331" s="3" t="s">
        <v>853</v>
      </c>
      <c r="AA331" s="33" t="s">
        <v>101</v>
      </c>
      <c r="AB331" s="8">
        <f>TRUNC(중기사용료목록!E18*$AD308/($AD308+$AD309)/$AD314*0.6,0)</f>
        <v>348</v>
      </c>
      <c r="AC331" s="33" t="s">
        <v>1520</v>
      </c>
      <c r="AD331" s="7">
        <f>$AD327+$AB331</f>
        <v>3857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_x001D_47,231_x001D_*Tb/(Tb+Ts)/Q*0.6=981.00</v>
      </c>
      <c r="B332" s="31">
        <f>SUM($C332,$D332,$E332)</f>
        <v>981</v>
      </c>
      <c r="C332" s="31"/>
      <c r="D332" s="31">
        <f>$AB332</f>
        <v>981</v>
      </c>
      <c r="E332" s="31"/>
      <c r="F332" s="39" t="s">
        <v>1850</v>
      </c>
      <c r="K332" s="3" t="s">
        <v>1781</v>
      </c>
      <c r="AA332" s="33" t="s">
        <v>1369</v>
      </c>
      <c r="AB332" s="8">
        <f>TRUNC(중기사용료목록!F18*$AD308/($AD308+$AD309)/$AD314*0.6,0)</f>
        <v>981</v>
      </c>
      <c r="AC332" s="33" t="s">
        <v>811</v>
      </c>
      <c r="AD332" s="7">
        <f>$AD328+$AB332</f>
        <v>15240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_x001D_21,743_x001D_*Tb/(Tb+Ts)/Q*0.6=451.00</v>
      </c>
      <c r="B333" s="31">
        <f>SUM($C333,$D333,$E333)</f>
        <v>451</v>
      </c>
      <c r="C333" s="31"/>
      <c r="D333" s="31"/>
      <c r="E333" s="31">
        <f>$AB333</f>
        <v>451</v>
      </c>
      <c r="F333" s="39" t="s">
        <v>1850</v>
      </c>
      <c r="K333" s="3" t="s">
        <v>298</v>
      </c>
      <c r="AA333" s="33" t="s">
        <v>1759</v>
      </c>
      <c r="AB333" s="8">
        <f>TRUNC(중기사용료목록!G18*$AD308/($AD308+$AD309)/$AD314*0.6,0)</f>
        <v>451</v>
      </c>
      <c r="AC333" s="33" t="s">
        <v>272</v>
      </c>
      <c r="AD333" s="7">
        <f>$AD329+$AB333</f>
        <v>9354</v>
      </c>
    </row>
    <row r="334" spans="1:38" ht="18.399999999999999" customHeight="1" x14ac:dyDescent="0.15">
      <c r="A334" s="35" t="s">
        <v>1414</v>
      </c>
      <c r="B334" s="31">
        <f>SUM($C334,$D334,$E334)</f>
        <v>28451</v>
      </c>
      <c r="C334" s="31">
        <f>$AB334</f>
        <v>3857</v>
      </c>
      <c r="D334" s="31">
        <f>$AF334</f>
        <v>15240</v>
      </c>
      <c r="E334" s="31">
        <f>$AJ334</f>
        <v>9354</v>
      </c>
      <c r="F334" s="39"/>
      <c r="K334" s="3" t="s">
        <v>264</v>
      </c>
      <c r="AA334" s="33" t="s">
        <v>101</v>
      </c>
      <c r="AB334" s="8">
        <f>TRUNC($AD331,0)</f>
        <v>3857</v>
      </c>
      <c r="AC334" s="33" t="s">
        <v>1520</v>
      </c>
      <c r="AD334" s="7">
        <f>$AB334</f>
        <v>3857</v>
      </c>
      <c r="AE334" s="33" t="s">
        <v>1369</v>
      </c>
      <c r="AF334" s="8">
        <f>TRUNC($AD332,0)</f>
        <v>15240</v>
      </c>
      <c r="AG334" s="33" t="s">
        <v>811</v>
      </c>
      <c r="AH334" s="7">
        <f>$AF334</f>
        <v>15240</v>
      </c>
      <c r="AI334" s="33" t="s">
        <v>1759</v>
      </c>
      <c r="AJ334" s="8">
        <f>TRUNC($AD333,0)</f>
        <v>9354</v>
      </c>
      <c r="AK334" s="33" t="s">
        <v>272</v>
      </c>
      <c r="AL334" s="7">
        <f>$AJ334</f>
        <v>9354</v>
      </c>
    </row>
    <row r="335" spans="1:38" ht="18.399999999999999" customHeight="1" x14ac:dyDescent="0.15">
      <c r="A335" s="35" t="s">
        <v>1850</v>
      </c>
      <c r="B335" s="31"/>
      <c r="C335" s="31"/>
      <c r="D335" s="31"/>
      <c r="E335" s="31"/>
      <c r="F335" s="39"/>
      <c r="K335" s="3" t="s">
        <v>1850</v>
      </c>
    </row>
    <row r="336" spans="1:38" ht="18.399999999999999" customHeight="1" x14ac:dyDescent="0.15">
      <c r="A336" s="35" t="s">
        <v>1850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475</v>
      </c>
      <c r="AA336" s="33" t="s">
        <v>242</v>
      </c>
      <c r="AB336" s="8">
        <f>ROUND(0,2)</f>
        <v>0</v>
      </c>
      <c r="AC336" s="33" t="s">
        <v>909</v>
      </c>
      <c r="AD336" s="7">
        <f>$AB336</f>
        <v>0</v>
      </c>
      <c r="AE336" s="33" t="s">
        <v>1269</v>
      </c>
      <c r="AF336" s="8">
        <f>ROUND(0,2)</f>
        <v>0</v>
      </c>
      <c r="AG336" s="33" t="s">
        <v>1554</v>
      </c>
      <c r="AH336" s="7">
        <f>$AF336</f>
        <v>0</v>
      </c>
      <c r="AI336" s="33" t="s">
        <v>1661</v>
      </c>
      <c r="AJ336" s="8">
        <f>ROUND(0,2)</f>
        <v>0</v>
      </c>
      <c r="AK336" s="33" t="s">
        <v>1139</v>
      </c>
      <c r="AL336" s="7">
        <f>$AJ336</f>
        <v>0</v>
      </c>
    </row>
    <row r="337" spans="1:38" ht="18.399999999999999" customHeight="1" x14ac:dyDescent="0.15">
      <c r="A337" s="35" t="s">
        <v>1132</v>
      </c>
      <c r="B337" s="31"/>
      <c r="C337" s="31"/>
      <c r="D337" s="31"/>
      <c r="E337" s="31"/>
      <c r="F337" s="39"/>
      <c r="K337" s="3" t="s">
        <v>1132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/8/Q=11,200.00</v>
      </c>
      <c r="B338" s="31">
        <f>SUM($C338,$D338,$E338)</f>
        <v>11200</v>
      </c>
      <c r="C338" s="31"/>
      <c r="D338" s="31">
        <f>$AB338</f>
        <v>11200</v>
      </c>
      <c r="E338" s="31"/>
      <c r="F338" s="39" t="s">
        <v>1850</v>
      </c>
      <c r="K338" s="3" t="s">
        <v>236</v>
      </c>
      <c r="AA338" s="33" t="s">
        <v>1269</v>
      </c>
      <c r="AB338" s="8">
        <f>TRUNC(노임!D6*2/8/$AD314,0)</f>
        <v>11200</v>
      </c>
      <c r="AC338" s="33" t="s">
        <v>1554</v>
      </c>
      <c r="AD338" s="7">
        <f>$AH336+$AB338</f>
        <v>11200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/8/Q=3,305.00</v>
      </c>
      <c r="B339" s="31">
        <f>SUM($C339,$D339,$E339)</f>
        <v>3305</v>
      </c>
      <c r="C339" s="31"/>
      <c r="D339" s="31">
        <f>$AB339</f>
        <v>3305</v>
      </c>
      <c r="E339" s="31"/>
      <c r="F339" s="39" t="s">
        <v>1850</v>
      </c>
      <c r="K339" s="3" t="s">
        <v>763</v>
      </c>
      <c r="AA339" s="33" t="s">
        <v>1269</v>
      </c>
      <c r="AB339" s="8">
        <f>TRUNC(노임!D4*1/8/$AD314,0)</f>
        <v>3305</v>
      </c>
      <c r="AC339" s="33" t="s">
        <v>1554</v>
      </c>
      <c r="AD339" s="7">
        <f>$AD338+$AB339</f>
        <v>14505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/8/Q=4,167.00</v>
      </c>
      <c r="B340" s="31">
        <f>SUM($C340,$D340,$E340)</f>
        <v>4167</v>
      </c>
      <c r="C340" s="31"/>
      <c r="D340" s="31">
        <f>$AB340</f>
        <v>4167</v>
      </c>
      <c r="E340" s="31"/>
      <c r="F340" s="39" t="s">
        <v>1850</v>
      </c>
      <c r="K340" s="3" t="s">
        <v>1578</v>
      </c>
      <c r="AA340" s="33" t="s">
        <v>1269</v>
      </c>
      <c r="AB340" s="8">
        <f>TRUNC(노임!D3*1/8/$AD314,0)</f>
        <v>4167</v>
      </c>
      <c r="AC340" s="33" t="s">
        <v>1554</v>
      </c>
      <c r="AD340" s="7">
        <f>$AD339+$AB340</f>
        <v>18672</v>
      </c>
    </row>
    <row r="341" spans="1:38" ht="18.399999999999999" customHeight="1" x14ac:dyDescent="0.15">
      <c r="A341" s="35" t="s">
        <v>1414</v>
      </c>
      <c r="B341" s="31">
        <f>SUM($C341,$D341,$E341)</f>
        <v>18672</v>
      </c>
      <c r="C341" s="31">
        <f>$AB341</f>
        <v>0</v>
      </c>
      <c r="D341" s="31">
        <f>$AF341</f>
        <v>18672</v>
      </c>
      <c r="E341" s="31">
        <f>$AJ341</f>
        <v>0</v>
      </c>
      <c r="F341" s="39"/>
      <c r="K341" s="3" t="s">
        <v>1532</v>
      </c>
      <c r="AA341" s="33" t="s">
        <v>242</v>
      </c>
      <c r="AB341" s="8">
        <f>TRUNC($AD336,0)</f>
        <v>0</v>
      </c>
      <c r="AC341" s="33" t="s">
        <v>909</v>
      </c>
      <c r="AD341" s="7">
        <f>$AB341</f>
        <v>0</v>
      </c>
      <c r="AE341" s="33" t="s">
        <v>1269</v>
      </c>
      <c r="AF341" s="8">
        <f>TRUNC($AD340,0)</f>
        <v>18672</v>
      </c>
      <c r="AG341" s="33" t="s">
        <v>1554</v>
      </c>
      <c r="AH341" s="7">
        <f>$AF341</f>
        <v>18672</v>
      </c>
      <c r="AI341" s="33" t="s">
        <v>1661</v>
      </c>
      <c r="AJ341" s="8">
        <f>TRUNC($AL336,0)</f>
        <v>0</v>
      </c>
      <c r="AK341" s="33" t="s">
        <v>1139</v>
      </c>
      <c r="AL341" s="7">
        <f>$AJ341</f>
        <v>0</v>
      </c>
    </row>
    <row r="342" spans="1:38" ht="18.399999999999999" customHeight="1" x14ac:dyDescent="0.15">
      <c r="A342" s="35" t="s">
        <v>1850</v>
      </c>
      <c r="B342" s="31"/>
      <c r="C342" s="31"/>
      <c r="D342" s="31"/>
      <c r="E342" s="31"/>
      <c r="F342" s="39"/>
      <c r="K342" s="3" t="s">
        <v>1850</v>
      </c>
    </row>
    <row r="343" spans="1:38" ht="18.399999999999999" customHeight="1" x14ac:dyDescent="0.15">
      <c r="A343" s="35" t="s">
        <v>641</v>
      </c>
      <c r="B343" s="31">
        <f>SUM($C343,$D343,$E343)</f>
        <v>47123</v>
      </c>
      <c r="C343" s="31">
        <f>$AB343</f>
        <v>3857</v>
      </c>
      <c r="D343" s="31">
        <f>$AF343</f>
        <v>33912</v>
      </c>
      <c r="E343" s="31">
        <f>$AJ343</f>
        <v>9354</v>
      </c>
      <c r="F343" s="39"/>
      <c r="K343" s="3" t="s">
        <v>736</v>
      </c>
      <c r="AA343" s="33" t="s">
        <v>1396</v>
      </c>
      <c r="AB343" s="8">
        <f>TRUNC(($AD334+$AD341),0)</f>
        <v>3857</v>
      </c>
      <c r="AC343" s="33" t="s">
        <v>1559</v>
      </c>
      <c r="AD343" s="7">
        <f>$AB343</f>
        <v>3857</v>
      </c>
      <c r="AE343" s="33" t="s">
        <v>213</v>
      </c>
      <c r="AF343" s="8">
        <f>TRUNC(($AH334+$AH341),0)</f>
        <v>33912</v>
      </c>
      <c r="AG343" s="33" t="s">
        <v>762</v>
      </c>
      <c r="AH343" s="7">
        <f>$AF343</f>
        <v>33912</v>
      </c>
      <c r="AI343" s="33" t="s">
        <v>615</v>
      </c>
      <c r="AJ343" s="8">
        <f>TRUNC(($AL334+$AL341),0)</f>
        <v>9354</v>
      </c>
      <c r="AK343" s="33" t="s">
        <v>1036</v>
      </c>
      <c r="AL343" s="7">
        <f>$AJ343</f>
        <v>9354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1089</v>
      </c>
      <c r="B345" s="32">
        <f>SUM($C345,$D345,$E345)</f>
        <v>47123</v>
      </c>
      <c r="C345" s="32">
        <f>TRUNC(SUM($AD343),0)</f>
        <v>3857</v>
      </c>
      <c r="D345" s="32">
        <f>TRUNC(SUM($AH343),0)</f>
        <v>33912</v>
      </c>
      <c r="E345" s="32">
        <f>TRUNC(SUM($AL343),0)</f>
        <v>9354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1730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1850</v>
      </c>
      <c r="G347" t="s">
        <v>1850</v>
      </c>
      <c r="H347" t="s">
        <v>1389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1850</v>
      </c>
      <c r="B349" s="3"/>
      <c r="C349" s="3"/>
      <c r="D349" s="3"/>
      <c r="E349" s="3"/>
      <c r="F349" s="38"/>
      <c r="G349" t="s">
        <v>1850</v>
      </c>
      <c r="I349" t="s">
        <v>243</v>
      </c>
      <c r="J349" t="s">
        <v>1850</v>
      </c>
      <c r="K349" t="s">
        <v>1591</v>
      </c>
    </row>
    <row r="350" spans="1:38" ht="18.399999999999999" customHeight="1" x14ac:dyDescent="0.15">
      <c r="A350" s="35" t="s">
        <v>1060</v>
      </c>
      <c r="B350" s="31"/>
      <c r="C350" s="31"/>
      <c r="D350" s="31"/>
      <c r="E350" s="31"/>
      <c r="F350" s="39"/>
      <c r="K350" s="3" t="s">
        <v>1060</v>
      </c>
    </row>
    <row r="351" spans="1:38" ht="18.399999999999999" customHeight="1" x14ac:dyDescent="0.15">
      <c r="A351" s="35" t="s">
        <v>1850</v>
      </c>
      <c r="B351" s="31"/>
      <c r="C351" s="31"/>
      <c r="D351" s="31"/>
      <c r="E351" s="31"/>
      <c r="F351" s="39"/>
      <c r="K351" s="3" t="s">
        <v>1850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939</v>
      </c>
      <c r="AB352" s="6">
        <v>3</v>
      </c>
      <c r="AC352" s="34" t="s">
        <v>939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1454</v>
      </c>
      <c r="AA353" s="34" t="s">
        <v>1322</v>
      </c>
      <c r="AB353" s="8">
        <f>ROUND(3*3,2)</f>
        <v>9</v>
      </c>
      <c r="AC353" s="34" t="s">
        <v>352</v>
      </c>
      <c r="AD353" s="7">
        <f>$AB353</f>
        <v>9</v>
      </c>
      <c r="AE353" s="34" t="s">
        <v>634</v>
      </c>
      <c r="AF353" s="8">
        <f>ROUND(ROUND(3*3,2),2)</f>
        <v>9</v>
      </c>
      <c r="AG353" s="34" t="s">
        <v>1303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970</v>
      </c>
      <c r="AB354" s="6">
        <v>2</v>
      </c>
      <c r="AC354" s="34" t="s">
        <v>970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26</v>
      </c>
      <c r="AA355" s="34" t="s">
        <v>383</v>
      </c>
      <c r="AB355" s="8">
        <f>ROUND($AD352*$AD353*$AD354,2)</f>
        <v>54</v>
      </c>
      <c r="AC355" s="34" t="s">
        <v>1323</v>
      </c>
      <c r="AD355" s="7">
        <f>$AB355</f>
        <v>54</v>
      </c>
      <c r="AE355" s="34" t="s">
        <v>1630</v>
      </c>
      <c r="AF355" s="8">
        <f>ROUND(ROUND($AD352*$AD353*$AD354,2),2)</f>
        <v>54</v>
      </c>
      <c r="AG355" s="34" t="s">
        <v>312</v>
      </c>
      <c r="AH355" s="7">
        <f>$AF355</f>
        <v>54</v>
      </c>
    </row>
    <row r="356" spans="1:38" ht="18.399999999999999" customHeight="1" x14ac:dyDescent="0.15">
      <c r="A356" s="35" t="s">
        <v>1850</v>
      </c>
      <c r="B356" s="31"/>
      <c r="C356" s="31"/>
      <c r="D356" s="31"/>
      <c r="E356" s="31"/>
      <c r="F356" s="39"/>
      <c r="K356" s="3" t="s">
        <v>1850</v>
      </c>
    </row>
    <row r="357" spans="1:38" ht="18.399999999999999" customHeight="1" x14ac:dyDescent="0.15">
      <c r="A357" s="35" t="s">
        <v>1850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98</v>
      </c>
      <c r="AA357" s="33" t="s">
        <v>829</v>
      </c>
      <c r="AB357" s="8">
        <f>ROUND(0,2)</f>
        <v>0</v>
      </c>
      <c r="AC357" s="33" t="s">
        <v>529</v>
      </c>
      <c r="AD357" s="7">
        <f>$AB357</f>
        <v>0</v>
      </c>
      <c r="AE357" s="33" t="s">
        <v>1602</v>
      </c>
      <c r="AF357" s="8">
        <f>ROUND(0,2)</f>
        <v>0</v>
      </c>
      <c r="AG357" s="33" t="s">
        <v>1640</v>
      </c>
      <c r="AH357" s="7">
        <f>$AF357</f>
        <v>0</v>
      </c>
      <c r="AI357" s="33" t="s">
        <v>1091</v>
      </c>
      <c r="AJ357" s="8">
        <f>ROUND(0,2)</f>
        <v>0</v>
      </c>
      <c r="AK357" s="33" t="s">
        <v>1263</v>
      </c>
      <c r="AL357" s="7">
        <f>$AJ357</f>
        <v>0</v>
      </c>
    </row>
    <row r="358" spans="1:38" ht="18.399999999999999" customHeight="1" x14ac:dyDescent="0.15">
      <c r="A358" s="35" t="s">
        <v>1754</v>
      </c>
      <c r="B358" s="31"/>
      <c r="C358" s="31"/>
      <c r="D358" s="31"/>
      <c r="E358" s="31"/>
      <c r="F358" s="39"/>
      <c r="K358" s="3" t="s">
        <v>1754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620</v>
      </c>
      <c r="AA359" s="34" t="s">
        <v>1082</v>
      </c>
      <c r="AB359" s="8">
        <f>ROUND($AD355/8,2)</f>
        <v>6.75</v>
      </c>
      <c r="AC359" s="34" t="s">
        <v>1492</v>
      </c>
      <c r="AD359" s="7">
        <f>$AB359</f>
        <v>6.75</v>
      </c>
      <c r="AE359" s="34" t="s">
        <v>1489</v>
      </c>
      <c r="AF359" s="8">
        <f>ROUND(ROUND($AD355/8,2),2)</f>
        <v>6.75</v>
      </c>
      <c r="AG359" s="34" t="s">
        <v>788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1850</v>
      </c>
      <c r="K360" s="3" t="s">
        <v>238</v>
      </c>
      <c r="AA360" s="33" t="s">
        <v>829</v>
      </c>
      <c r="AB360" s="8">
        <f>TRUNC(중기사용료목록!E15/$AD359,0)</f>
        <v>1061</v>
      </c>
      <c r="AC360" s="33" t="s">
        <v>529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1850</v>
      </c>
      <c r="K361" s="3" t="s">
        <v>1514</v>
      </c>
      <c r="AA361" s="33" t="s">
        <v>1602</v>
      </c>
      <c r="AB361" s="8">
        <f>TRUNC(중기사용료목록!F15/$AD359,0)</f>
        <v>8251</v>
      </c>
      <c r="AC361" s="33" t="s">
        <v>1640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1850</v>
      </c>
      <c r="K362" s="3" t="s">
        <v>914</v>
      </c>
      <c r="AA362" s="33" t="s">
        <v>1091</v>
      </c>
      <c r="AB362" s="8">
        <f>TRUNC(중기사용료목록!G15/$AD359,0)</f>
        <v>4459</v>
      </c>
      <c r="AC362" s="33" t="s">
        <v>1263</v>
      </c>
      <c r="AD362" s="7">
        <f>$AL357+$AB362</f>
        <v>4459</v>
      </c>
    </row>
    <row r="363" spans="1:38" ht="18.399999999999999" customHeight="1" x14ac:dyDescent="0.15">
      <c r="A363" s="35" t="s">
        <v>1414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767</v>
      </c>
      <c r="AA363" s="33" t="s">
        <v>829</v>
      </c>
      <c r="AB363" s="8">
        <f>TRUNC($AD360,0)</f>
        <v>1061</v>
      </c>
      <c r="AC363" s="33" t="s">
        <v>529</v>
      </c>
      <c r="AD363" s="7">
        <f>$AB363</f>
        <v>1061</v>
      </c>
      <c r="AE363" s="33" t="s">
        <v>1602</v>
      </c>
      <c r="AF363" s="8">
        <f>TRUNC($AD361,0)</f>
        <v>8251</v>
      </c>
      <c r="AG363" s="33" t="s">
        <v>1640</v>
      </c>
      <c r="AH363" s="7">
        <f>$AF363</f>
        <v>8251</v>
      </c>
      <c r="AI363" s="33" t="s">
        <v>1091</v>
      </c>
      <c r="AJ363" s="8">
        <f>TRUNC($AD362,0)</f>
        <v>4459</v>
      </c>
      <c r="AK363" s="33" t="s">
        <v>1263</v>
      </c>
      <c r="AL363" s="7">
        <f>$AJ363</f>
        <v>4459</v>
      </c>
    </row>
    <row r="364" spans="1:38" ht="18.399999999999999" customHeight="1" x14ac:dyDescent="0.15">
      <c r="A364" s="35" t="s">
        <v>1850</v>
      </c>
      <c r="B364" s="31"/>
      <c r="C364" s="31"/>
      <c r="D364" s="31"/>
      <c r="E364" s="31"/>
      <c r="F364" s="39"/>
      <c r="K364" s="3" t="s">
        <v>1850</v>
      </c>
    </row>
    <row r="365" spans="1:38" ht="18.399999999999999" customHeight="1" x14ac:dyDescent="0.15">
      <c r="A365" s="35" t="s">
        <v>1850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1668</v>
      </c>
      <c r="AA365" s="33" t="s">
        <v>1392</v>
      </c>
      <c r="AB365" s="8">
        <f>ROUND(0,2)</f>
        <v>0</v>
      </c>
      <c r="AC365" s="33" t="s">
        <v>1272</v>
      </c>
      <c r="AD365" s="7">
        <f>$AB365</f>
        <v>0</v>
      </c>
      <c r="AE365" s="33" t="s">
        <v>82</v>
      </c>
      <c r="AF365" s="8">
        <f>ROUND(0,2)</f>
        <v>0</v>
      </c>
      <c r="AG365" s="33" t="s">
        <v>103</v>
      </c>
      <c r="AH365" s="7">
        <f>$AF365</f>
        <v>0</v>
      </c>
      <c r="AI365" s="33" t="s">
        <v>504</v>
      </c>
      <c r="AJ365" s="8">
        <f>ROUND(0,2)</f>
        <v>0</v>
      </c>
      <c r="AK365" s="33" t="s">
        <v>524</v>
      </c>
      <c r="AL365" s="7">
        <f>$AJ365</f>
        <v>0</v>
      </c>
    </row>
    <row r="366" spans="1:38" ht="18.399999999999999" customHeight="1" x14ac:dyDescent="0.15">
      <c r="A366" s="35" t="s">
        <v>488</v>
      </c>
      <c r="B366" s="31"/>
      <c r="C366" s="31"/>
      <c r="D366" s="31"/>
      <c r="E366" s="31"/>
      <c r="F366" s="39"/>
      <c r="K366" s="3" t="s">
        <v>488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1850</v>
      </c>
      <c r="K367" s="3" t="s">
        <v>278</v>
      </c>
      <c r="AA367" s="33" t="s">
        <v>82</v>
      </c>
      <c r="AB367" s="8">
        <f>TRUNC(노임!D4*1/$AD355,0)</f>
        <v>3065</v>
      </c>
      <c r="AC367" s="33" t="s">
        <v>103</v>
      </c>
      <c r="AD367" s="7">
        <f>$AH365+$AB367</f>
        <v>3065</v>
      </c>
    </row>
    <row r="368" spans="1:38" ht="18.399999999999999" customHeight="1" x14ac:dyDescent="0.15">
      <c r="A368" s="35" t="s">
        <v>1414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33</v>
      </c>
      <c r="AA368" s="33" t="s">
        <v>1392</v>
      </c>
      <c r="AB368" s="8">
        <f>TRUNC($AD365,0)</f>
        <v>0</v>
      </c>
      <c r="AC368" s="33" t="s">
        <v>1272</v>
      </c>
      <c r="AD368" s="7">
        <f>$AB368</f>
        <v>0</v>
      </c>
      <c r="AE368" s="33" t="s">
        <v>82</v>
      </c>
      <c r="AF368" s="8">
        <f>TRUNC($AD367,0)</f>
        <v>3065</v>
      </c>
      <c r="AG368" s="33" t="s">
        <v>103</v>
      </c>
      <c r="AH368" s="7">
        <f>$AF368</f>
        <v>3065</v>
      </c>
      <c r="AI368" s="33" t="s">
        <v>504</v>
      </c>
      <c r="AJ368" s="8">
        <f>TRUNC($AL365,0)</f>
        <v>0</v>
      </c>
      <c r="AK368" s="33" t="s">
        <v>524</v>
      </c>
      <c r="AL368" s="7">
        <f>$AJ368</f>
        <v>0</v>
      </c>
    </row>
    <row r="369" spans="1:38" ht="18.399999999999999" customHeight="1" x14ac:dyDescent="0.15">
      <c r="A369" s="35" t="s">
        <v>1850</v>
      </c>
      <c r="B369" s="31"/>
      <c r="C369" s="31"/>
      <c r="D369" s="31"/>
      <c r="E369" s="31"/>
      <c r="F369" s="39"/>
      <c r="K369" s="3" t="s">
        <v>1850</v>
      </c>
    </row>
    <row r="370" spans="1:38" ht="18.399999999999999" customHeight="1" x14ac:dyDescent="0.15">
      <c r="A370" s="35" t="s">
        <v>1850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1006</v>
      </c>
      <c r="AA370" s="33" t="s">
        <v>101</v>
      </c>
      <c r="AB370" s="8">
        <f>ROUND(0,2)</f>
        <v>0</v>
      </c>
      <c r="AC370" s="33" t="s">
        <v>1520</v>
      </c>
      <c r="AD370" s="7">
        <f>$AB370</f>
        <v>0</v>
      </c>
      <c r="AE370" s="33" t="s">
        <v>1369</v>
      </c>
      <c r="AF370" s="8">
        <f>ROUND(0,2)</f>
        <v>0</v>
      </c>
      <c r="AG370" s="33" t="s">
        <v>811</v>
      </c>
      <c r="AH370" s="7">
        <f>$AF370</f>
        <v>0</v>
      </c>
      <c r="AI370" s="33" t="s">
        <v>1759</v>
      </c>
      <c r="AJ370" s="8">
        <f>ROUND(0,2)</f>
        <v>0</v>
      </c>
      <c r="AK370" s="33" t="s">
        <v>272</v>
      </c>
      <c r="AL370" s="7">
        <f>$AJ370</f>
        <v>0</v>
      </c>
    </row>
    <row r="371" spans="1:38" ht="18.399999999999999" customHeight="1" x14ac:dyDescent="0.15">
      <c r="A371" s="35" t="s">
        <v>369</v>
      </c>
      <c r="B371" s="31"/>
      <c r="C371" s="31"/>
      <c r="D371" s="31"/>
      <c r="E371" s="31"/>
      <c r="F371" s="39"/>
      <c r="K371" s="3" t="s">
        <v>369</v>
      </c>
    </row>
    <row r="372" spans="1:38" ht="18.399999999999999" customHeight="1" x14ac:dyDescent="0.15">
      <c r="A372" s="35" t="s">
        <v>1020</v>
      </c>
      <c r="B372" s="31"/>
      <c r="C372" s="31"/>
      <c r="D372" s="31"/>
      <c r="E372" s="31"/>
      <c r="F372" s="39"/>
      <c r="K372" s="3" t="s">
        <v>556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875</v>
      </c>
      <c r="AA373" s="34" t="s">
        <v>30</v>
      </c>
      <c r="AB373" s="8">
        <f>ROUND(0.3*6+0.3*4*3,2)</f>
        <v>5.4</v>
      </c>
      <c r="AC373" s="34" t="s">
        <v>1749</v>
      </c>
      <c r="AD373" s="7">
        <f>$AB373</f>
        <v>5.4</v>
      </c>
      <c r="AE373" s="34" t="s">
        <v>802</v>
      </c>
      <c r="AF373" s="8">
        <f>ROUND(ROUND(0.3*6+0.3*4*3,2),2)</f>
        <v>5.4</v>
      </c>
      <c r="AG373" s="34" t="s">
        <v>318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684</v>
      </c>
      <c r="AA374" s="34" t="s">
        <v>491</v>
      </c>
      <c r="AB374" s="8">
        <f>ROUND($AD373/$AD353,2)</f>
        <v>0.6</v>
      </c>
      <c r="AC374" s="34" t="s">
        <v>297</v>
      </c>
      <c r="AD374" s="7">
        <f>$AB374</f>
        <v>0.6</v>
      </c>
      <c r="AE374" s="34" t="s">
        <v>1193</v>
      </c>
      <c r="AF374" s="8">
        <f>ROUND(ROUND($AD373/$AD353,2),2)</f>
        <v>0.6</v>
      </c>
      <c r="AG374" s="34" t="s">
        <v>379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1850</v>
      </c>
      <c r="K375" s="3" t="s">
        <v>1248</v>
      </c>
      <c r="AA375" s="33" t="s">
        <v>101</v>
      </c>
      <c r="AB375" s="8">
        <f>TRUNC(일위대가목록!F58*$AD374,0)</f>
        <v>3001</v>
      </c>
      <c r="AC375" s="33" t="s">
        <v>1520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1850</v>
      </c>
      <c r="K376" s="3" t="s">
        <v>742</v>
      </c>
      <c r="AA376" s="33" t="s">
        <v>1369</v>
      </c>
      <c r="AB376" s="8">
        <f>TRUNC(일위대가목록!G58*$AD374,0)</f>
        <v>58649</v>
      </c>
      <c r="AC376" s="33" t="s">
        <v>811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1850</v>
      </c>
      <c r="K377" s="3" t="s">
        <v>1394</v>
      </c>
      <c r="AA377" s="33" t="s">
        <v>1759</v>
      </c>
      <c r="AB377" s="8">
        <f>TRUNC(일위대가목록!H58*$AD374,0)</f>
        <v>2300</v>
      </c>
      <c r="AC377" s="33" t="s">
        <v>272</v>
      </c>
      <c r="AD377" s="7">
        <f>$AL370+$AB377</f>
        <v>2300</v>
      </c>
    </row>
    <row r="378" spans="1:38" ht="18.399999999999999" customHeight="1" x14ac:dyDescent="0.15">
      <c r="A378" s="35" t="s">
        <v>1414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264</v>
      </c>
      <c r="AA378" s="33" t="s">
        <v>101</v>
      </c>
      <c r="AB378" s="8">
        <f>TRUNC($AD375,0)</f>
        <v>3001</v>
      </c>
      <c r="AC378" s="33" t="s">
        <v>1520</v>
      </c>
      <c r="AD378" s="7">
        <f>$AB378</f>
        <v>3001</v>
      </c>
      <c r="AE378" s="33" t="s">
        <v>1369</v>
      </c>
      <c r="AF378" s="8">
        <f>TRUNC($AD376,0)</f>
        <v>58649</v>
      </c>
      <c r="AG378" s="33" t="s">
        <v>811</v>
      </c>
      <c r="AH378" s="7">
        <f>$AF378</f>
        <v>58649</v>
      </c>
      <c r="AI378" s="33" t="s">
        <v>1759</v>
      </c>
      <c r="AJ378" s="8">
        <f>TRUNC($AD377,0)</f>
        <v>2300</v>
      </c>
      <c r="AK378" s="33" t="s">
        <v>272</v>
      </c>
      <c r="AL378" s="7">
        <f>$AJ378</f>
        <v>2300</v>
      </c>
    </row>
    <row r="379" spans="1:38" ht="18.399999999999999" customHeight="1" x14ac:dyDescent="0.15">
      <c r="A379" s="35" t="s">
        <v>1850</v>
      </c>
      <c r="B379" s="31"/>
      <c r="C379" s="31"/>
      <c r="D379" s="31"/>
      <c r="E379" s="31"/>
      <c r="F379" s="39"/>
      <c r="K379" s="3" t="s">
        <v>1850</v>
      </c>
    </row>
    <row r="380" spans="1:38" ht="18.399999999999999" customHeight="1" x14ac:dyDescent="0.15">
      <c r="A380" s="35" t="s">
        <v>1850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475</v>
      </c>
      <c r="AA380" s="33" t="s">
        <v>242</v>
      </c>
      <c r="AB380" s="8">
        <f>ROUND(0,2)</f>
        <v>0</v>
      </c>
      <c r="AC380" s="33" t="s">
        <v>909</v>
      </c>
      <c r="AD380" s="7">
        <f>$AB380</f>
        <v>0</v>
      </c>
      <c r="AE380" s="33" t="s">
        <v>1269</v>
      </c>
      <c r="AF380" s="8">
        <f>ROUND(0,2)</f>
        <v>0</v>
      </c>
      <c r="AG380" s="33" t="s">
        <v>1554</v>
      </c>
      <c r="AH380" s="7">
        <f>$AF380</f>
        <v>0</v>
      </c>
      <c r="AI380" s="33" t="s">
        <v>1661</v>
      </c>
      <c r="AJ380" s="8">
        <f>ROUND(0,2)</f>
        <v>0</v>
      </c>
      <c r="AK380" s="33" t="s">
        <v>1139</v>
      </c>
      <c r="AL380" s="7">
        <f>$AJ380</f>
        <v>0</v>
      </c>
    </row>
    <row r="381" spans="1:38" ht="18.399999999999999" customHeight="1" x14ac:dyDescent="0.15">
      <c r="A381" s="35" t="s">
        <v>97</v>
      </c>
      <c r="B381" s="31"/>
      <c r="C381" s="31"/>
      <c r="D381" s="31"/>
      <c r="E381" s="31"/>
      <c r="F381" s="39"/>
      <c r="K381" s="3" t="s">
        <v>97</v>
      </c>
    </row>
    <row r="382" spans="1:38" ht="18.399999999999999" customHeight="1" x14ac:dyDescent="0.15">
      <c r="A382" s="35" t="s">
        <v>1642</v>
      </c>
      <c r="B382" s="31"/>
      <c r="C382" s="31"/>
      <c r="D382" s="31"/>
      <c r="E382" s="31"/>
      <c r="F382" s="39"/>
      <c r="K382" s="3" t="s">
        <v>539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1285</v>
      </c>
      <c r="AA383" s="34" t="s">
        <v>1566</v>
      </c>
      <c r="AB383" s="8">
        <f>ROUND(0.3*4*3,2)</f>
        <v>3.6</v>
      </c>
      <c r="AC383" s="34" t="s">
        <v>1796</v>
      </c>
      <c r="AD383" s="7">
        <f>$AB383</f>
        <v>3.6</v>
      </c>
      <c r="AE383" s="34" t="s">
        <v>1671</v>
      </c>
      <c r="AF383" s="8">
        <f>ROUND(ROUND(0.3*4*3,2),2)</f>
        <v>3.6</v>
      </c>
      <c r="AG383" s="34" t="s">
        <v>1794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986</v>
      </c>
      <c r="AA384" s="34" t="s">
        <v>1753</v>
      </c>
      <c r="AB384" s="8">
        <f>ROUND($AD383/$AD353,2)</f>
        <v>0.4</v>
      </c>
      <c r="AC384" s="34" t="s">
        <v>482</v>
      </c>
      <c r="AD384" s="7">
        <f>$AB384</f>
        <v>0.4</v>
      </c>
      <c r="AE384" s="34" t="s">
        <v>350</v>
      </c>
      <c r="AF384" s="8">
        <f>ROUND(ROUND($AD383/$AD353,2),2)</f>
        <v>0.4</v>
      </c>
      <c r="AG384" s="34" t="s">
        <v>1650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1850</v>
      </c>
      <c r="K385" s="3" t="s">
        <v>815</v>
      </c>
      <c r="AA385" s="33" t="s">
        <v>242</v>
      </c>
      <c r="AB385" s="8">
        <f>TRUNC(일위대가목록!F59*$AD384,0)</f>
        <v>390</v>
      </c>
      <c r="AC385" s="33" t="s">
        <v>909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1850</v>
      </c>
      <c r="K386" s="3" t="s">
        <v>1219</v>
      </c>
      <c r="AA386" s="33" t="s">
        <v>1269</v>
      </c>
      <c r="AB386" s="8">
        <f>TRUNC(일위대가목록!G59*$AD384,0)</f>
        <v>1068</v>
      </c>
      <c r="AC386" s="33" t="s">
        <v>1554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1850</v>
      </c>
      <c r="K387" s="3" t="s">
        <v>940</v>
      </c>
      <c r="AA387" s="33" t="s">
        <v>1661</v>
      </c>
      <c r="AB387" s="8">
        <f>TRUNC(일위대가목록!H59*$AD384,0)</f>
        <v>32</v>
      </c>
      <c r="AC387" s="33" t="s">
        <v>1139</v>
      </c>
      <c r="AD387" s="7">
        <f>$AL380+$AB387</f>
        <v>32</v>
      </c>
    </row>
    <row r="388" spans="1:38" ht="18.399999999999999" customHeight="1" x14ac:dyDescent="0.15">
      <c r="A388" s="35" t="s">
        <v>1414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1532</v>
      </c>
      <c r="AA388" s="33" t="s">
        <v>242</v>
      </c>
      <c r="AB388" s="8">
        <f>TRUNC($AD385,0)</f>
        <v>390</v>
      </c>
      <c r="AC388" s="33" t="s">
        <v>909</v>
      </c>
      <c r="AD388" s="7">
        <f>$AB388</f>
        <v>390</v>
      </c>
      <c r="AE388" s="33" t="s">
        <v>1269</v>
      </c>
      <c r="AF388" s="8">
        <f>TRUNC($AD386,0)</f>
        <v>1068</v>
      </c>
      <c r="AG388" s="33" t="s">
        <v>1554</v>
      </c>
      <c r="AH388" s="7">
        <f>$AF388</f>
        <v>1068</v>
      </c>
      <c r="AI388" s="33" t="s">
        <v>1661</v>
      </c>
      <c r="AJ388" s="8">
        <f>TRUNC($AD387,0)</f>
        <v>32</v>
      </c>
      <c r="AK388" s="33" t="s">
        <v>1139</v>
      </c>
      <c r="AL388" s="7">
        <f>$AJ388</f>
        <v>32</v>
      </c>
    </row>
    <row r="389" spans="1:38" ht="18.399999999999999" customHeight="1" x14ac:dyDescent="0.15">
      <c r="A389" s="35" t="s">
        <v>1850</v>
      </c>
      <c r="B389" s="31"/>
      <c r="C389" s="31"/>
      <c r="D389" s="31"/>
      <c r="E389" s="31"/>
      <c r="F389" s="39"/>
      <c r="K389" s="3" t="s">
        <v>1850</v>
      </c>
    </row>
    <row r="390" spans="1:38" ht="18.399999999999999" customHeight="1" x14ac:dyDescent="0.15">
      <c r="A390" s="35" t="s">
        <v>1850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702</v>
      </c>
      <c r="AA390" s="33" t="s">
        <v>1297</v>
      </c>
      <c r="AB390" s="8">
        <f>ROUND(0,2)</f>
        <v>0</v>
      </c>
      <c r="AC390" s="33" t="s">
        <v>130</v>
      </c>
      <c r="AD390" s="7">
        <f>$AB390</f>
        <v>0</v>
      </c>
      <c r="AE390" s="33" t="s">
        <v>204</v>
      </c>
      <c r="AF390" s="8">
        <f>ROUND(0,2)</f>
        <v>0</v>
      </c>
      <c r="AG390" s="33" t="s">
        <v>1353</v>
      </c>
      <c r="AH390" s="7">
        <f>$AF390</f>
        <v>0</v>
      </c>
      <c r="AI390" s="33" t="s">
        <v>619</v>
      </c>
      <c r="AJ390" s="8">
        <f>ROUND(0,2)</f>
        <v>0</v>
      </c>
      <c r="AK390" s="33" t="s">
        <v>1827</v>
      </c>
      <c r="AL390" s="7">
        <f>$AJ390</f>
        <v>0</v>
      </c>
    </row>
    <row r="391" spans="1:38" ht="18.399999999999999" customHeight="1" x14ac:dyDescent="0.15">
      <c r="A391" s="35" t="s">
        <v>1206</v>
      </c>
      <c r="B391" s="31"/>
      <c r="C391" s="31"/>
      <c r="D391" s="31"/>
      <c r="E391" s="31"/>
      <c r="F391" s="39"/>
      <c r="K391" s="3" t="s">
        <v>1206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983</v>
      </c>
      <c r="AA392" s="34" t="s">
        <v>560</v>
      </c>
      <c r="AB392" s="8">
        <f>ROUND(1*1*0.025*7850*1.01*0.15/3,2)</f>
        <v>9.91</v>
      </c>
      <c r="AC392" s="34" t="s">
        <v>446</v>
      </c>
      <c r="AD392" s="7">
        <f>$AB392</f>
        <v>9.91</v>
      </c>
      <c r="AE392" s="34" t="s">
        <v>1145</v>
      </c>
      <c r="AF392" s="8">
        <f>ROUND(ROUND(1*1*0.025*7850*1.01*0.15/3,2),2)</f>
        <v>9.91</v>
      </c>
      <c r="AG392" s="34" t="s">
        <v>296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1850</v>
      </c>
      <c r="K393" s="3" t="s">
        <v>1195</v>
      </c>
      <c r="AA393" s="33" t="s">
        <v>1297</v>
      </c>
      <c r="AB393" s="8">
        <f>TRUNC(자재!D13*$AD392,0)</f>
        <v>11693</v>
      </c>
      <c r="AC393" s="33" t="s">
        <v>130</v>
      </c>
      <c r="AD393" s="7">
        <f>$AD390+$AB393</f>
        <v>11693</v>
      </c>
    </row>
    <row r="394" spans="1:38" ht="18.399999999999999" customHeight="1" x14ac:dyDescent="0.15">
      <c r="A394" s="35" t="s">
        <v>1414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1734</v>
      </c>
      <c r="AA394" s="33" t="s">
        <v>1297</v>
      </c>
      <c r="AB394" s="8">
        <f>TRUNC($AD393,0)</f>
        <v>11693</v>
      </c>
      <c r="AC394" s="33" t="s">
        <v>130</v>
      </c>
      <c r="AD394" s="7">
        <f>$AB394</f>
        <v>11693</v>
      </c>
      <c r="AE394" s="33" t="s">
        <v>204</v>
      </c>
      <c r="AF394" s="8">
        <f>TRUNC($AH390,0)</f>
        <v>0</v>
      </c>
      <c r="AG394" s="33" t="s">
        <v>1353</v>
      </c>
      <c r="AH394" s="7">
        <f>$AF394</f>
        <v>0</v>
      </c>
      <c r="AI394" s="33" t="s">
        <v>619</v>
      </c>
      <c r="AJ394" s="8">
        <f>TRUNC($AL390,0)</f>
        <v>0</v>
      </c>
      <c r="AK394" s="33" t="s">
        <v>1827</v>
      </c>
      <c r="AL394" s="7">
        <f>$AJ394</f>
        <v>0</v>
      </c>
    </row>
    <row r="395" spans="1:38" ht="18.399999999999999" customHeight="1" x14ac:dyDescent="0.15">
      <c r="A395" s="35" t="s">
        <v>1850</v>
      </c>
      <c r="B395" s="31"/>
      <c r="C395" s="31"/>
      <c r="D395" s="31"/>
      <c r="E395" s="31"/>
      <c r="F395" s="39"/>
      <c r="K395" s="3" t="s">
        <v>1850</v>
      </c>
    </row>
    <row r="396" spans="1:38" ht="18.399999999999999" customHeight="1" x14ac:dyDescent="0.15">
      <c r="A396" s="35" t="s">
        <v>641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918</v>
      </c>
      <c r="AA396" s="33" t="s">
        <v>1396</v>
      </c>
      <c r="AB396" s="8">
        <f>TRUNC(($AD363+$AD368+$AD378+$AD388+$AD394),0)</f>
        <v>16145</v>
      </c>
      <c r="AC396" s="33" t="s">
        <v>1559</v>
      </c>
      <c r="AD396" s="7">
        <f>$AB396</f>
        <v>16145</v>
      </c>
      <c r="AE396" s="33" t="s">
        <v>213</v>
      </c>
      <c r="AF396" s="8">
        <f>TRUNC(($AH363+$AH368+$AH378+$AH388+$AH394),0)</f>
        <v>71033</v>
      </c>
      <c r="AG396" s="33" t="s">
        <v>762</v>
      </c>
      <c r="AH396" s="7">
        <f>$AF396</f>
        <v>71033</v>
      </c>
      <c r="AI396" s="33" t="s">
        <v>615</v>
      </c>
      <c r="AJ396" s="8">
        <f>TRUNC(($AL363+$AL368+$AL378+$AL388+$AL394),0)</f>
        <v>6791</v>
      </c>
      <c r="AK396" s="33" t="s">
        <v>1036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1089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132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1850</v>
      </c>
      <c r="G400" t="s">
        <v>1850</v>
      </c>
      <c r="H400" t="s">
        <v>1610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1850</v>
      </c>
      <c r="B402" s="3"/>
      <c r="C402" s="3"/>
      <c r="D402" s="3"/>
      <c r="E402" s="3"/>
      <c r="F402" s="38"/>
      <c r="G402" t="s">
        <v>1850</v>
      </c>
      <c r="I402" t="s">
        <v>243</v>
      </c>
      <c r="J402" t="s">
        <v>1850</v>
      </c>
      <c r="K402" t="s">
        <v>1591</v>
      </c>
    </row>
    <row r="403" spans="1:38" ht="18.399999999999999" customHeight="1" x14ac:dyDescent="0.15">
      <c r="A403" s="35" t="s">
        <v>931</v>
      </c>
      <c r="B403" s="31"/>
      <c r="C403" s="31"/>
      <c r="D403" s="31"/>
      <c r="E403" s="31"/>
      <c r="F403" s="39"/>
      <c r="K403" s="3" t="s">
        <v>931</v>
      </c>
    </row>
    <row r="404" spans="1:38" ht="18.399999999999999" customHeight="1" x14ac:dyDescent="0.15">
      <c r="A404" s="35" t="s">
        <v>692</v>
      </c>
      <c r="B404" s="31"/>
      <c r="C404" s="31"/>
      <c r="D404" s="31"/>
      <c r="E404" s="31"/>
      <c r="F404" s="39"/>
      <c r="K404" s="3" t="s">
        <v>692</v>
      </c>
    </row>
    <row r="405" spans="1:38" ht="18.399999999999999" customHeight="1" x14ac:dyDescent="0.15">
      <c r="A405" s="35" t="s">
        <v>1850</v>
      </c>
      <c r="B405" s="31"/>
      <c r="C405" s="31"/>
      <c r="D405" s="31"/>
      <c r="E405" s="31"/>
      <c r="F405" s="39"/>
      <c r="K405" s="3" t="s">
        <v>1850</v>
      </c>
    </row>
    <row r="406" spans="1:38" ht="18.399999999999999" customHeight="1" x14ac:dyDescent="0.15">
      <c r="A406" s="35" t="s">
        <v>1850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98</v>
      </c>
      <c r="AA406" s="33" t="s">
        <v>829</v>
      </c>
      <c r="AB406" s="8">
        <f>ROUND(0,2)</f>
        <v>0</v>
      </c>
      <c r="AC406" s="33" t="s">
        <v>529</v>
      </c>
      <c r="AD406" s="7">
        <f>$AB406</f>
        <v>0</v>
      </c>
      <c r="AE406" s="33" t="s">
        <v>1602</v>
      </c>
      <c r="AF406" s="8">
        <f>ROUND(0,2)</f>
        <v>0</v>
      </c>
      <c r="AG406" s="33" t="s">
        <v>1640</v>
      </c>
      <c r="AH406" s="7">
        <f>$AF406</f>
        <v>0</v>
      </c>
      <c r="AI406" s="33" t="s">
        <v>1091</v>
      </c>
      <c r="AJ406" s="8">
        <f>ROUND(0,2)</f>
        <v>0</v>
      </c>
      <c r="AK406" s="33" t="s">
        <v>1263</v>
      </c>
      <c r="AL406" s="7">
        <f>$AJ406</f>
        <v>0</v>
      </c>
    </row>
    <row r="407" spans="1:38" ht="18.399999999999999" customHeight="1" x14ac:dyDescent="0.15">
      <c r="A407" s="35" t="s">
        <v>422</v>
      </c>
      <c r="B407" s="31"/>
      <c r="C407" s="31"/>
      <c r="D407" s="31"/>
      <c r="E407" s="31"/>
      <c r="F407" s="39"/>
      <c r="K407" s="3" t="s">
        <v>422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1323</v>
      </c>
      <c r="AB408" s="6">
        <v>0.94</v>
      </c>
      <c r="AC408" s="34" t="s">
        <v>1323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932</v>
      </c>
      <c r="AB409" s="6">
        <v>1</v>
      </c>
      <c r="AC409" s="34" t="s">
        <v>932</v>
      </c>
      <c r="AD409" s="7">
        <f>$AB409</f>
        <v>1</v>
      </c>
    </row>
    <row r="410" spans="1:38" ht="18.399999999999999" customHeight="1" x14ac:dyDescent="0.15">
      <c r="A410" s="35" t="s">
        <v>1516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96</v>
      </c>
      <c r="AB410" s="6">
        <v>138</v>
      </c>
      <c r="AC410" s="34" t="s">
        <v>96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701</v>
      </c>
      <c r="AA411" s="34" t="s">
        <v>383</v>
      </c>
      <c r="AB411" s="8">
        <f>ROUND(3600*$AD408*$AD409/$AD410,2)</f>
        <v>24.52</v>
      </c>
      <c r="AC411" s="34" t="s">
        <v>1323</v>
      </c>
      <c r="AD411" s="7">
        <f>$AB411</f>
        <v>24.52</v>
      </c>
      <c r="AE411" s="34" t="s">
        <v>335</v>
      </c>
      <c r="AF411" s="8">
        <f>ROUND(ROUND(3600*$AD408*$AD409/$AD410,2),2)</f>
        <v>24.52</v>
      </c>
      <c r="AG411" s="34" t="s">
        <v>1232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1850</v>
      </c>
      <c r="K412" s="3" t="s">
        <v>636</v>
      </c>
      <c r="AA412" s="33" t="s">
        <v>829</v>
      </c>
      <c r="AB412" s="8">
        <f>TRUNC(중기사용료목록!E18/$AD411,0)</f>
        <v>683</v>
      </c>
      <c r="AC412" s="33" t="s">
        <v>529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1850</v>
      </c>
      <c r="K413" s="3" t="s">
        <v>1267</v>
      </c>
      <c r="AA413" s="33" t="s">
        <v>1602</v>
      </c>
      <c r="AB413" s="8">
        <f>TRUNC(중기사용료목록!F18/$AD411,0)</f>
        <v>1926</v>
      </c>
      <c r="AC413" s="33" t="s">
        <v>1640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1850</v>
      </c>
      <c r="K414" s="3" t="s">
        <v>408</v>
      </c>
      <c r="AA414" s="33" t="s">
        <v>1091</v>
      </c>
      <c r="AB414" s="8">
        <f>TRUNC(중기사용료목록!G18/$AD411,0)</f>
        <v>886</v>
      </c>
      <c r="AC414" s="33" t="s">
        <v>1263</v>
      </c>
      <c r="AD414" s="7">
        <f>$AL406+$AB414</f>
        <v>886</v>
      </c>
    </row>
    <row r="415" spans="1:38" ht="18.399999999999999" customHeight="1" x14ac:dyDescent="0.15">
      <c r="A415" s="35" t="s">
        <v>1414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767</v>
      </c>
      <c r="AA415" s="33" t="s">
        <v>829</v>
      </c>
      <c r="AB415" s="8">
        <f>TRUNC($AD412,0)</f>
        <v>683</v>
      </c>
      <c r="AC415" s="33" t="s">
        <v>529</v>
      </c>
      <c r="AD415" s="7">
        <f>$AB415</f>
        <v>683</v>
      </c>
      <c r="AE415" s="33" t="s">
        <v>1602</v>
      </c>
      <c r="AF415" s="8">
        <f>TRUNC($AD413,0)</f>
        <v>1926</v>
      </c>
      <c r="AG415" s="33" t="s">
        <v>1640</v>
      </c>
      <c r="AH415" s="7">
        <f>$AF415</f>
        <v>1926</v>
      </c>
      <c r="AI415" s="33" t="s">
        <v>1091</v>
      </c>
      <c r="AJ415" s="8">
        <f>TRUNC($AD414,0)</f>
        <v>886</v>
      </c>
      <c r="AK415" s="33" t="s">
        <v>1263</v>
      </c>
      <c r="AL415" s="7">
        <f>$AJ415</f>
        <v>886</v>
      </c>
    </row>
    <row r="416" spans="1:38" ht="18.399999999999999" customHeight="1" x14ac:dyDescent="0.15">
      <c r="A416" s="35" t="s">
        <v>1850</v>
      </c>
      <c r="B416" s="31"/>
      <c r="C416" s="31"/>
      <c r="D416" s="31"/>
      <c r="E416" s="31"/>
      <c r="F416" s="39"/>
      <c r="K416" s="3" t="s">
        <v>1850</v>
      </c>
    </row>
    <row r="417" spans="1:38" ht="18.399999999999999" customHeight="1" x14ac:dyDescent="0.15">
      <c r="A417" s="35" t="s">
        <v>1850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1668</v>
      </c>
      <c r="AA417" s="33" t="s">
        <v>1392</v>
      </c>
      <c r="AB417" s="8">
        <f>ROUND(0,2)</f>
        <v>0</v>
      </c>
      <c r="AC417" s="33" t="s">
        <v>1272</v>
      </c>
      <c r="AD417" s="7">
        <f>$AB417</f>
        <v>0</v>
      </c>
      <c r="AE417" s="33" t="s">
        <v>82</v>
      </c>
      <c r="AF417" s="8">
        <f>ROUND(0,2)</f>
        <v>0</v>
      </c>
      <c r="AG417" s="33" t="s">
        <v>103</v>
      </c>
      <c r="AH417" s="7">
        <f>$AF417</f>
        <v>0</v>
      </c>
      <c r="AI417" s="33" t="s">
        <v>504</v>
      </c>
      <c r="AJ417" s="8">
        <f>ROUND(0,2)</f>
        <v>0</v>
      </c>
      <c r="AK417" s="33" t="s">
        <v>524</v>
      </c>
      <c r="AL417" s="7">
        <f>$AJ417</f>
        <v>0</v>
      </c>
    </row>
    <row r="418" spans="1:38" ht="18.399999999999999" customHeight="1" x14ac:dyDescent="0.15">
      <c r="A418" s="35" t="s">
        <v>682</v>
      </c>
      <c r="B418" s="31"/>
      <c r="C418" s="31"/>
      <c r="D418" s="31"/>
      <c r="E418" s="31"/>
      <c r="F418" s="39"/>
      <c r="K418" s="3" t="s">
        <v>682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1749</v>
      </c>
      <c r="AB419" s="6">
        <v>3</v>
      </c>
      <c r="AC419" s="34" t="s">
        <v>1749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87</v>
      </c>
      <c r="AB420" s="6">
        <v>20</v>
      </c>
      <c r="AC420" s="34" t="s">
        <v>87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1492</v>
      </c>
      <c r="AB421" s="6">
        <v>4.5</v>
      </c>
      <c r="AC421" s="34" t="s">
        <v>1492</v>
      </c>
      <c r="AD421" s="7">
        <f t="shared" si="16"/>
        <v>4.5</v>
      </c>
      <c r="AE421" s="34" t="s">
        <v>1112</v>
      </c>
      <c r="AF421" s="6">
        <v>1</v>
      </c>
      <c r="AG421" s="34" t="s">
        <v>1112</v>
      </c>
      <c r="AH421" s="7">
        <f t="shared" ref="AH421:AH427" si="17">$AF421</f>
        <v>1</v>
      </c>
      <c r="AI421" s="34" t="s">
        <v>932</v>
      </c>
      <c r="AJ421" s="6">
        <v>1</v>
      </c>
      <c r="AK421" s="34" t="s">
        <v>932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1199</v>
      </c>
      <c r="AA422" s="34" t="s">
        <v>756</v>
      </c>
      <c r="AB422" s="8">
        <f>ROUND($AD421/0.94,2)</f>
        <v>4.79</v>
      </c>
      <c r="AC422" s="34" t="s">
        <v>939</v>
      </c>
      <c r="AD422" s="7">
        <f t="shared" si="16"/>
        <v>4.79</v>
      </c>
      <c r="AE422" s="34" t="s">
        <v>1733</v>
      </c>
      <c r="AF422" s="8">
        <f>ROUND(ROUND($AD421/0.94,2),2)</f>
        <v>4.79</v>
      </c>
      <c r="AG422" s="34" t="s">
        <v>979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1486</v>
      </c>
      <c r="AA423" s="34" t="s">
        <v>276</v>
      </c>
      <c r="AB423" s="8">
        <f>ROUND($AD410/60*$AD422+10,2)</f>
        <v>21.02</v>
      </c>
      <c r="AC423" s="34" t="s">
        <v>1375</v>
      </c>
      <c r="AD423" s="7">
        <f t="shared" si="16"/>
        <v>21.02</v>
      </c>
      <c r="AE423" s="34" t="s">
        <v>1301</v>
      </c>
      <c r="AF423" s="8">
        <f>ROUND(ROUND($AD410/60*$AD422+10,2),2)</f>
        <v>21.02</v>
      </c>
      <c r="AG423" s="34" t="s">
        <v>250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1710</v>
      </c>
      <c r="AA424" s="34" t="s">
        <v>1760</v>
      </c>
      <c r="AB424" s="8">
        <f>ROUND(($AD419/$AD420)*60*2,2)</f>
        <v>18</v>
      </c>
      <c r="AC424" s="34" t="s">
        <v>639</v>
      </c>
      <c r="AD424" s="7">
        <f t="shared" si="16"/>
        <v>18</v>
      </c>
      <c r="AE424" s="34" t="s">
        <v>791</v>
      </c>
      <c r="AF424" s="8">
        <f>ROUND(ROUND(($AD419/$AD420)*60*2,2),2)</f>
        <v>18</v>
      </c>
      <c r="AG424" s="34" t="s">
        <v>48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1228</v>
      </c>
      <c r="AA425" s="34" t="s">
        <v>513</v>
      </c>
      <c r="AB425" s="8">
        <f>ROUND($AD410/60*$AD422+10,2)</f>
        <v>21.02</v>
      </c>
      <c r="AC425" s="34" t="s">
        <v>377</v>
      </c>
      <c r="AD425" s="7">
        <f t="shared" si="16"/>
        <v>21.02</v>
      </c>
      <c r="AE425" s="34" t="s">
        <v>293</v>
      </c>
      <c r="AF425" s="8">
        <f>ROUND(ROUND($AD410/60*$AD422+10,2),2)</f>
        <v>21.02</v>
      </c>
      <c r="AG425" s="34" t="s">
        <v>1138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1084</v>
      </c>
      <c r="AA426" s="34" t="s">
        <v>886</v>
      </c>
      <c r="AB426" s="8">
        <f>ROUND($AD423+$AD424+$AD425,2)</f>
        <v>60.04</v>
      </c>
      <c r="AC426" s="34" t="s">
        <v>42</v>
      </c>
      <c r="AD426" s="7">
        <f t="shared" si="16"/>
        <v>60.04</v>
      </c>
      <c r="AE426" s="34" t="s">
        <v>1654</v>
      </c>
      <c r="AF426" s="8">
        <f>ROUND(ROUND($AD423+$AD424+$AD425,2),2)</f>
        <v>60.04</v>
      </c>
      <c r="AG426" s="34" t="s">
        <v>938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1615</v>
      </c>
      <c r="AA427" s="34" t="s">
        <v>1082</v>
      </c>
      <c r="AB427" s="8">
        <f>ROUND(60*$AD421*$AH421*$AL421/$AD426,2)</f>
        <v>4.5</v>
      </c>
      <c r="AC427" s="34" t="s">
        <v>1492</v>
      </c>
      <c r="AD427" s="7">
        <f t="shared" si="16"/>
        <v>4.5</v>
      </c>
      <c r="AE427" s="34" t="s">
        <v>1203</v>
      </c>
      <c r="AF427" s="8">
        <f>ROUND(ROUND(60*$AD421*$AH421*$AL421/$AD426,2),2)</f>
        <v>4.5</v>
      </c>
      <c r="AG427" s="34" t="s">
        <v>1678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1850</v>
      </c>
      <c r="K428" s="3" t="s">
        <v>1704</v>
      </c>
      <c r="AA428" s="33" t="s">
        <v>1392</v>
      </c>
      <c r="AB428" s="8">
        <f>TRUNC(중기사용료목록!E42*($AD426-$AD423)/$AD426/$AD427,0)</f>
        <v>1811</v>
      </c>
      <c r="AC428" s="33" t="s">
        <v>1272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1850</v>
      </c>
      <c r="K429" s="3" t="s">
        <v>1679</v>
      </c>
      <c r="AA429" s="33" t="s">
        <v>82</v>
      </c>
      <c r="AB429" s="8">
        <f>TRUNC(중기사용료목록!F42/$AD427,0)</f>
        <v>10495</v>
      </c>
      <c r="AC429" s="33" t="s">
        <v>103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1850</v>
      </c>
      <c r="K430" s="3" t="s">
        <v>1127</v>
      </c>
      <c r="AA430" s="33" t="s">
        <v>504</v>
      </c>
      <c r="AB430" s="8">
        <f>TRUNC(중기사용료목록!G42/$AD427,0)</f>
        <v>4642</v>
      </c>
      <c r="AC430" s="33" t="s">
        <v>524</v>
      </c>
      <c r="AD430" s="7">
        <f>$AL417+$AB430</f>
        <v>4642</v>
      </c>
    </row>
    <row r="431" spans="1:38" ht="18.399999999999999" customHeight="1" x14ac:dyDescent="0.15">
      <c r="A431" s="35" t="s">
        <v>1414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33</v>
      </c>
      <c r="AA431" s="33" t="s">
        <v>1392</v>
      </c>
      <c r="AB431" s="8">
        <f>TRUNC($AD428,0)</f>
        <v>1811</v>
      </c>
      <c r="AC431" s="33" t="s">
        <v>1272</v>
      </c>
      <c r="AD431" s="7">
        <f>$AB431</f>
        <v>1811</v>
      </c>
      <c r="AE431" s="33" t="s">
        <v>82</v>
      </c>
      <c r="AF431" s="8">
        <f>TRUNC($AD429,0)</f>
        <v>10495</v>
      </c>
      <c r="AG431" s="33" t="s">
        <v>103</v>
      </c>
      <c r="AH431" s="7">
        <f>$AF431</f>
        <v>10495</v>
      </c>
      <c r="AI431" s="33" t="s">
        <v>504</v>
      </c>
      <c r="AJ431" s="8">
        <f>TRUNC($AD430,0)</f>
        <v>4642</v>
      </c>
      <c r="AK431" s="33" t="s">
        <v>524</v>
      </c>
      <c r="AL431" s="7">
        <f>$AJ431</f>
        <v>4642</v>
      </c>
    </row>
    <row r="432" spans="1:38" ht="18.399999999999999" customHeight="1" x14ac:dyDescent="0.15">
      <c r="A432" s="35" t="s">
        <v>1850</v>
      </c>
      <c r="B432" s="31"/>
      <c r="C432" s="31"/>
      <c r="D432" s="31"/>
      <c r="E432" s="31"/>
      <c r="F432" s="39"/>
      <c r="K432" s="3" t="s">
        <v>1850</v>
      </c>
    </row>
    <row r="433" spans="1:38" ht="18.399999999999999" customHeight="1" x14ac:dyDescent="0.15">
      <c r="A433" s="35" t="s">
        <v>1850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1006</v>
      </c>
      <c r="AA433" s="33" t="s">
        <v>101</v>
      </c>
      <c r="AB433" s="8">
        <f>ROUND(0,2)</f>
        <v>0</v>
      </c>
      <c r="AC433" s="33" t="s">
        <v>1520</v>
      </c>
      <c r="AD433" s="7">
        <f>$AB433</f>
        <v>0</v>
      </c>
      <c r="AE433" s="33" t="s">
        <v>1369</v>
      </c>
      <c r="AF433" s="8">
        <f>ROUND(0,2)</f>
        <v>0</v>
      </c>
      <c r="AG433" s="33" t="s">
        <v>811</v>
      </c>
      <c r="AH433" s="7">
        <f>$AF433</f>
        <v>0</v>
      </c>
      <c r="AI433" s="33" t="s">
        <v>1759</v>
      </c>
      <c r="AJ433" s="8">
        <f>ROUND(0,2)</f>
        <v>0</v>
      </c>
      <c r="AK433" s="33" t="s">
        <v>272</v>
      </c>
      <c r="AL433" s="7">
        <f>$AJ433</f>
        <v>0</v>
      </c>
    </row>
    <row r="434" spans="1:38" ht="18.399999999999999" customHeight="1" x14ac:dyDescent="0.15">
      <c r="A434" s="35" t="s">
        <v>1126</v>
      </c>
      <c r="B434" s="31"/>
      <c r="C434" s="31"/>
      <c r="D434" s="31"/>
      <c r="E434" s="31"/>
      <c r="F434" s="39"/>
      <c r="K434" s="3" t="s">
        <v>1126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1323</v>
      </c>
      <c r="AB435" s="6">
        <v>0.94</v>
      </c>
      <c r="AC435" s="34" t="s">
        <v>1323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932</v>
      </c>
      <c r="AB436" s="6">
        <v>1</v>
      </c>
      <c r="AC436" s="34" t="s">
        <v>932</v>
      </c>
      <c r="AD436" s="7">
        <f>$AB436</f>
        <v>1</v>
      </c>
    </row>
    <row r="437" spans="1:38" ht="18.399999999999999" customHeight="1" x14ac:dyDescent="0.15">
      <c r="A437" s="35" t="s">
        <v>146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96</v>
      </c>
      <c r="AB437" s="6">
        <v>138</v>
      </c>
      <c r="AC437" s="34" t="s">
        <v>96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659</v>
      </c>
      <c r="AA438" s="34" t="s">
        <v>383</v>
      </c>
      <c r="AB438" s="8">
        <f>ROUND(3600*$AD435*$AD436/$AD437,2)</f>
        <v>24.52</v>
      </c>
      <c r="AC438" s="34" t="s">
        <v>1323</v>
      </c>
      <c r="AD438" s="7">
        <f>$AB438</f>
        <v>24.52</v>
      </c>
      <c r="AE438" s="34" t="s">
        <v>581</v>
      </c>
      <c r="AF438" s="8">
        <f>ROUND(ROUND(3600*$AD435*$AD436/$AD437,2),2)</f>
        <v>24.52</v>
      </c>
      <c r="AG438" s="34" t="s">
        <v>77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1850</v>
      </c>
      <c r="K439" s="3" t="s">
        <v>200</v>
      </c>
      <c r="AA439" s="33" t="s">
        <v>101</v>
      </c>
      <c r="AB439" s="8">
        <f>TRUNC(중기사용료목록!E18/$AD438,0)</f>
        <v>683</v>
      </c>
      <c r="AC439" s="33" t="s">
        <v>1520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1850</v>
      </c>
      <c r="K440" s="3" t="s">
        <v>271</v>
      </c>
      <c r="AA440" s="33" t="s">
        <v>1369</v>
      </c>
      <c r="AB440" s="8">
        <f>TRUNC(중기사용료목록!F18/$AD438,0)</f>
        <v>1926</v>
      </c>
      <c r="AC440" s="33" t="s">
        <v>811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1850</v>
      </c>
      <c r="K441" s="3" t="s">
        <v>1398</v>
      </c>
      <c r="AA441" s="33" t="s">
        <v>1759</v>
      </c>
      <c r="AB441" s="8">
        <f>TRUNC(중기사용료목록!G18/$AD438,0)</f>
        <v>886</v>
      </c>
      <c r="AC441" s="33" t="s">
        <v>272</v>
      </c>
      <c r="AD441" s="7">
        <f>$AL433+$AB441</f>
        <v>886</v>
      </c>
    </row>
    <row r="442" spans="1:38" ht="18.399999999999999" customHeight="1" x14ac:dyDescent="0.15">
      <c r="A442" s="35" t="s">
        <v>1414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264</v>
      </c>
      <c r="AA442" s="33" t="s">
        <v>101</v>
      </c>
      <c r="AB442" s="8">
        <f>TRUNC($AD439,0)</f>
        <v>683</v>
      </c>
      <c r="AC442" s="33" t="s">
        <v>1520</v>
      </c>
      <c r="AD442" s="7">
        <f>$AB442</f>
        <v>683</v>
      </c>
      <c r="AE442" s="33" t="s">
        <v>1369</v>
      </c>
      <c r="AF442" s="8">
        <f>TRUNC($AD440,0)</f>
        <v>1926</v>
      </c>
      <c r="AG442" s="33" t="s">
        <v>811</v>
      </c>
      <c r="AH442" s="7">
        <f>$AF442</f>
        <v>1926</v>
      </c>
      <c r="AI442" s="33" t="s">
        <v>1759</v>
      </c>
      <c r="AJ442" s="8">
        <f>TRUNC($AD441,0)</f>
        <v>886</v>
      </c>
      <c r="AK442" s="33" t="s">
        <v>272</v>
      </c>
      <c r="AL442" s="7">
        <f>$AJ442</f>
        <v>886</v>
      </c>
    </row>
    <row r="443" spans="1:38" ht="18.399999999999999" customHeight="1" x14ac:dyDescent="0.15">
      <c r="A443" s="35" t="s">
        <v>1850</v>
      </c>
      <c r="B443" s="31"/>
      <c r="C443" s="31"/>
      <c r="D443" s="31"/>
      <c r="E443" s="31"/>
      <c r="F443" s="39"/>
      <c r="K443" s="3" t="s">
        <v>1850</v>
      </c>
    </row>
    <row r="444" spans="1:38" ht="18.399999999999999" customHeight="1" x14ac:dyDescent="0.15">
      <c r="A444" s="35" t="s">
        <v>1850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475</v>
      </c>
      <c r="AA444" s="33" t="s">
        <v>242</v>
      </c>
      <c r="AB444" s="8">
        <f>ROUND(0,2)</f>
        <v>0</v>
      </c>
      <c r="AC444" s="33" t="s">
        <v>909</v>
      </c>
      <c r="AD444" s="7">
        <f>$AB444</f>
        <v>0</v>
      </c>
      <c r="AE444" s="33" t="s">
        <v>1269</v>
      </c>
      <c r="AF444" s="8">
        <f>ROUND(0,2)</f>
        <v>0</v>
      </c>
      <c r="AG444" s="33" t="s">
        <v>1554</v>
      </c>
      <c r="AH444" s="7">
        <f>$AF444</f>
        <v>0</v>
      </c>
      <c r="AI444" s="33" t="s">
        <v>1661</v>
      </c>
      <c r="AJ444" s="8">
        <f>ROUND(0,2)</f>
        <v>0</v>
      </c>
      <c r="AK444" s="33" t="s">
        <v>1139</v>
      </c>
      <c r="AL444" s="7">
        <f>$AJ444</f>
        <v>0</v>
      </c>
    </row>
    <row r="445" spans="1:38" ht="18.399999999999999" customHeight="1" x14ac:dyDescent="0.15">
      <c r="A445" s="35" t="s">
        <v>1545</v>
      </c>
      <c r="B445" s="31"/>
      <c r="C445" s="31"/>
      <c r="D445" s="31"/>
      <c r="E445" s="31"/>
      <c r="F445" s="39"/>
      <c r="K445" s="3" t="s">
        <v>1545</v>
      </c>
    </row>
    <row r="446" spans="1:38" ht="18.399999999999999" customHeight="1" x14ac:dyDescent="0.15">
      <c r="A446" s="35" t="s">
        <v>1786</v>
      </c>
      <c r="B446" s="31"/>
      <c r="C446" s="31"/>
      <c r="D446" s="31"/>
      <c r="E446" s="31"/>
      <c r="F446" s="39"/>
      <c r="K446" s="3" t="s">
        <v>1786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1850</v>
      </c>
      <c r="K447" s="3" t="s">
        <v>1703</v>
      </c>
      <c r="AA447" s="33" t="s">
        <v>1269</v>
      </c>
      <c r="AB447" s="8">
        <f>TRUNC(노임!D4*2*($AD423+$AD425)/450*2/4.5,0)</f>
        <v>13747</v>
      </c>
      <c r="AC447" s="33" t="s">
        <v>1554</v>
      </c>
      <c r="AD447" s="7">
        <f>$AH444+$AB447</f>
        <v>13747</v>
      </c>
    </row>
    <row r="448" spans="1:38" ht="18.399999999999999" customHeight="1" x14ac:dyDescent="0.15">
      <c r="A448" s="35" t="s">
        <v>1414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1532</v>
      </c>
      <c r="AA448" s="33" t="s">
        <v>242</v>
      </c>
      <c r="AB448" s="8">
        <f>TRUNC($AD444,0)</f>
        <v>0</v>
      </c>
      <c r="AC448" s="33" t="s">
        <v>909</v>
      </c>
      <c r="AD448" s="7">
        <f>$AB448</f>
        <v>0</v>
      </c>
      <c r="AE448" s="33" t="s">
        <v>1269</v>
      </c>
      <c r="AF448" s="8">
        <f>TRUNC($AD447,0)</f>
        <v>13747</v>
      </c>
      <c r="AG448" s="33" t="s">
        <v>1554</v>
      </c>
      <c r="AH448" s="7">
        <f>$AF448</f>
        <v>13747</v>
      </c>
      <c r="AI448" s="33" t="s">
        <v>1661</v>
      </c>
      <c r="AJ448" s="8">
        <f>TRUNC($AL444,0)</f>
        <v>0</v>
      </c>
      <c r="AK448" s="33" t="s">
        <v>1139</v>
      </c>
      <c r="AL448" s="7">
        <f>$AJ448</f>
        <v>0</v>
      </c>
    </row>
    <row r="449" spans="1:38" ht="18.399999999999999" customHeight="1" x14ac:dyDescent="0.15">
      <c r="A449" s="35" t="s">
        <v>1850</v>
      </c>
      <c r="B449" s="31"/>
      <c r="C449" s="31"/>
      <c r="D449" s="31"/>
      <c r="E449" s="31"/>
      <c r="F449" s="39"/>
      <c r="K449" s="3" t="s">
        <v>1850</v>
      </c>
    </row>
    <row r="450" spans="1:38" ht="18.399999999999999" customHeight="1" x14ac:dyDescent="0.15">
      <c r="A450" s="35" t="s">
        <v>641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1163</v>
      </c>
      <c r="AA450" s="33" t="s">
        <v>1396</v>
      </c>
      <c r="AB450" s="8">
        <f>TRUNC(($AD415+$AD431+$AD442+$AD448),0)</f>
        <v>3177</v>
      </c>
      <c r="AC450" s="33" t="s">
        <v>1559</v>
      </c>
      <c r="AD450" s="7">
        <f>$AB450</f>
        <v>3177</v>
      </c>
      <c r="AE450" s="33" t="s">
        <v>213</v>
      </c>
      <c r="AF450" s="8">
        <f>TRUNC(($AH415+$AH431+$AH442+$AH448),0)</f>
        <v>28094</v>
      </c>
      <c r="AG450" s="33" t="s">
        <v>762</v>
      </c>
      <c r="AH450" s="7">
        <f>$AF450</f>
        <v>28094</v>
      </c>
      <c r="AI450" s="33" t="s">
        <v>615</v>
      </c>
      <c r="AJ450" s="8">
        <f>TRUNC(($AL415+$AL431+$AL442+$AL448),0)</f>
        <v>6414</v>
      </c>
      <c r="AK450" s="33" t="s">
        <v>1036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1089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1592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1850</v>
      </c>
      <c r="G454" t="s">
        <v>1850</v>
      </c>
      <c r="H454" t="s">
        <v>1135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1850</v>
      </c>
      <c r="B456" s="3"/>
      <c r="C456" s="3"/>
      <c r="D456" s="3"/>
      <c r="E456" s="3"/>
      <c r="F456" s="38"/>
      <c r="G456" t="s">
        <v>1850</v>
      </c>
      <c r="I456" t="s">
        <v>243</v>
      </c>
      <c r="J456" t="s">
        <v>1850</v>
      </c>
      <c r="K456" t="s">
        <v>1591</v>
      </c>
    </row>
    <row r="457" spans="1:38" ht="18.399999999999999" customHeight="1" x14ac:dyDescent="0.15">
      <c r="A457" s="35" t="s">
        <v>182</v>
      </c>
      <c r="B457" s="31"/>
      <c r="C457" s="31"/>
      <c r="D457" s="31"/>
      <c r="E457" s="31"/>
      <c r="F457" s="39"/>
      <c r="K457" s="3" t="s">
        <v>182</v>
      </c>
    </row>
    <row r="458" spans="1:38" ht="18.399999999999999" customHeight="1" x14ac:dyDescent="0.15">
      <c r="A458" s="35" t="s">
        <v>1850</v>
      </c>
      <c r="B458" s="31"/>
      <c r="C458" s="31"/>
      <c r="D458" s="31"/>
      <c r="E458" s="31"/>
      <c r="F458" s="39"/>
      <c r="K458" s="3" t="s">
        <v>1850</v>
      </c>
    </row>
    <row r="459" spans="1:38" ht="18.399999999999999" customHeight="1" x14ac:dyDescent="0.15">
      <c r="A459" s="35" t="s">
        <v>1850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98</v>
      </c>
      <c r="AA459" s="33" t="s">
        <v>829</v>
      </c>
      <c r="AB459" s="8">
        <f>ROUND(0,2)</f>
        <v>0</v>
      </c>
      <c r="AC459" s="33" t="s">
        <v>529</v>
      </c>
      <c r="AD459" s="7">
        <f>$AB459</f>
        <v>0</v>
      </c>
      <c r="AE459" s="33" t="s">
        <v>1602</v>
      </c>
      <c r="AF459" s="8">
        <f>ROUND(0,2)</f>
        <v>0</v>
      </c>
      <c r="AG459" s="33" t="s">
        <v>1640</v>
      </c>
      <c r="AH459" s="7">
        <f>$AF459</f>
        <v>0</v>
      </c>
      <c r="AI459" s="33" t="s">
        <v>1091</v>
      </c>
      <c r="AJ459" s="8">
        <f>ROUND(0,2)</f>
        <v>0</v>
      </c>
      <c r="AK459" s="33" t="s">
        <v>1263</v>
      </c>
      <c r="AL459" s="7">
        <f>$AJ459</f>
        <v>0</v>
      </c>
    </row>
    <row r="460" spans="1:38" ht="18.399999999999999" customHeight="1" x14ac:dyDescent="0.15">
      <c r="A460" s="35" t="s">
        <v>500</v>
      </c>
      <c r="B460" s="31"/>
      <c r="C460" s="31"/>
      <c r="D460" s="31"/>
      <c r="E460" s="31"/>
      <c r="F460" s="39"/>
      <c r="K460" s="3" t="s">
        <v>500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970</v>
      </c>
      <c r="AB461" s="6">
        <v>20</v>
      </c>
      <c r="AC461" s="34" t="s">
        <v>970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1323</v>
      </c>
      <c r="AB462" s="6">
        <v>4.0999999999999996</v>
      </c>
      <c r="AC462" s="34" t="s">
        <v>1323</v>
      </c>
      <c r="AD462" s="7">
        <f>$AB462</f>
        <v>4.0999999999999996</v>
      </c>
    </row>
    <row r="463" spans="1:38" ht="18.399999999999999" customHeight="1" x14ac:dyDescent="0.15">
      <c r="A463" s="35" t="s">
        <v>1651</v>
      </c>
      <c r="B463" s="31"/>
      <c r="C463" s="31"/>
      <c r="D463" s="31"/>
      <c r="E463" s="31"/>
      <c r="F463" s="39"/>
      <c r="K463" s="3" t="s">
        <v>1651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1850</v>
      </c>
      <c r="K464" s="3" t="s">
        <v>959</v>
      </c>
      <c r="AA464" s="33" t="s">
        <v>829</v>
      </c>
      <c r="AB464" s="8">
        <f>TRUNC(중기사용료목록!E3/$AD462,0)</f>
        <v>2297</v>
      </c>
      <c r="AC464" s="33" t="s">
        <v>529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1850</v>
      </c>
      <c r="K465" s="3" t="s">
        <v>972</v>
      </c>
      <c r="AA465" s="33" t="s">
        <v>1602</v>
      </c>
      <c r="AB465" s="8">
        <f>TRUNC(중기사용료목록!F3/$AD462,0)</f>
        <v>13585</v>
      </c>
      <c r="AC465" s="33" t="s">
        <v>1640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1850</v>
      </c>
      <c r="K466" s="3" t="s">
        <v>1691</v>
      </c>
      <c r="AA466" s="33" t="s">
        <v>1091</v>
      </c>
      <c r="AB466" s="8">
        <f>TRUNC(중기사용료목록!G3/$AD462,0)</f>
        <v>3687</v>
      </c>
      <c r="AC466" s="33" t="s">
        <v>1263</v>
      </c>
      <c r="AD466" s="7">
        <f>$AL459+$AB466</f>
        <v>3687</v>
      </c>
    </row>
    <row r="467" spans="1:38" ht="18.399999999999999" customHeight="1" x14ac:dyDescent="0.15">
      <c r="A467" s="35" t="s">
        <v>629</v>
      </c>
      <c r="B467" s="31"/>
      <c r="C467" s="31"/>
      <c r="D467" s="31"/>
      <c r="E467" s="31"/>
      <c r="F467" s="39"/>
      <c r="K467" s="3" t="s">
        <v>629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1850</v>
      </c>
      <c r="K468" s="3" t="s">
        <v>1699</v>
      </c>
      <c r="AA468" s="33" t="s">
        <v>829</v>
      </c>
      <c r="AB468" s="8">
        <f>TRUNC(중기사용료목록!E5/$AD462,0)</f>
        <v>0</v>
      </c>
      <c r="AC468" s="33" t="s">
        <v>529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1850</v>
      </c>
      <c r="K469" s="3" t="s">
        <v>178</v>
      </c>
      <c r="AA469" s="33" t="s">
        <v>1602</v>
      </c>
      <c r="AB469" s="8">
        <f>TRUNC(중기사용료목록!F5/$AD462,0)</f>
        <v>0</v>
      </c>
      <c r="AC469" s="33" t="s">
        <v>1640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1850</v>
      </c>
      <c r="K470" s="3" t="s">
        <v>852</v>
      </c>
      <c r="AA470" s="33" t="s">
        <v>1091</v>
      </c>
      <c r="AB470" s="8">
        <f>TRUNC(중기사용료목록!G5/$AD462,0)</f>
        <v>1268</v>
      </c>
      <c r="AC470" s="33" t="s">
        <v>1263</v>
      </c>
      <c r="AD470" s="7">
        <f>$AD466+$AB470</f>
        <v>4955</v>
      </c>
    </row>
    <row r="471" spans="1:38" ht="18.399999999999999" customHeight="1" x14ac:dyDescent="0.15">
      <c r="A471" s="35" t="s">
        <v>1414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767</v>
      </c>
      <c r="AA471" s="33" t="s">
        <v>829</v>
      </c>
      <c r="AB471" s="8">
        <f>TRUNC($AD468,0)</f>
        <v>2297</v>
      </c>
      <c r="AC471" s="33" t="s">
        <v>529</v>
      </c>
      <c r="AD471" s="7">
        <f>$AB471</f>
        <v>2297</v>
      </c>
      <c r="AE471" s="33" t="s">
        <v>1602</v>
      </c>
      <c r="AF471" s="8">
        <f>TRUNC($AD469,0)</f>
        <v>13585</v>
      </c>
      <c r="AG471" s="33" t="s">
        <v>1640</v>
      </c>
      <c r="AH471" s="7">
        <f>$AF471</f>
        <v>13585</v>
      </c>
      <c r="AI471" s="33" t="s">
        <v>1091</v>
      </c>
      <c r="AJ471" s="8">
        <f>TRUNC($AD470,0)</f>
        <v>4955</v>
      </c>
      <c r="AK471" s="33" t="s">
        <v>1263</v>
      </c>
      <c r="AL471" s="7">
        <f>$AJ471</f>
        <v>4955</v>
      </c>
    </row>
    <row r="472" spans="1:38" ht="18.399999999999999" customHeight="1" x14ac:dyDescent="0.15">
      <c r="A472" s="35" t="s">
        <v>1850</v>
      </c>
      <c r="B472" s="31"/>
      <c r="C472" s="31"/>
      <c r="D472" s="31"/>
      <c r="E472" s="31"/>
      <c r="F472" s="39"/>
      <c r="K472" s="3" t="s">
        <v>1850</v>
      </c>
    </row>
    <row r="473" spans="1:38" ht="18.399999999999999" customHeight="1" x14ac:dyDescent="0.15">
      <c r="A473" s="35" t="s">
        <v>1850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1668</v>
      </c>
      <c r="AA473" s="33" t="s">
        <v>1392</v>
      </c>
      <c r="AB473" s="8">
        <f>ROUND(0,2)</f>
        <v>0</v>
      </c>
      <c r="AC473" s="33" t="s">
        <v>1272</v>
      </c>
      <c r="AD473" s="7">
        <f>$AB473</f>
        <v>0</v>
      </c>
      <c r="AE473" s="33" t="s">
        <v>82</v>
      </c>
      <c r="AF473" s="8">
        <f>ROUND(0,2)</f>
        <v>0</v>
      </c>
      <c r="AG473" s="33" t="s">
        <v>103</v>
      </c>
      <c r="AH473" s="7">
        <f>$AF473</f>
        <v>0</v>
      </c>
      <c r="AI473" s="33" t="s">
        <v>504</v>
      </c>
      <c r="AJ473" s="8">
        <f>ROUND(0,2)</f>
        <v>0</v>
      </c>
      <c r="AK473" s="33" t="s">
        <v>524</v>
      </c>
      <c r="AL473" s="7">
        <f>$AJ473</f>
        <v>0</v>
      </c>
    </row>
    <row r="474" spans="1:38" ht="18.399999999999999" customHeight="1" x14ac:dyDescent="0.15">
      <c r="A474" s="35" t="s">
        <v>75</v>
      </c>
      <c r="B474" s="31"/>
      <c r="C474" s="31"/>
      <c r="D474" s="31"/>
      <c r="E474" s="31"/>
      <c r="F474" s="39"/>
      <c r="K474" s="3" t="s">
        <v>75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1850</v>
      </c>
      <c r="K475" s="3" t="s">
        <v>635</v>
      </c>
      <c r="AA475" s="33" t="s">
        <v>82</v>
      </c>
      <c r="AB475" s="8">
        <f>TRUNC(노임!D4*1/(8*$AD462),0)</f>
        <v>5047</v>
      </c>
      <c r="AC475" s="33" t="s">
        <v>103</v>
      </c>
      <c r="AD475" s="7">
        <f>$AH473+$AB475</f>
        <v>5047</v>
      </c>
    </row>
    <row r="476" spans="1:38" ht="18.399999999999999" customHeight="1" x14ac:dyDescent="0.15">
      <c r="A476" s="35" t="s">
        <v>1414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33</v>
      </c>
      <c r="AA476" s="33" t="s">
        <v>1392</v>
      </c>
      <c r="AB476" s="8">
        <f>TRUNC($AD473,0)</f>
        <v>0</v>
      </c>
      <c r="AC476" s="33" t="s">
        <v>1272</v>
      </c>
      <c r="AD476" s="7">
        <f>$AB476</f>
        <v>0</v>
      </c>
      <c r="AE476" s="33" t="s">
        <v>82</v>
      </c>
      <c r="AF476" s="8">
        <f>TRUNC($AD475,0)</f>
        <v>5047</v>
      </c>
      <c r="AG476" s="33" t="s">
        <v>103</v>
      </c>
      <c r="AH476" s="7">
        <f>$AF476</f>
        <v>5047</v>
      </c>
      <c r="AI476" s="33" t="s">
        <v>504</v>
      </c>
      <c r="AJ476" s="8">
        <f>TRUNC($AL473,0)</f>
        <v>0</v>
      </c>
      <c r="AK476" s="33" t="s">
        <v>524</v>
      </c>
      <c r="AL476" s="7">
        <f>$AJ476</f>
        <v>0</v>
      </c>
    </row>
    <row r="477" spans="1:38" ht="18.399999999999999" customHeight="1" x14ac:dyDescent="0.15">
      <c r="A477" s="35" t="s">
        <v>1850</v>
      </c>
      <c r="B477" s="31"/>
      <c r="C477" s="31"/>
      <c r="D477" s="31"/>
      <c r="E477" s="31"/>
      <c r="F477" s="39"/>
      <c r="K477" s="3" t="s">
        <v>1850</v>
      </c>
    </row>
    <row r="478" spans="1:38" ht="18.399999999999999" customHeight="1" x14ac:dyDescent="0.15">
      <c r="A478" s="35" t="s">
        <v>1850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1006</v>
      </c>
      <c r="AA478" s="33" t="s">
        <v>101</v>
      </c>
      <c r="AB478" s="8">
        <f>ROUND(0,2)</f>
        <v>0</v>
      </c>
      <c r="AC478" s="33" t="s">
        <v>1520</v>
      </c>
      <c r="AD478" s="7">
        <f>$AB478</f>
        <v>0</v>
      </c>
      <c r="AE478" s="33" t="s">
        <v>1369</v>
      </c>
      <c r="AF478" s="8">
        <f>ROUND(0,2)</f>
        <v>0</v>
      </c>
      <c r="AG478" s="33" t="s">
        <v>811</v>
      </c>
      <c r="AH478" s="7">
        <f>$AF478</f>
        <v>0</v>
      </c>
      <c r="AI478" s="33" t="s">
        <v>1759</v>
      </c>
      <c r="AJ478" s="8">
        <f>ROUND(0,2)</f>
        <v>0</v>
      </c>
      <c r="AK478" s="33" t="s">
        <v>272</v>
      </c>
      <c r="AL478" s="7">
        <f>$AJ478</f>
        <v>0</v>
      </c>
    </row>
    <row r="479" spans="1:38" ht="18.399999999999999" customHeight="1" x14ac:dyDescent="0.15">
      <c r="A479" s="35" t="s">
        <v>55</v>
      </c>
      <c r="B479" s="31"/>
      <c r="C479" s="31"/>
      <c r="D479" s="31"/>
      <c r="E479" s="31"/>
      <c r="F479" s="39"/>
      <c r="K479" s="3" t="s">
        <v>55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1850</v>
      </c>
      <c r="K480" s="3" t="s">
        <v>39</v>
      </c>
      <c r="AA480" s="33" t="s">
        <v>101</v>
      </c>
      <c r="AB480" s="8">
        <f>TRUNC(자재!D3*0.008,0)</f>
        <v>1632</v>
      </c>
      <c r="AC480" s="33" t="s">
        <v>1520</v>
      </c>
      <c r="AD480" s="7">
        <f>$AD478+$AB480</f>
        <v>1632</v>
      </c>
    </row>
    <row r="481" spans="1:38" ht="18.399999999999999" customHeight="1" x14ac:dyDescent="0.15">
      <c r="A481" s="35" t="s">
        <v>1414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264</v>
      </c>
      <c r="AA481" s="33" t="s">
        <v>101</v>
      </c>
      <c r="AB481" s="8">
        <f>TRUNC($AD480,0)</f>
        <v>1632</v>
      </c>
      <c r="AC481" s="33" t="s">
        <v>1520</v>
      </c>
      <c r="AD481" s="7">
        <f>$AB481</f>
        <v>1632</v>
      </c>
      <c r="AE481" s="33" t="s">
        <v>1369</v>
      </c>
      <c r="AF481" s="8">
        <f>TRUNC($AH478,0)</f>
        <v>0</v>
      </c>
      <c r="AG481" s="33" t="s">
        <v>811</v>
      </c>
      <c r="AH481" s="7">
        <f>$AF481</f>
        <v>0</v>
      </c>
      <c r="AI481" s="33" t="s">
        <v>1759</v>
      </c>
      <c r="AJ481" s="8">
        <f>TRUNC($AL478,0)</f>
        <v>0</v>
      </c>
      <c r="AK481" s="33" t="s">
        <v>272</v>
      </c>
      <c r="AL481" s="7">
        <f>$AJ481</f>
        <v>0</v>
      </c>
    </row>
    <row r="482" spans="1:38" ht="18.399999999999999" customHeight="1" x14ac:dyDescent="0.15">
      <c r="A482" s="35" t="s">
        <v>1850</v>
      </c>
      <c r="B482" s="31"/>
      <c r="C482" s="31"/>
      <c r="D482" s="31"/>
      <c r="E482" s="31"/>
      <c r="F482" s="39"/>
      <c r="K482" s="3" t="s">
        <v>1850</v>
      </c>
    </row>
    <row r="483" spans="1:38" ht="18.399999999999999" customHeight="1" x14ac:dyDescent="0.15">
      <c r="A483" s="35" t="s">
        <v>641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1356</v>
      </c>
      <c r="AA483" s="33" t="s">
        <v>1396</v>
      </c>
      <c r="AB483" s="8">
        <f>TRUNC(($AD471+$AD476+$AD481),0)</f>
        <v>3929</v>
      </c>
      <c r="AC483" s="33" t="s">
        <v>1559</v>
      </c>
      <c r="AD483" s="7">
        <f>$AB483</f>
        <v>3929</v>
      </c>
      <c r="AE483" s="33" t="s">
        <v>213</v>
      </c>
      <c r="AF483" s="8">
        <f>TRUNC(($AH471+$AH476+$AH481),0)</f>
        <v>18632</v>
      </c>
      <c r="AG483" s="33" t="s">
        <v>762</v>
      </c>
      <c r="AH483" s="7">
        <f>$AF483</f>
        <v>18632</v>
      </c>
      <c r="AI483" s="33" t="s">
        <v>615</v>
      </c>
      <c r="AJ483" s="8">
        <f>TRUNC(($AL471+$AL476+$AL481),0)</f>
        <v>4955</v>
      </c>
      <c r="AK483" s="33" t="s">
        <v>1036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1089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600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1850</v>
      </c>
      <c r="G487" t="s">
        <v>1850</v>
      </c>
      <c r="H487" t="s">
        <v>1098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1850</v>
      </c>
      <c r="B489" s="3"/>
      <c r="C489" s="3"/>
      <c r="D489" s="3"/>
      <c r="E489" s="3"/>
      <c r="F489" s="38"/>
      <c r="G489" t="s">
        <v>1850</v>
      </c>
      <c r="I489" t="s">
        <v>243</v>
      </c>
      <c r="J489" t="s">
        <v>1850</v>
      </c>
      <c r="K489" t="s">
        <v>1591</v>
      </c>
    </row>
    <row r="490" spans="1:38" ht="18.399999999999999" customHeight="1" x14ac:dyDescent="0.15">
      <c r="A490" s="35" t="s">
        <v>999</v>
      </c>
      <c r="B490" s="31"/>
      <c r="C490" s="31"/>
      <c r="D490" s="31"/>
      <c r="E490" s="31"/>
      <c r="F490" s="39"/>
      <c r="K490" s="3" t="s">
        <v>999</v>
      </c>
    </row>
    <row r="491" spans="1:38" ht="18.399999999999999" customHeight="1" x14ac:dyDescent="0.15">
      <c r="A491" s="35" t="s">
        <v>1850</v>
      </c>
      <c r="B491" s="31"/>
      <c r="C491" s="31"/>
      <c r="D491" s="31"/>
      <c r="E491" s="31"/>
      <c r="F491" s="39"/>
      <c r="K491" s="3" t="s">
        <v>1850</v>
      </c>
    </row>
    <row r="492" spans="1:38" ht="18.399999999999999" customHeight="1" x14ac:dyDescent="0.15">
      <c r="A492" s="35" t="s">
        <v>1850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98</v>
      </c>
      <c r="AA492" s="33" t="s">
        <v>829</v>
      </c>
      <c r="AB492" s="8">
        <f>ROUND(0,2)</f>
        <v>0</v>
      </c>
      <c r="AC492" s="33" t="s">
        <v>529</v>
      </c>
      <c r="AD492" s="7">
        <f>$AB492</f>
        <v>0</v>
      </c>
      <c r="AE492" s="33" t="s">
        <v>1602</v>
      </c>
      <c r="AF492" s="8">
        <f>ROUND(0,2)</f>
        <v>0</v>
      </c>
      <c r="AG492" s="33" t="s">
        <v>1640</v>
      </c>
      <c r="AH492" s="7">
        <f>$AF492</f>
        <v>0</v>
      </c>
      <c r="AI492" s="33" t="s">
        <v>1091</v>
      </c>
      <c r="AJ492" s="8">
        <f>ROUND(0,2)</f>
        <v>0</v>
      </c>
      <c r="AK492" s="33" t="s">
        <v>1263</v>
      </c>
      <c r="AL492" s="7">
        <f>$AJ492</f>
        <v>0</v>
      </c>
    </row>
    <row r="493" spans="1:38" ht="18.399999999999999" customHeight="1" x14ac:dyDescent="0.15">
      <c r="A493" s="35" t="s">
        <v>328</v>
      </c>
      <c r="B493" s="31"/>
      <c r="C493" s="31"/>
      <c r="D493" s="31"/>
      <c r="E493" s="31"/>
      <c r="F493" s="39"/>
      <c r="K493" s="3" t="s">
        <v>328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1323</v>
      </c>
      <c r="AB494" s="6">
        <v>0.18</v>
      </c>
      <c r="AC494" s="34" t="s">
        <v>1323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555</v>
      </c>
      <c r="AB495" s="6">
        <v>0.55000000000000004</v>
      </c>
      <c r="AC495" s="34" t="s">
        <v>555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104</v>
      </c>
      <c r="AA496" s="34" t="s">
        <v>1205</v>
      </c>
      <c r="AB496" s="8">
        <f>ROUND(1/1.4,3)</f>
        <v>0.71399999999999997</v>
      </c>
      <c r="AC496" s="34" t="s">
        <v>1112</v>
      </c>
      <c r="AD496" s="7">
        <f t="shared" si="19"/>
        <v>0.71399999999999997</v>
      </c>
      <c r="AE496" s="34" t="s">
        <v>179</v>
      </c>
      <c r="AF496" s="8">
        <f>ROUND(ROUND(1/1.4,3),3)</f>
        <v>0.71399999999999997</v>
      </c>
      <c r="AG496" s="34" t="s">
        <v>1227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932</v>
      </c>
      <c r="AB497" s="6">
        <v>0.45</v>
      </c>
      <c r="AC497" s="34" t="s">
        <v>932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96</v>
      </c>
      <c r="AB498" s="6">
        <v>18</v>
      </c>
      <c r="AC498" s="34" t="s">
        <v>96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134</v>
      </c>
      <c r="AA499" s="34" t="s">
        <v>383</v>
      </c>
      <c r="AB499" s="8">
        <f>ROUND(3600*$AD494*$AD495*$AD496*$AD497/$AD498,2)</f>
        <v>6.36</v>
      </c>
      <c r="AC499" s="34" t="s">
        <v>1323</v>
      </c>
      <c r="AD499" s="7">
        <f t="shared" si="19"/>
        <v>6.36</v>
      </c>
      <c r="AE499" s="34" t="s">
        <v>1469</v>
      </c>
      <c r="AF499" s="8">
        <f>ROUND(ROUND(3600*$AD494*$AD495*$AD496*$AD497/$AD498,2),2)</f>
        <v>6.36</v>
      </c>
      <c r="AG499" s="34" t="s">
        <v>78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1850</v>
      </c>
      <c r="K500" s="3" t="s">
        <v>959</v>
      </c>
      <c r="AA500" s="33" t="s">
        <v>829</v>
      </c>
      <c r="AB500" s="8">
        <f>TRUNC(중기사용료목록!E3/$AD499,0)</f>
        <v>1481</v>
      </c>
      <c r="AC500" s="33" t="s">
        <v>529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1850</v>
      </c>
      <c r="K501" s="3" t="s">
        <v>972</v>
      </c>
      <c r="AA501" s="33" t="s">
        <v>1602</v>
      </c>
      <c r="AB501" s="8">
        <f>TRUNC(중기사용료목록!F3/$AD499,0)</f>
        <v>8757</v>
      </c>
      <c r="AC501" s="33" t="s">
        <v>1640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1850</v>
      </c>
      <c r="K502" s="3" t="s">
        <v>1691</v>
      </c>
      <c r="AA502" s="33" t="s">
        <v>1091</v>
      </c>
      <c r="AB502" s="8">
        <f>TRUNC(중기사용료목록!G3/$AD499,0)</f>
        <v>2376</v>
      </c>
      <c r="AC502" s="33" t="s">
        <v>1263</v>
      </c>
      <c r="AD502" s="7">
        <f>$AL492+$AB502</f>
        <v>2376</v>
      </c>
    </row>
    <row r="503" spans="1:38" ht="18.399999999999999" customHeight="1" x14ac:dyDescent="0.15">
      <c r="A503" s="35" t="s">
        <v>1414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767</v>
      </c>
      <c r="AA503" s="33" t="s">
        <v>829</v>
      </c>
      <c r="AB503" s="8">
        <f>TRUNC($AD500,0)</f>
        <v>1481</v>
      </c>
      <c r="AC503" s="33" t="s">
        <v>529</v>
      </c>
      <c r="AD503" s="7">
        <f>$AB503</f>
        <v>1481</v>
      </c>
      <c r="AE503" s="33" t="s">
        <v>1602</v>
      </c>
      <c r="AF503" s="8">
        <f>TRUNC($AD501,0)</f>
        <v>8757</v>
      </c>
      <c r="AG503" s="33" t="s">
        <v>1640</v>
      </c>
      <c r="AH503" s="7">
        <f>$AF503</f>
        <v>8757</v>
      </c>
      <c r="AI503" s="33" t="s">
        <v>1091</v>
      </c>
      <c r="AJ503" s="8">
        <f>TRUNC($AD502,0)</f>
        <v>2376</v>
      </c>
      <c r="AK503" s="33" t="s">
        <v>1263</v>
      </c>
      <c r="AL503" s="7">
        <f>$AJ503</f>
        <v>2376</v>
      </c>
    </row>
    <row r="504" spans="1:38" ht="18.399999999999999" customHeight="1" x14ac:dyDescent="0.15">
      <c r="A504" s="35" t="s">
        <v>1850</v>
      </c>
      <c r="B504" s="31"/>
      <c r="C504" s="31"/>
      <c r="D504" s="31"/>
      <c r="E504" s="31"/>
      <c r="F504" s="39"/>
      <c r="K504" s="3" t="s">
        <v>1850</v>
      </c>
    </row>
    <row r="505" spans="1:38" ht="18.399999999999999" customHeight="1" x14ac:dyDescent="0.15">
      <c r="A505" s="35" t="s">
        <v>641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395</v>
      </c>
      <c r="AA505" s="33" t="s">
        <v>1396</v>
      </c>
      <c r="AB505" s="8">
        <f>TRUNC(($AD503),0)</f>
        <v>1481</v>
      </c>
      <c r="AC505" s="33" t="s">
        <v>1559</v>
      </c>
      <c r="AD505" s="7">
        <f>$AB505</f>
        <v>1481</v>
      </c>
      <c r="AE505" s="33" t="s">
        <v>213</v>
      </c>
      <c r="AF505" s="8">
        <f>TRUNC(($AH503),0)</f>
        <v>8757</v>
      </c>
      <c r="AG505" s="33" t="s">
        <v>762</v>
      </c>
      <c r="AH505" s="7">
        <f>$AF505</f>
        <v>8757</v>
      </c>
      <c r="AI505" s="33" t="s">
        <v>615</v>
      </c>
      <c r="AJ505" s="8">
        <f>TRUNC(($AL503),0)</f>
        <v>2376</v>
      </c>
      <c r="AK505" s="33" t="s">
        <v>1036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1089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197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1850</v>
      </c>
      <c r="G509" t="s">
        <v>1850</v>
      </c>
      <c r="H509" t="s">
        <v>925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1850</v>
      </c>
      <c r="B511" s="3"/>
      <c r="C511" s="3"/>
      <c r="D511" s="3"/>
      <c r="E511" s="3"/>
      <c r="F511" s="38"/>
      <c r="G511" t="s">
        <v>1850</v>
      </c>
      <c r="I511" t="s">
        <v>243</v>
      </c>
      <c r="J511" t="s">
        <v>1850</v>
      </c>
      <c r="K511" t="s">
        <v>1591</v>
      </c>
    </row>
    <row r="512" spans="1:38" ht="18.399999999999999" customHeight="1" x14ac:dyDescent="0.15">
      <c r="A512" s="35" t="s">
        <v>1333</v>
      </c>
      <c r="B512" s="31"/>
      <c r="C512" s="31"/>
      <c r="D512" s="31"/>
      <c r="E512" s="31"/>
      <c r="F512" s="39"/>
      <c r="K512" s="3" t="s">
        <v>1333</v>
      </c>
    </row>
    <row r="513" spans="1:38" ht="18.399999999999999" customHeight="1" x14ac:dyDescent="0.15">
      <c r="A513" s="35" t="s">
        <v>1173</v>
      </c>
      <c r="B513" s="31"/>
      <c r="C513" s="31"/>
      <c r="D513" s="31"/>
      <c r="E513" s="31"/>
      <c r="F513" s="39"/>
      <c r="K513" s="3" t="s">
        <v>1173</v>
      </c>
    </row>
    <row r="514" spans="1:38" ht="18.399999999999999" customHeight="1" x14ac:dyDescent="0.15">
      <c r="A514" s="35" t="s">
        <v>1850</v>
      </c>
      <c r="B514" s="31"/>
      <c r="C514" s="31"/>
      <c r="D514" s="31"/>
      <c r="E514" s="31"/>
      <c r="F514" s="39"/>
      <c r="K514" s="3" t="s">
        <v>1850</v>
      </c>
    </row>
    <row r="515" spans="1:38" ht="18.399999999999999" customHeight="1" x14ac:dyDescent="0.15">
      <c r="A515" s="35" t="s">
        <v>1850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98</v>
      </c>
      <c r="AA515" s="33" t="s">
        <v>829</v>
      </c>
      <c r="AB515" s="8">
        <f>ROUND(0,2)</f>
        <v>0</v>
      </c>
      <c r="AC515" s="33" t="s">
        <v>529</v>
      </c>
      <c r="AD515" s="7">
        <f>$AB515</f>
        <v>0</v>
      </c>
      <c r="AE515" s="33" t="s">
        <v>1602</v>
      </c>
      <c r="AF515" s="8">
        <f>ROUND(0,2)</f>
        <v>0</v>
      </c>
      <c r="AG515" s="33" t="s">
        <v>1640</v>
      </c>
      <c r="AH515" s="7">
        <f>$AF515</f>
        <v>0</v>
      </c>
      <c r="AI515" s="33" t="s">
        <v>1091</v>
      </c>
      <c r="AJ515" s="8">
        <f>ROUND(0,2)</f>
        <v>0</v>
      </c>
      <c r="AK515" s="33" t="s">
        <v>1263</v>
      </c>
      <c r="AL515" s="7">
        <f>$AJ515</f>
        <v>0</v>
      </c>
    </row>
    <row r="516" spans="1:38" ht="18.399999999999999" customHeight="1" x14ac:dyDescent="0.15">
      <c r="A516" s="35" t="s">
        <v>490</v>
      </c>
      <c r="B516" s="31"/>
      <c r="C516" s="31"/>
      <c r="D516" s="31"/>
      <c r="E516" s="31"/>
      <c r="F516" s="39"/>
      <c r="K516" s="3" t="s">
        <v>490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223</v>
      </c>
      <c r="AA517" s="34" t="s">
        <v>1399</v>
      </c>
      <c r="AB517" s="8">
        <f>ROUND((0.096*0.02+0.076*(0.096+0.02)/2)*0.012*7850*2,2)</f>
        <v>1.19</v>
      </c>
      <c r="AC517" s="34" t="s">
        <v>1318</v>
      </c>
      <c r="AD517" s="7">
        <f>$AB517</f>
        <v>1.19</v>
      </c>
      <c r="AE517" s="34" t="s">
        <v>750</v>
      </c>
      <c r="AF517" s="8">
        <f>ROUND(ROUND((0.096*0.02+0.076*(0.096+0.02)/2)*0.012*7850*2,2),2)</f>
        <v>1.19</v>
      </c>
      <c r="AG517" s="34" t="s">
        <v>241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1850</v>
      </c>
      <c r="K518" s="3" t="s">
        <v>1027</v>
      </c>
      <c r="AA518" s="33" t="s">
        <v>829</v>
      </c>
      <c r="AB518" s="8">
        <f>TRUNC(자재!D12*$AD517*1.1*0.15,0)</f>
        <v>231</v>
      </c>
      <c r="AC518" s="33" t="s">
        <v>529</v>
      </c>
      <c r="AD518" s="7">
        <f>$AD515+$AB518</f>
        <v>231</v>
      </c>
    </row>
    <row r="519" spans="1:38" ht="18.399999999999999" customHeight="1" x14ac:dyDescent="0.15">
      <c r="A519" s="35" t="s">
        <v>1414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767</v>
      </c>
      <c r="AA519" s="33" t="s">
        <v>829</v>
      </c>
      <c r="AB519" s="8">
        <f>TRUNC($AD518,0)</f>
        <v>231</v>
      </c>
      <c r="AC519" s="33" t="s">
        <v>529</v>
      </c>
      <c r="AD519" s="7">
        <f>$AB519</f>
        <v>231</v>
      </c>
      <c r="AE519" s="33" t="s">
        <v>1602</v>
      </c>
      <c r="AF519" s="8">
        <f>TRUNC($AH515,0)</f>
        <v>0</v>
      </c>
      <c r="AG519" s="33" t="s">
        <v>1640</v>
      </c>
      <c r="AH519" s="7">
        <f>$AF519</f>
        <v>0</v>
      </c>
      <c r="AI519" s="33" t="s">
        <v>1091</v>
      </c>
      <c r="AJ519" s="8">
        <f>TRUNC($AL515,0)</f>
        <v>0</v>
      </c>
      <c r="AK519" s="33" t="s">
        <v>1263</v>
      </c>
      <c r="AL519" s="7">
        <f>$AJ519</f>
        <v>0</v>
      </c>
    </row>
    <row r="520" spans="1:38" ht="18.399999999999999" customHeight="1" x14ac:dyDescent="0.15">
      <c r="A520" s="35" t="s">
        <v>1850</v>
      </c>
      <c r="B520" s="31"/>
      <c r="C520" s="31"/>
      <c r="D520" s="31"/>
      <c r="E520" s="31"/>
      <c r="F520" s="39"/>
      <c r="K520" s="3" t="s">
        <v>1850</v>
      </c>
    </row>
    <row r="521" spans="1:38" ht="18.399999999999999" customHeight="1" x14ac:dyDescent="0.15">
      <c r="A521" s="35" t="s">
        <v>1850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1668</v>
      </c>
      <c r="AA521" s="33" t="s">
        <v>1392</v>
      </c>
      <c r="AB521" s="8">
        <f>ROUND(0,2)</f>
        <v>0</v>
      </c>
      <c r="AC521" s="33" t="s">
        <v>1272</v>
      </c>
      <c r="AD521" s="7">
        <f>$AB521</f>
        <v>0</v>
      </c>
      <c r="AE521" s="33" t="s">
        <v>82</v>
      </c>
      <c r="AF521" s="8">
        <f>ROUND(0,2)</f>
        <v>0</v>
      </c>
      <c r="AG521" s="33" t="s">
        <v>103</v>
      </c>
      <c r="AH521" s="7">
        <f>$AF521</f>
        <v>0</v>
      </c>
      <c r="AI521" s="33" t="s">
        <v>504</v>
      </c>
      <c r="AJ521" s="8">
        <f>ROUND(0,2)</f>
        <v>0</v>
      </c>
      <c r="AK521" s="33" t="s">
        <v>524</v>
      </c>
      <c r="AL521" s="7">
        <f>$AJ521</f>
        <v>0</v>
      </c>
    </row>
    <row r="522" spans="1:38" ht="18.399999999999999" customHeight="1" x14ac:dyDescent="0.15">
      <c r="A522" s="35" t="s">
        <v>1847</v>
      </c>
      <c r="B522" s="31"/>
      <c r="C522" s="31"/>
      <c r="D522" s="31"/>
      <c r="E522" s="31"/>
      <c r="F522" s="39"/>
      <c r="K522" s="3" t="s">
        <v>1847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131</v>
      </c>
      <c r="AA523" s="34" t="s">
        <v>1732</v>
      </c>
      <c r="AB523" s="8">
        <f>ROUND((0.116+0.116+0.107)*2,2)</f>
        <v>0.68</v>
      </c>
      <c r="AC523" s="34" t="s">
        <v>998</v>
      </c>
      <c r="AD523" s="7">
        <f>$AB523</f>
        <v>0.68</v>
      </c>
      <c r="AE523" s="34" t="s">
        <v>833</v>
      </c>
      <c r="AF523" s="8">
        <f>ROUND(ROUND((0.116+0.116+0.107)*2,2),2)</f>
        <v>0.68</v>
      </c>
      <c r="AG523" s="34" t="s">
        <v>269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1850</v>
      </c>
      <c r="K524" s="3" t="s">
        <v>992</v>
      </c>
      <c r="AA524" s="33" t="s">
        <v>1392</v>
      </c>
      <c r="AB524" s="8">
        <f>TRUNC(일위대가목록!F67*$AD523,0)</f>
        <v>564</v>
      </c>
      <c r="AC524" s="33" t="s">
        <v>1272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1850</v>
      </c>
      <c r="K525" s="3" t="s">
        <v>860</v>
      </c>
      <c r="AA525" s="33" t="s">
        <v>82</v>
      </c>
      <c r="AB525" s="8">
        <f>TRUNC(일위대가목록!G67*$AD523,0)</f>
        <v>1797</v>
      </c>
      <c r="AC525" s="33" t="s">
        <v>103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1850</v>
      </c>
      <c r="K526" s="3" t="s">
        <v>757</v>
      </c>
      <c r="AA526" s="33" t="s">
        <v>504</v>
      </c>
      <c r="AB526" s="8">
        <f>TRUNC(일위대가목록!H67*$AD523,0)</f>
        <v>53</v>
      </c>
      <c r="AC526" s="33" t="s">
        <v>524</v>
      </c>
      <c r="AD526" s="7">
        <f>$AL521+$AB526</f>
        <v>53</v>
      </c>
    </row>
    <row r="527" spans="1:38" ht="18.399999999999999" customHeight="1" x14ac:dyDescent="0.15">
      <c r="A527" s="35" t="s">
        <v>1414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33</v>
      </c>
      <c r="AA527" s="33" t="s">
        <v>1392</v>
      </c>
      <c r="AB527" s="8">
        <f>TRUNC($AD524,0)</f>
        <v>564</v>
      </c>
      <c r="AC527" s="33" t="s">
        <v>1272</v>
      </c>
      <c r="AD527" s="7">
        <f>$AB527</f>
        <v>564</v>
      </c>
      <c r="AE527" s="33" t="s">
        <v>82</v>
      </c>
      <c r="AF527" s="8">
        <f>TRUNC($AD525,0)</f>
        <v>1797</v>
      </c>
      <c r="AG527" s="33" t="s">
        <v>103</v>
      </c>
      <c r="AH527" s="7">
        <f>$AF527</f>
        <v>1797</v>
      </c>
      <c r="AI527" s="33" t="s">
        <v>504</v>
      </c>
      <c r="AJ527" s="8">
        <f>TRUNC($AD526,0)</f>
        <v>53</v>
      </c>
      <c r="AK527" s="33" t="s">
        <v>524</v>
      </c>
      <c r="AL527" s="7">
        <f>$AJ527</f>
        <v>53</v>
      </c>
    </row>
    <row r="528" spans="1:38" ht="18.399999999999999" customHeight="1" x14ac:dyDescent="0.15">
      <c r="A528" s="35" t="s">
        <v>1850</v>
      </c>
      <c r="B528" s="31"/>
      <c r="C528" s="31"/>
      <c r="D528" s="31"/>
      <c r="E528" s="31"/>
      <c r="F528" s="39"/>
      <c r="K528" s="3" t="s">
        <v>1850</v>
      </c>
    </row>
    <row r="529" spans="1:38" ht="18.399999999999999" customHeight="1" x14ac:dyDescent="0.15">
      <c r="A529" s="35" t="s">
        <v>1850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1006</v>
      </c>
      <c r="AA529" s="33" t="s">
        <v>101</v>
      </c>
      <c r="AB529" s="8">
        <f>ROUND(0,2)</f>
        <v>0</v>
      </c>
      <c r="AC529" s="33" t="s">
        <v>1520</v>
      </c>
      <c r="AD529" s="7">
        <f>$AB529</f>
        <v>0</v>
      </c>
      <c r="AE529" s="33" t="s">
        <v>1369</v>
      </c>
      <c r="AF529" s="8">
        <f>ROUND(0,2)</f>
        <v>0</v>
      </c>
      <c r="AG529" s="33" t="s">
        <v>811</v>
      </c>
      <c r="AH529" s="7">
        <f>$AF529</f>
        <v>0</v>
      </c>
      <c r="AI529" s="33" t="s">
        <v>1759</v>
      </c>
      <c r="AJ529" s="8">
        <f>ROUND(0,2)</f>
        <v>0</v>
      </c>
      <c r="AK529" s="33" t="s">
        <v>262</v>
      </c>
      <c r="AL529" s="7">
        <f>$AJ529</f>
        <v>0</v>
      </c>
    </row>
    <row r="530" spans="1:38" ht="18.399999999999999" customHeight="1" x14ac:dyDescent="0.15">
      <c r="A530" s="35" t="s">
        <v>1090</v>
      </c>
      <c r="B530" s="31"/>
      <c r="C530" s="31"/>
      <c r="D530" s="31"/>
      <c r="E530" s="31"/>
      <c r="F530" s="39"/>
      <c r="K530" s="3" t="s">
        <v>1090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1641</v>
      </c>
      <c r="AA531" s="34" t="s">
        <v>1566</v>
      </c>
      <c r="AB531" s="8">
        <f>ROUND((0.096+0.096)*2*2,2)</f>
        <v>0.77</v>
      </c>
      <c r="AC531" s="34" t="s">
        <v>1796</v>
      </c>
      <c r="AD531" s="7">
        <f>$AB531</f>
        <v>0.77</v>
      </c>
      <c r="AE531" s="34" t="s">
        <v>1580</v>
      </c>
      <c r="AF531" s="8">
        <f>ROUND(ROUND((0.096+0.096)*2*2,2),2)</f>
        <v>0.77</v>
      </c>
      <c r="AG531" s="34" t="s">
        <v>254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1850</v>
      </c>
      <c r="K532" s="3" t="s">
        <v>38</v>
      </c>
      <c r="AA532" s="33" t="s">
        <v>101</v>
      </c>
      <c r="AB532" s="8">
        <f>TRUNC(일위대가목록!F57*$AD531,0)</f>
        <v>774</v>
      </c>
      <c r="AC532" s="33" t="s">
        <v>1520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1850</v>
      </c>
      <c r="K533" s="3" t="s">
        <v>1505</v>
      </c>
      <c r="AA533" s="33" t="s">
        <v>1369</v>
      </c>
      <c r="AB533" s="8">
        <f>TRUNC(일위대가목록!G57*$AD531,0)</f>
        <v>11774</v>
      </c>
      <c r="AC533" s="33" t="s">
        <v>811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1850</v>
      </c>
      <c r="K534" s="3" t="s">
        <v>142</v>
      </c>
      <c r="AA534" s="33" t="s">
        <v>1759</v>
      </c>
      <c r="AB534" s="8">
        <f>TRUNC(일위대가목록!H57*$AD531,0)</f>
        <v>522</v>
      </c>
      <c r="AC534" s="33" t="s">
        <v>262</v>
      </c>
      <c r="AD534" s="7">
        <f>$AL529+$AB534</f>
        <v>522</v>
      </c>
    </row>
    <row r="535" spans="1:38" ht="18.399999999999999" customHeight="1" x14ac:dyDescent="0.15">
      <c r="A535" s="35" t="s">
        <v>1414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264</v>
      </c>
      <c r="AA535" s="33" t="s">
        <v>101</v>
      </c>
      <c r="AB535" s="8">
        <f>TRUNC($AD532,0)</f>
        <v>774</v>
      </c>
      <c r="AC535" s="33" t="s">
        <v>1520</v>
      </c>
      <c r="AD535" s="7">
        <f>$AB535</f>
        <v>774</v>
      </c>
      <c r="AE535" s="33" t="s">
        <v>1369</v>
      </c>
      <c r="AF535" s="8">
        <f>TRUNC($AD533,0)</f>
        <v>11774</v>
      </c>
      <c r="AG535" s="33" t="s">
        <v>811</v>
      </c>
      <c r="AH535" s="7">
        <f>$AF535</f>
        <v>11774</v>
      </c>
      <c r="AI535" s="33" t="s">
        <v>1759</v>
      </c>
      <c r="AJ535" s="8">
        <f>TRUNC($AD534,0)</f>
        <v>522</v>
      </c>
      <c r="AK535" s="33" t="s">
        <v>262</v>
      </c>
      <c r="AL535" s="7">
        <f>$AJ535</f>
        <v>522</v>
      </c>
    </row>
    <row r="536" spans="1:38" ht="18.399999999999999" customHeight="1" x14ac:dyDescent="0.15">
      <c r="A536" s="35" t="s">
        <v>1850</v>
      </c>
      <c r="B536" s="31"/>
      <c r="C536" s="31"/>
      <c r="D536" s="31"/>
      <c r="E536" s="31"/>
      <c r="F536" s="39"/>
      <c r="K536" s="3" t="s">
        <v>1850</v>
      </c>
    </row>
    <row r="537" spans="1:38" ht="18.399999999999999" customHeight="1" x14ac:dyDescent="0.15">
      <c r="A537" s="35" t="s">
        <v>1850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475</v>
      </c>
      <c r="AA537" s="33" t="s">
        <v>242</v>
      </c>
      <c r="AB537" s="8">
        <f>ROUND(0,2)</f>
        <v>0</v>
      </c>
      <c r="AC537" s="33" t="s">
        <v>909</v>
      </c>
      <c r="AD537" s="7">
        <f>$AB537</f>
        <v>0</v>
      </c>
      <c r="AE537" s="33" t="s">
        <v>1269</v>
      </c>
      <c r="AF537" s="8">
        <f>ROUND(0,2)</f>
        <v>0</v>
      </c>
      <c r="AG537" s="33" t="s">
        <v>1554</v>
      </c>
      <c r="AH537" s="7">
        <f>$AF537</f>
        <v>0</v>
      </c>
      <c r="AI537" s="33" t="s">
        <v>1661</v>
      </c>
      <c r="AJ537" s="8">
        <f>ROUND(0,2)</f>
        <v>0</v>
      </c>
      <c r="AK537" s="33" t="s">
        <v>1139</v>
      </c>
      <c r="AL537" s="7">
        <f>$AJ537</f>
        <v>0</v>
      </c>
    </row>
    <row r="538" spans="1:38" ht="18.399999999999999" customHeight="1" x14ac:dyDescent="0.15">
      <c r="A538" s="35" t="s">
        <v>110</v>
      </c>
      <c r="B538" s="31"/>
      <c r="C538" s="31"/>
      <c r="D538" s="31"/>
      <c r="E538" s="31"/>
      <c r="F538" s="39"/>
      <c r="K538" s="3" t="s">
        <v>110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1850</v>
      </c>
      <c r="K539" s="3" t="s">
        <v>382</v>
      </c>
      <c r="AA539" s="33" t="s">
        <v>242</v>
      </c>
      <c r="AB539" s="8">
        <f>TRUNC(자재!D15*$AD517*0.1,0)</f>
        <v>-49</v>
      </c>
      <c r="AC539" s="33" t="s">
        <v>909</v>
      </c>
      <c r="AD539" s="7">
        <f>$AD537+$AB539</f>
        <v>-49</v>
      </c>
    </row>
    <row r="540" spans="1:38" ht="18.399999999999999" customHeight="1" x14ac:dyDescent="0.15">
      <c r="A540" s="35" t="s">
        <v>1414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1532</v>
      </c>
      <c r="AA540" s="33" t="s">
        <v>242</v>
      </c>
      <c r="AB540" s="8">
        <f>TRUNC($AD539,0)</f>
        <v>-49</v>
      </c>
      <c r="AC540" s="33" t="s">
        <v>909</v>
      </c>
      <c r="AD540" s="7">
        <f>$AB540</f>
        <v>-49</v>
      </c>
      <c r="AE540" s="33" t="s">
        <v>1269</v>
      </c>
      <c r="AF540" s="8">
        <f>TRUNC($AH537,0)</f>
        <v>0</v>
      </c>
      <c r="AG540" s="33" t="s">
        <v>1554</v>
      </c>
      <c r="AH540" s="7">
        <f>$AF540</f>
        <v>0</v>
      </c>
      <c r="AI540" s="33" t="s">
        <v>1661</v>
      </c>
      <c r="AJ540" s="8">
        <f>TRUNC($AL537,0)</f>
        <v>0</v>
      </c>
      <c r="AK540" s="33" t="s">
        <v>1139</v>
      </c>
      <c r="AL540" s="7">
        <f>$AJ540</f>
        <v>0</v>
      </c>
    </row>
    <row r="541" spans="1:38" ht="18.399999999999999" customHeight="1" x14ac:dyDescent="0.15">
      <c r="A541" s="35" t="s">
        <v>1850</v>
      </c>
      <c r="B541" s="31"/>
      <c r="C541" s="31"/>
      <c r="D541" s="31"/>
      <c r="E541" s="31"/>
      <c r="F541" s="39"/>
      <c r="K541" s="3" t="s">
        <v>1850</v>
      </c>
    </row>
    <row r="542" spans="1:38" ht="18.399999999999999" customHeight="1" x14ac:dyDescent="0.15">
      <c r="A542" s="35" t="s">
        <v>641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1163</v>
      </c>
      <c r="AA542" s="33" t="s">
        <v>1396</v>
      </c>
      <c r="AB542" s="8">
        <f>TRUNC(($AD519+$AD527+$AD535+$AD540),0)</f>
        <v>1520</v>
      </c>
      <c r="AC542" s="33" t="s">
        <v>1559</v>
      </c>
      <c r="AD542" s="7">
        <f>$AB542</f>
        <v>1520</v>
      </c>
      <c r="AE542" s="33" t="s">
        <v>213</v>
      </c>
      <c r="AF542" s="8">
        <f>TRUNC(($AH519+$AH527+$AH535+$AH540),0)</f>
        <v>13571</v>
      </c>
      <c r="AG542" s="33" t="s">
        <v>762</v>
      </c>
      <c r="AH542" s="7">
        <f>$AF542</f>
        <v>13571</v>
      </c>
      <c r="AI542" s="33" t="s">
        <v>615</v>
      </c>
      <c r="AJ542" s="8">
        <f>TRUNC(($AL519+$AL527+$AL535+$AL540),0)</f>
        <v>575</v>
      </c>
      <c r="AK542" s="33" t="s">
        <v>1036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1089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700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1850</v>
      </c>
      <c r="G546" t="s">
        <v>1850</v>
      </c>
      <c r="H546" t="s">
        <v>653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1850</v>
      </c>
      <c r="B548" s="3"/>
      <c r="C548" s="3"/>
      <c r="D548" s="3"/>
      <c r="E548" s="3"/>
      <c r="F548" s="38"/>
      <c r="G548" t="s">
        <v>1850</v>
      </c>
      <c r="I548" t="s">
        <v>243</v>
      </c>
      <c r="J548" t="s">
        <v>1850</v>
      </c>
      <c r="K548" t="s">
        <v>1591</v>
      </c>
    </row>
    <row r="549" spans="1:38" ht="18.399999999999999" customHeight="1" x14ac:dyDescent="0.15">
      <c r="A549" s="35" t="s">
        <v>929</v>
      </c>
      <c r="B549" s="31"/>
      <c r="C549" s="31"/>
      <c r="D549" s="31"/>
      <c r="E549" s="31"/>
      <c r="F549" s="39"/>
      <c r="K549" s="3" t="s">
        <v>929</v>
      </c>
    </row>
    <row r="550" spans="1:38" ht="18.399999999999999" customHeight="1" x14ac:dyDescent="0.15">
      <c r="A550" s="35" t="s">
        <v>1850</v>
      </c>
      <c r="B550" s="31"/>
      <c r="C550" s="31"/>
      <c r="D550" s="31"/>
      <c r="E550" s="31"/>
      <c r="F550" s="39"/>
      <c r="K550" s="3" t="s">
        <v>1850</v>
      </c>
    </row>
    <row r="551" spans="1:38" ht="18.399999999999999" customHeight="1" x14ac:dyDescent="0.15">
      <c r="A551" s="35" t="s">
        <v>1850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98</v>
      </c>
      <c r="AA551" s="33" t="s">
        <v>829</v>
      </c>
      <c r="AB551" s="8">
        <f>ROUND(0,2)</f>
        <v>0</v>
      </c>
      <c r="AC551" s="33" t="s">
        <v>529</v>
      </c>
      <c r="AD551" s="7">
        <f>$AB551</f>
        <v>0</v>
      </c>
      <c r="AE551" s="33" t="s">
        <v>1602</v>
      </c>
      <c r="AF551" s="8">
        <f>ROUND(0,2)</f>
        <v>0</v>
      </c>
      <c r="AG551" s="33" t="s">
        <v>1640</v>
      </c>
      <c r="AH551" s="7">
        <f>$AF551</f>
        <v>0</v>
      </c>
      <c r="AI551" s="33" t="s">
        <v>1091</v>
      </c>
      <c r="AJ551" s="8">
        <f>ROUND(0,2)</f>
        <v>0</v>
      </c>
      <c r="AK551" s="33" t="s">
        <v>1263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970</v>
      </c>
      <c r="AB552" s="6">
        <v>12</v>
      </c>
      <c r="AC552" s="34" t="s">
        <v>970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220</v>
      </c>
      <c r="AA553" s="34" t="s">
        <v>1399</v>
      </c>
      <c r="AB553" s="8">
        <f>ROUND(0.188*0.2*0.012*7850*1,2)</f>
        <v>3.54</v>
      </c>
      <c r="AC553" s="34" t="s">
        <v>1318</v>
      </c>
      <c r="AD553" s="7">
        <f>$AB553</f>
        <v>3.54</v>
      </c>
      <c r="AE553" s="34" t="s">
        <v>186</v>
      </c>
      <c r="AF553" s="8">
        <f>ROUND(ROUND(0.188*0.2*0.012*7850*1,2),2)</f>
        <v>3.54</v>
      </c>
      <c r="AG553" s="34" t="s">
        <v>1696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1850</v>
      </c>
      <c r="K554" s="3" t="s">
        <v>1027</v>
      </c>
      <c r="AA554" s="33" t="s">
        <v>829</v>
      </c>
      <c r="AB554" s="8">
        <f>TRUNC(자재!D12*$AD553*1.1*0.15,0)</f>
        <v>689</v>
      </c>
      <c r="AC554" s="33" t="s">
        <v>529</v>
      </c>
      <c r="AD554" s="7">
        <f>$AD551+$AB554</f>
        <v>689</v>
      </c>
    </row>
    <row r="555" spans="1:38" ht="18.399999999999999" customHeight="1" x14ac:dyDescent="0.15">
      <c r="A555" s="35" t="s">
        <v>1414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767</v>
      </c>
      <c r="AA555" s="33" t="s">
        <v>829</v>
      </c>
      <c r="AB555" s="8">
        <f>TRUNC($AD554,0)</f>
        <v>689</v>
      </c>
      <c r="AC555" s="33" t="s">
        <v>529</v>
      </c>
      <c r="AD555" s="7">
        <f>$AB555</f>
        <v>689</v>
      </c>
      <c r="AE555" s="33" t="s">
        <v>1602</v>
      </c>
      <c r="AF555" s="8">
        <f>TRUNC($AH551,0)</f>
        <v>0</v>
      </c>
      <c r="AG555" s="33" t="s">
        <v>1640</v>
      </c>
      <c r="AH555" s="7">
        <f>$AF555</f>
        <v>0</v>
      </c>
      <c r="AI555" s="33" t="s">
        <v>1091</v>
      </c>
      <c r="AJ555" s="8">
        <f>TRUNC($AL551,0)</f>
        <v>0</v>
      </c>
      <c r="AK555" s="33" t="s">
        <v>1263</v>
      </c>
      <c r="AL555" s="7">
        <f>$AJ555</f>
        <v>0</v>
      </c>
    </row>
    <row r="556" spans="1:38" ht="18.399999999999999" customHeight="1" x14ac:dyDescent="0.15">
      <c r="A556" s="35" t="s">
        <v>1850</v>
      </c>
      <c r="B556" s="31"/>
      <c r="C556" s="31"/>
      <c r="D556" s="31"/>
      <c r="E556" s="31"/>
      <c r="F556" s="39"/>
      <c r="K556" s="3" t="s">
        <v>1850</v>
      </c>
    </row>
    <row r="557" spans="1:38" ht="18.399999999999999" customHeight="1" x14ac:dyDescent="0.15">
      <c r="A557" s="35" t="s">
        <v>1850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1668</v>
      </c>
      <c r="AA557" s="33" t="s">
        <v>1392</v>
      </c>
      <c r="AB557" s="8">
        <f>ROUND(0,2)</f>
        <v>0</v>
      </c>
      <c r="AC557" s="33" t="s">
        <v>1272</v>
      </c>
      <c r="AD557" s="7">
        <f>$AB557</f>
        <v>0</v>
      </c>
      <c r="AE557" s="33" t="s">
        <v>82</v>
      </c>
      <c r="AF557" s="8">
        <f>ROUND(0,2)</f>
        <v>0</v>
      </c>
      <c r="AG557" s="33" t="s">
        <v>103</v>
      </c>
      <c r="AH557" s="7">
        <f>$AF557</f>
        <v>0</v>
      </c>
      <c r="AI557" s="33" t="s">
        <v>504</v>
      </c>
      <c r="AJ557" s="8">
        <f>ROUND(0,2)</f>
        <v>0</v>
      </c>
      <c r="AK557" s="33" t="s">
        <v>524</v>
      </c>
      <c r="AL557" s="7">
        <f>$AJ557</f>
        <v>0</v>
      </c>
    </row>
    <row r="558" spans="1:38" ht="18.399999999999999" customHeight="1" x14ac:dyDescent="0.15">
      <c r="A558" s="35" t="s">
        <v>1847</v>
      </c>
      <c r="B558" s="31"/>
      <c r="C558" s="31"/>
      <c r="D558" s="31"/>
      <c r="E558" s="31"/>
      <c r="F558" s="39"/>
      <c r="K558" s="3" t="s">
        <v>1847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1633</v>
      </c>
      <c r="AA559" s="34" t="s">
        <v>1732</v>
      </c>
      <c r="AB559" s="8">
        <f>ROUND((0.188+0.2)*1,2)</f>
        <v>0.39</v>
      </c>
      <c r="AC559" s="34" t="s">
        <v>998</v>
      </c>
      <c r="AD559" s="7">
        <f>$AB559</f>
        <v>0.39</v>
      </c>
      <c r="AE559" s="34" t="s">
        <v>1034</v>
      </c>
      <c r="AF559" s="8">
        <f>ROUND(ROUND((0.188+0.2)*1,2),2)</f>
        <v>0.39</v>
      </c>
      <c r="AG559" s="34" t="s">
        <v>255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1850</v>
      </c>
      <c r="K560" s="3" t="s">
        <v>992</v>
      </c>
      <c r="AA560" s="33" t="s">
        <v>1392</v>
      </c>
      <c r="AB560" s="8">
        <f>TRUNC(일위대가목록!F67*$AD559,0)</f>
        <v>323</v>
      </c>
      <c r="AC560" s="33" t="s">
        <v>1272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1850</v>
      </c>
      <c r="K561" s="3" t="s">
        <v>860</v>
      </c>
      <c r="AA561" s="33" t="s">
        <v>82</v>
      </c>
      <c r="AB561" s="8">
        <f>TRUNC(일위대가목록!G67*$AD559,0)</f>
        <v>1031</v>
      </c>
      <c r="AC561" s="33" t="s">
        <v>103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1850</v>
      </c>
      <c r="K562" s="3" t="s">
        <v>757</v>
      </c>
      <c r="AA562" s="33" t="s">
        <v>504</v>
      </c>
      <c r="AB562" s="8">
        <f>TRUNC(일위대가목록!H67*$AD559,0)</f>
        <v>30</v>
      </c>
      <c r="AC562" s="33" t="s">
        <v>524</v>
      </c>
      <c r="AD562" s="7">
        <f>$AL557+$AB562</f>
        <v>30</v>
      </c>
    </row>
    <row r="563" spans="1:38" ht="18.399999999999999" customHeight="1" x14ac:dyDescent="0.15">
      <c r="A563" s="35" t="s">
        <v>1414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33</v>
      </c>
      <c r="AA563" s="33" t="s">
        <v>1392</v>
      </c>
      <c r="AB563" s="8">
        <f>TRUNC($AD560,0)</f>
        <v>323</v>
      </c>
      <c r="AC563" s="33" t="s">
        <v>1272</v>
      </c>
      <c r="AD563" s="7">
        <f>$AB563</f>
        <v>323</v>
      </c>
      <c r="AE563" s="33" t="s">
        <v>82</v>
      </c>
      <c r="AF563" s="8">
        <f>TRUNC($AD561,0)</f>
        <v>1031</v>
      </c>
      <c r="AG563" s="33" t="s">
        <v>103</v>
      </c>
      <c r="AH563" s="7">
        <f>$AF563</f>
        <v>1031</v>
      </c>
      <c r="AI563" s="33" t="s">
        <v>504</v>
      </c>
      <c r="AJ563" s="8">
        <f>TRUNC($AD562,0)</f>
        <v>30</v>
      </c>
      <c r="AK563" s="33" t="s">
        <v>524</v>
      </c>
      <c r="AL563" s="7">
        <f>$AJ563</f>
        <v>30</v>
      </c>
    </row>
    <row r="564" spans="1:38" ht="18.399999999999999" customHeight="1" x14ac:dyDescent="0.15">
      <c r="A564" s="35" t="s">
        <v>1850</v>
      </c>
      <c r="B564" s="31"/>
      <c r="C564" s="31"/>
      <c r="D564" s="31"/>
      <c r="E564" s="31"/>
      <c r="F564" s="39"/>
      <c r="K564" s="3" t="s">
        <v>1850</v>
      </c>
    </row>
    <row r="565" spans="1:38" ht="18.399999999999999" customHeight="1" x14ac:dyDescent="0.15">
      <c r="A565" s="35" t="s">
        <v>1850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1006</v>
      </c>
      <c r="AA565" s="33" t="s">
        <v>101</v>
      </c>
      <c r="AB565" s="8">
        <f>ROUND(0,2)</f>
        <v>0</v>
      </c>
      <c r="AC565" s="33" t="s">
        <v>1520</v>
      </c>
      <c r="AD565" s="7">
        <f>$AB565</f>
        <v>0</v>
      </c>
      <c r="AE565" s="33" t="s">
        <v>1369</v>
      </c>
      <c r="AF565" s="8">
        <f>ROUND(0,2)</f>
        <v>0</v>
      </c>
      <c r="AG565" s="33" t="s">
        <v>811</v>
      </c>
      <c r="AH565" s="7">
        <f>$AF565</f>
        <v>0</v>
      </c>
      <c r="AI565" s="33" t="s">
        <v>1759</v>
      </c>
      <c r="AJ565" s="8">
        <f>ROUND(0,2)</f>
        <v>0</v>
      </c>
      <c r="AK565" s="33" t="s">
        <v>262</v>
      </c>
      <c r="AL565" s="7">
        <f>$AJ565</f>
        <v>0</v>
      </c>
    </row>
    <row r="566" spans="1:38" ht="18.399999999999999" customHeight="1" x14ac:dyDescent="0.15">
      <c r="A566" s="35" t="s">
        <v>1262</v>
      </c>
      <c r="B566" s="31"/>
      <c r="C566" s="31"/>
      <c r="D566" s="31"/>
      <c r="E566" s="31"/>
      <c r="F566" s="39"/>
      <c r="K566" s="3" t="s">
        <v>1262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1846</v>
      </c>
      <c r="AA567" s="34" t="s">
        <v>1566</v>
      </c>
      <c r="AB567" s="8">
        <f>ROUND((0.2+0.176+0.192)*2*1,2)</f>
        <v>1.1399999999999999</v>
      </c>
      <c r="AC567" s="34" t="s">
        <v>1796</v>
      </c>
      <c r="AD567" s="7">
        <f>$AB567</f>
        <v>1.1399999999999999</v>
      </c>
      <c r="AE567" s="34" t="s">
        <v>196</v>
      </c>
      <c r="AF567" s="8">
        <f>ROUND(ROUND((0.2+0.176+0.192)*2*1,2),2)</f>
        <v>1.1399999999999999</v>
      </c>
      <c r="AG567" s="34" t="s">
        <v>1586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1850</v>
      </c>
      <c r="K568" s="3" t="s">
        <v>38</v>
      </c>
      <c r="AA568" s="33" t="s">
        <v>101</v>
      </c>
      <c r="AB568" s="8">
        <f>TRUNC(일위대가목록!F57*$AD567,0)</f>
        <v>1146</v>
      </c>
      <c r="AC568" s="33" t="s">
        <v>1520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1850</v>
      </c>
      <c r="K569" s="3" t="s">
        <v>1505</v>
      </c>
      <c r="AA569" s="33" t="s">
        <v>1369</v>
      </c>
      <c r="AB569" s="8">
        <f>TRUNC(일위대가목록!G57*$AD567,0)</f>
        <v>17432</v>
      </c>
      <c r="AC569" s="33" t="s">
        <v>811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1850</v>
      </c>
      <c r="K570" s="3" t="s">
        <v>142</v>
      </c>
      <c r="AA570" s="33" t="s">
        <v>1759</v>
      </c>
      <c r="AB570" s="8">
        <f>TRUNC(일위대가목록!H57*$AD567,0)</f>
        <v>772</v>
      </c>
      <c r="AC570" s="33" t="s">
        <v>262</v>
      </c>
      <c r="AD570" s="7">
        <f>$AL565+$AB570</f>
        <v>772</v>
      </c>
    </row>
    <row r="571" spans="1:38" ht="18.399999999999999" customHeight="1" x14ac:dyDescent="0.15">
      <c r="A571" s="35" t="s">
        <v>1414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264</v>
      </c>
      <c r="AA571" s="33" t="s">
        <v>101</v>
      </c>
      <c r="AB571" s="8">
        <f>TRUNC($AD568,0)</f>
        <v>1146</v>
      </c>
      <c r="AC571" s="33" t="s">
        <v>1520</v>
      </c>
      <c r="AD571" s="7">
        <f>$AB571</f>
        <v>1146</v>
      </c>
      <c r="AE571" s="33" t="s">
        <v>1369</v>
      </c>
      <c r="AF571" s="8">
        <f>TRUNC($AD569,0)</f>
        <v>17432</v>
      </c>
      <c r="AG571" s="33" t="s">
        <v>811</v>
      </c>
      <c r="AH571" s="7">
        <f>$AF571</f>
        <v>17432</v>
      </c>
      <c r="AI571" s="33" t="s">
        <v>1759</v>
      </c>
      <c r="AJ571" s="8">
        <f>TRUNC($AD570,0)</f>
        <v>772</v>
      </c>
      <c r="AK571" s="33" t="s">
        <v>262</v>
      </c>
      <c r="AL571" s="7">
        <f>$AJ571</f>
        <v>772</v>
      </c>
    </row>
    <row r="572" spans="1:38" ht="18.399999999999999" customHeight="1" x14ac:dyDescent="0.15">
      <c r="A572" s="35" t="s">
        <v>1850</v>
      </c>
      <c r="B572" s="31"/>
      <c r="C572" s="31"/>
      <c r="D572" s="31"/>
      <c r="E572" s="31"/>
      <c r="F572" s="39"/>
      <c r="K572" s="3" t="s">
        <v>1850</v>
      </c>
    </row>
    <row r="573" spans="1:38" ht="18.399999999999999" customHeight="1" x14ac:dyDescent="0.15">
      <c r="A573" s="35" t="s">
        <v>1850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475</v>
      </c>
      <c r="AA573" s="33" t="s">
        <v>242</v>
      </c>
      <c r="AB573" s="8">
        <f>ROUND(0,2)</f>
        <v>0</v>
      </c>
      <c r="AC573" s="33" t="s">
        <v>909</v>
      </c>
      <c r="AD573" s="7">
        <f>$AB573</f>
        <v>0</v>
      </c>
      <c r="AE573" s="33" t="s">
        <v>1269</v>
      </c>
      <c r="AF573" s="8">
        <f>ROUND(0,2)</f>
        <v>0</v>
      </c>
      <c r="AG573" s="33" t="s">
        <v>1554</v>
      </c>
      <c r="AH573" s="7">
        <f>$AF573</f>
        <v>0</v>
      </c>
      <c r="AI573" s="33" t="s">
        <v>1661</v>
      </c>
      <c r="AJ573" s="8">
        <f>ROUND(0,2)</f>
        <v>0</v>
      </c>
      <c r="AK573" s="33" t="s">
        <v>1139</v>
      </c>
      <c r="AL573" s="7">
        <f>$AJ573</f>
        <v>0</v>
      </c>
    </row>
    <row r="574" spans="1:38" ht="18.399999999999999" customHeight="1" x14ac:dyDescent="0.15">
      <c r="A574" s="35" t="s">
        <v>110</v>
      </c>
      <c r="B574" s="31"/>
      <c r="C574" s="31"/>
      <c r="D574" s="31"/>
      <c r="E574" s="31"/>
      <c r="F574" s="39"/>
      <c r="K574" s="3" t="s">
        <v>110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1850</v>
      </c>
      <c r="K575" s="3" t="s">
        <v>382</v>
      </c>
      <c r="AA575" s="33" t="s">
        <v>242</v>
      </c>
      <c r="AB575" s="8">
        <f>TRUNC(자재!D15*$AD553*0.1,0)</f>
        <v>-146</v>
      </c>
      <c r="AC575" s="33" t="s">
        <v>909</v>
      </c>
      <c r="AD575" s="7">
        <f>$AD573+$AB575</f>
        <v>-146</v>
      </c>
    </row>
    <row r="576" spans="1:38" ht="18.399999999999999" customHeight="1" x14ac:dyDescent="0.15">
      <c r="A576" s="35" t="s">
        <v>1414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1532</v>
      </c>
      <c r="AA576" s="33" t="s">
        <v>242</v>
      </c>
      <c r="AB576" s="8">
        <f>TRUNC($AD575,0)</f>
        <v>-146</v>
      </c>
      <c r="AC576" s="33" t="s">
        <v>909</v>
      </c>
      <c r="AD576" s="7">
        <f>$AB576</f>
        <v>-146</v>
      </c>
      <c r="AE576" s="33" t="s">
        <v>1269</v>
      </c>
      <c r="AF576" s="8">
        <f>TRUNC($AH573,0)</f>
        <v>0</v>
      </c>
      <c r="AG576" s="33" t="s">
        <v>1554</v>
      </c>
      <c r="AH576" s="7">
        <f>$AF576</f>
        <v>0</v>
      </c>
      <c r="AI576" s="33" t="s">
        <v>1661</v>
      </c>
      <c r="AJ576" s="8">
        <f>TRUNC($AL573,0)</f>
        <v>0</v>
      </c>
      <c r="AK576" s="33" t="s">
        <v>1139</v>
      </c>
      <c r="AL576" s="7">
        <f>$AJ576</f>
        <v>0</v>
      </c>
    </row>
    <row r="577" spans="1:38" ht="18.399999999999999" customHeight="1" x14ac:dyDescent="0.15">
      <c r="A577" s="35" t="s">
        <v>1850</v>
      </c>
      <c r="B577" s="31"/>
      <c r="C577" s="31"/>
      <c r="D577" s="31"/>
      <c r="E577" s="31"/>
      <c r="F577" s="39"/>
      <c r="K577" s="3" t="s">
        <v>1850</v>
      </c>
    </row>
    <row r="578" spans="1:38" ht="18.399999999999999" customHeight="1" x14ac:dyDescent="0.15">
      <c r="A578" s="35" t="s">
        <v>641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1163</v>
      </c>
      <c r="AA578" s="33" t="s">
        <v>1396</v>
      </c>
      <c r="AB578" s="8">
        <f>TRUNC(($AD555+$AD563+$AD571+$AD576),0)</f>
        <v>2012</v>
      </c>
      <c r="AC578" s="33" t="s">
        <v>1559</v>
      </c>
      <c r="AD578" s="7">
        <f>$AB578</f>
        <v>2012</v>
      </c>
      <c r="AE578" s="33" t="s">
        <v>213</v>
      </c>
      <c r="AF578" s="8">
        <f>TRUNC(($AH555+$AH563+$AH571+$AH576),0)</f>
        <v>18463</v>
      </c>
      <c r="AG578" s="33" t="s">
        <v>762</v>
      </c>
      <c r="AH578" s="7">
        <f>$AF578</f>
        <v>18463</v>
      </c>
      <c r="AI578" s="33" t="s">
        <v>615</v>
      </c>
      <c r="AJ578" s="8">
        <f>TRUNC(($AL555+$AL563+$AL571+$AL576),0)</f>
        <v>802</v>
      </c>
      <c r="AK578" s="33" t="s">
        <v>1036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1089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277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1850</v>
      </c>
      <c r="G582" t="s">
        <v>1850</v>
      </c>
      <c r="H582" t="s">
        <v>397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1850</v>
      </c>
      <c r="B584" s="3"/>
      <c r="C584" s="3"/>
      <c r="D584" s="3"/>
      <c r="E584" s="3"/>
      <c r="F584" s="38"/>
      <c r="G584" t="s">
        <v>1850</v>
      </c>
      <c r="I584" t="s">
        <v>243</v>
      </c>
      <c r="J584" t="s">
        <v>1850</v>
      </c>
      <c r="K584" t="s">
        <v>1591</v>
      </c>
    </row>
    <row r="585" spans="1:38" ht="18.399999999999999" customHeight="1" x14ac:dyDescent="0.15">
      <c r="A585" s="35" t="s">
        <v>1319</v>
      </c>
      <c r="B585" s="31"/>
      <c r="C585" s="31"/>
      <c r="D585" s="31"/>
      <c r="E585" s="31"/>
      <c r="F585" s="39"/>
      <c r="K585" s="3" t="s">
        <v>1319</v>
      </c>
    </row>
    <row r="586" spans="1:38" ht="18.399999999999999" customHeight="1" x14ac:dyDescent="0.15">
      <c r="A586" s="35" t="s">
        <v>1850</v>
      </c>
      <c r="B586" s="31"/>
      <c r="C586" s="31"/>
      <c r="D586" s="31"/>
      <c r="E586" s="31"/>
      <c r="F586" s="39"/>
      <c r="K586" s="3" t="s">
        <v>1850</v>
      </c>
    </row>
    <row r="587" spans="1:38" ht="18.399999999999999" customHeight="1" x14ac:dyDescent="0.15">
      <c r="A587" s="35" t="s">
        <v>1850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98</v>
      </c>
      <c r="AA587" s="33" t="s">
        <v>829</v>
      </c>
      <c r="AB587" s="8">
        <f>ROUND(0,2)</f>
        <v>0</v>
      </c>
      <c r="AC587" s="33" t="s">
        <v>529</v>
      </c>
      <c r="AD587" s="7">
        <f>$AB587</f>
        <v>0</v>
      </c>
      <c r="AE587" s="33" t="s">
        <v>1602</v>
      </c>
      <c r="AF587" s="8">
        <f>ROUND(0,2)</f>
        <v>0</v>
      </c>
      <c r="AG587" s="33" t="s">
        <v>1640</v>
      </c>
      <c r="AH587" s="7">
        <f>$AF587</f>
        <v>0</v>
      </c>
      <c r="AI587" s="33" t="s">
        <v>1091</v>
      </c>
      <c r="AJ587" s="8">
        <f>ROUND(0,2)</f>
        <v>0</v>
      </c>
      <c r="AK587" s="33" t="s">
        <v>1263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970</v>
      </c>
      <c r="AB588" s="6">
        <v>12</v>
      </c>
      <c r="AC588" s="34" t="s">
        <v>970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474</v>
      </c>
      <c r="AA589" s="34" t="s">
        <v>1399</v>
      </c>
      <c r="AB589" s="8">
        <f>ROUND(0.176*0.096*0.012*7850*2,2)</f>
        <v>3.18</v>
      </c>
      <c r="AC589" s="34" t="s">
        <v>1318</v>
      </c>
      <c r="AD589" s="7">
        <f>$AB589</f>
        <v>3.18</v>
      </c>
      <c r="AE589" s="34" t="s">
        <v>438</v>
      </c>
      <c r="AF589" s="8">
        <f>ROUND(ROUND(0.176*0.096*0.012*7850*2,2),2)</f>
        <v>3.18</v>
      </c>
      <c r="AG589" s="34" t="s">
        <v>908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1850</v>
      </c>
      <c r="K590" s="3" t="s">
        <v>1027</v>
      </c>
      <c r="AA590" s="33" t="s">
        <v>829</v>
      </c>
      <c r="AB590" s="8">
        <f>TRUNC(자재!D12*$AD589*1.1*0.15,0)</f>
        <v>619</v>
      </c>
      <c r="AC590" s="33" t="s">
        <v>529</v>
      </c>
      <c r="AD590" s="7">
        <f>$AD587+$AB590</f>
        <v>619</v>
      </c>
    </row>
    <row r="591" spans="1:38" ht="18.399999999999999" customHeight="1" x14ac:dyDescent="0.15">
      <c r="A591" s="35" t="s">
        <v>1414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767</v>
      </c>
      <c r="AA591" s="33" t="s">
        <v>829</v>
      </c>
      <c r="AB591" s="8">
        <f>TRUNC($AD590,0)</f>
        <v>619</v>
      </c>
      <c r="AC591" s="33" t="s">
        <v>529</v>
      </c>
      <c r="AD591" s="7">
        <f>$AB591</f>
        <v>619</v>
      </c>
      <c r="AE591" s="33" t="s">
        <v>1602</v>
      </c>
      <c r="AF591" s="8">
        <f>TRUNC($AH587,0)</f>
        <v>0</v>
      </c>
      <c r="AG591" s="33" t="s">
        <v>1640</v>
      </c>
      <c r="AH591" s="7">
        <f>$AF591</f>
        <v>0</v>
      </c>
      <c r="AI591" s="33" t="s">
        <v>1091</v>
      </c>
      <c r="AJ591" s="8">
        <f>TRUNC($AL587,0)</f>
        <v>0</v>
      </c>
      <c r="AK591" s="33" t="s">
        <v>1263</v>
      </c>
      <c r="AL591" s="7">
        <f>$AJ591</f>
        <v>0</v>
      </c>
    </row>
    <row r="592" spans="1:38" ht="18.399999999999999" customHeight="1" x14ac:dyDescent="0.15">
      <c r="A592" s="35" t="s">
        <v>1850</v>
      </c>
      <c r="B592" s="31"/>
      <c r="C592" s="31"/>
      <c r="D592" s="31"/>
      <c r="E592" s="31"/>
      <c r="F592" s="39"/>
      <c r="K592" s="3" t="s">
        <v>1850</v>
      </c>
    </row>
    <row r="593" spans="1:38" ht="18.399999999999999" customHeight="1" x14ac:dyDescent="0.15">
      <c r="A593" s="35" t="s">
        <v>1850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1668</v>
      </c>
      <c r="AA593" s="33" t="s">
        <v>1392</v>
      </c>
      <c r="AB593" s="8">
        <f>ROUND(0,2)</f>
        <v>0</v>
      </c>
      <c r="AC593" s="33" t="s">
        <v>1272</v>
      </c>
      <c r="AD593" s="7">
        <f>$AB593</f>
        <v>0</v>
      </c>
      <c r="AE593" s="33" t="s">
        <v>82</v>
      </c>
      <c r="AF593" s="8">
        <f>ROUND(0,2)</f>
        <v>0</v>
      </c>
      <c r="AG593" s="33" t="s">
        <v>103</v>
      </c>
      <c r="AH593" s="7">
        <f>$AF593</f>
        <v>0</v>
      </c>
      <c r="AI593" s="33" t="s">
        <v>504</v>
      </c>
      <c r="AJ593" s="8">
        <f>ROUND(0,2)</f>
        <v>0</v>
      </c>
      <c r="AK593" s="33" t="s">
        <v>524</v>
      </c>
      <c r="AL593" s="7">
        <f>$AJ593</f>
        <v>0</v>
      </c>
    </row>
    <row r="594" spans="1:38" ht="18.399999999999999" customHeight="1" x14ac:dyDescent="0.15">
      <c r="A594" s="35" t="s">
        <v>1847</v>
      </c>
      <c r="B594" s="31"/>
      <c r="C594" s="31"/>
      <c r="D594" s="31"/>
      <c r="E594" s="31"/>
      <c r="F594" s="39"/>
      <c r="K594" s="3" t="s">
        <v>1847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1184</v>
      </c>
      <c r="AA595" s="34" t="s">
        <v>1732</v>
      </c>
      <c r="AB595" s="8">
        <f>ROUND((0.176+0.096)*2,2)</f>
        <v>0.54</v>
      </c>
      <c r="AC595" s="34" t="s">
        <v>998</v>
      </c>
      <c r="AD595" s="7">
        <f>$AB595</f>
        <v>0.54</v>
      </c>
      <c r="AE595" s="34" t="s">
        <v>148</v>
      </c>
      <c r="AF595" s="8">
        <f>ROUND(ROUND((0.176+0.096)*2,2),2)</f>
        <v>0.54</v>
      </c>
      <c r="AG595" s="34" t="s">
        <v>937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1850</v>
      </c>
      <c r="K596" s="3" t="s">
        <v>992</v>
      </c>
      <c r="AA596" s="33" t="s">
        <v>1392</v>
      </c>
      <c r="AB596" s="8">
        <f>TRUNC(일위대가목록!F67*$AD595,0)</f>
        <v>448</v>
      </c>
      <c r="AC596" s="33" t="s">
        <v>1272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1850</v>
      </c>
      <c r="K597" s="3" t="s">
        <v>860</v>
      </c>
      <c r="AA597" s="33" t="s">
        <v>82</v>
      </c>
      <c r="AB597" s="8">
        <f>TRUNC(일위대가목록!G67*$AD595,0)</f>
        <v>1427</v>
      </c>
      <c r="AC597" s="33" t="s">
        <v>103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1850</v>
      </c>
      <c r="K598" s="3" t="s">
        <v>757</v>
      </c>
      <c r="AA598" s="33" t="s">
        <v>504</v>
      </c>
      <c r="AB598" s="8">
        <f>TRUNC(일위대가목록!H67*$AD595,0)</f>
        <v>42</v>
      </c>
      <c r="AC598" s="33" t="s">
        <v>524</v>
      </c>
      <c r="AD598" s="7">
        <f>$AL593+$AB598</f>
        <v>42</v>
      </c>
    </row>
    <row r="599" spans="1:38" ht="18.399999999999999" customHeight="1" x14ac:dyDescent="0.15">
      <c r="A599" s="35" t="s">
        <v>1414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33</v>
      </c>
      <c r="AA599" s="33" t="s">
        <v>1392</v>
      </c>
      <c r="AB599" s="8">
        <f>TRUNC($AD596,0)</f>
        <v>448</v>
      </c>
      <c r="AC599" s="33" t="s">
        <v>1272</v>
      </c>
      <c r="AD599" s="7">
        <f>$AB599</f>
        <v>448</v>
      </c>
      <c r="AE599" s="33" t="s">
        <v>82</v>
      </c>
      <c r="AF599" s="8">
        <f>TRUNC($AD597,0)</f>
        <v>1427</v>
      </c>
      <c r="AG599" s="33" t="s">
        <v>103</v>
      </c>
      <c r="AH599" s="7">
        <f>$AF599</f>
        <v>1427</v>
      </c>
      <c r="AI599" s="33" t="s">
        <v>504</v>
      </c>
      <c r="AJ599" s="8">
        <f>TRUNC($AD598,0)</f>
        <v>42</v>
      </c>
      <c r="AK599" s="33" t="s">
        <v>524</v>
      </c>
      <c r="AL599" s="7">
        <f>$AJ599</f>
        <v>42</v>
      </c>
    </row>
    <row r="600" spans="1:38" ht="18.399999999999999" customHeight="1" x14ac:dyDescent="0.15">
      <c r="A600" s="35" t="s">
        <v>1850</v>
      </c>
      <c r="B600" s="31"/>
      <c r="C600" s="31"/>
      <c r="D600" s="31"/>
      <c r="E600" s="31"/>
      <c r="F600" s="39"/>
      <c r="K600" s="3" t="s">
        <v>1850</v>
      </c>
    </row>
    <row r="601" spans="1:38" ht="18.399999999999999" customHeight="1" x14ac:dyDescent="0.15">
      <c r="A601" s="35" t="s">
        <v>1850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1006</v>
      </c>
      <c r="AA601" s="33" t="s">
        <v>101</v>
      </c>
      <c r="AB601" s="8">
        <f>ROUND(0,2)</f>
        <v>0</v>
      </c>
      <c r="AC601" s="33" t="s">
        <v>1520</v>
      </c>
      <c r="AD601" s="7">
        <f>$AB601</f>
        <v>0</v>
      </c>
      <c r="AE601" s="33" t="s">
        <v>1369</v>
      </c>
      <c r="AF601" s="8">
        <f>ROUND(0,2)</f>
        <v>0</v>
      </c>
      <c r="AG601" s="33" t="s">
        <v>811</v>
      </c>
      <c r="AH601" s="7">
        <f>$AF601</f>
        <v>0</v>
      </c>
      <c r="AI601" s="33" t="s">
        <v>1759</v>
      </c>
      <c r="AJ601" s="8">
        <f>ROUND(0,2)</f>
        <v>0</v>
      </c>
      <c r="AK601" s="33" t="s">
        <v>262</v>
      </c>
      <c r="AL601" s="7">
        <f>$AJ601</f>
        <v>0</v>
      </c>
    </row>
    <row r="602" spans="1:38" ht="18.399999999999999" customHeight="1" x14ac:dyDescent="0.15">
      <c r="A602" s="35" t="s">
        <v>1262</v>
      </c>
      <c r="B602" s="31"/>
      <c r="C602" s="31"/>
      <c r="D602" s="31"/>
      <c r="E602" s="31"/>
      <c r="F602" s="39"/>
      <c r="K602" s="3" t="s">
        <v>1262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1431</v>
      </c>
      <c r="AA603" s="34" t="s">
        <v>1566</v>
      </c>
      <c r="AB603" s="8">
        <f>ROUND((0.176+0.096*2)*2*2,2)</f>
        <v>1.47</v>
      </c>
      <c r="AC603" s="34" t="s">
        <v>1796</v>
      </c>
      <c r="AD603" s="7">
        <f>$AB603</f>
        <v>1.47</v>
      </c>
      <c r="AE603" s="34" t="s">
        <v>618</v>
      </c>
      <c r="AF603" s="8">
        <f>ROUND(ROUND((0.176+0.096*2)*2*2,2),2)</f>
        <v>1.47</v>
      </c>
      <c r="AG603" s="34" t="s">
        <v>1218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1850</v>
      </c>
      <c r="K604" s="3" t="s">
        <v>38</v>
      </c>
      <c r="AA604" s="33" t="s">
        <v>101</v>
      </c>
      <c r="AB604" s="8">
        <f>TRUNC(일위대가목록!F57*$AD603,0)</f>
        <v>1478</v>
      </c>
      <c r="AC604" s="33" t="s">
        <v>1520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1850</v>
      </c>
      <c r="K605" s="3" t="s">
        <v>1505</v>
      </c>
      <c r="AA605" s="33" t="s">
        <v>1369</v>
      </c>
      <c r="AB605" s="8">
        <f>TRUNC(일위대가목록!G57*$AD603,0)</f>
        <v>22479</v>
      </c>
      <c r="AC605" s="33" t="s">
        <v>811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1850</v>
      </c>
      <c r="K606" s="3" t="s">
        <v>142</v>
      </c>
      <c r="AA606" s="33" t="s">
        <v>1759</v>
      </c>
      <c r="AB606" s="8">
        <f>TRUNC(일위대가목록!H57*$AD603,0)</f>
        <v>996</v>
      </c>
      <c r="AC606" s="33" t="s">
        <v>262</v>
      </c>
      <c r="AD606" s="7">
        <f>$AL601+$AB606</f>
        <v>996</v>
      </c>
    </row>
    <row r="607" spans="1:38" ht="18.399999999999999" customHeight="1" x14ac:dyDescent="0.15">
      <c r="A607" s="35" t="s">
        <v>1414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264</v>
      </c>
      <c r="AA607" s="33" t="s">
        <v>101</v>
      </c>
      <c r="AB607" s="8">
        <f>TRUNC($AD604,0)</f>
        <v>1478</v>
      </c>
      <c r="AC607" s="33" t="s">
        <v>1520</v>
      </c>
      <c r="AD607" s="7">
        <f>$AB607</f>
        <v>1478</v>
      </c>
      <c r="AE607" s="33" t="s">
        <v>1369</v>
      </c>
      <c r="AF607" s="8">
        <f>TRUNC($AD605,0)</f>
        <v>22479</v>
      </c>
      <c r="AG607" s="33" t="s">
        <v>811</v>
      </c>
      <c r="AH607" s="7">
        <f>$AF607</f>
        <v>22479</v>
      </c>
      <c r="AI607" s="33" t="s">
        <v>1759</v>
      </c>
      <c r="AJ607" s="8">
        <f>TRUNC($AD606,0)</f>
        <v>996</v>
      </c>
      <c r="AK607" s="33" t="s">
        <v>262</v>
      </c>
      <c r="AL607" s="7">
        <f>$AJ607</f>
        <v>996</v>
      </c>
    </row>
    <row r="608" spans="1:38" ht="18.399999999999999" customHeight="1" x14ac:dyDescent="0.15">
      <c r="A608" s="35" t="s">
        <v>1850</v>
      </c>
      <c r="B608" s="31"/>
      <c r="C608" s="31"/>
      <c r="D608" s="31"/>
      <c r="E608" s="31"/>
      <c r="F608" s="39"/>
      <c r="K608" s="3" t="s">
        <v>1850</v>
      </c>
    </row>
    <row r="609" spans="1:38" ht="18.399999999999999" customHeight="1" x14ac:dyDescent="0.15">
      <c r="A609" s="35" t="s">
        <v>1850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475</v>
      </c>
      <c r="AA609" s="33" t="s">
        <v>242</v>
      </c>
      <c r="AB609" s="8">
        <f>ROUND(0,2)</f>
        <v>0</v>
      </c>
      <c r="AC609" s="33" t="s">
        <v>909</v>
      </c>
      <c r="AD609" s="7">
        <f>$AB609</f>
        <v>0</v>
      </c>
      <c r="AE609" s="33" t="s">
        <v>1269</v>
      </c>
      <c r="AF609" s="8">
        <f>ROUND(0,2)</f>
        <v>0</v>
      </c>
      <c r="AG609" s="33" t="s">
        <v>1554</v>
      </c>
      <c r="AH609" s="7">
        <f>$AF609</f>
        <v>0</v>
      </c>
      <c r="AI609" s="33" t="s">
        <v>1661</v>
      </c>
      <c r="AJ609" s="8">
        <f>ROUND(0,2)</f>
        <v>0</v>
      </c>
      <c r="AK609" s="33" t="s">
        <v>1139</v>
      </c>
      <c r="AL609" s="7">
        <f>$AJ609</f>
        <v>0</v>
      </c>
    </row>
    <row r="610" spans="1:38" ht="18.399999999999999" customHeight="1" x14ac:dyDescent="0.15">
      <c r="A610" s="35" t="s">
        <v>110</v>
      </c>
      <c r="B610" s="31"/>
      <c r="C610" s="31"/>
      <c r="D610" s="31"/>
      <c r="E610" s="31"/>
      <c r="F610" s="39"/>
      <c r="K610" s="3" t="s">
        <v>110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1850</v>
      </c>
      <c r="K611" s="3" t="s">
        <v>382</v>
      </c>
      <c r="AA611" s="33" t="s">
        <v>242</v>
      </c>
      <c r="AB611" s="8">
        <f>TRUNC(자재!D15*$AD589*0.1,0)</f>
        <v>-131</v>
      </c>
      <c r="AC611" s="33" t="s">
        <v>909</v>
      </c>
      <c r="AD611" s="7">
        <f>$AD609+$AB611</f>
        <v>-131</v>
      </c>
    </row>
    <row r="612" spans="1:38" ht="18.399999999999999" customHeight="1" x14ac:dyDescent="0.15">
      <c r="A612" s="35" t="s">
        <v>1414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1532</v>
      </c>
      <c r="AA612" s="33" t="s">
        <v>242</v>
      </c>
      <c r="AB612" s="8">
        <f>TRUNC($AD611,0)</f>
        <v>-131</v>
      </c>
      <c r="AC612" s="33" t="s">
        <v>909</v>
      </c>
      <c r="AD612" s="7">
        <f>$AB612</f>
        <v>-131</v>
      </c>
      <c r="AE612" s="33" t="s">
        <v>1269</v>
      </c>
      <c r="AF612" s="8">
        <f>TRUNC($AH609,0)</f>
        <v>0</v>
      </c>
      <c r="AG612" s="33" t="s">
        <v>1554</v>
      </c>
      <c r="AH612" s="7">
        <f>$AF612</f>
        <v>0</v>
      </c>
      <c r="AI612" s="33" t="s">
        <v>1661</v>
      </c>
      <c r="AJ612" s="8">
        <f>TRUNC($AL609,0)</f>
        <v>0</v>
      </c>
      <c r="AK612" s="33" t="s">
        <v>1139</v>
      </c>
      <c r="AL612" s="7">
        <f>$AJ612</f>
        <v>0</v>
      </c>
    </row>
    <row r="613" spans="1:38" ht="18.399999999999999" customHeight="1" x14ac:dyDescent="0.15">
      <c r="A613" s="35" t="s">
        <v>1850</v>
      </c>
      <c r="B613" s="31"/>
      <c r="C613" s="31"/>
      <c r="D613" s="31"/>
      <c r="E613" s="31"/>
      <c r="F613" s="39"/>
      <c r="K613" s="3" t="s">
        <v>1850</v>
      </c>
    </row>
    <row r="614" spans="1:38" ht="18.399999999999999" customHeight="1" x14ac:dyDescent="0.15">
      <c r="A614" s="35" t="s">
        <v>641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1163</v>
      </c>
      <c r="AA614" s="33" t="s">
        <v>1396</v>
      </c>
      <c r="AB614" s="8">
        <f>TRUNC(($AD591+$AD599+$AD607+$AD612),0)</f>
        <v>2414</v>
      </c>
      <c r="AC614" s="33" t="s">
        <v>1559</v>
      </c>
      <c r="AD614" s="7">
        <f>$AB614</f>
        <v>2414</v>
      </c>
      <c r="AE614" s="33" t="s">
        <v>213</v>
      </c>
      <c r="AF614" s="8">
        <f>TRUNC(($AH591+$AH599+$AH607+$AH612),0)</f>
        <v>23906</v>
      </c>
      <c r="AG614" s="33" t="s">
        <v>762</v>
      </c>
      <c r="AH614" s="7">
        <f>$AF614</f>
        <v>23906</v>
      </c>
      <c r="AI614" s="33" t="s">
        <v>615</v>
      </c>
      <c r="AJ614" s="8">
        <f>TRUNC(($AL591+$AL599+$AL607+$AL612),0)</f>
        <v>1038</v>
      </c>
      <c r="AK614" s="33" t="s">
        <v>1036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1089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1477</v>
      </c>
    </row>
    <row r="2" spans="1:15" ht="18.399999999999999" customHeight="1" x14ac:dyDescent="0.15">
      <c r="A2" s="14" t="s">
        <v>325</v>
      </c>
      <c r="B2" s="15" t="s">
        <v>739</v>
      </c>
      <c r="C2" s="15" t="s">
        <v>58</v>
      </c>
      <c r="D2" s="15" t="s">
        <v>1744</v>
      </c>
      <c r="E2" s="15" t="s">
        <v>1307</v>
      </c>
      <c r="F2" s="15" t="s">
        <v>789</v>
      </c>
      <c r="G2" s="15" t="s">
        <v>128</v>
      </c>
      <c r="H2" s="15" t="s">
        <v>1791</v>
      </c>
      <c r="I2" s="17" t="s">
        <v>515</v>
      </c>
    </row>
    <row r="3" spans="1:15" ht="18.399999999999999" customHeight="1" x14ac:dyDescent="0.15">
      <c r="A3" s="11" t="s">
        <v>585</v>
      </c>
      <c r="B3" s="2" t="s">
        <v>631</v>
      </c>
      <c r="C3" s="2">
        <v>1</v>
      </c>
      <c r="D3" s="2" t="s">
        <v>502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7" si="0">E3+F3+G3</f>
        <v>80237.5</v>
      </c>
      <c r="I3" s="18" t="s">
        <v>1850</v>
      </c>
      <c r="J3" t="s">
        <v>1850</v>
      </c>
      <c r="K3" t="s">
        <v>452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585</v>
      </c>
      <c r="B4" s="2" t="s">
        <v>669</v>
      </c>
      <c r="C4" s="2">
        <v>1</v>
      </c>
      <c r="D4" s="2" t="s">
        <v>502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1850</v>
      </c>
      <c r="J4" t="s">
        <v>1850</v>
      </c>
      <c r="K4" t="s">
        <v>1595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570</v>
      </c>
      <c r="B5" s="2" t="s">
        <v>1229</v>
      </c>
      <c r="C5" s="2">
        <v>1</v>
      </c>
      <c r="D5" s="2" t="s">
        <v>502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1850</v>
      </c>
      <c r="J5" t="s">
        <v>1850</v>
      </c>
      <c r="K5" t="s">
        <v>89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1594</v>
      </c>
      <c r="B6" s="2" t="s">
        <v>1447</v>
      </c>
      <c r="C6" s="2">
        <v>1</v>
      </c>
      <c r="D6" s="2" t="s">
        <v>502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1850</v>
      </c>
      <c r="J6" t="s">
        <v>1850</v>
      </c>
      <c r="K6" t="s">
        <v>624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850</v>
      </c>
      <c r="B7" s="2" t="s">
        <v>371</v>
      </c>
      <c r="C7" s="2">
        <v>1</v>
      </c>
      <c r="D7" s="2" t="s">
        <v>502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1850</v>
      </c>
      <c r="J7" t="s">
        <v>1850</v>
      </c>
      <c r="K7" t="s">
        <v>1441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850</v>
      </c>
      <c r="B8" s="2" t="s">
        <v>1465</v>
      </c>
      <c r="C8" s="2">
        <v>1</v>
      </c>
      <c r="D8" s="2" t="s">
        <v>502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1850</v>
      </c>
      <c r="J8" t="s">
        <v>1850</v>
      </c>
      <c r="K8" t="s">
        <v>793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59</v>
      </c>
      <c r="B9" s="2" t="s">
        <v>1465</v>
      </c>
      <c r="C9" s="2">
        <v>1</v>
      </c>
      <c r="D9" s="2" t="s">
        <v>502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1850</v>
      </c>
      <c r="J9" t="s">
        <v>1850</v>
      </c>
      <c r="K9" t="s">
        <v>1162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1401</v>
      </c>
      <c r="B10" s="2" t="s">
        <v>771</v>
      </c>
      <c r="C10" s="2">
        <v>1</v>
      </c>
      <c r="D10" s="2" t="s">
        <v>502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1850</v>
      </c>
      <c r="J10" t="s">
        <v>1850</v>
      </c>
      <c r="K10" t="s">
        <v>80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1743</v>
      </c>
      <c r="B11" s="2" t="s">
        <v>371</v>
      </c>
      <c r="C11" s="2">
        <v>1</v>
      </c>
      <c r="D11" s="2" t="s">
        <v>502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1850</v>
      </c>
      <c r="J11" t="s">
        <v>1850</v>
      </c>
      <c r="K11" t="s">
        <v>336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638</v>
      </c>
      <c r="B12" s="2" t="s">
        <v>869</v>
      </c>
      <c r="C12" s="2">
        <v>1</v>
      </c>
      <c r="D12" s="2" t="s">
        <v>502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1850</v>
      </c>
      <c r="J12" t="s">
        <v>1850</v>
      </c>
      <c r="K12" t="s">
        <v>973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892</v>
      </c>
      <c r="B13" s="2" t="s">
        <v>1328</v>
      </c>
      <c r="C13" s="2">
        <v>1</v>
      </c>
      <c r="D13" s="2" t="s">
        <v>502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1850</v>
      </c>
      <c r="J13" t="s">
        <v>1850</v>
      </c>
      <c r="K13" t="s">
        <v>1074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1314</v>
      </c>
      <c r="B14" s="2" t="s">
        <v>228</v>
      </c>
      <c r="C14" s="2">
        <v>1</v>
      </c>
      <c r="D14" s="2" t="s">
        <v>502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1850</v>
      </c>
      <c r="J14" t="s">
        <v>1850</v>
      </c>
      <c r="K14" t="s">
        <v>35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391</v>
      </c>
      <c r="B15" s="2" t="s">
        <v>1352</v>
      </c>
      <c r="C15" s="2">
        <v>1</v>
      </c>
      <c r="D15" s="2" t="s">
        <v>502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1850</v>
      </c>
      <c r="J15" t="s">
        <v>1850</v>
      </c>
      <c r="K15" t="s">
        <v>805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391</v>
      </c>
      <c r="B16" s="2" t="s">
        <v>806</v>
      </c>
      <c r="C16" s="2">
        <v>1</v>
      </c>
      <c r="D16" s="2" t="s">
        <v>502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1850</v>
      </c>
      <c r="J16" t="s">
        <v>1850</v>
      </c>
      <c r="K16" t="s">
        <v>541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673</v>
      </c>
      <c r="B17" s="2" t="s">
        <v>856</v>
      </c>
      <c r="C17" s="2">
        <v>1</v>
      </c>
      <c r="D17" s="2" t="s">
        <v>502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1850</v>
      </c>
      <c r="J17" t="s">
        <v>1850</v>
      </c>
      <c r="K17" t="s">
        <v>611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673</v>
      </c>
      <c r="B18" s="2" t="s">
        <v>1352</v>
      </c>
      <c r="C18" s="2">
        <v>1</v>
      </c>
      <c r="D18" s="2" t="s">
        <v>502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1850</v>
      </c>
      <c r="J18" t="s">
        <v>1850</v>
      </c>
      <c r="K18" t="s">
        <v>665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1015</v>
      </c>
      <c r="B19" s="2" t="s">
        <v>1051</v>
      </c>
      <c r="C19" s="2">
        <v>1</v>
      </c>
      <c r="D19" s="2" t="s">
        <v>502</v>
      </c>
      <c r="E19" s="23">
        <f>중기사용료!G200</f>
        <v>1823.68</v>
      </c>
      <c r="F19" s="24">
        <f>중기사용료!G202</f>
        <v>33571</v>
      </c>
      <c r="G19" s="24">
        <f>중기사용료!G197</f>
        <v>743</v>
      </c>
      <c r="H19" s="23">
        <f t="shared" si="0"/>
        <v>36137.68</v>
      </c>
      <c r="I19" s="18" t="s">
        <v>1850</v>
      </c>
      <c r="J19" t="s">
        <v>1850</v>
      </c>
      <c r="K19" t="s">
        <v>1479</v>
      </c>
      <c r="O19" s="29" t="str">
        <f>HYPERLINK("#중기사용료!A193","E00003430040000000 →")</f>
        <v>E00003430040000000 →</v>
      </c>
    </row>
    <row r="20" spans="1:15" ht="18.399999999999999" customHeight="1" x14ac:dyDescent="0.15">
      <c r="A20" s="11" t="s">
        <v>863</v>
      </c>
      <c r="B20" s="2" t="s">
        <v>1626</v>
      </c>
      <c r="C20" s="2">
        <v>1</v>
      </c>
      <c r="D20" s="2" t="s">
        <v>502</v>
      </c>
      <c r="E20" s="23">
        <f>중기사용료!G212</f>
        <v>9634.59</v>
      </c>
      <c r="F20" s="24">
        <f>중기사용료!G214</f>
        <v>33571</v>
      </c>
      <c r="G20" s="24">
        <f>중기사용료!G209</f>
        <v>1876</v>
      </c>
      <c r="H20" s="23">
        <f t="shared" si="0"/>
        <v>45081.59</v>
      </c>
      <c r="I20" s="18" t="s">
        <v>1850</v>
      </c>
      <c r="J20" t="s">
        <v>1850</v>
      </c>
      <c r="K20" t="s">
        <v>1087</v>
      </c>
      <c r="O20" s="29" t="str">
        <f>HYPERLINK("#중기사용료!A205","E00004430040000000 →")</f>
        <v>E00004430040000000 →</v>
      </c>
    </row>
    <row r="21" spans="1:15" ht="18.399999999999999" customHeight="1" x14ac:dyDescent="0.15">
      <c r="A21" s="11" t="s">
        <v>234</v>
      </c>
      <c r="B21" s="2" t="s">
        <v>817</v>
      </c>
      <c r="C21" s="2">
        <v>1</v>
      </c>
      <c r="D21" s="2" t="s">
        <v>502</v>
      </c>
      <c r="E21" s="23">
        <v>0</v>
      </c>
      <c r="F21" s="24">
        <v>0</v>
      </c>
      <c r="G21" s="24">
        <f>중기사용료!G221</f>
        <v>20782</v>
      </c>
      <c r="H21" s="23">
        <f t="shared" si="0"/>
        <v>20782</v>
      </c>
      <c r="I21" s="18" t="s">
        <v>1850</v>
      </c>
      <c r="J21" t="s">
        <v>1850</v>
      </c>
      <c r="K21" t="s">
        <v>1547</v>
      </c>
      <c r="O21" s="29" t="str">
        <f>HYPERLINK("#중기사용료!A217","E00006530003000000 →")</f>
        <v>E00006530003000000 →</v>
      </c>
    </row>
    <row r="22" spans="1:15" ht="18.399999999999999" customHeight="1" x14ac:dyDescent="0.15">
      <c r="A22" s="11" t="s">
        <v>1433</v>
      </c>
      <c r="B22" s="2" t="s">
        <v>1329</v>
      </c>
      <c r="C22" s="2">
        <v>1</v>
      </c>
      <c r="D22" s="2" t="s">
        <v>502</v>
      </c>
      <c r="E22" s="23">
        <f>중기사용료!G235</f>
        <v>40020.879999999997</v>
      </c>
      <c r="F22" s="24">
        <v>0</v>
      </c>
      <c r="G22" s="24">
        <f>중기사용료!G232</f>
        <v>79559</v>
      </c>
      <c r="H22" s="23">
        <f t="shared" si="0"/>
        <v>119579.88</v>
      </c>
      <c r="I22" s="18" t="s">
        <v>1850</v>
      </c>
      <c r="J22" t="s">
        <v>1850</v>
      </c>
      <c r="K22" t="s">
        <v>808</v>
      </c>
      <c r="O22" s="29" t="str">
        <f>HYPERLINK("#중기사용료!A228","E00006540013100000 →")</f>
        <v>E00006540013100000 →</v>
      </c>
    </row>
    <row r="23" spans="1:15" ht="18.399999999999999" customHeight="1" x14ac:dyDescent="0.15">
      <c r="A23" s="11" t="s">
        <v>393</v>
      </c>
      <c r="B23" s="2" t="s">
        <v>384</v>
      </c>
      <c r="C23" s="2">
        <v>1</v>
      </c>
      <c r="D23" s="2" t="s">
        <v>502</v>
      </c>
      <c r="E23" s="23">
        <f>중기사용료!G247</f>
        <v>15167.23</v>
      </c>
      <c r="F23" s="24">
        <f>중기사용료!G249</f>
        <v>47231</v>
      </c>
      <c r="G23" s="24">
        <f>중기사용료!G244</f>
        <v>8165</v>
      </c>
      <c r="H23" s="23">
        <f t="shared" si="0"/>
        <v>70563.23</v>
      </c>
      <c r="I23" s="18" t="s">
        <v>1850</v>
      </c>
      <c r="J23" t="s">
        <v>1850</v>
      </c>
      <c r="K23" t="s">
        <v>1526</v>
      </c>
      <c r="O23" s="29" t="str">
        <f>HYPERLINK("#중기사용료!A240","E00007204003800000 →")</f>
        <v>E00007204003800000 →</v>
      </c>
    </row>
    <row r="24" spans="1:15" ht="18.399999999999999" customHeight="1" x14ac:dyDescent="0.15">
      <c r="A24" s="11" t="s">
        <v>393</v>
      </c>
      <c r="B24" s="2" t="s">
        <v>1168</v>
      </c>
      <c r="C24" s="2">
        <v>1</v>
      </c>
      <c r="D24" s="2" t="s">
        <v>502</v>
      </c>
      <c r="E24" s="23">
        <f>중기사용료!G259</f>
        <v>16401.77</v>
      </c>
      <c r="F24" s="24">
        <f>중기사용료!G261</f>
        <v>47231</v>
      </c>
      <c r="G24" s="24">
        <f>중기사용료!G256</f>
        <v>9470</v>
      </c>
      <c r="H24" s="23">
        <f t="shared" si="0"/>
        <v>73102.77</v>
      </c>
      <c r="I24" s="18" t="s">
        <v>1850</v>
      </c>
      <c r="J24" t="s">
        <v>1850</v>
      </c>
      <c r="K24" t="s">
        <v>330</v>
      </c>
      <c r="O24" s="29" t="str">
        <f>HYPERLINK("#중기사용료!A252","E00007204005500000 →")</f>
        <v>E00007204005500000 →</v>
      </c>
    </row>
    <row r="25" spans="1:15" ht="18.399999999999999" customHeight="1" x14ac:dyDescent="0.15">
      <c r="A25" s="11" t="s">
        <v>1590</v>
      </c>
      <c r="B25" s="2" t="s">
        <v>526</v>
      </c>
      <c r="C25" s="2">
        <v>1</v>
      </c>
      <c r="D25" s="2" t="s">
        <v>502</v>
      </c>
      <c r="E25" s="23">
        <f>중기사용료!G271</f>
        <v>2236.59</v>
      </c>
      <c r="F25" s="24">
        <v>0</v>
      </c>
      <c r="G25" s="24">
        <f>중기사용료!G268</f>
        <v>244</v>
      </c>
      <c r="H25" s="23">
        <f t="shared" si="0"/>
        <v>2480.59</v>
      </c>
      <c r="I25" s="18" t="s">
        <v>1850</v>
      </c>
      <c r="J25" t="s">
        <v>1850</v>
      </c>
      <c r="K25" t="s">
        <v>1265</v>
      </c>
      <c r="O25" s="29" t="str">
        <f>HYPERLINK("#중기사용료!A264","E00007210048500000 →")</f>
        <v>E00007210048500000 →</v>
      </c>
    </row>
    <row r="26" spans="1:15" ht="18.399999999999999" customHeight="1" x14ac:dyDescent="0.15">
      <c r="A26" s="11" t="s">
        <v>840</v>
      </c>
      <c r="B26" s="2" t="s">
        <v>1363</v>
      </c>
      <c r="C26" s="2">
        <v>1</v>
      </c>
      <c r="D26" s="2" t="s">
        <v>502</v>
      </c>
      <c r="E26" s="23">
        <v>0</v>
      </c>
      <c r="F26" s="24">
        <v>0</v>
      </c>
      <c r="G26" s="24">
        <f>중기사용료!G280</f>
        <v>1967</v>
      </c>
      <c r="H26" s="23">
        <f t="shared" si="0"/>
        <v>1967</v>
      </c>
      <c r="I26" s="18" t="s">
        <v>1850</v>
      </c>
      <c r="J26" t="s">
        <v>1850</v>
      </c>
      <c r="K26" t="s">
        <v>451</v>
      </c>
      <c r="O26" s="29" t="str">
        <f>HYPERLINK("#중기사용료!A276","E00007431130000000 →")</f>
        <v>E00007431130000000 →</v>
      </c>
    </row>
    <row r="27" spans="1:15" ht="18.399999999999999" customHeight="1" x14ac:dyDescent="0.15">
      <c r="A27" s="11" t="s">
        <v>208</v>
      </c>
      <c r="B27" s="2" t="s">
        <v>117</v>
      </c>
      <c r="C27" s="2">
        <v>1</v>
      </c>
      <c r="D27" s="2" t="s">
        <v>502</v>
      </c>
      <c r="E27" s="23">
        <f>중기사용료!G294</f>
        <v>2666.71</v>
      </c>
      <c r="F27" s="24">
        <v>0</v>
      </c>
      <c r="G27" s="24">
        <f>중기사용료!G291</f>
        <v>739</v>
      </c>
      <c r="H27" s="23">
        <f t="shared" si="0"/>
        <v>3405.71</v>
      </c>
      <c r="I27" s="18" t="s">
        <v>1850</v>
      </c>
      <c r="J27" t="s">
        <v>1850</v>
      </c>
      <c r="K27" t="s">
        <v>723</v>
      </c>
      <c r="O27" s="29" t="str">
        <f>HYPERLINK("#중기사용료!A287","E0000750500150000 →")</f>
        <v>E0000750500150000 →</v>
      </c>
    </row>
    <row r="28" spans="1:15" ht="18.399999999999999" customHeight="1" x14ac:dyDescent="0.15">
      <c r="A28" s="11" t="s">
        <v>208</v>
      </c>
      <c r="B28" s="2" t="s">
        <v>1742</v>
      </c>
      <c r="C28" s="2">
        <v>1</v>
      </c>
      <c r="D28" s="2" t="s">
        <v>502</v>
      </c>
      <c r="E28" s="23">
        <f>중기사용료!G306</f>
        <v>7233.6</v>
      </c>
      <c r="F28" s="24">
        <f>중기사용료!G308</f>
        <v>33571</v>
      </c>
      <c r="G28" s="24">
        <f>중기사용료!G303</f>
        <v>3237</v>
      </c>
      <c r="H28" s="23">
        <f t="shared" si="0"/>
        <v>44041.599999999999</v>
      </c>
      <c r="I28" s="18" t="s">
        <v>1850</v>
      </c>
      <c r="J28" t="s">
        <v>1850</v>
      </c>
      <c r="K28" t="s">
        <v>163</v>
      </c>
      <c r="O28" s="29" t="str">
        <f>HYPERLINK("#중기사용료!A299","E00007505002500000 →")</f>
        <v>E00007505002500000 →</v>
      </c>
    </row>
    <row r="29" spans="1:15" ht="18.399999999999999" customHeight="1" x14ac:dyDescent="0.15">
      <c r="A29" s="11" t="s">
        <v>208</v>
      </c>
      <c r="B29" s="2" t="s">
        <v>1503</v>
      </c>
      <c r="C29" s="2">
        <v>1</v>
      </c>
      <c r="D29" s="2" t="s">
        <v>502</v>
      </c>
      <c r="E29" s="23">
        <f>중기사용료!G318</f>
        <v>14635.42</v>
      </c>
      <c r="F29" s="24">
        <f>중기사용료!G320</f>
        <v>33571</v>
      </c>
      <c r="G29" s="24">
        <f>중기사용료!G315</f>
        <v>4447</v>
      </c>
      <c r="H29" s="23">
        <f t="shared" si="0"/>
        <v>52653.42</v>
      </c>
      <c r="I29" s="18" t="s">
        <v>1850</v>
      </c>
      <c r="J29" t="s">
        <v>1850</v>
      </c>
      <c r="K29" t="s">
        <v>314</v>
      </c>
      <c r="O29" s="29" t="str">
        <f>HYPERLINK("#중기사용료!A311","E00007505005000000 →")</f>
        <v>E00007505005000000 →</v>
      </c>
    </row>
    <row r="30" spans="1:15" ht="18.399999999999999" customHeight="1" x14ac:dyDescent="0.15">
      <c r="A30" s="11" t="s">
        <v>208</v>
      </c>
      <c r="B30" s="2" t="s">
        <v>83</v>
      </c>
      <c r="C30" s="2">
        <v>1</v>
      </c>
      <c r="D30" s="2" t="s">
        <v>502</v>
      </c>
      <c r="E30" s="23">
        <f>중기사용료!G330</f>
        <v>29270.85</v>
      </c>
      <c r="F30" s="24">
        <f>중기사용료!G332</f>
        <v>33571</v>
      </c>
      <c r="G30" s="24">
        <f>중기사용료!G327</f>
        <v>5403</v>
      </c>
      <c r="H30" s="23">
        <f t="shared" si="0"/>
        <v>68244.850000000006</v>
      </c>
      <c r="I30" s="18" t="s">
        <v>1850</v>
      </c>
      <c r="J30" t="s">
        <v>1850</v>
      </c>
      <c r="K30" t="s">
        <v>125</v>
      </c>
      <c r="O30" s="29" t="str">
        <f>HYPERLINK("#중기사용료!A323","E00007505010000000 →")</f>
        <v>E00007505010000000 →</v>
      </c>
    </row>
    <row r="31" spans="1:15" ht="18.399999999999999" customHeight="1" x14ac:dyDescent="0.15">
      <c r="A31" s="11" t="s">
        <v>458</v>
      </c>
      <c r="B31" s="2" t="s">
        <v>414</v>
      </c>
      <c r="C31" s="2">
        <v>1</v>
      </c>
      <c r="D31" s="2" t="s">
        <v>502</v>
      </c>
      <c r="E31" s="23">
        <v>0</v>
      </c>
      <c r="F31" s="24">
        <v>0</v>
      </c>
      <c r="G31" s="24">
        <f>중기사용료!G339</f>
        <v>67</v>
      </c>
      <c r="H31" s="23">
        <f t="shared" si="0"/>
        <v>67</v>
      </c>
      <c r="I31" s="18" t="s">
        <v>1850</v>
      </c>
      <c r="J31" t="s">
        <v>1850</v>
      </c>
      <c r="K31" t="s">
        <v>1762</v>
      </c>
      <c r="O31" s="29" t="str">
        <f>HYPERLINK("#중기사용료!A335","E00007730005000000 →")</f>
        <v>E00007730005000000 →</v>
      </c>
    </row>
    <row r="32" spans="1:15" ht="18.399999999999999" customHeight="1" x14ac:dyDescent="0.15">
      <c r="A32" s="11" t="s">
        <v>1607</v>
      </c>
      <c r="B32" s="2" t="s">
        <v>1715</v>
      </c>
      <c r="C32" s="2">
        <v>1</v>
      </c>
      <c r="D32" s="2" t="s">
        <v>502</v>
      </c>
      <c r="E32" s="23">
        <v>0</v>
      </c>
      <c r="F32" s="24">
        <v>0</v>
      </c>
      <c r="G32" s="24">
        <f>중기사용료!G350</f>
        <v>307</v>
      </c>
      <c r="H32" s="23">
        <f t="shared" si="0"/>
        <v>307</v>
      </c>
      <c r="I32" s="18" t="s">
        <v>1850</v>
      </c>
      <c r="J32" t="s">
        <v>1850</v>
      </c>
      <c r="K32" t="s">
        <v>1321</v>
      </c>
      <c r="O32" s="29" t="str">
        <f>HYPERLINK("#중기사용료!A346","E00007740008000000 →")</f>
        <v>E00007740008000000 →</v>
      </c>
    </row>
    <row r="33" spans="1:15" ht="18.399999999999999" customHeight="1" x14ac:dyDescent="0.15">
      <c r="A33" s="11" t="s">
        <v>834</v>
      </c>
      <c r="B33" s="2" t="s">
        <v>57</v>
      </c>
      <c r="C33" s="2">
        <v>1</v>
      </c>
      <c r="D33" s="2" t="s">
        <v>502</v>
      </c>
      <c r="E33" s="23">
        <f>중기사용료!G364</f>
        <v>860.23</v>
      </c>
      <c r="F33" s="24">
        <v>0</v>
      </c>
      <c r="G33" s="24">
        <f>중기사용료!G361</f>
        <v>53</v>
      </c>
      <c r="H33" s="23">
        <f t="shared" si="0"/>
        <v>913.23</v>
      </c>
      <c r="I33" s="18" t="s">
        <v>1850</v>
      </c>
      <c r="J33" t="s">
        <v>1850</v>
      </c>
      <c r="K33" t="s">
        <v>489</v>
      </c>
      <c r="O33" s="29" t="str">
        <f>HYPERLINK("#중기사용료!A357","E00007811002500000 →")</f>
        <v>E00007811002500000 →</v>
      </c>
    </row>
    <row r="34" spans="1:15" ht="18.399999999999999" customHeight="1" x14ac:dyDescent="0.15">
      <c r="A34" s="11" t="s">
        <v>1260</v>
      </c>
      <c r="B34" s="2" t="s">
        <v>1850</v>
      </c>
      <c r="C34" s="2">
        <v>1</v>
      </c>
      <c r="D34" s="2" t="s">
        <v>502</v>
      </c>
      <c r="E34" s="23">
        <v>0</v>
      </c>
      <c r="F34" s="24">
        <v>0</v>
      </c>
      <c r="G34" s="24">
        <f>중기사용료!G373</f>
        <v>20000</v>
      </c>
      <c r="H34" s="23">
        <f t="shared" si="0"/>
        <v>20000</v>
      </c>
      <c r="I34" s="18" t="s">
        <v>1850</v>
      </c>
      <c r="J34" t="s">
        <v>1850</v>
      </c>
      <c r="K34" t="s">
        <v>990</v>
      </c>
      <c r="O34" s="29" t="str">
        <f>HYPERLINK("#중기사용료!A369","EDD00010100 →")</f>
        <v>EDD00010100 →</v>
      </c>
    </row>
    <row r="35" spans="1:15" ht="18.399999999999999" customHeight="1" x14ac:dyDescent="0.15">
      <c r="A35" s="11" t="s">
        <v>484</v>
      </c>
      <c r="B35" s="2" t="s">
        <v>1850</v>
      </c>
      <c r="C35" s="2">
        <v>1</v>
      </c>
      <c r="D35" s="2" t="s">
        <v>502</v>
      </c>
      <c r="E35" s="23">
        <f>중기사용료!G387</f>
        <v>7113.69</v>
      </c>
      <c r="F35" s="24">
        <f>중기사용료!G389</f>
        <v>47231</v>
      </c>
      <c r="G35" s="24">
        <f>중기사용료!G384</f>
        <v>8530</v>
      </c>
      <c r="H35" s="23">
        <f t="shared" si="0"/>
        <v>62874.69</v>
      </c>
      <c r="I35" s="18" t="s">
        <v>1850</v>
      </c>
      <c r="J35" t="s">
        <v>1850</v>
      </c>
      <c r="K35" t="s">
        <v>623</v>
      </c>
      <c r="O35" s="29" t="str">
        <f>HYPERLINK("#중기사용료!A380","EDD00020100 →")</f>
        <v>EDD00020100 →</v>
      </c>
    </row>
    <row r="36" spans="1:15" ht="18.399999999999999" customHeight="1" x14ac:dyDescent="0.15">
      <c r="A36" s="11" t="s">
        <v>967</v>
      </c>
      <c r="B36" s="2" t="s">
        <v>590</v>
      </c>
      <c r="C36" s="2">
        <v>1</v>
      </c>
      <c r="D36" s="2" t="s">
        <v>799</v>
      </c>
      <c r="E36" s="23">
        <v>0</v>
      </c>
      <c r="F36" s="24">
        <v>0</v>
      </c>
      <c r="G36" s="24">
        <f>중기사용료!G397</f>
        <v>1213</v>
      </c>
      <c r="H36" s="23">
        <f t="shared" si="0"/>
        <v>1213</v>
      </c>
      <c r="I36" s="18" t="s">
        <v>1850</v>
      </c>
      <c r="J36" t="s">
        <v>1850</v>
      </c>
      <c r="K36" t="s">
        <v>1050</v>
      </c>
      <c r="O36" s="29" t="str">
        <f>HYPERLINK("#중기사용료!A392","EDD00030300 →")</f>
        <v>EDD00030300 →</v>
      </c>
    </row>
    <row r="37" spans="1:15" ht="18.399999999999999" customHeight="1" x14ac:dyDescent="0.15">
      <c r="A37" s="11" t="s">
        <v>660</v>
      </c>
      <c r="B37" s="2" t="s">
        <v>270</v>
      </c>
      <c r="C37" s="2">
        <v>1</v>
      </c>
      <c r="D37" s="2" t="s">
        <v>502</v>
      </c>
      <c r="E37" s="23">
        <v>0</v>
      </c>
      <c r="F37" s="24">
        <v>0</v>
      </c>
      <c r="G37" s="24">
        <f>중기사용료!G408</f>
        <v>6815</v>
      </c>
      <c r="H37" s="23">
        <f t="shared" si="0"/>
        <v>6815</v>
      </c>
      <c r="I37" s="18" t="s">
        <v>1850</v>
      </c>
      <c r="J37" t="s">
        <v>1850</v>
      </c>
      <c r="K37" t="s">
        <v>309</v>
      </c>
      <c r="O37" s="29" t="str">
        <f>HYPERLINK("#중기사용료!A404","EDD00044825 →")</f>
        <v>EDD00044825 →</v>
      </c>
    </row>
    <row r="38" spans="1:15" ht="18.399999999999999" customHeight="1" x14ac:dyDescent="0.15">
      <c r="A38" s="11" t="s">
        <v>777</v>
      </c>
      <c r="B38" s="2" t="s">
        <v>1499</v>
      </c>
      <c r="C38" s="2">
        <v>1</v>
      </c>
      <c r="D38" s="2" t="s">
        <v>558</v>
      </c>
      <c r="E38" s="23">
        <v>0</v>
      </c>
      <c r="F38" s="24">
        <v>0</v>
      </c>
      <c r="G38" s="24">
        <f>중기사용료!G419</f>
        <v>6750</v>
      </c>
      <c r="H38" s="23">
        <f t="shared" si="0"/>
        <v>6750</v>
      </c>
      <c r="I38" s="18" t="s">
        <v>1850</v>
      </c>
      <c r="J38" t="s">
        <v>1850</v>
      </c>
      <c r="K38" t="s">
        <v>733</v>
      </c>
      <c r="O38" s="29" t="str">
        <f>HYPERLINK("#중기사용료!A415","EDD00050250 →")</f>
        <v>EDD00050250 →</v>
      </c>
    </row>
    <row r="39" spans="1:15" ht="18.399999999999999" customHeight="1" x14ac:dyDescent="0.15">
      <c r="A39" s="11" t="s">
        <v>536</v>
      </c>
      <c r="B39" s="2" t="s">
        <v>332</v>
      </c>
      <c r="C39" s="2">
        <v>1</v>
      </c>
      <c r="D39" s="2" t="s">
        <v>502</v>
      </c>
      <c r="E39" s="23">
        <f>중기사용료!G433</f>
        <v>284819.13</v>
      </c>
      <c r="F39" s="24">
        <f>중기사용료!G435</f>
        <v>55700</v>
      </c>
      <c r="G39" s="24">
        <f>중기사용료!G430</f>
        <v>165287</v>
      </c>
      <c r="H39" s="23">
        <f t="shared" si="0"/>
        <v>505806.13</v>
      </c>
      <c r="I39" s="18" t="s">
        <v>1850</v>
      </c>
      <c r="J39" t="s">
        <v>1850</v>
      </c>
      <c r="K39" t="s">
        <v>1495</v>
      </c>
      <c r="O39" s="29" t="str">
        <f>HYPERLINK("#중기사용료!A426","EDD00060200 →")</f>
        <v>EDD00060200 →</v>
      </c>
    </row>
    <row r="40" spans="1:15" ht="18.399999999999999" customHeight="1" x14ac:dyDescent="0.15">
      <c r="A40" s="11" t="s">
        <v>897</v>
      </c>
      <c r="B40" s="2" t="s">
        <v>332</v>
      </c>
      <c r="C40" s="2">
        <v>1</v>
      </c>
      <c r="D40" s="2" t="s">
        <v>502</v>
      </c>
      <c r="E40" s="23">
        <f>중기사용료!G445</f>
        <v>25177.38</v>
      </c>
      <c r="F40" s="24">
        <f>중기사용료!G447</f>
        <v>55700</v>
      </c>
      <c r="G40" s="24">
        <f>중기사용료!G442</f>
        <v>165287</v>
      </c>
      <c r="H40" s="23">
        <f t="shared" si="0"/>
        <v>246164.38</v>
      </c>
      <c r="I40" s="18" t="s">
        <v>1850</v>
      </c>
      <c r="J40" t="s">
        <v>1850</v>
      </c>
      <c r="K40" t="s">
        <v>1039</v>
      </c>
      <c r="O40" s="29" t="str">
        <f>HYPERLINK("#중기사용료!A438","EDD00060210 →")</f>
        <v>EDD00060210 →</v>
      </c>
    </row>
    <row r="41" spans="1:15" ht="18.399999999999999" customHeight="1" x14ac:dyDescent="0.15">
      <c r="A41" s="11" t="s">
        <v>1673</v>
      </c>
      <c r="B41" s="2" t="s">
        <v>1499</v>
      </c>
      <c r="C41" s="2">
        <v>1</v>
      </c>
      <c r="D41" s="2" t="s">
        <v>502</v>
      </c>
      <c r="E41" s="23">
        <v>0</v>
      </c>
      <c r="F41" s="24">
        <v>0</v>
      </c>
      <c r="G41" s="24">
        <f>중기사용료!G454</f>
        <v>4800</v>
      </c>
      <c r="H41" s="23">
        <f t="shared" si="0"/>
        <v>4800</v>
      </c>
      <c r="I41" s="18" t="s">
        <v>1850</v>
      </c>
      <c r="J41" t="s">
        <v>1850</v>
      </c>
      <c r="K41" t="s">
        <v>470</v>
      </c>
      <c r="O41" s="29" t="str">
        <f>HYPERLINK("#중기사용료!A450","EDD00070250 →")</f>
        <v>EDD00070250 →</v>
      </c>
    </row>
    <row r="42" spans="1:15" ht="18.399999999999999" customHeight="1" x14ac:dyDescent="0.15">
      <c r="A42" s="11" t="s">
        <v>1161</v>
      </c>
      <c r="B42" s="2" t="s">
        <v>1261</v>
      </c>
      <c r="C42" s="2">
        <v>1</v>
      </c>
      <c r="D42" s="2" t="s">
        <v>502</v>
      </c>
      <c r="E42" s="23">
        <f>중기사용료!G468</f>
        <v>12542.55</v>
      </c>
      <c r="F42" s="24">
        <f>중기사용료!G470</f>
        <v>47231</v>
      </c>
      <c r="G42" s="24">
        <f>중기사용료!G465</f>
        <v>20893</v>
      </c>
      <c r="H42" s="23">
        <f t="shared" si="0"/>
        <v>80666.55</v>
      </c>
      <c r="I42" s="18" t="s">
        <v>1850</v>
      </c>
      <c r="J42" t="s">
        <v>1850</v>
      </c>
      <c r="K42" t="s">
        <v>1150</v>
      </c>
      <c r="O42" s="29" t="str">
        <f>HYPERLINK("#중기사용료!A461","EDD00160450 →")</f>
        <v>EDD00160450 →</v>
      </c>
    </row>
    <row r="43" spans="1:15" ht="18.399999999999999" customHeight="1" x14ac:dyDescent="0.15">
      <c r="A43" s="11" t="s">
        <v>415</v>
      </c>
      <c r="B43" s="2" t="s">
        <v>1623</v>
      </c>
      <c r="C43" s="2">
        <v>1</v>
      </c>
      <c r="D43" s="2" t="s">
        <v>848</v>
      </c>
      <c r="E43" s="23">
        <v>0</v>
      </c>
      <c r="F43" s="24">
        <v>0</v>
      </c>
      <c r="G43" s="24">
        <f>중기사용료!G477</f>
        <v>180</v>
      </c>
      <c r="H43" s="23">
        <f t="shared" si="0"/>
        <v>180</v>
      </c>
      <c r="I43" s="18" t="s">
        <v>1850</v>
      </c>
      <c r="J43" t="s">
        <v>1850</v>
      </c>
      <c r="K43" t="s">
        <v>748</v>
      </c>
      <c r="O43" s="29" t="str">
        <f>HYPERLINK("#중기사용료!A473","EDD00180000 →")</f>
        <v>EDD00180000 →</v>
      </c>
    </row>
    <row r="44" spans="1:15" ht="18.399999999999999" customHeight="1" x14ac:dyDescent="0.15">
      <c r="A44" s="11" t="s">
        <v>1587</v>
      </c>
      <c r="B44" s="2" t="s">
        <v>1029</v>
      </c>
      <c r="C44" s="2">
        <v>1</v>
      </c>
      <c r="D44" s="2" t="s">
        <v>848</v>
      </c>
      <c r="E44" s="23">
        <v>0</v>
      </c>
      <c r="F44" s="24">
        <v>0</v>
      </c>
      <c r="G44" s="24">
        <f>중기사용료!G488</f>
        <v>185</v>
      </c>
      <c r="H44" s="23">
        <f t="shared" si="0"/>
        <v>185</v>
      </c>
      <c r="I44" s="18" t="s">
        <v>1850</v>
      </c>
      <c r="J44" t="s">
        <v>1850</v>
      </c>
      <c r="K44" t="s">
        <v>1789</v>
      </c>
      <c r="O44" s="29" t="str">
        <f>HYPERLINK("#중기사용료!A484","EDD00180001 →")</f>
        <v>EDD00180001 →</v>
      </c>
    </row>
    <row r="45" spans="1:15" ht="18.399999999999999" customHeight="1" x14ac:dyDescent="0.15">
      <c r="A45" s="11" t="s">
        <v>471</v>
      </c>
      <c r="B45" s="2" t="s">
        <v>1620</v>
      </c>
      <c r="C45" s="2">
        <v>1</v>
      </c>
      <c r="D45" s="2" t="s">
        <v>848</v>
      </c>
      <c r="E45" s="23">
        <v>0</v>
      </c>
      <c r="F45" s="24">
        <v>0</v>
      </c>
      <c r="G45" s="24">
        <f>중기사용료!G499</f>
        <v>2052</v>
      </c>
      <c r="H45" s="23">
        <f t="shared" si="0"/>
        <v>2052</v>
      </c>
      <c r="I45" s="18" t="s">
        <v>1850</v>
      </c>
      <c r="J45" t="s">
        <v>1850</v>
      </c>
      <c r="K45" t="s">
        <v>582</v>
      </c>
      <c r="O45" s="29" t="str">
        <f>HYPERLINK("#중기사용료!A495","EDD00180002 →")</f>
        <v>EDD00180002 →</v>
      </c>
    </row>
    <row r="46" spans="1:15" ht="18.399999999999999" customHeight="1" x14ac:dyDescent="0.15">
      <c r="A46" s="11" t="s">
        <v>578</v>
      </c>
      <c r="B46" s="2" t="s">
        <v>522</v>
      </c>
      <c r="C46" s="2">
        <v>1</v>
      </c>
      <c r="D46" s="2" t="s">
        <v>848</v>
      </c>
      <c r="E46" s="23">
        <v>0</v>
      </c>
      <c r="F46" s="24">
        <v>0</v>
      </c>
      <c r="G46" s="24">
        <f>중기사용료!G510</f>
        <v>68</v>
      </c>
      <c r="H46" s="23">
        <f t="shared" si="0"/>
        <v>68</v>
      </c>
      <c r="I46" s="18" t="s">
        <v>1850</v>
      </c>
      <c r="J46" t="s">
        <v>1850</v>
      </c>
      <c r="K46" t="s">
        <v>1611</v>
      </c>
      <c r="O46" s="29" t="str">
        <f>HYPERLINK("#중기사용료!A506","EDD00180003 →")</f>
        <v>EDD00180003 →</v>
      </c>
    </row>
    <row r="47" spans="1:15" ht="18.399999999999999" customHeight="1" x14ac:dyDescent="0.15">
      <c r="A47" s="12" t="s">
        <v>1185</v>
      </c>
      <c r="B47" s="13" t="s">
        <v>1850</v>
      </c>
      <c r="C47" s="13">
        <v>1</v>
      </c>
      <c r="D47" s="13" t="s">
        <v>848</v>
      </c>
      <c r="E47" s="25">
        <v>0</v>
      </c>
      <c r="F47" s="26">
        <v>0</v>
      </c>
      <c r="G47" s="26">
        <f>중기사용료!G524</f>
        <v>2485</v>
      </c>
      <c r="H47" s="25">
        <f t="shared" si="0"/>
        <v>2485</v>
      </c>
      <c r="I47" s="19" t="s">
        <v>1850</v>
      </c>
      <c r="J47" t="s">
        <v>1850</v>
      </c>
      <c r="K47" t="s">
        <v>916</v>
      </c>
      <c r="O47" s="29" t="str">
        <f>HYPERLINK("#중기사용료!A517","EDD00180004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0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1513</v>
      </c>
    </row>
    <row r="3" spans="1:33" ht="18.399999999999999" customHeight="1" x14ac:dyDescent="0.15">
      <c r="A3" s="4" t="s">
        <v>1663</v>
      </c>
      <c r="B3" s="4" t="s">
        <v>1444</v>
      </c>
      <c r="C3" s="4"/>
      <c r="D3" s="4"/>
      <c r="E3" s="4"/>
      <c r="F3" s="4"/>
      <c r="G3" s="4"/>
      <c r="H3" s="4"/>
      <c r="I3" s="9" t="s">
        <v>1850</v>
      </c>
      <c r="J3" s="9" t="s">
        <v>452</v>
      </c>
    </row>
    <row r="4" spans="1:33" ht="18.399999999999999" customHeight="1" x14ac:dyDescent="0.15">
      <c r="A4" s="4" t="s">
        <v>535</v>
      </c>
      <c r="B4" s="4" t="s">
        <v>247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1449</v>
      </c>
      <c r="B5" s="27"/>
      <c r="C5" s="27" t="s">
        <v>954</v>
      </c>
      <c r="D5" s="27" t="s">
        <v>58</v>
      </c>
      <c r="E5" s="27" t="s">
        <v>1744</v>
      </c>
      <c r="F5" s="27" t="s">
        <v>448</v>
      </c>
      <c r="G5" s="27" t="s">
        <v>263</v>
      </c>
      <c r="H5" s="27" t="s">
        <v>515</v>
      </c>
    </row>
    <row r="6" spans="1:33" ht="18.399999999999999" customHeight="1" x14ac:dyDescent="0.15">
      <c r="A6" s="9" t="s">
        <v>128</v>
      </c>
      <c r="B6" s="9" t="s">
        <v>585</v>
      </c>
      <c r="C6" s="9" t="s">
        <v>631</v>
      </c>
      <c r="D6" s="9">
        <f>(900 + 700 + 679)*10^-4</f>
        <v>0.22790000000000002</v>
      </c>
      <c r="E6" s="28" t="s">
        <v>248</v>
      </c>
      <c r="F6" s="28">
        <f>중기기초자료!F3</f>
        <v>66336</v>
      </c>
      <c r="G6" s="28">
        <f>TRUNC(F6*D6, 0)</f>
        <v>15117</v>
      </c>
      <c r="H6" s="9" t="s">
        <v>1850</v>
      </c>
      <c r="I6" s="9" t="s">
        <v>1850</v>
      </c>
      <c r="K6" s="9" t="s">
        <v>243</v>
      </c>
      <c r="L6" s="9" t="s">
        <v>1850</v>
      </c>
      <c r="M6" s="9" t="s">
        <v>152</v>
      </c>
      <c r="N6" s="9" t="s">
        <v>1458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1606</v>
      </c>
      <c r="G7" s="28">
        <f>TRUNC(G6, 0)</f>
        <v>15117</v>
      </c>
    </row>
    <row r="8" spans="1:33" ht="18.399999999999999" customHeight="1" x14ac:dyDescent="0.15">
      <c r="A8" s="9" t="s">
        <v>1307</v>
      </c>
      <c r="B8" s="9" t="s">
        <v>331</v>
      </c>
      <c r="C8" s="9" t="s">
        <v>1850</v>
      </c>
      <c r="D8" s="9">
        <v>5.6</v>
      </c>
      <c r="E8" s="30" t="s">
        <v>1813</v>
      </c>
      <c r="F8" s="30">
        <f>중기기초자료!D50</f>
        <v>1356.64</v>
      </c>
      <c r="G8" s="30">
        <f>TRUNC(F8*D8, 2)</f>
        <v>7597.18</v>
      </c>
      <c r="H8" s="9" t="s">
        <v>1850</v>
      </c>
      <c r="I8" s="9" t="s">
        <v>1850</v>
      </c>
      <c r="K8" s="9" t="s">
        <v>1167</v>
      </c>
      <c r="L8" s="9" t="s">
        <v>1850</v>
      </c>
      <c r="M8" s="9" t="s">
        <v>1282</v>
      </c>
      <c r="AG8" s="29" t="str">
        <f>HYPERLINK("#중기기초자료!A50","M1510150520282163 →")</f>
        <v>M1510150520282163 →</v>
      </c>
    </row>
    <row r="9" spans="1:33" ht="18.399999999999999" customHeight="1" x14ac:dyDescent="0.15">
      <c r="B9" s="9" t="s">
        <v>149</v>
      </c>
      <c r="C9" s="9" t="s">
        <v>1850</v>
      </c>
      <c r="D9" s="9">
        <v>24</v>
      </c>
      <c r="E9" s="30" t="s">
        <v>804</v>
      </c>
      <c r="F9" s="30">
        <v>0</v>
      </c>
      <c r="G9" s="30">
        <f>TRUNC((G8) * D9/100, 2)</f>
        <v>1823.32</v>
      </c>
      <c r="H9" s="9" t="s">
        <v>1850</v>
      </c>
      <c r="I9" s="9" t="s">
        <v>1850</v>
      </c>
      <c r="K9" s="9" t="s">
        <v>715</v>
      </c>
      <c r="L9" s="9" t="s">
        <v>1850</v>
      </c>
      <c r="M9" s="9" t="s">
        <v>1287</v>
      </c>
      <c r="N9" s="9" t="s">
        <v>1850</v>
      </c>
    </row>
    <row r="10" spans="1:33" ht="18.399999999999999" customHeight="1" x14ac:dyDescent="0.15">
      <c r="B10" s="9" t="s">
        <v>1606</v>
      </c>
      <c r="G10" s="30">
        <f>TRUNC(G8+G9, 2)</f>
        <v>9420.5</v>
      </c>
    </row>
    <row r="11" spans="1:33" ht="18.399999999999999" customHeight="1" x14ac:dyDescent="0.15">
      <c r="A11" s="9" t="s">
        <v>789</v>
      </c>
      <c r="B11" s="9" t="s">
        <v>453</v>
      </c>
      <c r="C11" s="9" t="s">
        <v>1850</v>
      </c>
      <c r="D11" s="9">
        <v>1</v>
      </c>
      <c r="E11" s="28" t="s">
        <v>1142</v>
      </c>
      <c r="F11" s="28">
        <f>TRUNC(중기기초자료!E47 * 중기전역변수!C18, 0)</f>
        <v>55700</v>
      </c>
      <c r="G11" s="28">
        <f>TRUNC(F11*D11, 0)</f>
        <v>55700</v>
      </c>
      <c r="H11" s="9" t="s">
        <v>1850</v>
      </c>
      <c r="I11" s="9" t="s">
        <v>1850</v>
      </c>
      <c r="K11" s="9" t="s">
        <v>1619</v>
      </c>
      <c r="L11" s="9" t="s">
        <v>1850</v>
      </c>
      <c r="M11" s="9" t="s">
        <v>1521</v>
      </c>
      <c r="AG11" s="29" t="str">
        <f>HYPERLINK("#중기기초자료!A47","L001010101000048 →")</f>
        <v>L001010101000048 →</v>
      </c>
    </row>
    <row r="12" spans="1:33" ht="18.399999999999999" customHeight="1" x14ac:dyDescent="0.15">
      <c r="B12" s="9" t="s">
        <v>1606</v>
      </c>
      <c r="G12" s="28">
        <f>TRUNC(G11, 0)</f>
        <v>55700</v>
      </c>
    </row>
    <row r="13" spans="1:33" ht="18.399999999999999" customHeight="1" x14ac:dyDescent="0.15">
      <c r="B13" s="9" t="s">
        <v>202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1663</v>
      </c>
      <c r="B15" s="4" t="s">
        <v>1094</v>
      </c>
      <c r="C15" s="4"/>
      <c r="D15" s="4"/>
      <c r="E15" s="4"/>
      <c r="F15" s="4"/>
      <c r="G15" s="4"/>
      <c r="H15" s="4"/>
      <c r="I15" s="9" t="s">
        <v>1850</v>
      </c>
      <c r="J15" s="9" t="s">
        <v>1595</v>
      </c>
    </row>
    <row r="16" spans="1:33" ht="18.399999999999999" customHeight="1" x14ac:dyDescent="0.15">
      <c r="A16" s="4" t="s">
        <v>535</v>
      </c>
      <c r="B16" s="4" t="s">
        <v>1426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1449</v>
      </c>
      <c r="B17" s="27"/>
      <c r="C17" s="27" t="s">
        <v>954</v>
      </c>
      <c r="D17" s="27" t="s">
        <v>58</v>
      </c>
      <c r="E17" s="27" t="s">
        <v>1744</v>
      </c>
      <c r="F17" s="27" t="s">
        <v>448</v>
      </c>
      <c r="G17" s="27" t="s">
        <v>263</v>
      </c>
      <c r="H17" s="27" t="s">
        <v>515</v>
      </c>
    </row>
    <row r="18" spans="1:33" ht="18.399999999999999" customHeight="1" x14ac:dyDescent="0.15">
      <c r="A18" s="9" t="s">
        <v>128</v>
      </c>
      <c r="B18" s="9" t="s">
        <v>585</v>
      </c>
      <c r="C18" s="9" t="s">
        <v>669</v>
      </c>
      <c r="D18" s="9">
        <f>(900 + 700 + 679)*10^-4</f>
        <v>0.22790000000000002</v>
      </c>
      <c r="E18" s="28" t="s">
        <v>248</v>
      </c>
      <c r="F18" s="28">
        <f>중기기초자료!F4</f>
        <v>112684</v>
      </c>
      <c r="G18" s="28">
        <f>TRUNC(F18*D18, 0)</f>
        <v>25680</v>
      </c>
      <c r="H18" s="9" t="s">
        <v>1850</v>
      </c>
      <c r="I18" s="9" t="s">
        <v>1850</v>
      </c>
      <c r="K18" s="9" t="s">
        <v>243</v>
      </c>
      <c r="L18" s="9" t="s">
        <v>1850</v>
      </c>
      <c r="M18" s="9" t="s">
        <v>824</v>
      </c>
      <c r="N18" s="9" t="s">
        <v>1458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1606</v>
      </c>
      <c r="G19" s="28">
        <f>TRUNC(G18, 0)</f>
        <v>25680</v>
      </c>
    </row>
    <row r="20" spans="1:33" ht="18.399999999999999" customHeight="1" x14ac:dyDescent="0.15">
      <c r="A20" s="9" t="s">
        <v>1307</v>
      </c>
      <c r="B20" s="9" t="s">
        <v>331</v>
      </c>
      <c r="C20" s="9" t="s">
        <v>1850</v>
      </c>
      <c r="D20" s="9">
        <v>11.6</v>
      </c>
      <c r="E20" s="30" t="s">
        <v>1813</v>
      </c>
      <c r="F20" s="30">
        <f>중기기초자료!D50</f>
        <v>1356.64</v>
      </c>
      <c r="G20" s="30">
        <f>TRUNC(F20*D20, 2)</f>
        <v>15737.02</v>
      </c>
      <c r="H20" s="9" t="s">
        <v>1850</v>
      </c>
      <c r="I20" s="9" t="s">
        <v>1850</v>
      </c>
      <c r="K20" s="9" t="s">
        <v>1167</v>
      </c>
      <c r="L20" s="9" t="s">
        <v>1850</v>
      </c>
      <c r="M20" s="9" t="s">
        <v>1282</v>
      </c>
      <c r="AG20" s="29" t="str">
        <f>HYPERLINK("#중기기초자료!A50","M1510150520282163 →")</f>
        <v>M1510150520282163 →</v>
      </c>
    </row>
    <row r="21" spans="1:33" ht="18.399999999999999" customHeight="1" x14ac:dyDescent="0.15">
      <c r="B21" s="9" t="s">
        <v>149</v>
      </c>
      <c r="C21" s="9" t="s">
        <v>1850</v>
      </c>
      <c r="D21" s="9">
        <v>24</v>
      </c>
      <c r="E21" s="30" t="s">
        <v>804</v>
      </c>
      <c r="F21" s="30">
        <v>0</v>
      </c>
      <c r="G21" s="30">
        <f>TRUNC((G20) * D21/100, 2)</f>
        <v>3776.88</v>
      </c>
      <c r="H21" s="9" t="s">
        <v>1850</v>
      </c>
      <c r="I21" s="9" t="s">
        <v>1850</v>
      </c>
      <c r="K21" s="9" t="s">
        <v>715</v>
      </c>
      <c r="L21" s="9" t="s">
        <v>1850</v>
      </c>
      <c r="M21" s="9" t="s">
        <v>1287</v>
      </c>
      <c r="N21" s="9" t="s">
        <v>1850</v>
      </c>
    </row>
    <row r="22" spans="1:33" ht="18.399999999999999" customHeight="1" x14ac:dyDescent="0.15">
      <c r="B22" s="9" t="s">
        <v>1606</v>
      </c>
      <c r="G22" s="30">
        <f>TRUNC(G20+G21, 2)</f>
        <v>19513.900000000001</v>
      </c>
    </row>
    <row r="23" spans="1:33" ht="18.399999999999999" customHeight="1" x14ac:dyDescent="0.15">
      <c r="A23" s="9" t="s">
        <v>789</v>
      </c>
      <c r="B23" s="9" t="s">
        <v>453</v>
      </c>
      <c r="C23" s="9" t="s">
        <v>1850</v>
      </c>
      <c r="D23" s="9">
        <v>1</v>
      </c>
      <c r="E23" s="28" t="s">
        <v>1142</v>
      </c>
      <c r="F23" s="28">
        <f>TRUNC(중기기초자료!E47 * 중기전역변수!C18, 0)</f>
        <v>55700</v>
      </c>
      <c r="G23" s="28">
        <f>TRUNC(F23*D23, 0)</f>
        <v>55700</v>
      </c>
      <c r="H23" s="9" t="s">
        <v>1850</v>
      </c>
      <c r="I23" s="9" t="s">
        <v>1850</v>
      </c>
      <c r="K23" s="9" t="s">
        <v>1619</v>
      </c>
      <c r="L23" s="9" t="s">
        <v>1850</v>
      </c>
      <c r="M23" s="9" t="s">
        <v>1521</v>
      </c>
      <c r="AG23" s="29" t="str">
        <f>HYPERLINK("#중기기초자료!A47","L001010101000048 →")</f>
        <v>L001010101000048 →</v>
      </c>
    </row>
    <row r="24" spans="1:33" ht="18.399999999999999" customHeight="1" x14ac:dyDescent="0.15">
      <c r="B24" s="9" t="s">
        <v>1606</v>
      </c>
      <c r="G24" s="28">
        <f>TRUNC(G23, 0)</f>
        <v>55700</v>
      </c>
    </row>
    <row r="25" spans="1:33" ht="18.399999999999999" customHeight="1" x14ac:dyDescent="0.15">
      <c r="B25" s="9" t="s">
        <v>202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1663</v>
      </c>
      <c r="B27" s="4" t="s">
        <v>457</v>
      </c>
      <c r="C27" s="4"/>
      <c r="D27" s="4"/>
      <c r="E27" s="4"/>
      <c r="F27" s="4"/>
      <c r="G27" s="4"/>
      <c r="H27" s="4"/>
      <c r="I27" s="9" t="s">
        <v>1850</v>
      </c>
      <c r="J27" s="9" t="s">
        <v>89</v>
      </c>
    </row>
    <row r="28" spans="1:33" ht="18.399999999999999" customHeight="1" x14ac:dyDescent="0.15">
      <c r="A28" s="4" t="s">
        <v>535</v>
      </c>
      <c r="B28" s="4" t="s">
        <v>201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1449</v>
      </c>
      <c r="B29" s="27"/>
      <c r="C29" s="27" t="s">
        <v>954</v>
      </c>
      <c r="D29" s="27" t="s">
        <v>58</v>
      </c>
      <c r="E29" s="27" t="s">
        <v>1744</v>
      </c>
      <c r="F29" s="27" t="s">
        <v>448</v>
      </c>
      <c r="G29" s="27" t="s">
        <v>263</v>
      </c>
      <c r="H29" s="27" t="s">
        <v>515</v>
      </c>
    </row>
    <row r="30" spans="1:33" ht="18.399999999999999" customHeight="1" x14ac:dyDescent="0.15">
      <c r="A30" s="9" t="s">
        <v>128</v>
      </c>
      <c r="B30" s="9" t="s">
        <v>570</v>
      </c>
      <c r="C30" s="9" t="s">
        <v>1229</v>
      </c>
      <c r="D30" s="9">
        <f>(3000 + 2833 + 768)*10^-4</f>
        <v>0.66010000000000002</v>
      </c>
      <c r="E30" s="28" t="s">
        <v>248</v>
      </c>
      <c r="F30" s="28">
        <f>중기기초자료!F5</f>
        <v>7882</v>
      </c>
      <c r="G30" s="28">
        <f>TRUNC(F30*D30, 0)</f>
        <v>5202</v>
      </c>
      <c r="H30" s="9" t="s">
        <v>1850</v>
      </c>
      <c r="I30" s="9" t="s">
        <v>1850</v>
      </c>
      <c r="K30" s="9" t="s">
        <v>243</v>
      </c>
      <c r="L30" s="9" t="s">
        <v>1850</v>
      </c>
      <c r="M30" s="9" t="s">
        <v>1523</v>
      </c>
      <c r="N30" s="9" t="s">
        <v>40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1606</v>
      </c>
      <c r="G31" s="28">
        <f>TRUNC(G30, 0)</f>
        <v>5202</v>
      </c>
    </row>
    <row r="32" spans="1:33" ht="18.399999999999999" customHeight="1" x14ac:dyDescent="0.15">
      <c r="A32" s="9" t="s">
        <v>1307</v>
      </c>
    </row>
    <row r="33" spans="1:33" ht="18.399999999999999" customHeight="1" x14ac:dyDescent="0.15">
      <c r="B33" s="9" t="s">
        <v>1606</v>
      </c>
    </row>
    <row r="34" spans="1:33" ht="18.399999999999999" customHeight="1" x14ac:dyDescent="0.15">
      <c r="A34" s="9" t="s">
        <v>789</v>
      </c>
    </row>
    <row r="35" spans="1:33" ht="18.399999999999999" customHeight="1" x14ac:dyDescent="0.15">
      <c r="B35" s="9" t="s">
        <v>1606</v>
      </c>
    </row>
    <row r="36" spans="1:33" ht="18.399999999999999" customHeight="1" x14ac:dyDescent="0.15">
      <c r="B36" s="9" t="s">
        <v>202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1663</v>
      </c>
      <c r="B38" s="4" t="s">
        <v>1575</v>
      </c>
      <c r="C38" s="4"/>
      <c r="D38" s="4"/>
      <c r="E38" s="4"/>
      <c r="F38" s="4"/>
      <c r="G38" s="4"/>
      <c r="H38" s="4"/>
      <c r="I38" s="9" t="s">
        <v>1850</v>
      </c>
      <c r="J38" s="9" t="s">
        <v>624</v>
      </c>
    </row>
    <row r="39" spans="1:33" ht="18.399999999999999" customHeight="1" x14ac:dyDescent="0.15">
      <c r="A39" s="4" t="s">
        <v>535</v>
      </c>
      <c r="B39" s="4" t="s">
        <v>1153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1449</v>
      </c>
      <c r="B40" s="27"/>
      <c r="C40" s="27" t="s">
        <v>954</v>
      </c>
      <c r="D40" s="27" t="s">
        <v>58</v>
      </c>
      <c r="E40" s="27" t="s">
        <v>1744</v>
      </c>
      <c r="F40" s="27" t="s">
        <v>448</v>
      </c>
      <c r="G40" s="27" t="s">
        <v>263</v>
      </c>
      <c r="H40" s="27" t="s">
        <v>515</v>
      </c>
    </row>
    <row r="41" spans="1:33" ht="18.399999999999999" customHeight="1" x14ac:dyDescent="0.15">
      <c r="A41" s="9" t="s">
        <v>128</v>
      </c>
      <c r="B41" s="9" t="s">
        <v>704</v>
      </c>
      <c r="C41" s="9" t="s">
        <v>1447</v>
      </c>
      <c r="D41" s="9">
        <f>(900 + 1000 + 485)*10^-4</f>
        <v>0.23850000000000002</v>
      </c>
      <c r="E41" s="28" t="s">
        <v>248</v>
      </c>
      <c r="F41" s="28">
        <f>중기기초자료!F6</f>
        <v>44634</v>
      </c>
      <c r="G41" s="28">
        <f>TRUNC(F41*D41, 0)</f>
        <v>10645</v>
      </c>
      <c r="H41" s="9" t="s">
        <v>1850</v>
      </c>
      <c r="I41" s="9" t="s">
        <v>1850</v>
      </c>
      <c r="K41" s="9" t="s">
        <v>243</v>
      </c>
      <c r="L41" s="9" t="s">
        <v>1850</v>
      </c>
      <c r="M41" s="9" t="s">
        <v>353</v>
      </c>
      <c r="N41" s="9" t="s">
        <v>947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1606</v>
      </c>
      <c r="G42" s="28">
        <f>TRUNC(G41, 0)</f>
        <v>10645</v>
      </c>
    </row>
    <row r="43" spans="1:33" ht="18.399999999999999" customHeight="1" x14ac:dyDescent="0.15">
      <c r="A43" s="9" t="s">
        <v>1307</v>
      </c>
      <c r="B43" s="9" t="s">
        <v>331</v>
      </c>
      <c r="C43" s="9" t="s">
        <v>1850</v>
      </c>
      <c r="D43" s="9">
        <v>4.8</v>
      </c>
      <c r="E43" s="30" t="s">
        <v>1813</v>
      </c>
      <c r="F43" s="30">
        <f>중기기초자료!D50</f>
        <v>1356.64</v>
      </c>
      <c r="G43" s="30">
        <f>TRUNC(F43*D43, 2)</f>
        <v>6511.87</v>
      </c>
      <c r="H43" s="9" t="s">
        <v>1850</v>
      </c>
      <c r="I43" s="9" t="s">
        <v>1850</v>
      </c>
      <c r="K43" s="9" t="s">
        <v>1167</v>
      </c>
      <c r="L43" s="9" t="s">
        <v>1850</v>
      </c>
      <c r="M43" s="9" t="s">
        <v>1282</v>
      </c>
      <c r="AG43" s="29" t="str">
        <f>HYPERLINK("#중기기초자료!A50","M1510150520282163 →")</f>
        <v>M1510150520282163 →</v>
      </c>
    </row>
    <row r="44" spans="1:33" ht="18.399999999999999" customHeight="1" x14ac:dyDescent="0.15">
      <c r="B44" s="9" t="s">
        <v>149</v>
      </c>
      <c r="C44" s="9" t="s">
        <v>1850</v>
      </c>
      <c r="D44" s="9">
        <v>21</v>
      </c>
      <c r="E44" s="30" t="s">
        <v>804</v>
      </c>
      <c r="F44" s="30">
        <v>0</v>
      </c>
      <c r="G44" s="30">
        <f>TRUNC((G43) * D44/100, 2)</f>
        <v>1367.49</v>
      </c>
      <c r="H44" s="9" t="s">
        <v>1850</v>
      </c>
      <c r="I44" s="9" t="s">
        <v>1850</v>
      </c>
      <c r="K44" s="9" t="s">
        <v>715</v>
      </c>
      <c r="L44" s="9" t="s">
        <v>1850</v>
      </c>
      <c r="M44" s="9" t="s">
        <v>1287</v>
      </c>
      <c r="N44" s="9" t="s">
        <v>1850</v>
      </c>
    </row>
    <row r="45" spans="1:33" ht="18.399999999999999" customHeight="1" x14ac:dyDescent="0.15">
      <c r="B45" s="9" t="s">
        <v>1606</v>
      </c>
      <c r="G45" s="30">
        <f>TRUNC(G43+G44, 2)</f>
        <v>7879.36</v>
      </c>
    </row>
    <row r="46" spans="1:33" ht="18.399999999999999" customHeight="1" x14ac:dyDescent="0.15">
      <c r="A46" s="9" t="s">
        <v>789</v>
      </c>
      <c r="B46" s="9" t="s">
        <v>453</v>
      </c>
      <c r="C46" s="9" t="s">
        <v>1850</v>
      </c>
      <c r="D46" s="9">
        <v>1</v>
      </c>
      <c r="E46" s="28" t="s">
        <v>1142</v>
      </c>
      <c r="F46" s="28">
        <f>TRUNC(중기기초자료!E47 * 중기전역변수!C18, 0)</f>
        <v>55700</v>
      </c>
      <c r="G46" s="28">
        <f>TRUNC(F46*D46, 0)</f>
        <v>55700</v>
      </c>
      <c r="H46" s="9" t="s">
        <v>1850</v>
      </c>
      <c r="I46" s="9" t="s">
        <v>1850</v>
      </c>
      <c r="K46" s="9" t="s">
        <v>1619</v>
      </c>
      <c r="L46" s="9" t="s">
        <v>1850</v>
      </c>
      <c r="M46" s="9" t="s">
        <v>1521</v>
      </c>
      <c r="AG46" s="29" t="str">
        <f>HYPERLINK("#중기기초자료!A47","L001010101000048 →")</f>
        <v>L001010101000048 →</v>
      </c>
    </row>
    <row r="47" spans="1:33" ht="18.399999999999999" customHeight="1" x14ac:dyDescent="0.15">
      <c r="B47" s="9" t="s">
        <v>1606</v>
      </c>
      <c r="G47" s="28">
        <f>TRUNC(G46, 0)</f>
        <v>55700</v>
      </c>
    </row>
    <row r="48" spans="1:33" ht="18.399999999999999" customHeight="1" x14ac:dyDescent="0.15">
      <c r="B48" s="9" t="s">
        <v>202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1663</v>
      </c>
      <c r="B50" s="4" t="s">
        <v>893</v>
      </c>
      <c r="C50" s="4"/>
      <c r="D50" s="4"/>
      <c r="E50" s="4"/>
      <c r="F50" s="4"/>
      <c r="G50" s="4"/>
      <c r="H50" s="4"/>
      <c r="I50" s="9" t="s">
        <v>1850</v>
      </c>
      <c r="J50" s="9" t="s">
        <v>1441</v>
      </c>
    </row>
    <row r="51" spans="1:33" ht="18.399999999999999" customHeight="1" x14ac:dyDescent="0.15">
      <c r="A51" s="4" t="s">
        <v>535</v>
      </c>
      <c r="B51" s="4" t="s">
        <v>1457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1449</v>
      </c>
      <c r="B52" s="27"/>
      <c r="C52" s="27" t="s">
        <v>954</v>
      </c>
      <c r="D52" s="27" t="s">
        <v>58</v>
      </c>
      <c r="E52" s="27" t="s">
        <v>1744</v>
      </c>
      <c r="F52" s="27" t="s">
        <v>448</v>
      </c>
      <c r="G52" s="27" t="s">
        <v>263</v>
      </c>
      <c r="H52" s="27" t="s">
        <v>515</v>
      </c>
    </row>
    <row r="53" spans="1:33" ht="18.399999999999999" customHeight="1" x14ac:dyDescent="0.15">
      <c r="A53" s="9" t="s">
        <v>128</v>
      </c>
      <c r="B53" s="9" t="s">
        <v>850</v>
      </c>
      <c r="C53" s="9" t="s">
        <v>371</v>
      </c>
      <c r="D53" s="9">
        <f>(1200 + 1067 + 700)*10^-4</f>
        <v>0.29670000000000002</v>
      </c>
      <c r="E53" s="28" t="s">
        <v>248</v>
      </c>
      <c r="F53" s="28">
        <f>중기기초자료!F7</f>
        <v>20793</v>
      </c>
      <c r="G53" s="28">
        <f>TRUNC(F53*D53, 0)</f>
        <v>6169</v>
      </c>
      <c r="H53" s="9" t="s">
        <v>1850</v>
      </c>
      <c r="I53" s="9" t="s">
        <v>1850</v>
      </c>
      <c r="K53" s="9" t="s">
        <v>243</v>
      </c>
      <c r="L53" s="9" t="s">
        <v>1850</v>
      </c>
      <c r="M53" s="9" t="s">
        <v>864</v>
      </c>
      <c r="N53" s="9" t="s">
        <v>1456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1606</v>
      </c>
      <c r="G54" s="28">
        <f>TRUNC(G53, 0)</f>
        <v>6169</v>
      </c>
    </row>
    <row r="55" spans="1:33" ht="18.399999999999999" customHeight="1" x14ac:dyDescent="0.15">
      <c r="A55" s="9" t="s">
        <v>1307</v>
      </c>
      <c r="B55" s="9" t="s">
        <v>331</v>
      </c>
      <c r="C55" s="9" t="s">
        <v>1850</v>
      </c>
      <c r="D55" s="9">
        <v>2.9</v>
      </c>
      <c r="E55" s="30" t="s">
        <v>1813</v>
      </c>
      <c r="F55" s="30">
        <f>중기기초자료!D50</f>
        <v>1356.64</v>
      </c>
      <c r="G55" s="30">
        <f>TRUNC(F55*D55, 2)</f>
        <v>3934.25</v>
      </c>
      <c r="H55" s="9" t="s">
        <v>1850</v>
      </c>
      <c r="I55" s="9" t="s">
        <v>1850</v>
      </c>
      <c r="K55" s="9" t="s">
        <v>1167</v>
      </c>
      <c r="L55" s="9" t="s">
        <v>1850</v>
      </c>
      <c r="M55" s="9" t="s">
        <v>1282</v>
      </c>
      <c r="AG55" s="29" t="str">
        <f>HYPERLINK("#중기기초자료!A50","M1510150520282163 →")</f>
        <v>M1510150520282163 →</v>
      </c>
    </row>
    <row r="56" spans="1:33" ht="18.399999999999999" customHeight="1" x14ac:dyDescent="0.15">
      <c r="B56" s="9" t="s">
        <v>149</v>
      </c>
      <c r="C56" s="9" t="s">
        <v>1850</v>
      </c>
      <c r="D56" s="9">
        <v>38</v>
      </c>
      <c r="E56" s="30" t="s">
        <v>804</v>
      </c>
      <c r="F56" s="30">
        <v>0</v>
      </c>
      <c r="G56" s="30">
        <f>TRUNC((G55) * D56/100, 2)</f>
        <v>1495.01</v>
      </c>
      <c r="H56" s="9" t="s">
        <v>1850</v>
      </c>
      <c r="I56" s="9" t="s">
        <v>1850</v>
      </c>
      <c r="K56" s="9" t="s">
        <v>715</v>
      </c>
      <c r="L56" s="9" t="s">
        <v>1850</v>
      </c>
      <c r="M56" s="9" t="s">
        <v>1287</v>
      </c>
      <c r="N56" s="9" t="s">
        <v>1850</v>
      </c>
    </row>
    <row r="57" spans="1:33" ht="18.399999999999999" customHeight="1" x14ac:dyDescent="0.15">
      <c r="B57" s="9" t="s">
        <v>1606</v>
      </c>
      <c r="G57" s="30">
        <f>TRUNC(G55+G56, 2)</f>
        <v>5429.26</v>
      </c>
    </row>
    <row r="58" spans="1:33" ht="18.399999999999999" customHeight="1" x14ac:dyDescent="0.15">
      <c r="A58" s="9" t="s">
        <v>789</v>
      </c>
      <c r="B58" s="9" t="s">
        <v>139</v>
      </c>
      <c r="C58" s="9" t="s">
        <v>1850</v>
      </c>
      <c r="D58" s="9">
        <v>1</v>
      </c>
      <c r="E58" s="28" t="s">
        <v>1142</v>
      </c>
      <c r="F58" s="28">
        <f>TRUNC(중기기초자료!E48 * 중기전역변수!C18, 0)</f>
        <v>47231</v>
      </c>
      <c r="G58" s="28">
        <f>TRUNC(F58*D58, 0)</f>
        <v>47231</v>
      </c>
      <c r="H58" s="9" t="s">
        <v>1850</v>
      </c>
      <c r="I58" s="9" t="s">
        <v>441</v>
      </c>
      <c r="K58" s="9" t="s">
        <v>1619</v>
      </c>
      <c r="L58" s="9" t="s">
        <v>1850</v>
      </c>
      <c r="M58" s="9" t="s">
        <v>686</v>
      </c>
      <c r="AG58" s="29" t="str">
        <f>HYPERLINK("#중기기초자료!A48","L001010101000049 →")</f>
        <v>L001010101000049 →</v>
      </c>
    </row>
    <row r="59" spans="1:33" ht="18.399999999999999" customHeight="1" x14ac:dyDescent="0.15">
      <c r="B59" s="9" t="s">
        <v>1606</v>
      </c>
      <c r="G59" s="28">
        <f>TRUNC(G58, 0)</f>
        <v>47231</v>
      </c>
    </row>
    <row r="60" spans="1:33" ht="18.399999999999999" customHeight="1" x14ac:dyDescent="0.15">
      <c r="B60" s="9" t="s">
        <v>202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1663</v>
      </c>
      <c r="B62" s="4" t="s">
        <v>1025</v>
      </c>
      <c r="C62" s="4"/>
      <c r="D62" s="4"/>
      <c r="E62" s="4"/>
      <c r="F62" s="4"/>
      <c r="G62" s="4"/>
      <c r="H62" s="4"/>
      <c r="I62" s="9" t="s">
        <v>1850</v>
      </c>
      <c r="J62" s="9" t="s">
        <v>793</v>
      </c>
    </row>
    <row r="63" spans="1:33" ht="18.399999999999999" customHeight="1" x14ac:dyDescent="0.15">
      <c r="A63" s="4" t="s">
        <v>535</v>
      </c>
      <c r="B63" s="4" t="s">
        <v>521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1449</v>
      </c>
      <c r="B64" s="27"/>
      <c r="C64" s="27" t="s">
        <v>954</v>
      </c>
      <c r="D64" s="27" t="s">
        <v>58</v>
      </c>
      <c r="E64" s="27" t="s">
        <v>1744</v>
      </c>
      <c r="F64" s="27" t="s">
        <v>448</v>
      </c>
      <c r="G64" s="27" t="s">
        <v>263</v>
      </c>
      <c r="H64" s="27" t="s">
        <v>515</v>
      </c>
    </row>
    <row r="65" spans="1:33" ht="18.399999999999999" customHeight="1" x14ac:dyDescent="0.15">
      <c r="A65" s="9" t="s">
        <v>128</v>
      </c>
      <c r="B65" s="9" t="s">
        <v>850</v>
      </c>
      <c r="C65" s="9" t="s">
        <v>1465</v>
      </c>
      <c r="D65" s="9">
        <f>(900 + 700 + 679)*10^-4</f>
        <v>0.22790000000000002</v>
      </c>
      <c r="E65" s="28" t="s">
        <v>248</v>
      </c>
      <c r="F65" s="28">
        <f>중기기초자료!F8</f>
        <v>86142</v>
      </c>
      <c r="G65" s="28">
        <f>TRUNC(F65*D65, 0)</f>
        <v>19631</v>
      </c>
      <c r="H65" s="9" t="s">
        <v>1850</v>
      </c>
      <c r="I65" s="9" t="s">
        <v>1850</v>
      </c>
      <c r="K65" s="9" t="s">
        <v>243</v>
      </c>
      <c r="L65" s="9" t="s">
        <v>1850</v>
      </c>
      <c r="M65" s="9" t="s">
        <v>106</v>
      </c>
      <c r="N65" s="9" t="s">
        <v>1458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1606</v>
      </c>
      <c r="G66" s="28">
        <f>TRUNC(G65, 0)</f>
        <v>19631</v>
      </c>
    </row>
    <row r="67" spans="1:33" ht="18.399999999999999" customHeight="1" x14ac:dyDescent="0.15">
      <c r="A67" s="9" t="s">
        <v>1307</v>
      </c>
      <c r="B67" s="9" t="s">
        <v>331</v>
      </c>
      <c r="C67" s="9" t="s">
        <v>1850</v>
      </c>
      <c r="D67" s="9">
        <v>15.9</v>
      </c>
      <c r="E67" s="30" t="s">
        <v>1813</v>
      </c>
      <c r="F67" s="30">
        <f>중기기초자료!D50</f>
        <v>1356.64</v>
      </c>
      <c r="G67" s="30">
        <f>TRUNC(F67*D67, 2)</f>
        <v>21570.57</v>
      </c>
      <c r="H67" s="9" t="s">
        <v>1850</v>
      </c>
      <c r="I67" s="9" t="s">
        <v>1850</v>
      </c>
      <c r="K67" s="9" t="s">
        <v>1167</v>
      </c>
      <c r="L67" s="9" t="s">
        <v>1850</v>
      </c>
      <c r="M67" s="9" t="s">
        <v>1282</v>
      </c>
      <c r="AG67" s="29" t="str">
        <f>HYPERLINK("#중기기초자료!A50","M1510150520282163 →")</f>
        <v>M1510150520282163 →</v>
      </c>
    </row>
    <row r="68" spans="1:33" ht="18.399999999999999" customHeight="1" x14ac:dyDescent="0.15">
      <c r="B68" s="9" t="s">
        <v>149</v>
      </c>
      <c r="C68" s="9" t="s">
        <v>1850</v>
      </c>
      <c r="D68" s="9">
        <v>38</v>
      </c>
      <c r="E68" s="30" t="s">
        <v>804</v>
      </c>
      <c r="F68" s="30">
        <v>0</v>
      </c>
      <c r="G68" s="30">
        <f>TRUNC((G67) * D68/100, 2)</f>
        <v>8196.81</v>
      </c>
      <c r="H68" s="9" t="s">
        <v>1850</v>
      </c>
      <c r="I68" s="9" t="s">
        <v>1850</v>
      </c>
      <c r="K68" s="9" t="s">
        <v>715</v>
      </c>
      <c r="L68" s="9" t="s">
        <v>1850</v>
      </c>
      <c r="M68" s="9" t="s">
        <v>1287</v>
      </c>
      <c r="N68" s="9" t="s">
        <v>1850</v>
      </c>
    </row>
    <row r="69" spans="1:33" ht="18.399999999999999" customHeight="1" x14ac:dyDescent="0.15">
      <c r="B69" s="9" t="s">
        <v>1606</v>
      </c>
      <c r="G69" s="30">
        <f>TRUNC(G67+G68, 2)</f>
        <v>29767.38</v>
      </c>
    </row>
    <row r="70" spans="1:33" ht="18.399999999999999" customHeight="1" x14ac:dyDescent="0.15">
      <c r="A70" s="9" t="s">
        <v>789</v>
      </c>
      <c r="B70" s="9" t="s">
        <v>453</v>
      </c>
      <c r="C70" s="9" t="s">
        <v>1850</v>
      </c>
      <c r="D70" s="9">
        <v>1</v>
      </c>
      <c r="E70" s="28" t="s">
        <v>1142</v>
      </c>
      <c r="F70" s="28">
        <f>TRUNC(중기기초자료!E47 * 중기전역변수!C18, 0)</f>
        <v>55700</v>
      </c>
      <c r="G70" s="28">
        <f>TRUNC(F70*D70, 0)</f>
        <v>55700</v>
      </c>
      <c r="H70" s="9" t="s">
        <v>1850</v>
      </c>
      <c r="I70" s="9" t="s">
        <v>1850</v>
      </c>
      <c r="K70" s="9" t="s">
        <v>1619</v>
      </c>
      <c r="L70" s="9" t="s">
        <v>1850</v>
      </c>
      <c r="M70" s="9" t="s">
        <v>1521</v>
      </c>
      <c r="AG70" s="29" t="str">
        <f>HYPERLINK("#중기기초자료!A47","L001010101000048 →")</f>
        <v>L001010101000048 →</v>
      </c>
    </row>
    <row r="71" spans="1:33" ht="18.399999999999999" customHeight="1" x14ac:dyDescent="0.15">
      <c r="B71" s="9" t="s">
        <v>1606</v>
      </c>
      <c r="G71" s="28">
        <f>TRUNC(G70, 0)</f>
        <v>55700</v>
      </c>
    </row>
    <row r="72" spans="1:33" ht="18.399999999999999" customHeight="1" x14ac:dyDescent="0.15">
      <c r="B72" s="9" t="s">
        <v>202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1663</v>
      </c>
      <c r="B74" s="4" t="s">
        <v>1528</v>
      </c>
      <c r="C74" s="4"/>
      <c r="D74" s="4"/>
      <c r="E74" s="4"/>
      <c r="F74" s="4"/>
      <c r="G74" s="4"/>
      <c r="H74" s="4"/>
      <c r="I74" s="9" t="s">
        <v>1850</v>
      </c>
      <c r="J74" s="9" t="s">
        <v>1162</v>
      </c>
    </row>
    <row r="75" spans="1:33" ht="18.399999999999999" customHeight="1" x14ac:dyDescent="0.15">
      <c r="A75" s="4" t="s">
        <v>535</v>
      </c>
      <c r="B75" s="4" t="s">
        <v>1464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1449</v>
      </c>
      <c r="B76" s="27"/>
      <c r="C76" s="27" t="s">
        <v>954</v>
      </c>
      <c r="D76" s="27" t="s">
        <v>58</v>
      </c>
      <c r="E76" s="27" t="s">
        <v>1744</v>
      </c>
      <c r="F76" s="27" t="s">
        <v>448</v>
      </c>
      <c r="G76" s="27" t="s">
        <v>263</v>
      </c>
      <c r="H76" s="27" t="s">
        <v>515</v>
      </c>
    </row>
    <row r="77" spans="1:33" ht="18.399999999999999" customHeight="1" x14ac:dyDescent="0.15">
      <c r="A77" s="9" t="s">
        <v>128</v>
      </c>
      <c r="B77" s="9" t="s">
        <v>59</v>
      </c>
      <c r="C77" s="9" t="s">
        <v>1465</v>
      </c>
      <c r="D77" s="9">
        <f>(1125 + 1063 + 496)*10^-4</f>
        <v>0.26840000000000003</v>
      </c>
      <c r="E77" s="28" t="s">
        <v>248</v>
      </c>
      <c r="F77" s="28">
        <f>중기기초자료!F9</f>
        <v>1546</v>
      </c>
      <c r="G77" s="28">
        <f>TRUNC(F77*D77, 0)</f>
        <v>414</v>
      </c>
      <c r="H77" s="9" t="s">
        <v>1850</v>
      </c>
      <c r="I77" s="9" t="s">
        <v>1850</v>
      </c>
      <c r="K77" s="9" t="s">
        <v>243</v>
      </c>
      <c r="L77" s="9" t="s">
        <v>1850</v>
      </c>
      <c r="M77" s="9" t="s">
        <v>1348</v>
      </c>
      <c r="N77" s="9" t="s">
        <v>741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1606</v>
      </c>
      <c r="G78" s="28">
        <f>TRUNC(G77, 0)</f>
        <v>414</v>
      </c>
    </row>
    <row r="79" spans="1:33" ht="18.399999999999999" customHeight="1" x14ac:dyDescent="0.15">
      <c r="A79" s="9" t="s">
        <v>1307</v>
      </c>
    </row>
    <row r="80" spans="1:33" ht="18.399999999999999" customHeight="1" x14ac:dyDescent="0.15">
      <c r="B80" s="9" t="s">
        <v>1606</v>
      </c>
    </row>
    <row r="81" spans="1:33" ht="18.399999999999999" customHeight="1" x14ac:dyDescent="0.15">
      <c r="A81" s="9" t="s">
        <v>789</v>
      </c>
    </row>
    <row r="82" spans="1:33" ht="18.399999999999999" customHeight="1" x14ac:dyDescent="0.15">
      <c r="B82" s="9" t="s">
        <v>1606</v>
      </c>
    </row>
    <row r="83" spans="1:33" ht="18.399999999999999" customHeight="1" x14ac:dyDescent="0.15">
      <c r="B83" s="9" t="s">
        <v>202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1663</v>
      </c>
      <c r="B85" s="4" t="s">
        <v>115</v>
      </c>
      <c r="C85" s="4"/>
      <c r="D85" s="4"/>
      <c r="E85" s="4"/>
      <c r="F85" s="4"/>
      <c r="G85" s="4"/>
      <c r="H85" s="4"/>
      <c r="I85" s="9" t="s">
        <v>1850</v>
      </c>
      <c r="J85" s="9" t="s">
        <v>80</v>
      </c>
    </row>
    <row r="86" spans="1:33" ht="18.399999999999999" customHeight="1" x14ac:dyDescent="0.15">
      <c r="A86" s="4" t="s">
        <v>535</v>
      </c>
      <c r="B86" s="4" t="s">
        <v>1812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1449</v>
      </c>
      <c r="B87" s="27"/>
      <c r="C87" s="27" t="s">
        <v>954</v>
      </c>
      <c r="D87" s="27" t="s">
        <v>58</v>
      </c>
      <c r="E87" s="27" t="s">
        <v>1744</v>
      </c>
      <c r="F87" s="27" t="s">
        <v>448</v>
      </c>
      <c r="G87" s="27" t="s">
        <v>263</v>
      </c>
      <c r="H87" s="27" t="s">
        <v>515</v>
      </c>
    </row>
    <row r="88" spans="1:33" ht="18.399999999999999" customHeight="1" x14ac:dyDescent="0.15">
      <c r="A88" s="9" t="s">
        <v>128</v>
      </c>
      <c r="B88" s="9" t="s">
        <v>1401</v>
      </c>
      <c r="C88" s="9" t="s">
        <v>771</v>
      </c>
      <c r="D88" s="9">
        <f>(1286 + 857 + 682)*10^-4</f>
        <v>0.28250000000000003</v>
      </c>
      <c r="E88" s="28" t="s">
        <v>248</v>
      </c>
      <c r="F88" s="28">
        <f>중기기초자료!F10</f>
        <v>6537</v>
      </c>
      <c r="G88" s="28">
        <f>TRUNC(F88*D88, 0)</f>
        <v>1846</v>
      </c>
      <c r="H88" s="9" t="s">
        <v>1850</v>
      </c>
      <c r="I88" s="9" t="s">
        <v>1850</v>
      </c>
      <c r="K88" s="9" t="s">
        <v>243</v>
      </c>
      <c r="L88" s="9" t="s">
        <v>1850</v>
      </c>
      <c r="M88" s="9" t="s">
        <v>1826</v>
      </c>
      <c r="N88" s="9" t="s">
        <v>478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1606</v>
      </c>
      <c r="G89" s="28">
        <f>TRUNC(G88, 0)</f>
        <v>1846</v>
      </c>
    </row>
    <row r="90" spans="1:33" ht="18.399999999999999" customHeight="1" x14ac:dyDescent="0.15">
      <c r="A90" s="9" t="s">
        <v>1307</v>
      </c>
      <c r="B90" s="9" t="s">
        <v>331</v>
      </c>
      <c r="C90" s="9" t="s">
        <v>1850</v>
      </c>
      <c r="D90" s="9">
        <v>2.2000000000000002</v>
      </c>
      <c r="E90" s="30" t="s">
        <v>1813</v>
      </c>
      <c r="F90" s="30">
        <f>중기기초자료!D50</f>
        <v>1356.64</v>
      </c>
      <c r="G90" s="30">
        <f>TRUNC(F90*D90, 2)</f>
        <v>2984.6</v>
      </c>
      <c r="H90" s="9" t="s">
        <v>1850</v>
      </c>
      <c r="I90" s="9" t="s">
        <v>1850</v>
      </c>
      <c r="K90" s="9" t="s">
        <v>1167</v>
      </c>
      <c r="L90" s="9" t="s">
        <v>1850</v>
      </c>
      <c r="M90" s="9" t="s">
        <v>1282</v>
      </c>
      <c r="AG90" s="29" t="str">
        <f>HYPERLINK("#중기기초자료!A50","M1510150520282163 →")</f>
        <v>M1510150520282163 →</v>
      </c>
    </row>
    <row r="91" spans="1:33" ht="18.399999999999999" customHeight="1" x14ac:dyDescent="0.15">
      <c r="B91" s="9" t="s">
        <v>149</v>
      </c>
      <c r="C91" s="9" t="s">
        <v>1850</v>
      </c>
      <c r="D91" s="9">
        <v>13</v>
      </c>
      <c r="E91" s="30" t="s">
        <v>804</v>
      </c>
      <c r="F91" s="30">
        <v>0</v>
      </c>
      <c r="G91" s="30">
        <f>TRUNC((G90) * D91/100, 2)</f>
        <v>387.99</v>
      </c>
      <c r="H91" s="9" t="s">
        <v>1850</v>
      </c>
      <c r="I91" s="9" t="s">
        <v>1850</v>
      </c>
      <c r="K91" s="9" t="s">
        <v>715</v>
      </c>
      <c r="L91" s="9" t="s">
        <v>1850</v>
      </c>
      <c r="M91" s="9" t="s">
        <v>1287</v>
      </c>
      <c r="N91" s="9" t="s">
        <v>1850</v>
      </c>
    </row>
    <row r="92" spans="1:33" ht="18.399999999999999" customHeight="1" x14ac:dyDescent="0.15">
      <c r="B92" s="9" t="s">
        <v>1606</v>
      </c>
      <c r="G92" s="30">
        <f>TRUNC(G90+G91, 2)</f>
        <v>3372.59</v>
      </c>
    </row>
    <row r="93" spans="1:33" ht="18.399999999999999" customHeight="1" x14ac:dyDescent="0.15">
      <c r="A93" s="9" t="s">
        <v>789</v>
      </c>
      <c r="B93" s="9" t="s">
        <v>982</v>
      </c>
      <c r="C93" s="9" t="s">
        <v>1850</v>
      </c>
      <c r="D93" s="9">
        <v>1</v>
      </c>
      <c r="E93" s="28" t="s">
        <v>1142</v>
      </c>
      <c r="F93" s="28">
        <f>TRUNC(중기기초자료!E49 * 중기전역변수!C18, 0)</f>
        <v>33571</v>
      </c>
      <c r="G93" s="28">
        <f>TRUNC(F93*D93, 0)</f>
        <v>33571</v>
      </c>
      <c r="H93" s="9" t="s">
        <v>1850</v>
      </c>
      <c r="I93" s="9" t="s">
        <v>1850</v>
      </c>
      <c r="K93" s="9" t="s">
        <v>1619</v>
      </c>
      <c r="L93" s="9" t="s">
        <v>1850</v>
      </c>
      <c r="M93" s="9" t="s">
        <v>1391</v>
      </c>
      <c r="AG93" s="29" t="str">
        <f>HYPERLINK("#중기기초자료!A49","L001010101000050 →")</f>
        <v>L001010101000050 →</v>
      </c>
    </row>
    <row r="94" spans="1:33" ht="18.399999999999999" customHeight="1" x14ac:dyDescent="0.15">
      <c r="B94" s="9" t="s">
        <v>1606</v>
      </c>
      <c r="G94" s="28">
        <f>TRUNC(G93, 0)</f>
        <v>33571</v>
      </c>
    </row>
    <row r="95" spans="1:33" ht="18.399999999999999" customHeight="1" x14ac:dyDescent="0.15">
      <c r="B95" s="9" t="s">
        <v>202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1663</v>
      </c>
      <c r="B97" s="4" t="s">
        <v>1046</v>
      </c>
      <c r="C97" s="4"/>
      <c r="D97" s="4"/>
      <c r="E97" s="4"/>
      <c r="F97" s="4"/>
      <c r="G97" s="4"/>
      <c r="H97" s="4"/>
      <c r="I97" s="9" t="s">
        <v>1850</v>
      </c>
      <c r="J97" s="9" t="s">
        <v>336</v>
      </c>
    </row>
    <row r="98" spans="1:33" ht="18.399999999999999" customHeight="1" x14ac:dyDescent="0.15">
      <c r="A98" s="4" t="s">
        <v>535</v>
      </c>
      <c r="B98" s="4" t="s">
        <v>496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1449</v>
      </c>
      <c r="B99" s="27"/>
      <c r="C99" s="27" t="s">
        <v>954</v>
      </c>
      <c r="D99" s="27" t="s">
        <v>58</v>
      </c>
      <c r="E99" s="27" t="s">
        <v>1744</v>
      </c>
      <c r="F99" s="27" t="s">
        <v>448</v>
      </c>
      <c r="G99" s="27" t="s">
        <v>263</v>
      </c>
      <c r="H99" s="27" t="s">
        <v>515</v>
      </c>
    </row>
    <row r="100" spans="1:33" ht="18.399999999999999" customHeight="1" x14ac:dyDescent="0.15">
      <c r="A100" s="9" t="s">
        <v>128</v>
      </c>
      <c r="B100" s="9" t="s">
        <v>1743</v>
      </c>
      <c r="C100" s="9" t="s">
        <v>371</v>
      </c>
      <c r="D100" s="9">
        <f>(1286 + 857 + 682)*10^-4</f>
        <v>0.28250000000000003</v>
      </c>
      <c r="E100" s="28" t="s">
        <v>248</v>
      </c>
      <c r="F100" s="28">
        <f>중기기초자료!F11</f>
        <v>17252</v>
      </c>
      <c r="G100" s="28">
        <f>TRUNC(F100*D100, 0)</f>
        <v>4873</v>
      </c>
      <c r="H100" s="9" t="s">
        <v>1850</v>
      </c>
      <c r="I100" s="9" t="s">
        <v>1850</v>
      </c>
      <c r="K100" s="9" t="s">
        <v>243</v>
      </c>
      <c r="L100" s="9" t="s">
        <v>1850</v>
      </c>
      <c r="M100" s="9" t="s">
        <v>632</v>
      </c>
      <c r="N100" s="9" t="s">
        <v>478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1606</v>
      </c>
      <c r="G101" s="28">
        <f>TRUNC(G100, 0)</f>
        <v>4873</v>
      </c>
    </row>
    <row r="102" spans="1:33" ht="18.399999999999999" customHeight="1" x14ac:dyDescent="0.15">
      <c r="A102" s="9" t="s">
        <v>1307</v>
      </c>
      <c r="B102" s="9" t="s">
        <v>331</v>
      </c>
      <c r="C102" s="9" t="s">
        <v>1850</v>
      </c>
      <c r="D102" s="9">
        <v>2.2999999999999998</v>
      </c>
      <c r="E102" s="30" t="s">
        <v>1813</v>
      </c>
      <c r="F102" s="30">
        <f>중기기초자료!D50</f>
        <v>1356.64</v>
      </c>
      <c r="G102" s="30">
        <f>TRUNC(F102*D102, 2)</f>
        <v>3120.27</v>
      </c>
      <c r="H102" s="9" t="s">
        <v>1850</v>
      </c>
      <c r="I102" s="9" t="s">
        <v>1850</v>
      </c>
      <c r="K102" s="9" t="s">
        <v>1167</v>
      </c>
      <c r="L102" s="9" t="s">
        <v>1850</v>
      </c>
      <c r="M102" s="9" t="s">
        <v>1282</v>
      </c>
      <c r="AG102" s="29" t="str">
        <f>HYPERLINK("#중기기초자료!A50","M1510150520282163 →")</f>
        <v>M1510150520282163 →</v>
      </c>
    </row>
    <row r="103" spans="1:33" ht="18.399999999999999" customHeight="1" x14ac:dyDescent="0.15">
      <c r="B103" s="9" t="s">
        <v>149</v>
      </c>
      <c r="C103" s="9" t="s">
        <v>1850</v>
      </c>
      <c r="D103" s="9">
        <v>13</v>
      </c>
      <c r="E103" s="30" t="s">
        <v>804</v>
      </c>
      <c r="F103" s="30">
        <v>0</v>
      </c>
      <c r="G103" s="30">
        <f>TRUNC((G102) * D103/100, 2)</f>
        <v>405.63</v>
      </c>
      <c r="H103" s="9" t="s">
        <v>1850</v>
      </c>
      <c r="I103" s="9" t="s">
        <v>1850</v>
      </c>
      <c r="K103" s="9" t="s">
        <v>715</v>
      </c>
      <c r="L103" s="9" t="s">
        <v>1850</v>
      </c>
      <c r="M103" s="9" t="s">
        <v>1287</v>
      </c>
      <c r="N103" s="9" t="s">
        <v>1850</v>
      </c>
    </row>
    <row r="104" spans="1:33" ht="18.399999999999999" customHeight="1" x14ac:dyDescent="0.15">
      <c r="B104" s="9" t="s">
        <v>1606</v>
      </c>
      <c r="G104" s="30">
        <f>TRUNC(G102+G103, 2)</f>
        <v>3525.9</v>
      </c>
    </row>
    <row r="105" spans="1:33" ht="18.399999999999999" customHeight="1" x14ac:dyDescent="0.15">
      <c r="A105" s="9" t="s">
        <v>789</v>
      </c>
      <c r="B105" s="9" t="s">
        <v>453</v>
      </c>
      <c r="C105" s="9" t="s">
        <v>1850</v>
      </c>
      <c r="D105" s="9">
        <v>1</v>
      </c>
      <c r="E105" s="28" t="s">
        <v>1142</v>
      </c>
      <c r="F105" s="28">
        <f>TRUNC(중기기초자료!E47 * 중기전역변수!C18, 0)</f>
        <v>55700</v>
      </c>
      <c r="G105" s="28">
        <f>TRUNC(F105*D105, 0)</f>
        <v>55700</v>
      </c>
      <c r="H105" s="9" t="s">
        <v>1850</v>
      </c>
      <c r="I105" s="9" t="s">
        <v>1850</v>
      </c>
      <c r="K105" s="9" t="s">
        <v>1619</v>
      </c>
      <c r="L105" s="9" t="s">
        <v>1850</v>
      </c>
      <c r="M105" s="9" t="s">
        <v>1521</v>
      </c>
      <c r="AG105" s="29" t="str">
        <f>HYPERLINK("#중기기초자료!A47","L001010101000048 →")</f>
        <v>L001010101000048 →</v>
      </c>
    </row>
    <row r="106" spans="1:33" ht="18.399999999999999" customHeight="1" x14ac:dyDescent="0.15">
      <c r="B106" s="9" t="s">
        <v>1606</v>
      </c>
      <c r="G106" s="28">
        <f>TRUNC(G105, 0)</f>
        <v>55700</v>
      </c>
    </row>
    <row r="107" spans="1:33" ht="18.399999999999999" customHeight="1" x14ac:dyDescent="0.15">
      <c r="B107" s="9" t="s">
        <v>202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1663</v>
      </c>
      <c r="B109" s="4" t="s">
        <v>770</v>
      </c>
      <c r="C109" s="4"/>
      <c r="D109" s="4"/>
      <c r="E109" s="4"/>
      <c r="F109" s="4"/>
      <c r="G109" s="4"/>
      <c r="H109" s="4"/>
      <c r="I109" s="9" t="s">
        <v>1850</v>
      </c>
      <c r="J109" s="9" t="s">
        <v>973</v>
      </c>
    </row>
    <row r="110" spans="1:33" ht="18.399999999999999" customHeight="1" x14ac:dyDescent="0.15">
      <c r="A110" s="4" t="s">
        <v>535</v>
      </c>
      <c r="B110" s="4" t="s">
        <v>34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1449</v>
      </c>
      <c r="B111" s="27"/>
      <c r="C111" s="27" t="s">
        <v>954</v>
      </c>
      <c r="D111" s="27" t="s">
        <v>58</v>
      </c>
      <c r="E111" s="27" t="s">
        <v>1744</v>
      </c>
      <c r="F111" s="27" t="s">
        <v>448</v>
      </c>
      <c r="G111" s="27" t="s">
        <v>263</v>
      </c>
      <c r="H111" s="27" t="s">
        <v>515</v>
      </c>
    </row>
    <row r="112" spans="1:33" ht="18.399999999999999" customHeight="1" x14ac:dyDescent="0.15">
      <c r="A112" s="9" t="s">
        <v>128</v>
      </c>
      <c r="B112" s="9" t="s">
        <v>638</v>
      </c>
      <c r="C112" s="9" t="s">
        <v>869</v>
      </c>
      <c r="D112" s="9">
        <f>(1800 + 1200 + 708)*10^-4</f>
        <v>0.37080000000000002</v>
      </c>
      <c r="E112" s="28" t="s">
        <v>248</v>
      </c>
      <c r="F112" s="28">
        <f>중기기초자료!F12</f>
        <v>1330</v>
      </c>
      <c r="G112" s="28">
        <f>TRUNC(F112*D112, 0)</f>
        <v>493</v>
      </c>
      <c r="H112" s="9" t="s">
        <v>1850</v>
      </c>
      <c r="I112" s="9" t="s">
        <v>1850</v>
      </c>
      <c r="K112" s="9" t="s">
        <v>243</v>
      </c>
      <c r="L112" s="9" t="s">
        <v>1850</v>
      </c>
      <c r="M112" s="9" t="s">
        <v>1066</v>
      </c>
      <c r="N112" s="9" t="s">
        <v>252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1606</v>
      </c>
      <c r="G113" s="28">
        <f>TRUNC(G112, 0)</f>
        <v>493</v>
      </c>
    </row>
    <row r="114" spans="1:33" ht="18.399999999999999" customHeight="1" x14ac:dyDescent="0.15">
      <c r="A114" s="9" t="s">
        <v>1307</v>
      </c>
      <c r="B114" s="9" t="s">
        <v>1325</v>
      </c>
      <c r="C114" s="9" t="s">
        <v>1850</v>
      </c>
      <c r="D114" s="9">
        <v>0.7</v>
      </c>
      <c r="E114" s="30" t="s">
        <v>1813</v>
      </c>
      <c r="F114" s="30">
        <f>중기기초자료!D51</f>
        <v>1433.72</v>
      </c>
      <c r="G114" s="30">
        <f>TRUNC(F114*D114, 2)</f>
        <v>1003.6</v>
      </c>
      <c r="H114" s="9" t="s">
        <v>1850</v>
      </c>
      <c r="I114" s="9" t="s">
        <v>1850</v>
      </c>
      <c r="K114" s="9" t="s">
        <v>1167</v>
      </c>
      <c r="L114" s="9" t="s">
        <v>1850</v>
      </c>
      <c r="M114" s="9" t="s">
        <v>1347</v>
      </c>
      <c r="AG114" s="29" t="str">
        <f>HYPERLINK("#중기기초자료!A51","M1510150620282203 →")</f>
        <v>M1510150620282203 →</v>
      </c>
    </row>
    <row r="115" spans="1:33" ht="18.399999999999999" customHeight="1" x14ac:dyDescent="0.15">
      <c r="B115" s="9" t="s">
        <v>149</v>
      </c>
      <c r="C115" s="9" t="s">
        <v>1850</v>
      </c>
      <c r="D115" s="9">
        <v>10</v>
      </c>
      <c r="E115" s="30" t="s">
        <v>804</v>
      </c>
      <c r="F115" s="30">
        <v>0</v>
      </c>
      <c r="G115" s="30">
        <f>TRUNC((G114) * D115/100, 2)</f>
        <v>100.36</v>
      </c>
      <c r="H115" s="9" t="s">
        <v>1850</v>
      </c>
      <c r="I115" s="9" t="s">
        <v>1850</v>
      </c>
      <c r="K115" s="9" t="s">
        <v>715</v>
      </c>
      <c r="L115" s="9" t="s">
        <v>1850</v>
      </c>
      <c r="M115" s="9" t="s">
        <v>1287</v>
      </c>
      <c r="N115" s="9" t="s">
        <v>1850</v>
      </c>
    </row>
    <row r="116" spans="1:33" ht="18.399999999999999" customHeight="1" x14ac:dyDescent="0.15">
      <c r="B116" s="9" t="s">
        <v>1606</v>
      </c>
      <c r="G116" s="30">
        <f>TRUNC(G114+G115, 2)</f>
        <v>1103.96</v>
      </c>
    </row>
    <row r="117" spans="1:33" ht="18.399999999999999" customHeight="1" x14ac:dyDescent="0.15">
      <c r="A117" s="9" t="s">
        <v>789</v>
      </c>
      <c r="B117" s="9" t="s">
        <v>982</v>
      </c>
      <c r="C117" s="9" t="s">
        <v>1850</v>
      </c>
      <c r="D117" s="9">
        <v>1</v>
      </c>
      <c r="E117" s="28" t="s">
        <v>1142</v>
      </c>
      <c r="F117" s="28">
        <f>TRUNC(중기기초자료!E49 * 중기전역변수!C18, 0)</f>
        <v>33571</v>
      </c>
      <c r="G117" s="28">
        <f>TRUNC(F117*D117, 0)</f>
        <v>33571</v>
      </c>
      <c r="H117" s="9" t="s">
        <v>1850</v>
      </c>
      <c r="I117" s="9" t="s">
        <v>1306</v>
      </c>
      <c r="K117" s="9" t="s">
        <v>1619</v>
      </c>
      <c r="L117" s="9" t="s">
        <v>1850</v>
      </c>
      <c r="M117" s="9" t="s">
        <v>1391</v>
      </c>
      <c r="AG117" s="29" t="str">
        <f>HYPERLINK("#중기기초자료!A49","L001010101000050 →")</f>
        <v>L001010101000050 →</v>
      </c>
    </row>
    <row r="118" spans="1:33" ht="18.399999999999999" customHeight="1" x14ac:dyDescent="0.15">
      <c r="B118" s="9" t="s">
        <v>1606</v>
      </c>
      <c r="G118" s="28">
        <f>TRUNC(G117, 0)</f>
        <v>33571</v>
      </c>
    </row>
    <row r="119" spans="1:33" ht="18.399999999999999" customHeight="1" x14ac:dyDescent="0.15">
      <c r="B119" s="9" t="s">
        <v>202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1663</v>
      </c>
      <c r="B121" s="4" t="s">
        <v>540</v>
      </c>
      <c r="C121" s="4"/>
      <c r="D121" s="4"/>
      <c r="E121" s="4"/>
      <c r="F121" s="4"/>
      <c r="G121" s="4"/>
      <c r="H121" s="4"/>
      <c r="I121" s="9" t="s">
        <v>1850</v>
      </c>
      <c r="J121" s="9" t="s">
        <v>1074</v>
      </c>
    </row>
    <row r="122" spans="1:33" ht="18.399999999999999" customHeight="1" x14ac:dyDescent="0.15">
      <c r="A122" s="4" t="s">
        <v>535</v>
      </c>
      <c r="B122" s="4" t="s">
        <v>1821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1449</v>
      </c>
      <c r="B123" s="27"/>
      <c r="C123" s="27" t="s">
        <v>954</v>
      </c>
      <c r="D123" s="27" t="s">
        <v>58</v>
      </c>
      <c r="E123" s="27" t="s">
        <v>1744</v>
      </c>
      <c r="F123" s="27" t="s">
        <v>448</v>
      </c>
      <c r="G123" s="27" t="s">
        <v>263</v>
      </c>
      <c r="H123" s="27" t="s">
        <v>515</v>
      </c>
    </row>
    <row r="124" spans="1:33" ht="18.399999999999999" customHeight="1" x14ac:dyDescent="0.15">
      <c r="A124" s="9" t="s">
        <v>128</v>
      </c>
      <c r="B124" s="9" t="s">
        <v>892</v>
      </c>
      <c r="C124" s="9" t="s">
        <v>1328</v>
      </c>
      <c r="D124" s="9">
        <f>(1800 + 1200 + 708)*10^-4</f>
        <v>0.37080000000000002</v>
      </c>
      <c r="E124" s="28" t="s">
        <v>248</v>
      </c>
      <c r="F124" s="28">
        <f>중기기초자료!F13</f>
        <v>1570</v>
      </c>
      <c r="G124" s="28">
        <f>TRUNC(F124*D124, 0)</f>
        <v>582</v>
      </c>
      <c r="H124" s="9" t="s">
        <v>1850</v>
      </c>
      <c r="I124" s="9" t="s">
        <v>1850</v>
      </c>
      <c r="K124" s="9" t="s">
        <v>243</v>
      </c>
      <c r="L124" s="9" t="s">
        <v>1850</v>
      </c>
      <c r="M124" s="9" t="s">
        <v>1784</v>
      </c>
      <c r="N124" s="9" t="s">
        <v>252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1606</v>
      </c>
      <c r="G125" s="28">
        <f>TRUNC(G124, 0)</f>
        <v>582</v>
      </c>
    </row>
    <row r="126" spans="1:33" ht="18.399999999999999" customHeight="1" x14ac:dyDescent="0.15">
      <c r="A126" s="9" t="s">
        <v>1307</v>
      </c>
      <c r="B126" s="9" t="s">
        <v>1325</v>
      </c>
      <c r="C126" s="9" t="s">
        <v>1850</v>
      </c>
      <c r="D126" s="9">
        <v>1</v>
      </c>
      <c r="E126" s="30" t="s">
        <v>1813</v>
      </c>
      <c r="F126" s="30">
        <f>중기기초자료!D51</f>
        <v>1433.72</v>
      </c>
      <c r="G126" s="30">
        <f>TRUNC(F126*D126, 2)</f>
        <v>1433.72</v>
      </c>
      <c r="H126" s="9" t="s">
        <v>1850</v>
      </c>
      <c r="I126" s="9" t="s">
        <v>1850</v>
      </c>
      <c r="K126" s="9" t="s">
        <v>1167</v>
      </c>
      <c r="L126" s="9" t="s">
        <v>1850</v>
      </c>
      <c r="M126" s="9" t="s">
        <v>1347</v>
      </c>
      <c r="AG126" s="29" t="str">
        <f>HYPERLINK("#중기기초자료!A51","M1510150620282203 →")</f>
        <v>M1510150620282203 →</v>
      </c>
    </row>
    <row r="127" spans="1:33" ht="18.399999999999999" customHeight="1" x14ac:dyDescent="0.15">
      <c r="B127" s="9" t="s">
        <v>149</v>
      </c>
      <c r="C127" s="9" t="s">
        <v>1850</v>
      </c>
      <c r="D127" s="9">
        <v>20</v>
      </c>
      <c r="E127" s="30" t="s">
        <v>804</v>
      </c>
      <c r="F127" s="30">
        <v>0</v>
      </c>
      <c r="G127" s="30">
        <f>TRUNC((G126) * D127/100, 2)</f>
        <v>286.74</v>
      </c>
      <c r="H127" s="9" t="s">
        <v>1850</v>
      </c>
      <c r="I127" s="9" t="s">
        <v>1850</v>
      </c>
      <c r="K127" s="9" t="s">
        <v>715</v>
      </c>
      <c r="L127" s="9" t="s">
        <v>1850</v>
      </c>
      <c r="M127" s="9" t="s">
        <v>1287</v>
      </c>
      <c r="N127" s="9" t="s">
        <v>1850</v>
      </c>
    </row>
    <row r="128" spans="1:33" ht="18.399999999999999" customHeight="1" x14ac:dyDescent="0.15">
      <c r="B128" s="9" t="s">
        <v>1606</v>
      </c>
      <c r="G128" s="30">
        <f>TRUNC(G126+G127, 2)</f>
        <v>1720.46</v>
      </c>
    </row>
    <row r="129" spans="1:33" ht="18.399999999999999" customHeight="1" x14ac:dyDescent="0.15">
      <c r="A129" s="9" t="s">
        <v>789</v>
      </c>
      <c r="B129" s="9" t="s">
        <v>982</v>
      </c>
      <c r="C129" s="9" t="s">
        <v>1850</v>
      </c>
      <c r="D129" s="9">
        <v>1</v>
      </c>
      <c r="E129" s="28" t="s">
        <v>1142</v>
      </c>
      <c r="F129" s="28">
        <f>TRUNC(중기기초자료!E49 * 중기전역변수!C18, 0)</f>
        <v>33571</v>
      </c>
      <c r="G129" s="28">
        <f>TRUNC(F129*D129, 0)</f>
        <v>33571</v>
      </c>
      <c r="H129" s="9" t="s">
        <v>1850</v>
      </c>
      <c r="I129" s="9" t="s">
        <v>1850</v>
      </c>
      <c r="K129" s="9" t="s">
        <v>1619</v>
      </c>
      <c r="L129" s="9" t="s">
        <v>1850</v>
      </c>
      <c r="M129" s="9" t="s">
        <v>1391</v>
      </c>
      <c r="AG129" s="29" t="str">
        <f>HYPERLINK("#중기기초자료!A49","L001010101000050 →")</f>
        <v>L001010101000050 →</v>
      </c>
    </row>
    <row r="130" spans="1:33" ht="18.399999999999999" customHeight="1" x14ac:dyDescent="0.15">
      <c r="B130" s="9" t="s">
        <v>1606</v>
      </c>
      <c r="G130" s="28">
        <f>TRUNC(G129, 0)</f>
        <v>33571</v>
      </c>
    </row>
    <row r="131" spans="1:33" ht="18.399999999999999" customHeight="1" x14ac:dyDescent="0.15">
      <c r="B131" s="9" t="s">
        <v>202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1663</v>
      </c>
      <c r="B133" s="4" t="s">
        <v>577</v>
      </c>
      <c r="C133" s="4"/>
      <c r="D133" s="4"/>
      <c r="E133" s="4"/>
      <c r="F133" s="4"/>
      <c r="G133" s="4"/>
      <c r="H133" s="4"/>
      <c r="I133" s="9" t="s">
        <v>1850</v>
      </c>
      <c r="J133" s="9" t="s">
        <v>35</v>
      </c>
    </row>
    <row r="134" spans="1:33" ht="18.399999999999999" customHeight="1" x14ac:dyDescent="0.15">
      <c r="A134" s="4" t="s">
        <v>535</v>
      </c>
      <c r="B134" s="4" t="s">
        <v>569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1449</v>
      </c>
      <c r="B135" s="27"/>
      <c r="C135" s="27" t="s">
        <v>954</v>
      </c>
      <c r="D135" s="27" t="s">
        <v>58</v>
      </c>
      <c r="E135" s="27" t="s">
        <v>1744</v>
      </c>
      <c r="F135" s="27" t="s">
        <v>448</v>
      </c>
      <c r="G135" s="27" t="s">
        <v>263</v>
      </c>
      <c r="H135" s="27" t="s">
        <v>515</v>
      </c>
    </row>
    <row r="136" spans="1:33" ht="18.399999999999999" customHeight="1" x14ac:dyDescent="0.15">
      <c r="A136" s="9" t="s">
        <v>128</v>
      </c>
      <c r="B136" s="9" t="s">
        <v>1314</v>
      </c>
      <c r="C136" s="9" t="s">
        <v>228</v>
      </c>
      <c r="D136" s="9">
        <f>(703 + 508 + 420)*10^-4</f>
        <v>0.16309999999999999</v>
      </c>
      <c r="E136" s="28" t="s">
        <v>248</v>
      </c>
      <c r="F136" s="28">
        <f>중기기초자료!F14</f>
        <v>181226</v>
      </c>
      <c r="G136" s="28">
        <f>TRUNC(F136*D136, 0)</f>
        <v>29557</v>
      </c>
      <c r="H136" s="9" t="s">
        <v>1850</v>
      </c>
      <c r="I136" s="9" t="s">
        <v>1850</v>
      </c>
      <c r="K136" s="9" t="s">
        <v>243</v>
      </c>
      <c r="L136" s="9" t="s">
        <v>1850</v>
      </c>
      <c r="M136" s="9" t="s">
        <v>1276</v>
      </c>
      <c r="N136" s="9" t="s">
        <v>1798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1606</v>
      </c>
      <c r="G137" s="28">
        <f>TRUNC(G136, 0)</f>
        <v>29557</v>
      </c>
    </row>
    <row r="138" spans="1:33" ht="18.399999999999999" customHeight="1" x14ac:dyDescent="0.15">
      <c r="A138" s="9" t="s">
        <v>1307</v>
      </c>
      <c r="B138" s="9" t="s">
        <v>331</v>
      </c>
      <c r="C138" s="9" t="s">
        <v>1850</v>
      </c>
      <c r="D138" s="9">
        <v>9.6</v>
      </c>
      <c r="E138" s="30" t="s">
        <v>1813</v>
      </c>
      <c r="F138" s="30">
        <f>중기기초자료!D50</f>
        <v>1356.64</v>
      </c>
      <c r="G138" s="30">
        <f>TRUNC(F138*D138, 2)</f>
        <v>13023.74</v>
      </c>
      <c r="H138" s="9" t="s">
        <v>1850</v>
      </c>
      <c r="I138" s="9" t="s">
        <v>1850</v>
      </c>
      <c r="K138" s="9" t="s">
        <v>1167</v>
      </c>
      <c r="L138" s="9" t="s">
        <v>1850</v>
      </c>
      <c r="M138" s="9" t="s">
        <v>1282</v>
      </c>
      <c r="AG138" s="29" t="str">
        <f>HYPERLINK("#중기기초자료!A50","M1510150520282163 →")</f>
        <v>M1510150520282163 →</v>
      </c>
    </row>
    <row r="139" spans="1:33" ht="18.399999999999999" customHeight="1" x14ac:dyDescent="0.15">
      <c r="B139" s="9" t="s">
        <v>149</v>
      </c>
      <c r="C139" s="9" t="s">
        <v>1850</v>
      </c>
      <c r="D139" s="9">
        <v>20</v>
      </c>
      <c r="E139" s="30" t="s">
        <v>804</v>
      </c>
      <c r="F139" s="30">
        <v>0</v>
      </c>
      <c r="G139" s="30">
        <f>TRUNC((G138) * D139/100, 2)</f>
        <v>2604.7399999999998</v>
      </c>
      <c r="H139" s="9" t="s">
        <v>1850</v>
      </c>
      <c r="I139" s="9" t="s">
        <v>1850</v>
      </c>
      <c r="K139" s="9" t="s">
        <v>715</v>
      </c>
      <c r="L139" s="9" t="s">
        <v>1850</v>
      </c>
      <c r="M139" s="9" t="s">
        <v>1287</v>
      </c>
      <c r="N139" s="9" t="s">
        <v>1850</v>
      </c>
    </row>
    <row r="140" spans="1:33" ht="18.399999999999999" customHeight="1" x14ac:dyDescent="0.15">
      <c r="B140" s="9" t="s">
        <v>1606</v>
      </c>
      <c r="G140" s="30">
        <f>TRUNC(G138+G139, 2)</f>
        <v>15628.48</v>
      </c>
    </row>
    <row r="141" spans="1:33" ht="18.399999999999999" customHeight="1" x14ac:dyDescent="0.15">
      <c r="A141" s="9" t="s">
        <v>789</v>
      </c>
      <c r="B141" s="9" t="s">
        <v>453</v>
      </c>
      <c r="C141" s="9" t="s">
        <v>1850</v>
      </c>
      <c r="D141" s="9">
        <v>1</v>
      </c>
      <c r="E141" s="28" t="s">
        <v>1142</v>
      </c>
      <c r="F141" s="28">
        <f>TRUNC(중기기초자료!E47 * 중기전역변수!C18, 0)</f>
        <v>55700</v>
      </c>
      <c r="G141" s="28">
        <f>TRUNC(F141*D141, 0)</f>
        <v>55700</v>
      </c>
      <c r="H141" s="9" t="s">
        <v>1850</v>
      </c>
      <c r="I141" s="9" t="s">
        <v>1850</v>
      </c>
      <c r="K141" s="9" t="s">
        <v>1619</v>
      </c>
      <c r="L141" s="9" t="s">
        <v>1850</v>
      </c>
      <c r="M141" s="9" t="s">
        <v>1521</v>
      </c>
      <c r="AG141" s="29" t="str">
        <f>HYPERLINK("#중기기초자료!A47","L001010101000048 →")</f>
        <v>L001010101000048 →</v>
      </c>
    </row>
    <row r="142" spans="1:33" ht="18.399999999999999" customHeight="1" x14ac:dyDescent="0.15">
      <c r="B142" s="9" t="s">
        <v>1606</v>
      </c>
      <c r="G142" s="28">
        <f>TRUNC(G141, 0)</f>
        <v>55700</v>
      </c>
    </row>
    <row r="143" spans="1:33" ht="18.399999999999999" customHeight="1" x14ac:dyDescent="0.15">
      <c r="B143" s="9" t="s">
        <v>202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1663</v>
      </c>
      <c r="B145" s="4" t="s">
        <v>813</v>
      </c>
      <c r="C145" s="4"/>
      <c r="D145" s="4"/>
      <c r="E145" s="4"/>
      <c r="F145" s="4"/>
      <c r="G145" s="4"/>
      <c r="H145" s="4"/>
      <c r="I145" s="9" t="s">
        <v>1850</v>
      </c>
      <c r="J145" s="9" t="s">
        <v>805</v>
      </c>
    </row>
    <row r="146" spans="1:33" ht="18.399999999999999" customHeight="1" x14ac:dyDescent="0.15">
      <c r="A146" s="4" t="s">
        <v>535</v>
      </c>
      <c r="B146" s="4" t="s">
        <v>299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1449</v>
      </c>
      <c r="B147" s="27"/>
      <c r="C147" s="27" t="s">
        <v>954</v>
      </c>
      <c r="D147" s="27" t="s">
        <v>58</v>
      </c>
      <c r="E147" s="27" t="s">
        <v>1744</v>
      </c>
      <c r="F147" s="27" t="s">
        <v>448</v>
      </c>
      <c r="G147" s="27" t="s">
        <v>263</v>
      </c>
      <c r="H147" s="27" t="s">
        <v>515</v>
      </c>
    </row>
    <row r="148" spans="1:33" ht="18.399999999999999" customHeight="1" x14ac:dyDescent="0.15">
      <c r="A148" s="9" t="s">
        <v>128</v>
      </c>
      <c r="B148" s="9" t="s">
        <v>391</v>
      </c>
      <c r="C148" s="9" t="s">
        <v>1352</v>
      </c>
      <c r="D148" s="9">
        <f>(1071 + 536 + 691)*10^-4</f>
        <v>0.2298</v>
      </c>
      <c r="E148" s="28" t="s">
        <v>248</v>
      </c>
      <c r="F148" s="28">
        <f>중기기초자료!F15</f>
        <v>131000</v>
      </c>
      <c r="G148" s="28">
        <f>TRUNC(F148*D148, 0)</f>
        <v>30103</v>
      </c>
      <c r="H148" s="9" t="s">
        <v>1850</v>
      </c>
      <c r="I148" s="9" t="s">
        <v>1850</v>
      </c>
      <c r="K148" s="9" t="s">
        <v>243</v>
      </c>
      <c r="L148" s="9" t="s">
        <v>1850</v>
      </c>
      <c r="M148" s="9" t="s">
        <v>449</v>
      </c>
      <c r="N148" s="9" t="s">
        <v>137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1606</v>
      </c>
      <c r="G149" s="28">
        <f>TRUNC(G148, 0)</f>
        <v>30103</v>
      </c>
    </row>
    <row r="150" spans="1:33" ht="18.399999999999999" customHeight="1" x14ac:dyDescent="0.15">
      <c r="A150" s="9" t="s">
        <v>1307</v>
      </c>
      <c r="B150" s="9" t="s">
        <v>331</v>
      </c>
      <c r="C150" s="9" t="s">
        <v>1850</v>
      </c>
      <c r="D150" s="9">
        <v>3.8</v>
      </c>
      <c r="E150" s="30" t="s">
        <v>1813</v>
      </c>
      <c r="F150" s="30">
        <f>중기기초자료!D50</f>
        <v>1356.64</v>
      </c>
      <c r="G150" s="30">
        <f>TRUNC(F150*D150, 2)</f>
        <v>5155.2299999999996</v>
      </c>
      <c r="H150" s="9" t="s">
        <v>1850</v>
      </c>
      <c r="I150" s="9" t="s">
        <v>1850</v>
      </c>
      <c r="K150" s="9" t="s">
        <v>1167</v>
      </c>
      <c r="L150" s="9" t="s">
        <v>1850</v>
      </c>
      <c r="M150" s="9" t="s">
        <v>1282</v>
      </c>
      <c r="AG150" s="29" t="str">
        <f>HYPERLINK("#중기기초자료!A50","M1510150520282163 →")</f>
        <v>M1510150520282163 →</v>
      </c>
    </row>
    <row r="151" spans="1:33" ht="18.399999999999999" customHeight="1" x14ac:dyDescent="0.15">
      <c r="B151" s="9" t="s">
        <v>149</v>
      </c>
      <c r="C151" s="9" t="s">
        <v>1850</v>
      </c>
      <c r="D151" s="9">
        <v>39</v>
      </c>
      <c r="E151" s="30" t="s">
        <v>804</v>
      </c>
      <c r="F151" s="30">
        <v>0</v>
      </c>
      <c r="G151" s="30">
        <f>TRUNC((G150) * D151/100, 2)</f>
        <v>2010.53</v>
      </c>
      <c r="H151" s="9" t="s">
        <v>1850</v>
      </c>
      <c r="I151" s="9" t="s">
        <v>1850</v>
      </c>
      <c r="K151" s="9" t="s">
        <v>715</v>
      </c>
      <c r="L151" s="9" t="s">
        <v>1850</v>
      </c>
      <c r="M151" s="9" t="s">
        <v>1287</v>
      </c>
      <c r="N151" s="9" t="s">
        <v>1850</v>
      </c>
    </row>
    <row r="152" spans="1:33" ht="18.399999999999999" customHeight="1" x14ac:dyDescent="0.15">
      <c r="B152" s="9" t="s">
        <v>1606</v>
      </c>
      <c r="G152" s="30">
        <f>TRUNC(G150+G151, 2)</f>
        <v>7165.76</v>
      </c>
    </row>
    <row r="153" spans="1:33" ht="18.399999999999999" customHeight="1" x14ac:dyDescent="0.15">
      <c r="A153" s="9" t="s">
        <v>789</v>
      </c>
      <c r="B153" s="9" t="s">
        <v>453</v>
      </c>
      <c r="C153" s="9" t="s">
        <v>1850</v>
      </c>
      <c r="D153" s="9">
        <v>1</v>
      </c>
      <c r="E153" s="28" t="s">
        <v>1142</v>
      </c>
      <c r="F153" s="28">
        <f>TRUNC(중기기초자료!E47 * 중기전역변수!C18, 0)</f>
        <v>55700</v>
      </c>
      <c r="G153" s="28">
        <f>TRUNC(F153*D153, 0)</f>
        <v>55700</v>
      </c>
      <c r="H153" s="9" t="s">
        <v>1850</v>
      </c>
      <c r="I153" s="9" t="s">
        <v>1850</v>
      </c>
      <c r="K153" s="9" t="s">
        <v>1619</v>
      </c>
      <c r="L153" s="9" t="s">
        <v>1850</v>
      </c>
      <c r="M153" s="9" t="s">
        <v>1521</v>
      </c>
      <c r="AG153" s="29" t="str">
        <f>HYPERLINK("#중기기초자료!A47","L001010101000048 →")</f>
        <v>L001010101000048 →</v>
      </c>
    </row>
    <row r="154" spans="1:33" ht="18.399999999999999" customHeight="1" x14ac:dyDescent="0.15">
      <c r="B154" s="9" t="s">
        <v>1606</v>
      </c>
      <c r="G154" s="28">
        <f>TRUNC(G153, 0)</f>
        <v>55700</v>
      </c>
    </row>
    <row r="155" spans="1:33" ht="18.399999999999999" customHeight="1" x14ac:dyDescent="0.15">
      <c r="B155" s="9" t="s">
        <v>202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1663</v>
      </c>
      <c r="B157" s="4" t="s">
        <v>1635</v>
      </c>
      <c r="C157" s="4"/>
      <c r="D157" s="4"/>
      <c r="E157" s="4"/>
      <c r="F157" s="4"/>
      <c r="G157" s="4"/>
      <c r="H157" s="4"/>
      <c r="I157" s="9" t="s">
        <v>1850</v>
      </c>
      <c r="J157" s="9" t="s">
        <v>541</v>
      </c>
    </row>
    <row r="158" spans="1:33" ht="18.399999999999999" customHeight="1" x14ac:dyDescent="0.15">
      <c r="A158" s="4" t="s">
        <v>535</v>
      </c>
      <c r="B158" s="4" t="s">
        <v>216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1449</v>
      </c>
      <c r="B159" s="27"/>
      <c r="C159" s="27" t="s">
        <v>954</v>
      </c>
      <c r="D159" s="27" t="s">
        <v>58</v>
      </c>
      <c r="E159" s="27" t="s">
        <v>1744</v>
      </c>
      <c r="F159" s="27" t="s">
        <v>448</v>
      </c>
      <c r="G159" s="27" t="s">
        <v>263</v>
      </c>
      <c r="H159" s="27" t="s">
        <v>515</v>
      </c>
    </row>
    <row r="160" spans="1:33" ht="18.399999999999999" customHeight="1" x14ac:dyDescent="0.15">
      <c r="A160" s="9" t="s">
        <v>128</v>
      </c>
      <c r="B160" s="9" t="s">
        <v>391</v>
      </c>
      <c r="C160" s="9" t="s">
        <v>806</v>
      </c>
      <c r="D160" s="9">
        <f>(918 + 459 + 680)*10^-4</f>
        <v>0.20570000000000002</v>
      </c>
      <c r="E160" s="28" t="s">
        <v>248</v>
      </c>
      <c r="F160" s="28">
        <f>중기기초자료!F16</f>
        <v>275488</v>
      </c>
      <c r="G160" s="28">
        <f>TRUNC(F160*D160, 0)</f>
        <v>56667</v>
      </c>
      <c r="H160" s="9" t="s">
        <v>1850</v>
      </c>
      <c r="I160" s="9" t="s">
        <v>1850</v>
      </c>
      <c r="K160" s="9" t="s">
        <v>243</v>
      </c>
      <c r="L160" s="9" t="s">
        <v>1850</v>
      </c>
      <c r="M160" s="9" t="s">
        <v>1675</v>
      </c>
      <c r="N160" s="9" t="s">
        <v>1502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1606</v>
      </c>
      <c r="G161" s="28">
        <f>TRUNC(G160, 0)</f>
        <v>56667</v>
      </c>
    </row>
    <row r="162" spans="1:33" ht="18.399999999999999" customHeight="1" x14ac:dyDescent="0.15">
      <c r="A162" s="9" t="s">
        <v>1307</v>
      </c>
      <c r="B162" s="9" t="s">
        <v>331</v>
      </c>
      <c r="C162" s="9" t="s">
        <v>1850</v>
      </c>
      <c r="D162" s="9">
        <v>6.1</v>
      </c>
      <c r="E162" s="30" t="s">
        <v>1813</v>
      </c>
      <c r="F162" s="30">
        <f>중기기초자료!D50</f>
        <v>1356.64</v>
      </c>
      <c r="G162" s="30">
        <f>TRUNC(F162*D162, 2)</f>
        <v>8275.5</v>
      </c>
      <c r="H162" s="9" t="s">
        <v>1850</v>
      </c>
      <c r="I162" s="9" t="s">
        <v>1850</v>
      </c>
      <c r="K162" s="9" t="s">
        <v>1167</v>
      </c>
      <c r="L162" s="9" t="s">
        <v>1850</v>
      </c>
      <c r="M162" s="9" t="s">
        <v>1282</v>
      </c>
      <c r="AG162" s="29" t="str">
        <f>HYPERLINK("#중기기초자료!A50","M1510150520282163 →")</f>
        <v>M1510150520282163 →</v>
      </c>
    </row>
    <row r="163" spans="1:33" ht="18.399999999999999" customHeight="1" x14ac:dyDescent="0.15">
      <c r="B163" s="9" t="s">
        <v>149</v>
      </c>
      <c r="C163" s="9" t="s">
        <v>1850</v>
      </c>
      <c r="D163" s="9">
        <v>39</v>
      </c>
      <c r="E163" s="30" t="s">
        <v>804</v>
      </c>
      <c r="F163" s="30">
        <v>0</v>
      </c>
      <c r="G163" s="30">
        <f>TRUNC((G162) * D163/100, 2)</f>
        <v>3227.44</v>
      </c>
      <c r="H163" s="9" t="s">
        <v>1850</v>
      </c>
      <c r="I163" s="9" t="s">
        <v>1850</v>
      </c>
      <c r="K163" s="9" t="s">
        <v>715</v>
      </c>
      <c r="L163" s="9" t="s">
        <v>1850</v>
      </c>
      <c r="M163" s="9" t="s">
        <v>1287</v>
      </c>
      <c r="N163" s="9" t="s">
        <v>1850</v>
      </c>
    </row>
    <row r="164" spans="1:33" ht="18.399999999999999" customHeight="1" x14ac:dyDescent="0.15">
      <c r="B164" s="9" t="s">
        <v>1606</v>
      </c>
      <c r="G164" s="30">
        <f>TRUNC(G162+G163, 2)</f>
        <v>11502.94</v>
      </c>
    </row>
    <row r="165" spans="1:33" ht="18.399999999999999" customHeight="1" x14ac:dyDescent="0.15">
      <c r="A165" s="9" t="s">
        <v>789</v>
      </c>
      <c r="B165" s="9" t="s">
        <v>453</v>
      </c>
      <c r="C165" s="9" t="s">
        <v>1850</v>
      </c>
      <c r="D165" s="9">
        <v>1</v>
      </c>
      <c r="E165" s="28" t="s">
        <v>1142</v>
      </c>
      <c r="F165" s="28">
        <f>TRUNC(중기기초자료!E47 * 중기전역변수!C18, 0)</f>
        <v>55700</v>
      </c>
      <c r="G165" s="28">
        <f>TRUNC(F165*D165, 0)</f>
        <v>55700</v>
      </c>
      <c r="H165" s="9" t="s">
        <v>1850</v>
      </c>
      <c r="I165" s="9" t="s">
        <v>1850</v>
      </c>
      <c r="K165" s="9" t="s">
        <v>1619</v>
      </c>
      <c r="L165" s="9" t="s">
        <v>1850</v>
      </c>
      <c r="M165" s="9" t="s">
        <v>1521</v>
      </c>
      <c r="AG165" s="29" t="str">
        <f>HYPERLINK("#중기기초자료!A47","L001010101000048 →")</f>
        <v>L001010101000048 →</v>
      </c>
    </row>
    <row r="166" spans="1:33" ht="18.399999999999999" customHeight="1" x14ac:dyDescent="0.15">
      <c r="B166" s="9" t="s">
        <v>1606</v>
      </c>
      <c r="G166" s="28">
        <f>TRUNC(G165, 0)</f>
        <v>55700</v>
      </c>
    </row>
    <row r="167" spans="1:33" ht="18.399999999999999" customHeight="1" x14ac:dyDescent="0.15">
      <c r="B167" s="9" t="s">
        <v>202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1663</v>
      </c>
      <c r="B169" s="4" t="s">
        <v>1175</v>
      </c>
      <c r="C169" s="4"/>
      <c r="D169" s="4"/>
      <c r="E169" s="4"/>
      <c r="F169" s="4"/>
      <c r="G169" s="4"/>
      <c r="H169" s="4"/>
      <c r="I169" s="9" t="s">
        <v>1850</v>
      </c>
      <c r="J169" s="9" t="s">
        <v>611</v>
      </c>
    </row>
    <row r="170" spans="1:33" ht="18.399999999999999" customHeight="1" x14ac:dyDescent="0.15">
      <c r="A170" s="4" t="s">
        <v>535</v>
      </c>
      <c r="B170" s="4" t="s">
        <v>1541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1449</v>
      </c>
      <c r="B171" s="27"/>
      <c r="C171" s="27" t="s">
        <v>954</v>
      </c>
      <c r="D171" s="27" t="s">
        <v>58</v>
      </c>
      <c r="E171" s="27" t="s">
        <v>1744</v>
      </c>
      <c r="F171" s="27" t="s">
        <v>448</v>
      </c>
      <c r="G171" s="27" t="s">
        <v>263</v>
      </c>
      <c r="H171" s="27" t="s">
        <v>515</v>
      </c>
    </row>
    <row r="172" spans="1:33" ht="18.399999999999999" customHeight="1" x14ac:dyDescent="0.15">
      <c r="A172" s="9" t="s">
        <v>128</v>
      </c>
      <c r="B172" s="9" t="s">
        <v>673</v>
      </c>
      <c r="C172" s="9" t="s">
        <v>856</v>
      </c>
      <c r="D172" s="9">
        <f>(1286 + 357 + 955)*10^-4</f>
        <v>0.25980000000000003</v>
      </c>
      <c r="E172" s="28" t="s">
        <v>248</v>
      </c>
      <c r="F172" s="28">
        <f>중기기초자료!F17</f>
        <v>38469</v>
      </c>
      <c r="G172" s="28">
        <f>TRUNC(F172*D172, 0)</f>
        <v>9994</v>
      </c>
      <c r="H172" s="9" t="s">
        <v>1850</v>
      </c>
      <c r="I172" s="9" t="s">
        <v>1850</v>
      </c>
      <c r="K172" s="9" t="s">
        <v>243</v>
      </c>
      <c r="L172" s="9" t="s">
        <v>1850</v>
      </c>
      <c r="M172" s="9" t="s">
        <v>1283</v>
      </c>
      <c r="N172" s="9" t="s">
        <v>1811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1606</v>
      </c>
      <c r="G173" s="28">
        <f>TRUNC(G172, 0)</f>
        <v>9994</v>
      </c>
    </row>
    <row r="174" spans="1:33" ht="18.399999999999999" customHeight="1" x14ac:dyDescent="0.15">
      <c r="A174" s="9" t="s">
        <v>1307</v>
      </c>
      <c r="B174" s="9" t="s">
        <v>331</v>
      </c>
      <c r="C174" s="9" t="s">
        <v>1850</v>
      </c>
      <c r="D174" s="9">
        <v>5.0999999999999996</v>
      </c>
      <c r="E174" s="30" t="s">
        <v>1813</v>
      </c>
      <c r="F174" s="30">
        <f>중기기초자료!D50</f>
        <v>1356.64</v>
      </c>
      <c r="G174" s="30">
        <f>TRUNC(F174*D174, 2)</f>
        <v>6918.86</v>
      </c>
      <c r="H174" s="9" t="s">
        <v>1850</v>
      </c>
      <c r="I174" s="9" t="s">
        <v>1850</v>
      </c>
      <c r="K174" s="9" t="s">
        <v>1167</v>
      </c>
      <c r="L174" s="9" t="s">
        <v>1850</v>
      </c>
      <c r="M174" s="9" t="s">
        <v>1282</v>
      </c>
      <c r="AG174" s="29" t="str">
        <f>HYPERLINK("#중기기초자료!A50","M1510150520282163 →")</f>
        <v>M1510150520282163 →</v>
      </c>
    </row>
    <row r="175" spans="1:33" ht="18.399999999999999" customHeight="1" x14ac:dyDescent="0.15">
      <c r="B175" s="9" t="s">
        <v>149</v>
      </c>
      <c r="C175" s="9" t="s">
        <v>1850</v>
      </c>
      <c r="D175" s="9">
        <v>20</v>
      </c>
      <c r="E175" s="30" t="s">
        <v>804</v>
      </c>
      <c r="F175" s="30">
        <v>0</v>
      </c>
      <c r="G175" s="30">
        <f>TRUNC((G174) * D175/100, 2)</f>
        <v>1383.77</v>
      </c>
      <c r="H175" s="9" t="s">
        <v>1850</v>
      </c>
      <c r="I175" s="9" t="s">
        <v>1850</v>
      </c>
      <c r="K175" s="9" t="s">
        <v>715</v>
      </c>
      <c r="L175" s="9" t="s">
        <v>1850</v>
      </c>
      <c r="M175" s="9" t="s">
        <v>1287</v>
      </c>
      <c r="N175" s="9" t="s">
        <v>1850</v>
      </c>
    </row>
    <row r="176" spans="1:33" ht="18.399999999999999" customHeight="1" x14ac:dyDescent="0.15">
      <c r="B176" s="9" t="s">
        <v>1606</v>
      </c>
      <c r="G176" s="30">
        <f>TRUNC(G174+G175, 2)</f>
        <v>8302.6299999999992</v>
      </c>
    </row>
    <row r="177" spans="1:33" ht="18.399999999999999" customHeight="1" x14ac:dyDescent="0.15">
      <c r="A177" s="9" t="s">
        <v>789</v>
      </c>
      <c r="B177" s="9" t="s">
        <v>139</v>
      </c>
      <c r="C177" s="9" t="s">
        <v>1850</v>
      </c>
      <c r="D177" s="9">
        <v>1</v>
      </c>
      <c r="E177" s="28" t="s">
        <v>1142</v>
      </c>
      <c r="F177" s="28">
        <f>TRUNC(중기기초자료!E48 * 중기전역변수!C18, 0)</f>
        <v>47231</v>
      </c>
      <c r="G177" s="28">
        <f>TRUNC(F177*D177, 0)</f>
        <v>47231</v>
      </c>
      <c r="H177" s="9" t="s">
        <v>1850</v>
      </c>
      <c r="I177" s="9" t="s">
        <v>1850</v>
      </c>
      <c r="K177" s="9" t="s">
        <v>1619</v>
      </c>
      <c r="L177" s="9" t="s">
        <v>1850</v>
      </c>
      <c r="M177" s="9" t="s">
        <v>686</v>
      </c>
      <c r="AG177" s="29" t="str">
        <f>HYPERLINK("#중기기초자료!A48","L001010101000049 →")</f>
        <v>L001010101000049 →</v>
      </c>
    </row>
    <row r="178" spans="1:33" ht="18.399999999999999" customHeight="1" x14ac:dyDescent="0.15">
      <c r="B178" s="9" t="s">
        <v>1606</v>
      </c>
      <c r="G178" s="28">
        <f>TRUNC(G177, 0)</f>
        <v>47231</v>
      </c>
    </row>
    <row r="179" spans="1:33" ht="18.399999999999999" customHeight="1" x14ac:dyDescent="0.15">
      <c r="B179" s="9" t="s">
        <v>202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1663</v>
      </c>
      <c r="B181" s="4" t="s">
        <v>1382</v>
      </c>
      <c r="C181" s="4"/>
      <c r="D181" s="4"/>
      <c r="E181" s="4"/>
      <c r="F181" s="4"/>
      <c r="G181" s="4"/>
      <c r="H181" s="4"/>
      <c r="I181" s="9" t="s">
        <v>1850</v>
      </c>
      <c r="J181" s="9" t="s">
        <v>665</v>
      </c>
    </row>
    <row r="182" spans="1:33" ht="18.399999999999999" customHeight="1" x14ac:dyDescent="0.15">
      <c r="A182" s="4" t="s">
        <v>535</v>
      </c>
      <c r="B182" s="4" t="s">
        <v>226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1449</v>
      </c>
      <c r="B183" s="27"/>
      <c r="C183" s="27" t="s">
        <v>954</v>
      </c>
      <c r="D183" s="27" t="s">
        <v>58</v>
      </c>
      <c r="E183" s="27" t="s">
        <v>1744</v>
      </c>
      <c r="F183" s="27" t="s">
        <v>448</v>
      </c>
      <c r="G183" s="27" t="s">
        <v>263</v>
      </c>
      <c r="H183" s="27" t="s">
        <v>515</v>
      </c>
    </row>
    <row r="184" spans="1:33" ht="18.399999999999999" customHeight="1" x14ac:dyDescent="0.15">
      <c r="A184" s="9" t="s">
        <v>128</v>
      </c>
      <c r="B184" s="9" t="s">
        <v>887</v>
      </c>
      <c r="C184" s="9" t="s">
        <v>1352</v>
      </c>
      <c r="D184" s="9">
        <f>(1286 + 357 + 955)*10^-4</f>
        <v>0.25980000000000003</v>
      </c>
      <c r="E184" s="28" t="s">
        <v>248</v>
      </c>
      <c r="F184" s="28">
        <f>중기기초자료!F18</f>
        <v>83693</v>
      </c>
      <c r="G184" s="28">
        <f>TRUNC(F184*D184, 0)</f>
        <v>21743</v>
      </c>
      <c r="H184" s="9" t="s">
        <v>1850</v>
      </c>
      <c r="I184" s="9" t="s">
        <v>1850</v>
      </c>
      <c r="K184" s="9" t="s">
        <v>243</v>
      </c>
      <c r="L184" s="9" t="s">
        <v>1850</v>
      </c>
      <c r="M184" s="9" t="s">
        <v>920</v>
      </c>
      <c r="N184" s="9" t="s">
        <v>1811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1606</v>
      </c>
      <c r="G185" s="28">
        <f>TRUNC(G184, 0)</f>
        <v>21743</v>
      </c>
    </row>
    <row r="186" spans="1:33" ht="18.399999999999999" customHeight="1" x14ac:dyDescent="0.15">
      <c r="A186" s="9" t="s">
        <v>1307</v>
      </c>
      <c r="B186" s="9" t="s">
        <v>331</v>
      </c>
      <c r="C186" s="9" t="s">
        <v>1850</v>
      </c>
      <c r="D186" s="9">
        <v>10.3</v>
      </c>
      <c r="E186" s="30" t="s">
        <v>1813</v>
      </c>
      <c r="F186" s="30">
        <f>중기기초자료!D50</f>
        <v>1356.64</v>
      </c>
      <c r="G186" s="30">
        <f>TRUNC(F186*D186, 2)</f>
        <v>13973.39</v>
      </c>
      <c r="H186" s="9" t="s">
        <v>1850</v>
      </c>
      <c r="I186" s="9" t="s">
        <v>1850</v>
      </c>
      <c r="K186" s="9" t="s">
        <v>1167</v>
      </c>
      <c r="L186" s="9" t="s">
        <v>1850</v>
      </c>
      <c r="M186" s="9" t="s">
        <v>1282</v>
      </c>
      <c r="AG186" s="29" t="str">
        <f>HYPERLINK("#중기기초자료!A50","M1510150520282163 →")</f>
        <v>M1510150520282163 →</v>
      </c>
    </row>
    <row r="187" spans="1:33" ht="18.399999999999999" customHeight="1" x14ac:dyDescent="0.15">
      <c r="B187" s="9" t="s">
        <v>149</v>
      </c>
      <c r="C187" s="9" t="s">
        <v>1850</v>
      </c>
      <c r="D187" s="9">
        <v>20</v>
      </c>
      <c r="E187" s="30" t="s">
        <v>804</v>
      </c>
      <c r="F187" s="30">
        <v>0</v>
      </c>
      <c r="G187" s="30">
        <f>TRUNC((G186) * D187/100, 2)</f>
        <v>2794.67</v>
      </c>
      <c r="H187" s="9" t="s">
        <v>1850</v>
      </c>
      <c r="I187" s="9" t="s">
        <v>1850</v>
      </c>
      <c r="K187" s="9" t="s">
        <v>715</v>
      </c>
      <c r="L187" s="9" t="s">
        <v>1850</v>
      </c>
      <c r="M187" s="9" t="s">
        <v>1287</v>
      </c>
      <c r="N187" s="9" t="s">
        <v>1850</v>
      </c>
    </row>
    <row r="188" spans="1:33" ht="18.399999999999999" customHeight="1" x14ac:dyDescent="0.15">
      <c r="B188" s="9" t="s">
        <v>1606</v>
      </c>
      <c r="G188" s="30">
        <f>TRUNC(G186+G187, 2)</f>
        <v>16768.060000000001</v>
      </c>
    </row>
    <row r="189" spans="1:33" ht="18.399999999999999" customHeight="1" x14ac:dyDescent="0.15">
      <c r="A189" s="9" t="s">
        <v>789</v>
      </c>
      <c r="B189" s="9" t="s">
        <v>139</v>
      </c>
      <c r="C189" s="9" t="s">
        <v>1850</v>
      </c>
      <c r="D189" s="9">
        <v>1</v>
      </c>
      <c r="E189" s="28" t="s">
        <v>1142</v>
      </c>
      <c r="F189" s="28">
        <f>TRUNC(중기기초자료!E48 * 중기전역변수!C18, 0)</f>
        <v>47231</v>
      </c>
      <c r="G189" s="28">
        <f>TRUNC(F189*D189, 0)</f>
        <v>47231</v>
      </c>
      <c r="H189" s="9" t="s">
        <v>1850</v>
      </c>
      <c r="I189" s="9" t="s">
        <v>1850</v>
      </c>
      <c r="K189" s="9" t="s">
        <v>1619</v>
      </c>
      <c r="L189" s="9" t="s">
        <v>1850</v>
      </c>
      <c r="M189" s="9" t="s">
        <v>686</v>
      </c>
      <c r="AG189" s="29" t="str">
        <f>HYPERLINK("#중기기초자료!A48","L001010101000049 →")</f>
        <v>L001010101000049 →</v>
      </c>
    </row>
    <row r="190" spans="1:33" ht="18.399999999999999" customHeight="1" x14ac:dyDescent="0.15">
      <c r="B190" s="9" t="s">
        <v>1606</v>
      </c>
      <c r="G190" s="28">
        <f>TRUNC(G189, 0)</f>
        <v>47231</v>
      </c>
    </row>
    <row r="191" spans="1:33" ht="18.399999999999999" customHeight="1" x14ac:dyDescent="0.15">
      <c r="B191" s="9" t="s">
        <v>202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1663</v>
      </c>
      <c r="B193" s="4" t="s">
        <v>1004</v>
      </c>
      <c r="C193" s="4"/>
      <c r="D193" s="4"/>
      <c r="E193" s="4"/>
      <c r="F193" s="4"/>
      <c r="G193" s="4"/>
      <c r="H193" s="4"/>
      <c r="I193" s="9" t="s">
        <v>1850</v>
      </c>
      <c r="J193" s="9" t="s">
        <v>1479</v>
      </c>
    </row>
    <row r="194" spans="1:33" ht="18.399999999999999" customHeight="1" x14ac:dyDescent="0.15">
      <c r="A194" s="4" t="s">
        <v>535</v>
      </c>
      <c r="B194" s="4" t="s">
        <v>1466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1449</v>
      </c>
      <c r="B195" s="27"/>
      <c r="C195" s="27" t="s">
        <v>954</v>
      </c>
      <c r="D195" s="27" t="s">
        <v>58</v>
      </c>
      <c r="E195" s="27" t="s">
        <v>1744</v>
      </c>
      <c r="F195" s="27" t="s">
        <v>448</v>
      </c>
      <c r="G195" s="27" t="s">
        <v>263</v>
      </c>
      <c r="H195" s="27" t="s">
        <v>515</v>
      </c>
    </row>
    <row r="196" spans="1:33" ht="18.399999999999999" customHeight="1" x14ac:dyDescent="0.15">
      <c r="A196" s="9" t="s">
        <v>128</v>
      </c>
      <c r="B196" s="9" t="s">
        <v>1015</v>
      </c>
      <c r="C196" s="9" t="s">
        <v>1051</v>
      </c>
      <c r="D196" s="9">
        <f>(1125 + 750 + 674)*10^-4</f>
        <v>0.25490000000000002</v>
      </c>
      <c r="E196" s="28" t="s">
        <v>248</v>
      </c>
      <c r="F196" s="28">
        <f>중기기초자료!F19</f>
        <v>2917</v>
      </c>
      <c r="G196" s="28">
        <f>TRUNC(F196*D196, 0)</f>
        <v>743</v>
      </c>
      <c r="H196" s="9" t="s">
        <v>1850</v>
      </c>
      <c r="I196" s="9" t="s">
        <v>1850</v>
      </c>
      <c r="K196" s="9" t="s">
        <v>243</v>
      </c>
      <c r="L196" s="9" t="s">
        <v>1850</v>
      </c>
      <c r="M196" s="9" t="s">
        <v>1294</v>
      </c>
      <c r="N196" s="9" t="s">
        <v>1366</v>
      </c>
      <c r="AG196" s="29" t="str">
        <f>HYPERLINK("#중기기초자료!A19","G0000343004000000 →")</f>
        <v>G0000343004000000 →</v>
      </c>
    </row>
    <row r="197" spans="1:33" ht="18.399999999999999" customHeight="1" x14ac:dyDescent="0.15">
      <c r="B197" s="9" t="s">
        <v>1606</v>
      </c>
      <c r="G197" s="28">
        <f>TRUNC(G196, 0)</f>
        <v>743</v>
      </c>
    </row>
    <row r="198" spans="1:33" ht="18.399999999999999" customHeight="1" x14ac:dyDescent="0.15">
      <c r="A198" s="9" t="s">
        <v>1307</v>
      </c>
      <c r="B198" s="9" t="s">
        <v>557</v>
      </c>
      <c r="C198" s="9" t="s">
        <v>1850</v>
      </c>
      <c r="D198" s="9">
        <v>1.2</v>
      </c>
      <c r="E198" s="30" t="s">
        <v>1813</v>
      </c>
      <c r="F198" s="30">
        <f>중기기초자료!D51</f>
        <v>1433.72</v>
      </c>
      <c r="G198" s="30">
        <f>TRUNC(F198*D198, 2)</f>
        <v>1720.46</v>
      </c>
      <c r="H198" s="9" t="s">
        <v>1850</v>
      </c>
      <c r="I198" s="9" t="s">
        <v>1850</v>
      </c>
      <c r="K198" s="9" t="s">
        <v>1167</v>
      </c>
      <c r="L198" s="9" t="s">
        <v>1850</v>
      </c>
      <c r="M198" s="9" t="s">
        <v>1347</v>
      </c>
      <c r="AG198" s="29" t="str">
        <f>HYPERLINK("#중기기초자료!A51","M1510150620282203 →")</f>
        <v>M1510150620282203 →</v>
      </c>
    </row>
    <row r="199" spans="1:33" ht="18.399999999999999" customHeight="1" x14ac:dyDescent="0.15">
      <c r="B199" s="9" t="s">
        <v>149</v>
      </c>
      <c r="C199" s="9" t="s">
        <v>1850</v>
      </c>
      <c r="D199" s="9">
        <v>6</v>
      </c>
      <c r="E199" s="30" t="s">
        <v>804</v>
      </c>
      <c r="F199" s="30">
        <v>0</v>
      </c>
      <c r="G199" s="30">
        <f>TRUNC((G198) * D199/100, 2)</f>
        <v>103.22</v>
      </c>
      <c r="H199" s="9" t="s">
        <v>1850</v>
      </c>
      <c r="I199" s="9" t="s">
        <v>1850</v>
      </c>
      <c r="K199" s="9" t="s">
        <v>715</v>
      </c>
      <c r="L199" s="9" t="s">
        <v>1850</v>
      </c>
      <c r="M199" s="9" t="s">
        <v>1287</v>
      </c>
      <c r="N199" s="9" t="s">
        <v>1850</v>
      </c>
    </row>
    <row r="200" spans="1:33" ht="18.399999999999999" customHeight="1" x14ac:dyDescent="0.15">
      <c r="B200" s="9" t="s">
        <v>1606</v>
      </c>
      <c r="G200" s="30">
        <f>TRUNC(G198+G199, 2)</f>
        <v>1823.68</v>
      </c>
    </row>
    <row r="201" spans="1:33" ht="18.399999999999999" customHeight="1" x14ac:dyDescent="0.15">
      <c r="A201" s="9" t="s">
        <v>789</v>
      </c>
      <c r="B201" s="9" t="s">
        <v>982</v>
      </c>
      <c r="C201" s="9" t="s">
        <v>1850</v>
      </c>
      <c r="D201" s="9">
        <v>1</v>
      </c>
      <c r="E201" s="28" t="s">
        <v>1142</v>
      </c>
      <c r="F201" s="28">
        <f>TRUNC(중기기초자료!E49 * 중기전역변수!C18, 0)</f>
        <v>33571</v>
      </c>
      <c r="G201" s="28">
        <f>TRUNC(F201*D201, 0)</f>
        <v>33571</v>
      </c>
      <c r="H201" s="9" t="s">
        <v>1850</v>
      </c>
      <c r="I201" s="9" t="s">
        <v>1850</v>
      </c>
      <c r="K201" s="9" t="s">
        <v>1619</v>
      </c>
      <c r="L201" s="9" t="s">
        <v>1850</v>
      </c>
      <c r="M201" s="9" t="s">
        <v>1391</v>
      </c>
      <c r="AG201" s="29" t="str">
        <f>HYPERLINK("#중기기초자료!A49","L001010101000050 →")</f>
        <v>L001010101000050 →</v>
      </c>
    </row>
    <row r="202" spans="1:33" ht="18.399999999999999" customHeight="1" x14ac:dyDescent="0.15">
      <c r="B202" s="9" t="s">
        <v>1606</v>
      </c>
      <c r="G202" s="28">
        <f>TRUNC(G201, 0)</f>
        <v>33571</v>
      </c>
    </row>
    <row r="203" spans="1:33" ht="18.399999999999999" customHeight="1" x14ac:dyDescent="0.15">
      <c r="B203" s="9" t="s">
        <v>202</v>
      </c>
      <c r="G203" s="30">
        <f>TRUNC(G197+G200+G202, 2)</f>
        <v>36137.68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1663</v>
      </c>
      <c r="B205" s="4" t="s">
        <v>1003</v>
      </c>
      <c r="C205" s="4"/>
      <c r="D205" s="4"/>
      <c r="E205" s="4"/>
      <c r="F205" s="4"/>
      <c r="G205" s="4"/>
      <c r="H205" s="4"/>
      <c r="I205" s="9" t="s">
        <v>1850</v>
      </c>
      <c r="J205" s="9" t="s">
        <v>1087</v>
      </c>
    </row>
    <row r="206" spans="1:33" ht="18.399999999999999" customHeight="1" x14ac:dyDescent="0.15">
      <c r="A206" s="4" t="s">
        <v>535</v>
      </c>
      <c r="B206" s="4" t="s">
        <v>346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1449</v>
      </c>
      <c r="B207" s="27"/>
      <c r="C207" s="27" t="s">
        <v>954</v>
      </c>
      <c r="D207" s="27" t="s">
        <v>58</v>
      </c>
      <c r="E207" s="27" t="s">
        <v>1744</v>
      </c>
      <c r="F207" s="27" t="s">
        <v>448</v>
      </c>
      <c r="G207" s="27" t="s">
        <v>263</v>
      </c>
      <c r="H207" s="27" t="s">
        <v>515</v>
      </c>
    </row>
    <row r="208" spans="1:33" ht="18.399999999999999" customHeight="1" x14ac:dyDescent="0.15">
      <c r="A208" s="9" t="s">
        <v>128</v>
      </c>
      <c r="B208" s="9" t="s">
        <v>863</v>
      </c>
      <c r="C208" s="9" t="s">
        <v>1626</v>
      </c>
      <c r="D208" s="9">
        <f>(4000 + 1333 + 1021)*10^-4</f>
        <v>0.63540000000000008</v>
      </c>
      <c r="E208" s="28" t="s">
        <v>248</v>
      </c>
      <c r="F208" s="28">
        <f>중기기초자료!F20</f>
        <v>2954</v>
      </c>
      <c r="G208" s="28">
        <f>TRUNC(F208*D208, 0)</f>
        <v>1876</v>
      </c>
      <c r="H208" s="9" t="s">
        <v>1850</v>
      </c>
      <c r="I208" s="9" t="s">
        <v>1850</v>
      </c>
      <c r="K208" s="9" t="s">
        <v>243</v>
      </c>
      <c r="L208" s="9" t="s">
        <v>1850</v>
      </c>
      <c r="M208" s="9" t="s">
        <v>268</v>
      </c>
      <c r="N208" s="9" t="s">
        <v>1073</v>
      </c>
      <c r="AG208" s="29" t="str">
        <f>HYPERLINK("#중기기초자료!A20","G0000443004000000 →")</f>
        <v>G0000443004000000 →</v>
      </c>
    </row>
    <row r="209" spans="1:33" ht="18.399999999999999" customHeight="1" x14ac:dyDescent="0.15">
      <c r="B209" s="9" t="s">
        <v>1606</v>
      </c>
      <c r="G209" s="28">
        <f>TRUNC(G208, 0)</f>
        <v>1876</v>
      </c>
    </row>
    <row r="210" spans="1:33" ht="18.399999999999999" customHeight="1" x14ac:dyDescent="0.15">
      <c r="A210" s="9" t="s">
        <v>1307</v>
      </c>
      <c r="B210" s="9" t="s">
        <v>557</v>
      </c>
      <c r="C210" s="9" t="s">
        <v>1850</v>
      </c>
      <c r="D210" s="9">
        <v>5.6</v>
      </c>
      <c r="E210" s="30" t="s">
        <v>1813</v>
      </c>
      <c r="F210" s="30">
        <f>중기기초자료!D51</f>
        <v>1433.72</v>
      </c>
      <c r="G210" s="30">
        <f>TRUNC(F210*D210, 2)</f>
        <v>8028.83</v>
      </c>
      <c r="H210" s="9" t="s">
        <v>1850</v>
      </c>
      <c r="I210" s="9" t="s">
        <v>1850</v>
      </c>
      <c r="K210" s="9" t="s">
        <v>1167</v>
      </c>
      <c r="L210" s="9" t="s">
        <v>1850</v>
      </c>
      <c r="M210" s="9" t="s">
        <v>1347</v>
      </c>
      <c r="AG210" s="29" t="str">
        <f>HYPERLINK("#중기기초자료!A51","M1510150620282203 →")</f>
        <v>M1510150620282203 →</v>
      </c>
    </row>
    <row r="211" spans="1:33" ht="18.399999999999999" customHeight="1" x14ac:dyDescent="0.15">
      <c r="B211" s="9" t="s">
        <v>149</v>
      </c>
      <c r="C211" s="9" t="s">
        <v>1850</v>
      </c>
      <c r="D211" s="9">
        <v>20</v>
      </c>
      <c r="E211" s="30" t="s">
        <v>804</v>
      </c>
      <c r="F211" s="30">
        <v>0</v>
      </c>
      <c r="G211" s="30">
        <f>TRUNC((G210) * D211/100, 2)</f>
        <v>1605.76</v>
      </c>
      <c r="H211" s="9" t="s">
        <v>1850</v>
      </c>
      <c r="I211" s="9" t="s">
        <v>1850</v>
      </c>
      <c r="K211" s="9" t="s">
        <v>715</v>
      </c>
      <c r="L211" s="9" t="s">
        <v>1850</v>
      </c>
      <c r="M211" s="9" t="s">
        <v>1287</v>
      </c>
      <c r="N211" s="9" t="s">
        <v>1850</v>
      </c>
    </row>
    <row r="212" spans="1:33" ht="18.399999999999999" customHeight="1" x14ac:dyDescent="0.15">
      <c r="B212" s="9" t="s">
        <v>1606</v>
      </c>
      <c r="G212" s="30">
        <f>TRUNC(G210+G211, 2)</f>
        <v>9634.59</v>
      </c>
    </row>
    <row r="213" spans="1:33" ht="18.399999999999999" customHeight="1" x14ac:dyDescent="0.15">
      <c r="A213" s="9" t="s">
        <v>789</v>
      </c>
      <c r="B213" s="9" t="s">
        <v>982</v>
      </c>
      <c r="C213" s="9" t="s">
        <v>1850</v>
      </c>
      <c r="D213" s="9">
        <v>1</v>
      </c>
      <c r="E213" s="28" t="s">
        <v>1142</v>
      </c>
      <c r="F213" s="28">
        <f>TRUNC(중기기초자료!E49 * 중기전역변수!C18, 0)</f>
        <v>33571</v>
      </c>
      <c r="G213" s="28">
        <f>TRUNC(F213*D213, 0)</f>
        <v>33571</v>
      </c>
      <c r="H213" s="9" t="s">
        <v>1850</v>
      </c>
      <c r="I213" s="9" t="s">
        <v>1850</v>
      </c>
      <c r="K213" s="9" t="s">
        <v>1619</v>
      </c>
      <c r="L213" s="9" t="s">
        <v>1850</v>
      </c>
      <c r="M213" s="9" t="s">
        <v>1391</v>
      </c>
      <c r="AG213" s="29" t="str">
        <f>HYPERLINK("#중기기초자료!A49","L001010101000050 →")</f>
        <v>L001010101000050 →</v>
      </c>
    </row>
    <row r="214" spans="1:33" ht="18.399999999999999" customHeight="1" x14ac:dyDescent="0.15">
      <c r="B214" s="9" t="s">
        <v>1606</v>
      </c>
      <c r="G214" s="28">
        <f>TRUNC(G213, 0)</f>
        <v>33571</v>
      </c>
    </row>
    <row r="215" spans="1:33" ht="18.399999999999999" customHeight="1" x14ac:dyDescent="0.15">
      <c r="B215" s="9" t="s">
        <v>202</v>
      </c>
      <c r="G215" s="30">
        <f>TRUNC(G209+G212+G214, 2)</f>
        <v>45081.59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1663</v>
      </c>
      <c r="B217" s="4" t="s">
        <v>105</v>
      </c>
      <c r="C217" s="4"/>
      <c r="D217" s="4"/>
      <c r="E217" s="4"/>
      <c r="F217" s="4"/>
      <c r="G217" s="4"/>
      <c r="H217" s="4"/>
      <c r="I217" s="9" t="s">
        <v>1850</v>
      </c>
      <c r="J217" s="9" t="s">
        <v>1547</v>
      </c>
    </row>
    <row r="218" spans="1:33" ht="18.399999999999999" customHeight="1" x14ac:dyDescent="0.15">
      <c r="A218" s="4" t="s">
        <v>535</v>
      </c>
      <c r="B218" s="4" t="s">
        <v>832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1449</v>
      </c>
      <c r="B219" s="27"/>
      <c r="C219" s="27" t="s">
        <v>954</v>
      </c>
      <c r="D219" s="27" t="s">
        <v>58</v>
      </c>
      <c r="E219" s="27" t="s">
        <v>1744</v>
      </c>
      <c r="F219" s="27" t="s">
        <v>448</v>
      </c>
      <c r="G219" s="27" t="s">
        <v>263</v>
      </c>
      <c r="H219" s="27" t="s">
        <v>515</v>
      </c>
    </row>
    <row r="220" spans="1:33" ht="18.399999999999999" customHeight="1" x14ac:dyDescent="0.15">
      <c r="A220" s="9" t="s">
        <v>128</v>
      </c>
      <c r="B220" s="9" t="s">
        <v>234</v>
      </c>
      <c r="C220" s="9" t="s">
        <v>817</v>
      </c>
      <c r="D220" s="9">
        <f>(1286 + 714 + 682)*10^-4</f>
        <v>0.26819999999999999</v>
      </c>
      <c r="E220" s="28" t="s">
        <v>248</v>
      </c>
      <c r="F220" s="28">
        <f>중기기초자료!F21</f>
        <v>77487</v>
      </c>
      <c r="G220" s="28">
        <f>TRUNC(F220*D220, 0)</f>
        <v>20782</v>
      </c>
      <c r="H220" s="9" t="s">
        <v>1850</v>
      </c>
      <c r="I220" s="9" t="s">
        <v>1850</v>
      </c>
      <c r="K220" s="9" t="s">
        <v>243</v>
      </c>
      <c r="L220" s="9" t="s">
        <v>1850</v>
      </c>
      <c r="M220" s="9" t="s">
        <v>1434</v>
      </c>
      <c r="N220" s="9" t="s">
        <v>1534</v>
      </c>
      <c r="AG220" s="29" t="str">
        <f>HYPERLINK("#중기기초자료!A21","G0000653000300000 →")</f>
        <v>G0000653000300000 →</v>
      </c>
    </row>
    <row r="221" spans="1:33" ht="18.399999999999999" customHeight="1" x14ac:dyDescent="0.15">
      <c r="B221" s="9" t="s">
        <v>1606</v>
      </c>
      <c r="G221" s="28">
        <f>TRUNC(G220, 0)</f>
        <v>20782</v>
      </c>
    </row>
    <row r="222" spans="1:33" ht="18.399999999999999" customHeight="1" x14ac:dyDescent="0.15">
      <c r="A222" s="9" t="s">
        <v>1307</v>
      </c>
    </row>
    <row r="223" spans="1:33" ht="18.399999999999999" customHeight="1" x14ac:dyDescent="0.15">
      <c r="B223" s="9" t="s">
        <v>1606</v>
      </c>
    </row>
    <row r="224" spans="1:33" ht="18.399999999999999" customHeight="1" x14ac:dyDescent="0.15">
      <c r="A224" s="9" t="s">
        <v>789</v>
      </c>
    </row>
    <row r="225" spans="1:33" ht="18.399999999999999" customHeight="1" x14ac:dyDescent="0.15">
      <c r="B225" s="9" t="s">
        <v>1606</v>
      </c>
    </row>
    <row r="226" spans="1:33" ht="18.399999999999999" customHeight="1" x14ac:dyDescent="0.15">
      <c r="B226" s="9" t="s">
        <v>202</v>
      </c>
      <c r="G226" s="30">
        <f>TRUNC(G221+G223+G225, 2)</f>
        <v>20782</v>
      </c>
    </row>
    <row r="227" spans="1:33" ht="18.399999999999999" customHeight="1" x14ac:dyDescent="0.15">
      <c r="A227" s="4"/>
      <c r="B227" s="4"/>
      <c r="C227" s="4"/>
      <c r="D227" s="4"/>
      <c r="E227" s="4"/>
      <c r="F227" s="4"/>
      <c r="G227" s="4"/>
      <c r="H227" s="4"/>
    </row>
    <row r="228" spans="1:33" ht="18.399999999999999" customHeight="1" x14ac:dyDescent="0.15">
      <c r="A228" s="4" t="s">
        <v>1663</v>
      </c>
      <c r="B228" s="4" t="s">
        <v>606</v>
      </c>
      <c r="C228" s="4"/>
      <c r="D228" s="4"/>
      <c r="E228" s="4"/>
      <c r="F228" s="4"/>
      <c r="G228" s="4"/>
      <c r="H228" s="4"/>
      <c r="I228" s="9" t="s">
        <v>1850</v>
      </c>
      <c r="J228" s="9" t="s">
        <v>808</v>
      </c>
    </row>
    <row r="229" spans="1:33" ht="18.399999999999999" customHeight="1" x14ac:dyDescent="0.15">
      <c r="A229" s="4" t="s">
        <v>535</v>
      </c>
      <c r="B229" s="4" t="s">
        <v>1605</v>
      </c>
      <c r="C229" s="4"/>
      <c r="D229" s="4"/>
      <c r="E229" s="4"/>
      <c r="F229" s="4"/>
      <c r="G229" s="4"/>
      <c r="H229" s="4"/>
    </row>
    <row r="230" spans="1:33" ht="18.399999999999999" customHeight="1" x14ac:dyDescent="0.15">
      <c r="A230" s="27" t="s">
        <v>1449</v>
      </c>
      <c r="B230" s="27"/>
      <c r="C230" s="27" t="s">
        <v>954</v>
      </c>
      <c r="D230" s="27" t="s">
        <v>58</v>
      </c>
      <c r="E230" s="27" t="s">
        <v>1744</v>
      </c>
      <c r="F230" s="27" t="s">
        <v>448</v>
      </c>
      <c r="G230" s="27" t="s">
        <v>263</v>
      </c>
      <c r="H230" s="27" t="s">
        <v>515</v>
      </c>
    </row>
    <row r="231" spans="1:33" ht="18.399999999999999" customHeight="1" x14ac:dyDescent="0.15">
      <c r="A231" s="9" t="s">
        <v>128</v>
      </c>
      <c r="B231" s="9" t="s">
        <v>1433</v>
      </c>
      <c r="C231" s="9" t="s">
        <v>1329</v>
      </c>
      <c r="D231" s="9">
        <f>(1500 + 1833 + 589)*10^-4</f>
        <v>0.39219999999999999</v>
      </c>
      <c r="E231" s="28" t="s">
        <v>248</v>
      </c>
      <c r="F231" s="28">
        <f>중기기초자료!F22</f>
        <v>202854</v>
      </c>
      <c r="G231" s="28">
        <f>TRUNC(F231*D231, 0)</f>
        <v>79559</v>
      </c>
      <c r="H231" s="9" t="s">
        <v>1850</v>
      </c>
      <c r="I231" s="9" t="s">
        <v>1850</v>
      </c>
      <c r="K231" s="9" t="s">
        <v>243</v>
      </c>
      <c r="L231" s="9" t="s">
        <v>1850</v>
      </c>
      <c r="M231" s="9" t="s">
        <v>1402</v>
      </c>
      <c r="N231" s="9" t="s">
        <v>1533</v>
      </c>
      <c r="AG231" s="29" t="str">
        <f>HYPERLINK("#중기기초자료!A22","G0000654001310000 →")</f>
        <v>G0000654001310000 →</v>
      </c>
    </row>
    <row r="232" spans="1:33" ht="18.399999999999999" customHeight="1" x14ac:dyDescent="0.15">
      <c r="B232" s="9" t="s">
        <v>1606</v>
      </c>
      <c r="G232" s="28">
        <f>TRUNC(G231, 0)</f>
        <v>79559</v>
      </c>
    </row>
    <row r="233" spans="1:33" ht="18.399999999999999" customHeight="1" x14ac:dyDescent="0.15">
      <c r="A233" s="9" t="s">
        <v>1307</v>
      </c>
      <c r="B233" s="9" t="s">
        <v>331</v>
      </c>
      <c r="C233" s="9" t="s">
        <v>1850</v>
      </c>
      <c r="D233" s="9">
        <v>25</v>
      </c>
      <c r="E233" s="30" t="s">
        <v>1813</v>
      </c>
      <c r="F233" s="30">
        <f>중기기초자료!D50</f>
        <v>1356.64</v>
      </c>
      <c r="G233" s="30">
        <f>TRUNC(F233*D233, 2)</f>
        <v>33916</v>
      </c>
      <c r="H233" s="9" t="s">
        <v>1850</v>
      </c>
      <c r="I233" s="9" t="s">
        <v>1850</v>
      </c>
      <c r="K233" s="9" t="s">
        <v>1619</v>
      </c>
      <c r="L233" s="9" t="s">
        <v>1850</v>
      </c>
      <c r="M233" s="9" t="s">
        <v>1282</v>
      </c>
      <c r="AG233" s="29" t="str">
        <f>HYPERLINK("#중기기초자료!A50","M1510150520282163 →")</f>
        <v>M1510150520282163 →</v>
      </c>
    </row>
    <row r="234" spans="1:33" ht="18.399999999999999" customHeight="1" x14ac:dyDescent="0.15">
      <c r="B234" s="9" t="s">
        <v>149</v>
      </c>
      <c r="C234" s="9" t="s">
        <v>1850</v>
      </c>
      <c r="D234" s="9">
        <v>18</v>
      </c>
      <c r="E234" s="30" t="s">
        <v>804</v>
      </c>
      <c r="F234" s="30">
        <v>0</v>
      </c>
      <c r="G234" s="30">
        <f>TRUNC((G233) * D234/100, 2)</f>
        <v>6104.88</v>
      </c>
      <c r="H234" s="9" t="s">
        <v>1850</v>
      </c>
      <c r="I234" s="9" t="s">
        <v>1850</v>
      </c>
      <c r="K234" s="9" t="s">
        <v>1167</v>
      </c>
      <c r="L234" s="9" t="s">
        <v>1850</v>
      </c>
      <c r="M234" s="9" t="s">
        <v>1287</v>
      </c>
      <c r="N234" s="9" t="s">
        <v>1850</v>
      </c>
    </row>
    <row r="235" spans="1:33" ht="18.399999999999999" customHeight="1" x14ac:dyDescent="0.15">
      <c r="B235" s="9" t="s">
        <v>1606</v>
      </c>
      <c r="G235" s="30">
        <f>TRUNC(G233+G234, 2)</f>
        <v>40020.879999999997</v>
      </c>
    </row>
    <row r="236" spans="1:33" ht="18.399999999999999" customHeight="1" x14ac:dyDescent="0.15">
      <c r="A236" s="9" t="s">
        <v>789</v>
      </c>
    </row>
    <row r="237" spans="1:33" ht="18.399999999999999" customHeight="1" x14ac:dyDescent="0.15">
      <c r="B237" s="9" t="s">
        <v>1606</v>
      </c>
    </row>
    <row r="238" spans="1:33" ht="18.399999999999999" customHeight="1" x14ac:dyDescent="0.15">
      <c r="B238" s="9" t="s">
        <v>202</v>
      </c>
      <c r="G238" s="30">
        <f>TRUNC(G232+G235+G237, 2)</f>
        <v>119579.88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1663</v>
      </c>
      <c r="B240" s="4" t="s">
        <v>822</v>
      </c>
      <c r="C240" s="4"/>
      <c r="D240" s="4"/>
      <c r="E240" s="4"/>
      <c r="F240" s="4"/>
      <c r="G240" s="4"/>
      <c r="H240" s="4"/>
      <c r="I240" s="9" t="s">
        <v>1850</v>
      </c>
      <c r="J240" s="9" t="s">
        <v>1526</v>
      </c>
    </row>
    <row r="241" spans="1:33" ht="18.399999999999999" customHeight="1" x14ac:dyDescent="0.15">
      <c r="A241" s="4" t="s">
        <v>535</v>
      </c>
      <c r="B241" s="4" t="s">
        <v>831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1449</v>
      </c>
      <c r="B242" s="27"/>
      <c r="C242" s="27" t="s">
        <v>954</v>
      </c>
      <c r="D242" s="27" t="s">
        <v>58</v>
      </c>
      <c r="E242" s="27" t="s">
        <v>1744</v>
      </c>
      <c r="F242" s="27" t="s">
        <v>448</v>
      </c>
      <c r="G242" s="27" t="s">
        <v>263</v>
      </c>
      <c r="H242" s="27" t="s">
        <v>515</v>
      </c>
    </row>
    <row r="243" spans="1:33" ht="18.399999999999999" customHeight="1" x14ac:dyDescent="0.15">
      <c r="A243" s="9" t="s">
        <v>128</v>
      </c>
      <c r="B243" s="9" t="s">
        <v>393</v>
      </c>
      <c r="C243" s="9" t="s">
        <v>384</v>
      </c>
      <c r="D243" s="9">
        <f>(818 + 636 + 659)*10^-4</f>
        <v>0.21130000000000002</v>
      </c>
      <c r="E243" s="28" t="s">
        <v>248</v>
      </c>
      <c r="F243" s="28">
        <f>중기기초자료!F23</f>
        <v>38646</v>
      </c>
      <c r="G243" s="28">
        <f>TRUNC(F243*D243, 0)</f>
        <v>8165</v>
      </c>
      <c r="H243" s="9" t="s">
        <v>1850</v>
      </c>
      <c r="I243" s="9" t="s">
        <v>1850</v>
      </c>
      <c r="K243" s="9" t="s">
        <v>243</v>
      </c>
      <c r="L243" s="9" t="s">
        <v>1850</v>
      </c>
      <c r="M243" s="9" t="s">
        <v>1653</v>
      </c>
      <c r="N243" s="9" t="s">
        <v>50</v>
      </c>
      <c r="AG243" s="29" t="str">
        <f>HYPERLINK("#중기기초자료!A23","G0000720400380000 →")</f>
        <v>G0000720400380000 →</v>
      </c>
    </row>
    <row r="244" spans="1:33" ht="18.399999999999999" customHeight="1" x14ac:dyDescent="0.15">
      <c r="B244" s="9" t="s">
        <v>1606</v>
      </c>
      <c r="G244" s="28">
        <f>TRUNC(G243, 0)</f>
        <v>8165</v>
      </c>
    </row>
    <row r="245" spans="1:33" ht="18.399999999999999" customHeight="1" x14ac:dyDescent="0.15">
      <c r="A245" s="9" t="s">
        <v>1307</v>
      </c>
      <c r="B245" s="9" t="s">
        <v>331</v>
      </c>
      <c r="C245" s="9" t="s">
        <v>1850</v>
      </c>
      <c r="D245" s="9">
        <v>8.6</v>
      </c>
      <c r="E245" s="30" t="s">
        <v>1813</v>
      </c>
      <c r="F245" s="30">
        <f>중기기초자료!D50</f>
        <v>1356.64</v>
      </c>
      <c r="G245" s="30">
        <f>TRUNC(F245*D245, 2)</f>
        <v>11667.1</v>
      </c>
      <c r="H245" s="9" t="s">
        <v>1850</v>
      </c>
      <c r="I245" s="9" t="s">
        <v>1850</v>
      </c>
      <c r="K245" s="9" t="s">
        <v>1167</v>
      </c>
      <c r="L245" s="9" t="s">
        <v>1850</v>
      </c>
      <c r="M245" s="9" t="s">
        <v>1282</v>
      </c>
      <c r="AG245" s="29" t="str">
        <f>HYPERLINK("#중기기초자료!A50","M1510150520282163 →")</f>
        <v>M1510150520282163 →</v>
      </c>
    </row>
    <row r="246" spans="1:33" ht="18.399999999999999" customHeight="1" x14ac:dyDescent="0.15">
      <c r="B246" s="9" t="s">
        <v>149</v>
      </c>
      <c r="C246" s="9" t="s">
        <v>1850</v>
      </c>
      <c r="D246" s="9">
        <v>30</v>
      </c>
      <c r="E246" s="30" t="s">
        <v>804</v>
      </c>
      <c r="F246" s="30">
        <v>0</v>
      </c>
      <c r="G246" s="30">
        <f>TRUNC((G245) * D246/100, 2)</f>
        <v>3500.13</v>
      </c>
      <c r="H246" s="9" t="s">
        <v>1850</v>
      </c>
      <c r="I246" s="9" t="s">
        <v>1850</v>
      </c>
      <c r="K246" s="9" t="s">
        <v>715</v>
      </c>
      <c r="L246" s="9" t="s">
        <v>1850</v>
      </c>
      <c r="M246" s="9" t="s">
        <v>1287</v>
      </c>
      <c r="N246" s="9" t="s">
        <v>1850</v>
      </c>
    </row>
    <row r="247" spans="1:33" ht="18.399999999999999" customHeight="1" x14ac:dyDescent="0.15">
      <c r="B247" s="9" t="s">
        <v>1606</v>
      </c>
      <c r="G247" s="30">
        <f>TRUNC(G245+G246, 2)</f>
        <v>15167.23</v>
      </c>
    </row>
    <row r="248" spans="1:33" ht="18.399999999999999" customHeight="1" x14ac:dyDescent="0.15">
      <c r="A248" s="9" t="s">
        <v>789</v>
      </c>
      <c r="B248" s="9" t="s">
        <v>139</v>
      </c>
      <c r="C248" s="9" t="s">
        <v>1850</v>
      </c>
      <c r="D248" s="9">
        <v>1</v>
      </c>
      <c r="E248" s="28" t="s">
        <v>1142</v>
      </c>
      <c r="F248" s="28">
        <f>TRUNC(중기기초자료!E48 * 중기전역변수!C18, 0)</f>
        <v>47231</v>
      </c>
      <c r="G248" s="28">
        <f>TRUNC(F248*D248, 0)</f>
        <v>47231</v>
      </c>
      <c r="H248" s="9" t="s">
        <v>1850</v>
      </c>
      <c r="I248" s="9" t="s">
        <v>1850</v>
      </c>
      <c r="K248" s="9" t="s">
        <v>1619</v>
      </c>
      <c r="L248" s="9" t="s">
        <v>1850</v>
      </c>
      <c r="M248" s="9" t="s">
        <v>686</v>
      </c>
      <c r="AG248" s="29" t="str">
        <f>HYPERLINK("#중기기초자료!A48","L001010101000049 →")</f>
        <v>L001010101000049 →</v>
      </c>
    </row>
    <row r="249" spans="1:33" ht="18.399999999999999" customHeight="1" x14ac:dyDescent="0.15">
      <c r="B249" s="9" t="s">
        <v>1606</v>
      </c>
      <c r="G249" s="28">
        <f>TRUNC(G248, 0)</f>
        <v>47231</v>
      </c>
    </row>
    <row r="250" spans="1:33" ht="18.399999999999999" customHeight="1" x14ac:dyDescent="0.15">
      <c r="B250" s="9" t="s">
        <v>202</v>
      </c>
      <c r="G250" s="30">
        <f>TRUNC(G244+G247+G249, 2)</f>
        <v>70563.23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1663</v>
      </c>
      <c r="B252" s="4" t="s">
        <v>462</v>
      </c>
      <c r="C252" s="4"/>
      <c r="D252" s="4"/>
      <c r="E252" s="4"/>
      <c r="F252" s="4"/>
      <c r="G252" s="4"/>
      <c r="H252" s="4"/>
      <c r="I252" s="9" t="s">
        <v>1850</v>
      </c>
      <c r="J252" s="9" t="s">
        <v>330</v>
      </c>
    </row>
    <row r="253" spans="1:33" ht="18.399999999999999" customHeight="1" x14ac:dyDescent="0.15">
      <c r="A253" s="4" t="s">
        <v>535</v>
      </c>
      <c r="B253" s="4" t="s">
        <v>429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1449</v>
      </c>
      <c r="B254" s="27"/>
      <c r="C254" s="27" t="s">
        <v>954</v>
      </c>
      <c r="D254" s="27" t="s">
        <v>58</v>
      </c>
      <c r="E254" s="27" t="s">
        <v>1744</v>
      </c>
      <c r="F254" s="27" t="s">
        <v>448</v>
      </c>
      <c r="G254" s="27" t="s">
        <v>263</v>
      </c>
      <c r="H254" s="27" t="s">
        <v>515</v>
      </c>
    </row>
    <row r="255" spans="1:33" ht="18.399999999999999" customHeight="1" x14ac:dyDescent="0.15">
      <c r="A255" s="9" t="s">
        <v>128</v>
      </c>
      <c r="B255" s="9" t="s">
        <v>393</v>
      </c>
      <c r="C255" s="9" t="s">
        <v>1168</v>
      </c>
      <c r="D255" s="9">
        <f>(818 + 636 + 659)*10^-4</f>
        <v>0.21130000000000002</v>
      </c>
      <c r="E255" s="28" t="s">
        <v>248</v>
      </c>
      <c r="F255" s="28">
        <f>중기기초자료!F24</f>
        <v>44820</v>
      </c>
      <c r="G255" s="28">
        <f>TRUNC(F255*D255, 0)</f>
        <v>9470</v>
      </c>
      <c r="H255" s="9" t="s">
        <v>1850</v>
      </c>
      <c r="I255" s="9" t="s">
        <v>1850</v>
      </c>
      <c r="K255" s="9" t="s">
        <v>243</v>
      </c>
      <c r="L255" s="9" t="s">
        <v>1850</v>
      </c>
      <c r="M255" s="9" t="s">
        <v>584</v>
      </c>
      <c r="N255" s="9" t="s">
        <v>50</v>
      </c>
      <c r="AG255" s="29" t="str">
        <f>HYPERLINK("#중기기초자료!A24","G0000720400550000 →")</f>
        <v>G0000720400550000 →</v>
      </c>
    </row>
    <row r="256" spans="1:33" ht="18.399999999999999" customHeight="1" x14ac:dyDescent="0.15">
      <c r="B256" s="9" t="s">
        <v>1606</v>
      </c>
      <c r="G256" s="28">
        <f>TRUNC(G255, 0)</f>
        <v>9470</v>
      </c>
    </row>
    <row r="257" spans="1:33" ht="18.399999999999999" customHeight="1" x14ac:dyDescent="0.15">
      <c r="A257" s="9" t="s">
        <v>1307</v>
      </c>
      <c r="B257" s="9" t="s">
        <v>331</v>
      </c>
      <c r="C257" s="9" t="s">
        <v>1850</v>
      </c>
      <c r="D257" s="9">
        <v>9.3000000000000007</v>
      </c>
      <c r="E257" s="30" t="s">
        <v>1813</v>
      </c>
      <c r="F257" s="30">
        <f>중기기초자료!D50</f>
        <v>1356.64</v>
      </c>
      <c r="G257" s="30">
        <f>TRUNC(F257*D257, 2)</f>
        <v>12616.75</v>
      </c>
      <c r="H257" s="9" t="s">
        <v>1850</v>
      </c>
      <c r="I257" s="9" t="s">
        <v>1850</v>
      </c>
      <c r="K257" s="9" t="s">
        <v>1167</v>
      </c>
      <c r="L257" s="9" t="s">
        <v>1850</v>
      </c>
      <c r="M257" s="9" t="s">
        <v>1282</v>
      </c>
      <c r="AG257" s="29" t="str">
        <f>HYPERLINK("#중기기초자료!A50","M1510150520282163 →")</f>
        <v>M1510150520282163 →</v>
      </c>
    </row>
    <row r="258" spans="1:33" ht="18.399999999999999" customHeight="1" x14ac:dyDescent="0.15">
      <c r="B258" s="9" t="s">
        <v>149</v>
      </c>
      <c r="C258" s="9" t="s">
        <v>1850</v>
      </c>
      <c r="D258" s="9">
        <v>30</v>
      </c>
      <c r="E258" s="30" t="s">
        <v>804</v>
      </c>
      <c r="F258" s="30">
        <v>0</v>
      </c>
      <c r="G258" s="30">
        <f>TRUNC((G257) * D258/100, 2)</f>
        <v>3785.02</v>
      </c>
      <c r="H258" s="9" t="s">
        <v>1850</v>
      </c>
      <c r="I258" s="9" t="s">
        <v>1850</v>
      </c>
      <c r="K258" s="9" t="s">
        <v>715</v>
      </c>
      <c r="L258" s="9" t="s">
        <v>1850</v>
      </c>
      <c r="M258" s="9" t="s">
        <v>1287</v>
      </c>
      <c r="N258" s="9" t="s">
        <v>1850</v>
      </c>
    </row>
    <row r="259" spans="1:33" ht="18.399999999999999" customHeight="1" x14ac:dyDescent="0.15">
      <c r="B259" s="9" t="s">
        <v>1606</v>
      </c>
      <c r="G259" s="30">
        <f>TRUNC(G257+G258, 2)</f>
        <v>16401.77</v>
      </c>
    </row>
    <row r="260" spans="1:33" ht="18.399999999999999" customHeight="1" x14ac:dyDescent="0.15">
      <c r="A260" s="9" t="s">
        <v>789</v>
      </c>
      <c r="B260" s="9" t="s">
        <v>139</v>
      </c>
      <c r="C260" s="9" t="s">
        <v>1850</v>
      </c>
      <c r="D260" s="9">
        <v>1</v>
      </c>
      <c r="E260" s="28" t="s">
        <v>1142</v>
      </c>
      <c r="F260" s="28">
        <f>TRUNC(중기기초자료!E48 * 중기전역변수!C18, 0)</f>
        <v>47231</v>
      </c>
      <c r="G260" s="28">
        <f>TRUNC(F260*D260, 0)</f>
        <v>47231</v>
      </c>
      <c r="H260" s="9" t="s">
        <v>1850</v>
      </c>
      <c r="I260" s="9" t="s">
        <v>1850</v>
      </c>
      <c r="K260" s="9" t="s">
        <v>1619</v>
      </c>
      <c r="L260" s="9" t="s">
        <v>1850</v>
      </c>
      <c r="M260" s="9" t="s">
        <v>686</v>
      </c>
      <c r="AG260" s="29" t="str">
        <f>HYPERLINK("#중기기초자료!A48","L001010101000049 →")</f>
        <v>L001010101000049 →</v>
      </c>
    </row>
    <row r="261" spans="1:33" ht="18.399999999999999" customHeight="1" x14ac:dyDescent="0.15">
      <c r="B261" s="9" t="s">
        <v>1606</v>
      </c>
      <c r="G261" s="28">
        <f>TRUNC(G260, 0)</f>
        <v>47231</v>
      </c>
    </row>
    <row r="262" spans="1:33" ht="18.399999999999999" customHeight="1" x14ac:dyDescent="0.15">
      <c r="B262" s="9" t="s">
        <v>202</v>
      </c>
      <c r="G262" s="30">
        <f>TRUNC(G256+G259+G261, 2)</f>
        <v>73102.77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1663</v>
      </c>
      <c r="B264" s="4" t="s">
        <v>237</v>
      </c>
      <c r="C264" s="4"/>
      <c r="D264" s="4"/>
      <c r="E264" s="4"/>
      <c r="F264" s="4"/>
      <c r="G264" s="4"/>
      <c r="H264" s="4"/>
      <c r="I264" s="9" t="s">
        <v>1850</v>
      </c>
      <c r="J264" s="9" t="s">
        <v>1265</v>
      </c>
    </row>
    <row r="265" spans="1:33" ht="18.399999999999999" customHeight="1" x14ac:dyDescent="0.15">
      <c r="A265" s="4" t="s">
        <v>535</v>
      </c>
      <c r="B265" s="4" t="s">
        <v>477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1449</v>
      </c>
      <c r="B266" s="27"/>
      <c r="C266" s="27" t="s">
        <v>954</v>
      </c>
      <c r="D266" s="27" t="s">
        <v>58</v>
      </c>
      <c r="E266" s="27" t="s">
        <v>1744</v>
      </c>
      <c r="F266" s="27" t="s">
        <v>448</v>
      </c>
      <c r="G266" s="27" t="s">
        <v>263</v>
      </c>
      <c r="H266" s="27" t="s">
        <v>515</v>
      </c>
    </row>
    <row r="267" spans="1:33" ht="18.399999999999999" customHeight="1" x14ac:dyDescent="0.15">
      <c r="A267" s="9" t="s">
        <v>128</v>
      </c>
      <c r="B267" s="9" t="s">
        <v>1590</v>
      </c>
      <c r="C267" s="9" t="s">
        <v>1687</v>
      </c>
      <c r="D267" s="9">
        <f>(1125 + 1000 + 674)*10^-4</f>
        <v>0.27990000000000004</v>
      </c>
      <c r="E267" s="28" t="s">
        <v>248</v>
      </c>
      <c r="F267" s="28">
        <f>중기기초자료!F25</f>
        <v>875</v>
      </c>
      <c r="G267" s="28">
        <f>TRUNC(F267*D267, 0)</f>
        <v>244</v>
      </c>
      <c r="H267" s="9" t="s">
        <v>1850</v>
      </c>
      <c r="I267" s="9" t="s">
        <v>1850</v>
      </c>
      <c r="K267" s="9" t="s">
        <v>243</v>
      </c>
      <c r="L267" s="9" t="s">
        <v>1850</v>
      </c>
      <c r="M267" s="9" t="s">
        <v>1327</v>
      </c>
      <c r="N267" s="9" t="s">
        <v>1755</v>
      </c>
      <c r="AG267" s="29" t="str">
        <f>HYPERLINK("#중기기초자료!A25","G0000721004850000 →")</f>
        <v>G0000721004850000 →</v>
      </c>
    </row>
    <row r="268" spans="1:33" ht="18.399999999999999" customHeight="1" x14ac:dyDescent="0.15">
      <c r="B268" s="9" t="s">
        <v>1606</v>
      </c>
      <c r="G268" s="28">
        <f>TRUNC(G267, 0)</f>
        <v>244</v>
      </c>
    </row>
    <row r="269" spans="1:33" ht="18.399999999999999" customHeight="1" x14ac:dyDescent="0.15">
      <c r="A269" s="9" t="s">
        <v>1307</v>
      </c>
      <c r="B269" s="9" t="s">
        <v>557</v>
      </c>
      <c r="C269" s="9" t="s">
        <v>1850</v>
      </c>
      <c r="D269" s="9">
        <v>1.3</v>
      </c>
      <c r="E269" s="30" t="s">
        <v>1813</v>
      </c>
      <c r="F269" s="30">
        <f>중기기초자료!D51</f>
        <v>1433.72</v>
      </c>
      <c r="G269" s="30">
        <f>TRUNC(F269*D269, 2)</f>
        <v>1863.83</v>
      </c>
      <c r="H269" s="9" t="s">
        <v>1850</v>
      </c>
      <c r="I269" s="9" t="s">
        <v>1850</v>
      </c>
      <c r="K269" s="9" t="s">
        <v>1619</v>
      </c>
      <c r="L269" s="9" t="s">
        <v>1850</v>
      </c>
      <c r="M269" s="9" t="s">
        <v>1347</v>
      </c>
      <c r="AG269" s="29" t="str">
        <f>HYPERLINK("#중기기초자료!A51","M1510150620282203 →")</f>
        <v>M1510150620282203 →</v>
      </c>
    </row>
    <row r="270" spans="1:33" ht="18.399999999999999" customHeight="1" x14ac:dyDescent="0.15">
      <c r="B270" s="9" t="s">
        <v>149</v>
      </c>
      <c r="C270" s="9" t="s">
        <v>1850</v>
      </c>
      <c r="D270" s="9">
        <v>20</v>
      </c>
      <c r="E270" s="30" t="s">
        <v>804</v>
      </c>
      <c r="F270" s="30">
        <v>0</v>
      </c>
      <c r="G270" s="30">
        <f>TRUNC((G269) * D270/100, 2)</f>
        <v>372.76</v>
      </c>
      <c r="H270" s="9" t="s">
        <v>1850</v>
      </c>
      <c r="I270" s="9" t="s">
        <v>1850</v>
      </c>
      <c r="K270" s="9" t="s">
        <v>1167</v>
      </c>
      <c r="L270" s="9" t="s">
        <v>1850</v>
      </c>
      <c r="M270" s="9" t="s">
        <v>1287</v>
      </c>
      <c r="N270" s="9" t="s">
        <v>1850</v>
      </c>
    </row>
    <row r="271" spans="1:33" ht="18.399999999999999" customHeight="1" x14ac:dyDescent="0.15">
      <c r="B271" s="9" t="s">
        <v>1606</v>
      </c>
      <c r="G271" s="30">
        <f>TRUNC(G269+G270, 2)</f>
        <v>2236.59</v>
      </c>
    </row>
    <row r="272" spans="1:33" ht="18.399999999999999" customHeight="1" x14ac:dyDescent="0.15">
      <c r="A272" s="9" t="s">
        <v>789</v>
      </c>
    </row>
    <row r="273" spans="1:33" ht="18.399999999999999" customHeight="1" x14ac:dyDescent="0.15">
      <c r="B273" s="9" t="s">
        <v>1606</v>
      </c>
    </row>
    <row r="274" spans="1:33" ht="18.399999999999999" customHeight="1" x14ac:dyDescent="0.15">
      <c r="B274" s="9" t="s">
        <v>202</v>
      </c>
      <c r="G274" s="30">
        <f>TRUNC(G268+G271+G273, 2)</f>
        <v>2480.59</v>
      </c>
    </row>
    <row r="275" spans="1:33" ht="18.399999999999999" customHeight="1" x14ac:dyDescent="0.15">
      <c r="A275" s="4"/>
      <c r="B275" s="4"/>
      <c r="C275" s="4"/>
      <c r="D275" s="4"/>
      <c r="E275" s="4"/>
      <c r="F275" s="4"/>
      <c r="G275" s="4"/>
      <c r="H275" s="4"/>
    </row>
    <row r="276" spans="1:33" ht="18.399999999999999" customHeight="1" x14ac:dyDescent="0.15">
      <c r="A276" s="4" t="s">
        <v>1663</v>
      </c>
      <c r="B276" s="4" t="s">
        <v>1341</v>
      </c>
      <c r="C276" s="4"/>
      <c r="D276" s="4"/>
      <c r="E276" s="4"/>
      <c r="F276" s="4"/>
      <c r="G276" s="4"/>
      <c r="H276" s="4"/>
      <c r="I276" s="9" t="s">
        <v>1850</v>
      </c>
      <c r="J276" s="9" t="s">
        <v>451</v>
      </c>
    </row>
    <row r="277" spans="1:33" ht="18.399999999999999" customHeight="1" x14ac:dyDescent="0.15">
      <c r="A277" s="4" t="s">
        <v>535</v>
      </c>
      <c r="B277" s="4" t="s">
        <v>1604</v>
      </c>
      <c r="C277" s="4"/>
      <c r="D277" s="4"/>
      <c r="E277" s="4"/>
      <c r="F277" s="4"/>
      <c r="G277" s="4"/>
      <c r="H277" s="4"/>
    </row>
    <row r="278" spans="1:33" ht="18.399999999999999" customHeight="1" x14ac:dyDescent="0.15">
      <c r="A278" s="27" t="s">
        <v>1449</v>
      </c>
      <c r="B278" s="27"/>
      <c r="C278" s="27" t="s">
        <v>954</v>
      </c>
      <c r="D278" s="27" t="s">
        <v>58</v>
      </c>
      <c r="E278" s="27" t="s">
        <v>1744</v>
      </c>
      <c r="F278" s="27" t="s">
        <v>448</v>
      </c>
      <c r="G278" s="27" t="s">
        <v>263</v>
      </c>
      <c r="H278" s="27" t="s">
        <v>515</v>
      </c>
    </row>
    <row r="279" spans="1:33" ht="18.399999999999999" customHeight="1" x14ac:dyDescent="0.15">
      <c r="A279" s="9" t="s">
        <v>128</v>
      </c>
      <c r="B279" s="9" t="s">
        <v>840</v>
      </c>
      <c r="C279" s="9" t="s">
        <v>1363</v>
      </c>
      <c r="D279" s="9">
        <f>(1125 + 1375 + 674)*10^-4</f>
        <v>0.31740000000000002</v>
      </c>
      <c r="E279" s="28" t="s">
        <v>248</v>
      </c>
      <c r="F279" s="28">
        <f>중기기초자료!F26</f>
        <v>6200</v>
      </c>
      <c r="G279" s="28">
        <f>TRUNC(F279*D279, 0)</f>
        <v>1967</v>
      </c>
      <c r="H279" s="9" t="s">
        <v>1850</v>
      </c>
      <c r="I279" s="9" t="s">
        <v>1850</v>
      </c>
      <c r="K279" s="9" t="s">
        <v>243</v>
      </c>
      <c r="L279" s="9" t="s">
        <v>1850</v>
      </c>
      <c r="M279" s="9" t="s">
        <v>991</v>
      </c>
      <c r="N279" s="9" t="s">
        <v>1524</v>
      </c>
      <c r="AG279" s="29" t="str">
        <f>HYPERLINK("#중기기초자료!A26","G0000743113000000 →")</f>
        <v>G0000743113000000 →</v>
      </c>
    </row>
    <row r="280" spans="1:33" ht="18.399999999999999" customHeight="1" x14ac:dyDescent="0.15">
      <c r="B280" s="9" t="s">
        <v>1606</v>
      </c>
      <c r="G280" s="28">
        <f>TRUNC(G279, 0)</f>
        <v>1967</v>
      </c>
    </row>
    <row r="281" spans="1:33" ht="18.399999999999999" customHeight="1" x14ac:dyDescent="0.15">
      <c r="A281" s="9" t="s">
        <v>1307</v>
      </c>
    </row>
    <row r="282" spans="1:33" ht="18.399999999999999" customHeight="1" x14ac:dyDescent="0.15">
      <c r="B282" s="9" t="s">
        <v>1606</v>
      </c>
    </row>
    <row r="283" spans="1:33" ht="18.399999999999999" customHeight="1" x14ac:dyDescent="0.15">
      <c r="A283" s="9" t="s">
        <v>789</v>
      </c>
    </row>
    <row r="284" spans="1:33" ht="18.399999999999999" customHeight="1" x14ac:dyDescent="0.15">
      <c r="B284" s="9" t="s">
        <v>1606</v>
      </c>
    </row>
    <row r="285" spans="1:33" ht="18.399999999999999" customHeight="1" x14ac:dyDescent="0.15">
      <c r="B285" s="9" t="s">
        <v>202</v>
      </c>
      <c r="G285" s="30">
        <f>TRUNC(G280+G282+G284, 2)</f>
        <v>1967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1663</v>
      </c>
      <c r="B287" s="4" t="s">
        <v>855</v>
      </c>
      <c r="C287" s="4"/>
      <c r="D287" s="4"/>
      <c r="E287" s="4"/>
      <c r="F287" s="4"/>
      <c r="G287" s="4"/>
      <c r="H287" s="4"/>
      <c r="I287" s="9" t="s">
        <v>1850</v>
      </c>
      <c r="J287" s="9" t="s">
        <v>723</v>
      </c>
    </row>
    <row r="288" spans="1:33" ht="18.399999999999999" customHeight="1" x14ac:dyDescent="0.15">
      <c r="A288" s="4" t="s">
        <v>535</v>
      </c>
      <c r="B288" s="4" t="s">
        <v>1728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1449</v>
      </c>
      <c r="B289" s="27"/>
      <c r="C289" s="27" t="s">
        <v>954</v>
      </c>
      <c r="D289" s="27" t="s">
        <v>58</v>
      </c>
      <c r="E289" s="27" t="s">
        <v>1744</v>
      </c>
      <c r="F289" s="27" t="s">
        <v>448</v>
      </c>
      <c r="G289" s="27" t="s">
        <v>263</v>
      </c>
      <c r="H289" s="27" t="s">
        <v>515</v>
      </c>
    </row>
    <row r="290" spans="1:33" ht="18.399999999999999" customHeight="1" x14ac:dyDescent="0.15">
      <c r="A290" s="9" t="s">
        <v>128</v>
      </c>
      <c r="B290" s="9" t="s">
        <v>208</v>
      </c>
      <c r="C290" s="9" t="s">
        <v>1750</v>
      </c>
      <c r="D290" s="9">
        <v>0.23619999999999999</v>
      </c>
      <c r="E290" s="28" t="s">
        <v>248</v>
      </c>
      <c r="F290" s="28">
        <f>중기기초자료!F27</f>
        <v>3130</v>
      </c>
      <c r="G290" s="28">
        <f>TRUNC(F290*D290, 0)</f>
        <v>739</v>
      </c>
      <c r="H290" s="9" t="s">
        <v>1850</v>
      </c>
      <c r="I290" s="9" t="s">
        <v>1850</v>
      </c>
      <c r="K290" s="9" t="s">
        <v>1619</v>
      </c>
      <c r="L290" s="9" t="s">
        <v>1850</v>
      </c>
      <c r="M290" s="9" t="s">
        <v>1164</v>
      </c>
      <c r="N290" s="9" t="s">
        <v>1850</v>
      </c>
      <c r="AG290" s="29" t="str">
        <f>HYPERLINK("#중기기초자료!A27","G0000750500150000 →")</f>
        <v>G0000750500150000 →</v>
      </c>
    </row>
    <row r="291" spans="1:33" ht="18.399999999999999" customHeight="1" x14ac:dyDescent="0.15">
      <c r="B291" s="9" t="s">
        <v>1606</v>
      </c>
      <c r="G291" s="28">
        <f>TRUNC(G290, 0)</f>
        <v>739</v>
      </c>
    </row>
    <row r="292" spans="1:33" ht="18.399999999999999" customHeight="1" x14ac:dyDescent="0.15">
      <c r="A292" s="9" t="s">
        <v>1307</v>
      </c>
      <c r="B292" s="9" t="s">
        <v>18</v>
      </c>
      <c r="C292" s="9" t="s">
        <v>769</v>
      </c>
      <c r="D292" s="9">
        <v>1.5</v>
      </c>
      <c r="E292" s="30" t="s">
        <v>1813</v>
      </c>
      <c r="F292" s="30">
        <f>중기기초자료!D51</f>
        <v>1433.72</v>
      </c>
      <c r="G292" s="30">
        <f>TRUNC(F292*D292, 2)</f>
        <v>2150.58</v>
      </c>
      <c r="H292" s="9" t="s">
        <v>1850</v>
      </c>
      <c r="I292" s="9" t="s">
        <v>1850</v>
      </c>
      <c r="K292" s="9" t="s">
        <v>1167</v>
      </c>
      <c r="L292" s="9" t="s">
        <v>1850</v>
      </c>
      <c r="M292" s="9" t="s">
        <v>1347</v>
      </c>
      <c r="AG292" s="29" t="str">
        <f>HYPERLINK("#중기기초자료!A51","M1510150620282203 →")</f>
        <v>M1510150620282203 →</v>
      </c>
    </row>
    <row r="293" spans="1:33" ht="18.399999999999999" customHeight="1" x14ac:dyDescent="0.15">
      <c r="B293" s="9" t="s">
        <v>456</v>
      </c>
      <c r="C293" s="9" t="s">
        <v>961</v>
      </c>
      <c r="D293" s="9">
        <v>24</v>
      </c>
      <c r="E293" s="30" t="s">
        <v>1603</v>
      </c>
      <c r="F293" s="30">
        <v>0</v>
      </c>
      <c r="G293" s="30">
        <f>TRUNC((G292) * D293/100, 2)</f>
        <v>516.13</v>
      </c>
      <c r="H293" s="9" t="s">
        <v>1850</v>
      </c>
      <c r="I293" s="9" t="s">
        <v>1850</v>
      </c>
      <c r="K293" s="9" t="s">
        <v>715</v>
      </c>
      <c r="L293" s="9" t="s">
        <v>1850</v>
      </c>
      <c r="M293" s="9" t="s">
        <v>1287</v>
      </c>
      <c r="N293" s="9" t="s">
        <v>154</v>
      </c>
    </row>
    <row r="294" spans="1:33" ht="18.399999999999999" customHeight="1" x14ac:dyDescent="0.15">
      <c r="B294" s="9" t="s">
        <v>1606</v>
      </c>
      <c r="G294" s="30">
        <f>TRUNC(G292+G293, 2)</f>
        <v>2666.71</v>
      </c>
    </row>
    <row r="295" spans="1:33" ht="18.399999999999999" customHeight="1" x14ac:dyDescent="0.15">
      <c r="A295" s="9" t="s">
        <v>789</v>
      </c>
    </row>
    <row r="296" spans="1:33" ht="18.399999999999999" customHeight="1" x14ac:dyDescent="0.15">
      <c r="B296" s="9" t="s">
        <v>1606</v>
      </c>
    </row>
    <row r="297" spans="1:33" ht="18.399999999999999" customHeight="1" x14ac:dyDescent="0.15">
      <c r="B297" s="9" t="s">
        <v>202</v>
      </c>
      <c r="G297" s="30">
        <f>TRUNC(G291+G294+G296, 2)</f>
        <v>3405.71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1663</v>
      </c>
      <c r="B299" s="4" t="s">
        <v>1564</v>
      </c>
      <c r="C299" s="4"/>
      <c r="D299" s="4"/>
      <c r="E299" s="4"/>
      <c r="F299" s="4"/>
      <c r="G299" s="4"/>
      <c r="H299" s="4"/>
      <c r="I299" s="9" t="s">
        <v>1850</v>
      </c>
      <c r="J299" s="9" t="s">
        <v>163</v>
      </c>
    </row>
    <row r="300" spans="1:33" ht="18.399999999999999" customHeight="1" x14ac:dyDescent="0.15">
      <c r="A300" s="4" t="s">
        <v>535</v>
      </c>
      <c r="B300" s="4" t="s">
        <v>1723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1449</v>
      </c>
      <c r="B301" s="27"/>
      <c r="C301" s="27" t="s">
        <v>954</v>
      </c>
      <c r="D301" s="27" t="s">
        <v>58</v>
      </c>
      <c r="E301" s="27" t="s">
        <v>1744</v>
      </c>
      <c r="F301" s="27" t="s">
        <v>448</v>
      </c>
      <c r="G301" s="27" t="s">
        <v>263</v>
      </c>
      <c r="H301" s="27" t="s">
        <v>515</v>
      </c>
    </row>
    <row r="302" spans="1:33" ht="18.399999999999999" customHeight="1" x14ac:dyDescent="0.15">
      <c r="A302" s="9" t="s">
        <v>128</v>
      </c>
      <c r="B302" s="9" t="s">
        <v>208</v>
      </c>
      <c r="C302" s="9" t="s">
        <v>1742</v>
      </c>
      <c r="D302" s="9">
        <f>(1125 + 563 + 674)*10^-4</f>
        <v>0.23620000000000002</v>
      </c>
      <c r="E302" s="28" t="s">
        <v>248</v>
      </c>
      <c r="F302" s="28">
        <f>중기기초자료!F28</f>
        <v>13705</v>
      </c>
      <c r="G302" s="28">
        <f>TRUNC(F302*D302, 0)</f>
        <v>3237</v>
      </c>
      <c r="H302" s="9" t="s">
        <v>1850</v>
      </c>
      <c r="I302" s="9" t="s">
        <v>1850</v>
      </c>
      <c r="K302" s="9" t="s">
        <v>243</v>
      </c>
      <c r="L302" s="9" t="s">
        <v>1850</v>
      </c>
      <c r="M302" s="9" t="s">
        <v>410</v>
      </c>
      <c r="N302" s="9" t="s">
        <v>292</v>
      </c>
      <c r="AG302" s="29" t="str">
        <f>HYPERLINK("#중기기초자료!A28","G0000750500250000 →")</f>
        <v>G0000750500250000 →</v>
      </c>
    </row>
    <row r="303" spans="1:33" ht="18.399999999999999" customHeight="1" x14ac:dyDescent="0.15">
      <c r="B303" s="9" t="s">
        <v>1606</v>
      </c>
      <c r="G303" s="28">
        <f>TRUNC(G302, 0)</f>
        <v>3237</v>
      </c>
    </row>
    <row r="304" spans="1:33" ht="18.399999999999999" customHeight="1" x14ac:dyDescent="0.15">
      <c r="A304" s="9" t="s">
        <v>1307</v>
      </c>
      <c r="B304" s="9" t="s">
        <v>331</v>
      </c>
      <c r="C304" s="9" t="s">
        <v>1850</v>
      </c>
      <c r="D304" s="9">
        <v>4.3</v>
      </c>
      <c r="E304" s="30" t="s">
        <v>1813</v>
      </c>
      <c r="F304" s="30">
        <f>중기기초자료!D50</f>
        <v>1356.64</v>
      </c>
      <c r="G304" s="30">
        <f>TRUNC(F304*D304, 2)</f>
        <v>5833.55</v>
      </c>
      <c r="H304" s="9" t="s">
        <v>1850</v>
      </c>
      <c r="I304" s="9" t="s">
        <v>1850</v>
      </c>
      <c r="K304" s="9" t="s">
        <v>1167</v>
      </c>
      <c r="L304" s="9" t="s">
        <v>1850</v>
      </c>
      <c r="M304" s="9" t="s">
        <v>1282</v>
      </c>
      <c r="AG304" s="29" t="str">
        <f>HYPERLINK("#중기기초자료!A50","M1510150520282163 →")</f>
        <v>M1510150520282163 →</v>
      </c>
    </row>
    <row r="305" spans="1:33" ht="18.399999999999999" customHeight="1" x14ac:dyDescent="0.15">
      <c r="B305" s="9" t="s">
        <v>149</v>
      </c>
      <c r="C305" s="9" t="s">
        <v>1850</v>
      </c>
      <c r="D305" s="9">
        <v>24</v>
      </c>
      <c r="E305" s="30" t="s">
        <v>804</v>
      </c>
      <c r="F305" s="30">
        <v>0</v>
      </c>
      <c r="G305" s="30">
        <f>TRUNC((G304) * D305/100, 2)</f>
        <v>1400.05</v>
      </c>
      <c r="H305" s="9" t="s">
        <v>1850</v>
      </c>
      <c r="I305" s="9" t="s">
        <v>1850</v>
      </c>
      <c r="K305" s="9" t="s">
        <v>715</v>
      </c>
      <c r="L305" s="9" t="s">
        <v>1850</v>
      </c>
      <c r="M305" s="9" t="s">
        <v>1287</v>
      </c>
      <c r="N305" s="9" t="s">
        <v>1850</v>
      </c>
    </row>
    <row r="306" spans="1:33" ht="18.399999999999999" customHeight="1" x14ac:dyDescent="0.15">
      <c r="B306" s="9" t="s">
        <v>1606</v>
      </c>
      <c r="G306" s="30">
        <f>TRUNC(G304+G305, 2)</f>
        <v>7233.6</v>
      </c>
    </row>
    <row r="307" spans="1:33" ht="18.399999999999999" customHeight="1" x14ac:dyDescent="0.15">
      <c r="A307" s="9" t="s">
        <v>789</v>
      </c>
      <c r="B307" s="9" t="s">
        <v>982</v>
      </c>
      <c r="C307" s="9" t="s">
        <v>1850</v>
      </c>
      <c r="D307" s="9">
        <v>1</v>
      </c>
      <c r="E307" s="28" t="s">
        <v>1142</v>
      </c>
      <c r="F307" s="28">
        <f>TRUNC(중기기초자료!E49 * 중기전역변수!C18, 0)</f>
        <v>33571</v>
      </c>
      <c r="G307" s="28">
        <f>TRUNC(F307*D307, 0)</f>
        <v>33571</v>
      </c>
      <c r="H307" s="9" t="s">
        <v>1850</v>
      </c>
      <c r="I307" s="9" t="s">
        <v>1850</v>
      </c>
      <c r="K307" s="9" t="s">
        <v>1619</v>
      </c>
      <c r="L307" s="9" t="s">
        <v>1850</v>
      </c>
      <c r="M307" s="9" t="s">
        <v>1391</v>
      </c>
      <c r="AG307" s="29" t="str">
        <f>HYPERLINK("#중기기초자료!A49","L001010101000050 →")</f>
        <v>L001010101000050 →</v>
      </c>
    </row>
    <row r="308" spans="1:33" ht="18.399999999999999" customHeight="1" x14ac:dyDescent="0.15">
      <c r="B308" s="9" t="s">
        <v>1606</v>
      </c>
      <c r="G308" s="28">
        <f>TRUNC(G307, 0)</f>
        <v>33571</v>
      </c>
    </row>
    <row r="309" spans="1:33" ht="18.399999999999999" customHeight="1" x14ac:dyDescent="0.15">
      <c r="B309" s="9" t="s">
        <v>202</v>
      </c>
      <c r="G309" s="30">
        <f>TRUNC(G303+G306+G308, 2)</f>
        <v>44041.599999999999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1663</v>
      </c>
      <c r="B311" s="4" t="s">
        <v>1485</v>
      </c>
      <c r="C311" s="4"/>
      <c r="D311" s="4"/>
      <c r="E311" s="4"/>
      <c r="F311" s="4"/>
      <c r="G311" s="4"/>
      <c r="H311" s="4"/>
      <c r="I311" s="9" t="s">
        <v>1850</v>
      </c>
      <c r="J311" s="9" t="s">
        <v>314</v>
      </c>
    </row>
    <row r="312" spans="1:33" ht="18.399999999999999" customHeight="1" x14ac:dyDescent="0.15">
      <c r="A312" s="4" t="s">
        <v>535</v>
      </c>
      <c r="B312" s="4" t="s">
        <v>989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1449</v>
      </c>
      <c r="B313" s="27"/>
      <c r="C313" s="27" t="s">
        <v>954</v>
      </c>
      <c r="D313" s="27" t="s">
        <v>58</v>
      </c>
      <c r="E313" s="27" t="s">
        <v>1744</v>
      </c>
      <c r="F313" s="27" t="s">
        <v>448</v>
      </c>
      <c r="G313" s="27" t="s">
        <v>263</v>
      </c>
      <c r="H313" s="27" t="s">
        <v>515</v>
      </c>
    </row>
    <row r="314" spans="1:33" ht="18.399999999999999" customHeight="1" x14ac:dyDescent="0.15">
      <c r="A314" s="9" t="s">
        <v>128</v>
      </c>
      <c r="B314" s="9" t="s">
        <v>208</v>
      </c>
      <c r="C314" s="9" t="s">
        <v>1503</v>
      </c>
      <c r="D314" s="9">
        <f>(1125 + 563 + 674)*10^-4</f>
        <v>0.23620000000000002</v>
      </c>
      <c r="E314" s="28" t="s">
        <v>248</v>
      </c>
      <c r="F314" s="28">
        <f>중기기초자료!F29</f>
        <v>18829</v>
      </c>
      <c r="G314" s="28">
        <f>TRUNC(F314*D314, 0)</f>
        <v>4447</v>
      </c>
      <c r="H314" s="9" t="s">
        <v>1850</v>
      </c>
      <c r="I314" s="9" t="s">
        <v>1850</v>
      </c>
      <c r="K314" s="9" t="s">
        <v>243</v>
      </c>
      <c r="L314" s="9" t="s">
        <v>1850</v>
      </c>
      <c r="M314" s="9" t="s">
        <v>1834</v>
      </c>
      <c r="N314" s="9" t="s">
        <v>292</v>
      </c>
      <c r="AG314" s="29" t="str">
        <f>HYPERLINK("#중기기초자료!A29","G0000750500500000 →")</f>
        <v>G0000750500500000 →</v>
      </c>
    </row>
    <row r="315" spans="1:33" ht="18.399999999999999" customHeight="1" x14ac:dyDescent="0.15">
      <c r="B315" s="9" t="s">
        <v>1606</v>
      </c>
      <c r="G315" s="28">
        <f>TRUNC(G314, 0)</f>
        <v>4447</v>
      </c>
    </row>
    <row r="316" spans="1:33" ht="18.399999999999999" customHeight="1" x14ac:dyDescent="0.15">
      <c r="A316" s="9" t="s">
        <v>1307</v>
      </c>
      <c r="B316" s="9" t="s">
        <v>331</v>
      </c>
      <c r="C316" s="9" t="s">
        <v>1850</v>
      </c>
      <c r="D316" s="9">
        <v>8.6999999999999993</v>
      </c>
      <c r="E316" s="30" t="s">
        <v>1813</v>
      </c>
      <c r="F316" s="30">
        <f>중기기초자료!D50</f>
        <v>1356.64</v>
      </c>
      <c r="G316" s="30">
        <f>TRUNC(F316*D316, 2)</f>
        <v>11802.76</v>
      </c>
      <c r="H316" s="9" t="s">
        <v>1850</v>
      </c>
      <c r="I316" s="9" t="s">
        <v>1850</v>
      </c>
      <c r="K316" s="9" t="s">
        <v>1167</v>
      </c>
      <c r="L316" s="9" t="s">
        <v>1850</v>
      </c>
      <c r="M316" s="9" t="s">
        <v>1282</v>
      </c>
      <c r="AG316" s="29" t="str">
        <f>HYPERLINK("#중기기초자료!A50","M1510150520282163 →")</f>
        <v>M1510150520282163 →</v>
      </c>
    </row>
    <row r="317" spans="1:33" ht="18.399999999999999" customHeight="1" x14ac:dyDescent="0.15">
      <c r="B317" s="9" t="s">
        <v>149</v>
      </c>
      <c r="C317" s="9" t="s">
        <v>1850</v>
      </c>
      <c r="D317" s="9">
        <v>24</v>
      </c>
      <c r="E317" s="30" t="s">
        <v>804</v>
      </c>
      <c r="F317" s="30">
        <v>0</v>
      </c>
      <c r="G317" s="30">
        <f>TRUNC((G316) * D317/100, 2)</f>
        <v>2832.66</v>
      </c>
      <c r="H317" s="9" t="s">
        <v>1850</v>
      </c>
      <c r="I317" s="9" t="s">
        <v>1850</v>
      </c>
      <c r="K317" s="9" t="s">
        <v>715</v>
      </c>
      <c r="L317" s="9" t="s">
        <v>1850</v>
      </c>
      <c r="M317" s="9" t="s">
        <v>1287</v>
      </c>
      <c r="N317" s="9" t="s">
        <v>1850</v>
      </c>
    </row>
    <row r="318" spans="1:33" ht="18.399999999999999" customHeight="1" x14ac:dyDescent="0.15">
      <c r="B318" s="9" t="s">
        <v>1606</v>
      </c>
      <c r="G318" s="30">
        <f>TRUNC(G316+G317, 2)</f>
        <v>14635.42</v>
      </c>
    </row>
    <row r="319" spans="1:33" ht="18.399999999999999" customHeight="1" x14ac:dyDescent="0.15">
      <c r="A319" s="9" t="s">
        <v>789</v>
      </c>
      <c r="B319" s="9" t="s">
        <v>982</v>
      </c>
      <c r="C319" s="9" t="s">
        <v>1850</v>
      </c>
      <c r="D319" s="9">
        <v>1</v>
      </c>
      <c r="E319" s="28" t="s">
        <v>1142</v>
      </c>
      <c r="F319" s="28">
        <f>TRUNC(중기기초자료!E49 * 중기전역변수!C18, 0)</f>
        <v>33571</v>
      </c>
      <c r="G319" s="28">
        <f>TRUNC(F319*D319, 0)</f>
        <v>33571</v>
      </c>
      <c r="H319" s="9" t="s">
        <v>1850</v>
      </c>
      <c r="I319" s="9" t="s">
        <v>1850</v>
      </c>
      <c r="K319" s="9" t="s">
        <v>1619</v>
      </c>
      <c r="L319" s="9" t="s">
        <v>1850</v>
      </c>
      <c r="M319" s="9" t="s">
        <v>1391</v>
      </c>
      <c r="AG319" s="29" t="str">
        <f>HYPERLINK("#중기기초자료!A49","L001010101000050 →")</f>
        <v>L001010101000050 →</v>
      </c>
    </row>
    <row r="320" spans="1:33" ht="18.399999999999999" customHeight="1" x14ac:dyDescent="0.15">
      <c r="B320" s="9" t="s">
        <v>1606</v>
      </c>
      <c r="G320" s="28">
        <f>TRUNC(G319, 0)</f>
        <v>33571</v>
      </c>
    </row>
    <row r="321" spans="1:33" ht="18.399999999999999" customHeight="1" x14ac:dyDescent="0.15">
      <c r="B321" s="9" t="s">
        <v>202</v>
      </c>
      <c r="G321" s="30">
        <f>TRUNC(G315+G318+G320, 2)</f>
        <v>52653.42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1663</v>
      </c>
      <c r="B323" s="4" t="s">
        <v>1797</v>
      </c>
      <c r="C323" s="4"/>
      <c r="D323" s="4"/>
      <c r="E323" s="4"/>
      <c r="F323" s="4"/>
      <c r="G323" s="4"/>
      <c r="H323" s="4"/>
      <c r="I323" s="9" t="s">
        <v>1850</v>
      </c>
      <c r="J323" s="9" t="s">
        <v>125</v>
      </c>
    </row>
    <row r="324" spans="1:33" ht="18.399999999999999" customHeight="1" x14ac:dyDescent="0.15">
      <c r="A324" s="4" t="s">
        <v>535</v>
      </c>
      <c r="B324" s="4" t="s">
        <v>1072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1449</v>
      </c>
      <c r="B325" s="27"/>
      <c r="C325" s="27" t="s">
        <v>954</v>
      </c>
      <c r="D325" s="27" t="s">
        <v>58</v>
      </c>
      <c r="E325" s="27" t="s">
        <v>1744</v>
      </c>
      <c r="F325" s="27" t="s">
        <v>448</v>
      </c>
      <c r="G325" s="27" t="s">
        <v>263</v>
      </c>
      <c r="H325" s="27" t="s">
        <v>515</v>
      </c>
    </row>
    <row r="326" spans="1:33" ht="18.399999999999999" customHeight="1" x14ac:dyDescent="0.15">
      <c r="A326" s="9" t="s">
        <v>128</v>
      </c>
      <c r="B326" s="9" t="s">
        <v>208</v>
      </c>
      <c r="C326" s="9" t="s">
        <v>83</v>
      </c>
      <c r="D326" s="9">
        <f>(1125 + 563 + 674)*10^-4</f>
        <v>0.23620000000000002</v>
      </c>
      <c r="E326" s="28" t="s">
        <v>248</v>
      </c>
      <c r="F326" s="28">
        <f>중기기초자료!F30</f>
        <v>22877</v>
      </c>
      <c r="G326" s="28">
        <f>TRUNC(F326*D326, 0)</f>
        <v>5403</v>
      </c>
      <c r="H326" s="9" t="s">
        <v>1850</v>
      </c>
      <c r="I326" s="9" t="s">
        <v>1850</v>
      </c>
      <c r="K326" s="9" t="s">
        <v>243</v>
      </c>
      <c r="L326" s="9" t="s">
        <v>1850</v>
      </c>
      <c r="M326" s="9" t="s">
        <v>1808</v>
      </c>
      <c r="N326" s="9" t="s">
        <v>292</v>
      </c>
      <c r="AG326" s="29" t="str">
        <f>HYPERLINK("#중기기초자료!A30","G0000750501000000 →")</f>
        <v>G0000750501000000 →</v>
      </c>
    </row>
    <row r="327" spans="1:33" ht="18.399999999999999" customHeight="1" x14ac:dyDescent="0.15">
      <c r="B327" s="9" t="s">
        <v>1606</v>
      </c>
      <c r="G327" s="28">
        <f>TRUNC(G326, 0)</f>
        <v>5403</v>
      </c>
    </row>
    <row r="328" spans="1:33" ht="18.399999999999999" customHeight="1" x14ac:dyDescent="0.15">
      <c r="A328" s="9" t="s">
        <v>1307</v>
      </c>
      <c r="B328" s="9" t="s">
        <v>331</v>
      </c>
      <c r="C328" s="9" t="s">
        <v>1850</v>
      </c>
      <c r="D328" s="9">
        <v>17.399999999999999</v>
      </c>
      <c r="E328" s="30" t="s">
        <v>1813</v>
      </c>
      <c r="F328" s="30">
        <f>중기기초자료!D50</f>
        <v>1356.64</v>
      </c>
      <c r="G328" s="30">
        <f>TRUNC(F328*D328, 2)</f>
        <v>23605.53</v>
      </c>
      <c r="H328" s="9" t="s">
        <v>1850</v>
      </c>
      <c r="I328" s="9" t="s">
        <v>1850</v>
      </c>
      <c r="K328" s="9" t="s">
        <v>1167</v>
      </c>
      <c r="L328" s="9" t="s">
        <v>1850</v>
      </c>
      <c r="M328" s="9" t="s">
        <v>1282</v>
      </c>
      <c r="AG328" s="29" t="str">
        <f>HYPERLINK("#중기기초자료!A50","M1510150520282163 →")</f>
        <v>M1510150520282163 →</v>
      </c>
    </row>
    <row r="329" spans="1:33" ht="18.399999999999999" customHeight="1" x14ac:dyDescent="0.15">
      <c r="B329" s="9" t="s">
        <v>149</v>
      </c>
      <c r="C329" s="9" t="s">
        <v>1850</v>
      </c>
      <c r="D329" s="9">
        <v>24</v>
      </c>
      <c r="E329" s="30" t="s">
        <v>804</v>
      </c>
      <c r="F329" s="30">
        <v>0</v>
      </c>
      <c r="G329" s="30">
        <f>TRUNC((G328) * D329/100, 2)</f>
        <v>5665.32</v>
      </c>
      <c r="H329" s="9" t="s">
        <v>1850</v>
      </c>
      <c r="I329" s="9" t="s">
        <v>1850</v>
      </c>
      <c r="K329" s="9" t="s">
        <v>715</v>
      </c>
      <c r="L329" s="9" t="s">
        <v>1850</v>
      </c>
      <c r="M329" s="9" t="s">
        <v>1287</v>
      </c>
      <c r="N329" s="9" t="s">
        <v>1850</v>
      </c>
    </row>
    <row r="330" spans="1:33" ht="18.399999999999999" customHeight="1" x14ac:dyDescent="0.15">
      <c r="B330" s="9" t="s">
        <v>1606</v>
      </c>
      <c r="G330" s="30">
        <f>TRUNC(G328+G329, 2)</f>
        <v>29270.85</v>
      </c>
    </row>
    <row r="331" spans="1:33" ht="18.399999999999999" customHeight="1" x14ac:dyDescent="0.15">
      <c r="A331" s="9" t="s">
        <v>789</v>
      </c>
      <c r="B331" s="9" t="s">
        <v>982</v>
      </c>
      <c r="C331" s="9" t="s">
        <v>1850</v>
      </c>
      <c r="D331" s="9">
        <v>1</v>
      </c>
      <c r="E331" s="28" t="s">
        <v>1142</v>
      </c>
      <c r="F331" s="28">
        <f>TRUNC(중기기초자료!E49 * 중기전역변수!C18, 0)</f>
        <v>33571</v>
      </c>
      <c r="G331" s="28">
        <f>TRUNC(F331*D331, 0)</f>
        <v>33571</v>
      </c>
      <c r="H331" s="9" t="s">
        <v>1850</v>
      </c>
      <c r="I331" s="9" t="s">
        <v>1850</v>
      </c>
      <c r="K331" s="9" t="s">
        <v>1619</v>
      </c>
      <c r="L331" s="9" t="s">
        <v>1850</v>
      </c>
      <c r="M331" s="9" t="s">
        <v>1391</v>
      </c>
      <c r="AG331" s="29" t="str">
        <f>HYPERLINK("#중기기초자료!A49","L001010101000050 →")</f>
        <v>L001010101000050 →</v>
      </c>
    </row>
    <row r="332" spans="1:33" ht="18.399999999999999" customHeight="1" x14ac:dyDescent="0.15">
      <c r="B332" s="9" t="s">
        <v>1606</v>
      </c>
      <c r="G332" s="28">
        <f>TRUNC(G331, 0)</f>
        <v>33571</v>
      </c>
    </row>
    <row r="333" spans="1:33" ht="18.399999999999999" customHeight="1" x14ac:dyDescent="0.15">
      <c r="B333" s="9" t="s">
        <v>202</v>
      </c>
      <c r="G333" s="30">
        <f>TRUNC(G327+G330+G332, 2)</f>
        <v>68244.850000000006</v>
      </c>
    </row>
    <row r="334" spans="1:33" ht="18.399999999999999" customHeight="1" x14ac:dyDescent="0.15">
      <c r="A334" s="4"/>
      <c r="B334" s="4"/>
      <c r="C334" s="4"/>
      <c r="D334" s="4"/>
      <c r="E334" s="4"/>
      <c r="F334" s="4"/>
      <c r="G334" s="4"/>
      <c r="H334" s="4"/>
    </row>
    <row r="335" spans="1:33" ht="18.399999999999999" customHeight="1" x14ac:dyDescent="0.15">
      <c r="A335" s="4" t="s">
        <v>1663</v>
      </c>
      <c r="B335" s="4" t="s">
        <v>1149</v>
      </c>
      <c r="C335" s="4"/>
      <c r="D335" s="4"/>
      <c r="E335" s="4"/>
      <c r="F335" s="4"/>
      <c r="G335" s="4"/>
      <c r="H335" s="4"/>
      <c r="I335" s="9" t="s">
        <v>1850</v>
      </c>
      <c r="J335" s="9" t="s">
        <v>1762</v>
      </c>
    </row>
    <row r="336" spans="1:33" ht="18.399999999999999" customHeight="1" x14ac:dyDescent="0.15">
      <c r="A336" s="4" t="s">
        <v>535</v>
      </c>
      <c r="B336" s="4" t="s">
        <v>434</v>
      </c>
      <c r="C336" s="4"/>
      <c r="D336" s="4"/>
      <c r="E336" s="4"/>
      <c r="F336" s="4"/>
      <c r="G336" s="4"/>
      <c r="H336" s="4"/>
    </row>
    <row r="337" spans="1:33" ht="18.399999999999999" customHeight="1" x14ac:dyDescent="0.15">
      <c r="A337" s="27" t="s">
        <v>1449</v>
      </c>
      <c r="B337" s="27"/>
      <c r="C337" s="27" t="s">
        <v>954</v>
      </c>
      <c r="D337" s="27" t="s">
        <v>58</v>
      </c>
      <c r="E337" s="27" t="s">
        <v>1744</v>
      </c>
      <c r="F337" s="27" t="s">
        <v>448</v>
      </c>
      <c r="G337" s="27" t="s">
        <v>263</v>
      </c>
      <c r="H337" s="27" t="s">
        <v>515</v>
      </c>
    </row>
    <row r="338" spans="1:33" ht="18.399999999999999" customHeight="1" x14ac:dyDescent="0.15">
      <c r="A338" s="9" t="s">
        <v>128</v>
      </c>
      <c r="B338" s="9" t="s">
        <v>458</v>
      </c>
      <c r="C338" s="9" t="s">
        <v>414</v>
      </c>
      <c r="D338" s="9">
        <f>(1286 + 786 + 682)*10^-4</f>
        <v>0.27540000000000003</v>
      </c>
      <c r="E338" s="28" t="s">
        <v>248</v>
      </c>
      <c r="F338" s="28">
        <f>중기기초자료!F31</f>
        <v>246</v>
      </c>
      <c r="G338" s="28">
        <f>TRUNC(F338*D338, 0)</f>
        <v>67</v>
      </c>
      <c r="H338" s="9" t="s">
        <v>1850</v>
      </c>
      <c r="I338" s="9" t="s">
        <v>1850</v>
      </c>
      <c r="K338" s="9" t="s">
        <v>243</v>
      </c>
      <c r="L338" s="9" t="s">
        <v>1850</v>
      </c>
      <c r="M338" s="9" t="s">
        <v>849</v>
      </c>
      <c r="N338" s="9" t="s">
        <v>1101</v>
      </c>
      <c r="AG338" s="29" t="str">
        <f>HYPERLINK("#중기기초자료!A31","G0000773000500000 →")</f>
        <v>G0000773000500000 →</v>
      </c>
    </row>
    <row r="339" spans="1:33" ht="18.399999999999999" customHeight="1" x14ac:dyDescent="0.15">
      <c r="B339" s="9" t="s">
        <v>1606</v>
      </c>
      <c r="G339" s="28">
        <f>TRUNC(G338, 0)</f>
        <v>67</v>
      </c>
    </row>
    <row r="340" spans="1:33" ht="18.399999999999999" customHeight="1" x14ac:dyDescent="0.15">
      <c r="A340" s="9" t="s">
        <v>1307</v>
      </c>
    </row>
    <row r="341" spans="1:33" ht="18.399999999999999" customHeight="1" x14ac:dyDescent="0.15">
      <c r="B341" s="9" t="s">
        <v>1606</v>
      </c>
    </row>
    <row r="342" spans="1:33" ht="18.399999999999999" customHeight="1" x14ac:dyDescent="0.15">
      <c r="A342" s="9" t="s">
        <v>789</v>
      </c>
    </row>
    <row r="343" spans="1:33" ht="18.399999999999999" customHeight="1" x14ac:dyDescent="0.15">
      <c r="B343" s="9" t="s">
        <v>1606</v>
      </c>
    </row>
    <row r="344" spans="1:33" ht="18.399999999999999" customHeight="1" x14ac:dyDescent="0.15">
      <c r="B344" s="9" t="s">
        <v>202</v>
      </c>
      <c r="G344" s="30">
        <f>TRUNC(G339+G341+G343, 2)</f>
        <v>67</v>
      </c>
    </row>
    <row r="345" spans="1:33" ht="18.399999999999999" customHeight="1" x14ac:dyDescent="0.15">
      <c r="A345" s="4"/>
      <c r="B345" s="4"/>
      <c r="C345" s="4"/>
      <c r="D345" s="4"/>
      <c r="E345" s="4"/>
      <c r="F345" s="4"/>
      <c r="G345" s="4"/>
      <c r="H345" s="4"/>
    </row>
    <row r="346" spans="1:33" ht="18.399999999999999" customHeight="1" x14ac:dyDescent="0.15">
      <c r="A346" s="4" t="s">
        <v>1663</v>
      </c>
      <c r="B346" s="4" t="s">
        <v>1335</v>
      </c>
      <c r="C346" s="4"/>
      <c r="D346" s="4"/>
      <c r="E346" s="4"/>
      <c r="F346" s="4"/>
      <c r="G346" s="4"/>
      <c r="H346" s="4"/>
      <c r="I346" s="9" t="s">
        <v>1850</v>
      </c>
      <c r="J346" s="9" t="s">
        <v>1321</v>
      </c>
    </row>
    <row r="347" spans="1:33" ht="18.399999999999999" customHeight="1" x14ac:dyDescent="0.15">
      <c r="A347" s="4" t="s">
        <v>535</v>
      </c>
      <c r="B347" s="4" t="s">
        <v>781</v>
      </c>
      <c r="C347" s="4"/>
      <c r="D347" s="4"/>
      <c r="E347" s="4"/>
      <c r="F347" s="4"/>
      <c r="G347" s="4"/>
      <c r="H347" s="4"/>
    </row>
    <row r="348" spans="1:33" ht="18.399999999999999" customHeight="1" x14ac:dyDescent="0.15">
      <c r="A348" s="27" t="s">
        <v>1449</v>
      </c>
      <c r="B348" s="27"/>
      <c r="C348" s="27" t="s">
        <v>954</v>
      </c>
      <c r="D348" s="27" t="s">
        <v>58</v>
      </c>
      <c r="E348" s="27" t="s">
        <v>1744</v>
      </c>
      <c r="F348" s="27" t="s">
        <v>448</v>
      </c>
      <c r="G348" s="27" t="s">
        <v>263</v>
      </c>
      <c r="H348" s="27" t="s">
        <v>515</v>
      </c>
    </row>
    <row r="349" spans="1:33" ht="18.399999999999999" customHeight="1" x14ac:dyDescent="0.15">
      <c r="A349" s="9" t="s">
        <v>128</v>
      </c>
      <c r="B349" s="9" t="s">
        <v>1607</v>
      </c>
      <c r="C349" s="9" t="s">
        <v>1715</v>
      </c>
      <c r="D349" s="9">
        <f>(1500 + 1667 + 589)*10^-4</f>
        <v>0.37560000000000004</v>
      </c>
      <c r="E349" s="28" t="s">
        <v>248</v>
      </c>
      <c r="F349" s="28">
        <f>중기기초자료!F32</f>
        <v>818</v>
      </c>
      <c r="G349" s="28">
        <f>TRUNC(F349*D349, 0)</f>
        <v>307</v>
      </c>
      <c r="H349" s="9" t="s">
        <v>1850</v>
      </c>
      <c r="I349" s="9" t="s">
        <v>1850</v>
      </c>
      <c r="K349" s="9" t="s">
        <v>243</v>
      </c>
      <c r="L349" s="9" t="s">
        <v>1850</v>
      </c>
      <c r="M349" s="9" t="s">
        <v>1588</v>
      </c>
      <c r="N349" s="9" t="s">
        <v>1296</v>
      </c>
      <c r="AG349" s="29" t="str">
        <f>HYPERLINK("#중기기초자료!A32","G0000774000800000 →")</f>
        <v>G0000774000800000 →</v>
      </c>
    </row>
    <row r="350" spans="1:33" ht="18.399999999999999" customHeight="1" x14ac:dyDescent="0.15">
      <c r="B350" s="9" t="s">
        <v>1606</v>
      </c>
      <c r="G350" s="28">
        <f>TRUNC(G349, 0)</f>
        <v>307</v>
      </c>
    </row>
    <row r="351" spans="1:33" ht="18.399999999999999" customHeight="1" x14ac:dyDescent="0.15">
      <c r="A351" s="9" t="s">
        <v>1307</v>
      </c>
    </row>
    <row r="352" spans="1:33" ht="18.399999999999999" customHeight="1" x14ac:dyDescent="0.15">
      <c r="B352" s="9" t="s">
        <v>1606</v>
      </c>
    </row>
    <row r="353" spans="1:33" ht="18.399999999999999" customHeight="1" x14ac:dyDescent="0.15">
      <c r="A353" s="9" t="s">
        <v>789</v>
      </c>
    </row>
    <row r="354" spans="1:33" ht="18.399999999999999" customHeight="1" x14ac:dyDescent="0.15">
      <c r="B354" s="9" t="s">
        <v>1606</v>
      </c>
    </row>
    <row r="355" spans="1:33" ht="18.399999999999999" customHeight="1" x14ac:dyDescent="0.15">
      <c r="B355" s="9" t="s">
        <v>202</v>
      </c>
      <c r="G355" s="30">
        <f>TRUNC(G350+G352+G354, 2)</f>
        <v>307</v>
      </c>
    </row>
    <row r="356" spans="1:33" ht="18.399999999999999" customHeight="1" x14ac:dyDescent="0.15">
      <c r="A356" s="4"/>
      <c r="B356" s="4"/>
      <c r="C356" s="4"/>
      <c r="D356" s="4"/>
      <c r="E356" s="4"/>
      <c r="F356" s="4"/>
      <c r="G356" s="4"/>
      <c r="H356" s="4"/>
    </row>
    <row r="357" spans="1:33" ht="18.399999999999999" customHeight="1" x14ac:dyDescent="0.15">
      <c r="A357" s="4" t="s">
        <v>1663</v>
      </c>
      <c r="B357" s="4" t="s">
        <v>1807</v>
      </c>
      <c r="C357" s="4"/>
      <c r="D357" s="4"/>
      <c r="E357" s="4"/>
      <c r="F357" s="4"/>
      <c r="G357" s="4"/>
      <c r="H357" s="4"/>
      <c r="I357" s="9" t="s">
        <v>1850</v>
      </c>
      <c r="J357" s="9" t="s">
        <v>489</v>
      </c>
    </row>
    <row r="358" spans="1:33" ht="18.399999999999999" customHeight="1" x14ac:dyDescent="0.15">
      <c r="A358" s="4" t="s">
        <v>535</v>
      </c>
      <c r="B358" s="4" t="s">
        <v>854</v>
      </c>
      <c r="C358" s="4"/>
      <c r="D358" s="4"/>
      <c r="E358" s="4"/>
      <c r="F358" s="4"/>
      <c r="G358" s="4"/>
      <c r="H358" s="4"/>
    </row>
    <row r="359" spans="1:33" ht="18.399999999999999" customHeight="1" x14ac:dyDescent="0.15">
      <c r="A359" s="27" t="s">
        <v>1449</v>
      </c>
      <c r="B359" s="27"/>
      <c r="C359" s="27" t="s">
        <v>954</v>
      </c>
      <c r="D359" s="27" t="s">
        <v>58</v>
      </c>
      <c r="E359" s="27" t="s">
        <v>1744</v>
      </c>
      <c r="F359" s="27" t="s">
        <v>448</v>
      </c>
      <c r="G359" s="27" t="s">
        <v>263</v>
      </c>
      <c r="H359" s="27" t="s">
        <v>515</v>
      </c>
    </row>
    <row r="360" spans="1:33" ht="18.399999999999999" customHeight="1" x14ac:dyDescent="0.15">
      <c r="A360" s="9" t="s">
        <v>128</v>
      </c>
      <c r="B360" s="9" t="s">
        <v>834</v>
      </c>
      <c r="C360" s="9" t="s">
        <v>57</v>
      </c>
      <c r="D360" s="9">
        <f>(1125 + 1000 + 674)*10^-4</f>
        <v>0.27990000000000004</v>
      </c>
      <c r="E360" s="28" t="s">
        <v>248</v>
      </c>
      <c r="F360" s="28">
        <f>중기기초자료!F33</f>
        <v>190</v>
      </c>
      <c r="G360" s="28">
        <f>TRUNC(F360*D360, 0)</f>
        <v>53</v>
      </c>
      <c r="H360" s="9" t="s">
        <v>1850</v>
      </c>
      <c r="I360" s="9" t="s">
        <v>1850</v>
      </c>
      <c r="K360" s="9" t="s">
        <v>243</v>
      </c>
      <c r="L360" s="9" t="s">
        <v>1850</v>
      </c>
      <c r="M360" s="9" t="s">
        <v>13</v>
      </c>
      <c r="N360" s="9" t="s">
        <v>1803</v>
      </c>
      <c r="AG360" s="29" t="str">
        <f>HYPERLINK("#중기기초자료!A33","G0000781100250000 →")</f>
        <v>G0000781100250000 →</v>
      </c>
    </row>
    <row r="361" spans="1:33" ht="18.399999999999999" customHeight="1" x14ac:dyDescent="0.15">
      <c r="B361" s="9" t="s">
        <v>1606</v>
      </c>
      <c r="G361" s="28">
        <f>TRUNC(G360, 0)</f>
        <v>53</v>
      </c>
    </row>
    <row r="362" spans="1:33" ht="18.399999999999999" customHeight="1" x14ac:dyDescent="0.15">
      <c r="A362" s="9" t="s">
        <v>1307</v>
      </c>
      <c r="B362" s="9" t="s">
        <v>1325</v>
      </c>
      <c r="C362" s="9" t="s">
        <v>1850</v>
      </c>
      <c r="D362" s="9">
        <v>0.5</v>
      </c>
      <c r="E362" s="30" t="s">
        <v>1813</v>
      </c>
      <c r="F362" s="30">
        <f>중기기초자료!D51</f>
        <v>1433.72</v>
      </c>
      <c r="G362" s="30">
        <f>TRUNC(F362*D362, 2)</f>
        <v>716.86</v>
      </c>
      <c r="H362" s="9" t="s">
        <v>1850</v>
      </c>
      <c r="I362" s="9" t="s">
        <v>1850</v>
      </c>
      <c r="K362" s="9" t="s">
        <v>1619</v>
      </c>
      <c r="L362" s="9" t="s">
        <v>1850</v>
      </c>
      <c r="M362" s="9" t="s">
        <v>1347</v>
      </c>
      <c r="AG362" s="29" t="str">
        <f>HYPERLINK("#중기기초자료!A51","M1510150620282203 →")</f>
        <v>M1510150620282203 →</v>
      </c>
    </row>
    <row r="363" spans="1:33" ht="18.399999999999999" customHeight="1" x14ac:dyDescent="0.15">
      <c r="B363" s="9" t="s">
        <v>149</v>
      </c>
      <c r="C363" s="9" t="s">
        <v>1850</v>
      </c>
      <c r="D363" s="9">
        <v>20</v>
      </c>
      <c r="E363" s="30" t="s">
        <v>804</v>
      </c>
      <c r="F363" s="30">
        <v>0</v>
      </c>
      <c r="G363" s="30">
        <f>TRUNC((G362) * D363/100, 2)</f>
        <v>143.37</v>
      </c>
      <c r="H363" s="9" t="s">
        <v>1850</v>
      </c>
      <c r="I363" s="9" t="s">
        <v>1850</v>
      </c>
      <c r="K363" s="9" t="s">
        <v>1167</v>
      </c>
      <c r="L363" s="9" t="s">
        <v>1850</v>
      </c>
      <c r="M363" s="9" t="s">
        <v>1287</v>
      </c>
      <c r="N363" s="9" t="s">
        <v>1850</v>
      </c>
    </row>
    <row r="364" spans="1:33" ht="18.399999999999999" customHeight="1" x14ac:dyDescent="0.15">
      <c r="B364" s="9" t="s">
        <v>1606</v>
      </c>
      <c r="G364" s="30">
        <f>TRUNC(G362+G363, 2)</f>
        <v>860.23</v>
      </c>
    </row>
    <row r="365" spans="1:33" ht="18.399999999999999" customHeight="1" x14ac:dyDescent="0.15">
      <c r="A365" s="9" t="s">
        <v>789</v>
      </c>
    </row>
    <row r="366" spans="1:33" ht="18.399999999999999" customHeight="1" x14ac:dyDescent="0.15">
      <c r="B366" s="9" t="s">
        <v>1606</v>
      </c>
    </row>
    <row r="367" spans="1:33" ht="18.399999999999999" customHeight="1" x14ac:dyDescent="0.15">
      <c r="B367" s="9" t="s">
        <v>202</v>
      </c>
      <c r="G367" s="30">
        <f>TRUNC(G361+G364+G366, 2)</f>
        <v>913.23</v>
      </c>
    </row>
    <row r="368" spans="1:33" ht="18.399999999999999" customHeight="1" x14ac:dyDescent="0.15">
      <c r="A368" s="4"/>
      <c r="B368" s="4"/>
      <c r="C368" s="4"/>
      <c r="D368" s="4"/>
      <c r="E368" s="4"/>
      <c r="F368" s="4"/>
      <c r="G368" s="4"/>
      <c r="H368" s="4"/>
    </row>
    <row r="369" spans="1:33" ht="18.399999999999999" customHeight="1" x14ac:dyDescent="0.15">
      <c r="A369" s="4" t="s">
        <v>1663</v>
      </c>
      <c r="B369" s="4" t="s">
        <v>1260</v>
      </c>
      <c r="C369" s="4"/>
      <c r="D369" s="4"/>
      <c r="E369" s="4"/>
      <c r="F369" s="4"/>
      <c r="G369" s="4"/>
      <c r="H369" s="4"/>
      <c r="I369" s="9" t="s">
        <v>1850</v>
      </c>
      <c r="J369" s="9" t="s">
        <v>990</v>
      </c>
    </row>
    <row r="370" spans="1:33" ht="18.399999999999999" customHeight="1" x14ac:dyDescent="0.15">
      <c r="A370" s="4" t="s">
        <v>535</v>
      </c>
      <c r="B370" s="4" t="s">
        <v>994</v>
      </c>
      <c r="C370" s="4"/>
      <c r="D370" s="4"/>
      <c r="E370" s="4"/>
      <c r="F370" s="4"/>
      <c r="G370" s="4"/>
      <c r="H370" s="4"/>
    </row>
    <row r="371" spans="1:33" ht="18.399999999999999" customHeight="1" x14ac:dyDescent="0.15">
      <c r="A371" s="27" t="s">
        <v>1449</v>
      </c>
      <c r="B371" s="27"/>
      <c r="C371" s="27" t="s">
        <v>954</v>
      </c>
      <c r="D371" s="27" t="s">
        <v>58</v>
      </c>
      <c r="E371" s="27" t="s">
        <v>1744</v>
      </c>
      <c r="F371" s="27" t="s">
        <v>448</v>
      </c>
      <c r="G371" s="27" t="s">
        <v>263</v>
      </c>
      <c r="H371" s="27" t="s">
        <v>515</v>
      </c>
    </row>
    <row r="372" spans="1:33" ht="18.399999999999999" customHeight="1" x14ac:dyDescent="0.15">
      <c r="A372" s="9" t="s">
        <v>128</v>
      </c>
      <c r="B372" s="9" t="s">
        <v>1711</v>
      </c>
      <c r="C372" s="9" t="s">
        <v>1727</v>
      </c>
      <c r="D372" s="9">
        <v>0.5</v>
      </c>
      <c r="E372" s="28" t="s">
        <v>248</v>
      </c>
      <c r="F372" s="28">
        <f>중기기초자료!F34</f>
        <v>40000</v>
      </c>
      <c r="G372" s="28">
        <f>TRUNC(F372*D372, 0)</f>
        <v>20000</v>
      </c>
      <c r="H372" s="9" t="s">
        <v>1850</v>
      </c>
      <c r="I372" s="9" t="s">
        <v>1850</v>
      </c>
      <c r="K372" s="9" t="s">
        <v>243</v>
      </c>
      <c r="L372" s="9" t="s">
        <v>1850</v>
      </c>
      <c r="M372" s="9" t="s">
        <v>882</v>
      </c>
      <c r="N372" s="9" t="s">
        <v>1850</v>
      </c>
      <c r="AG372" s="29" t="str">
        <f>HYPERLINK("#중기기초자료!A34","GDD00010000 →")</f>
        <v>GDD00010000 →</v>
      </c>
    </row>
    <row r="373" spans="1:33" ht="18.399999999999999" customHeight="1" x14ac:dyDescent="0.15">
      <c r="B373" s="9" t="s">
        <v>1606</v>
      </c>
      <c r="G373" s="28">
        <f>TRUNC(G372, 0)</f>
        <v>20000</v>
      </c>
    </row>
    <row r="374" spans="1:33" ht="18.399999999999999" customHeight="1" x14ac:dyDescent="0.15">
      <c r="A374" s="9" t="s">
        <v>1307</v>
      </c>
    </row>
    <row r="375" spans="1:33" ht="18.399999999999999" customHeight="1" x14ac:dyDescent="0.15">
      <c r="B375" s="9" t="s">
        <v>1606</v>
      </c>
    </row>
    <row r="376" spans="1:33" ht="18.399999999999999" customHeight="1" x14ac:dyDescent="0.15">
      <c r="A376" s="9" t="s">
        <v>789</v>
      </c>
    </row>
    <row r="377" spans="1:33" ht="18.399999999999999" customHeight="1" x14ac:dyDescent="0.15">
      <c r="B377" s="9" t="s">
        <v>1606</v>
      </c>
    </row>
    <row r="378" spans="1:33" ht="18.399999999999999" customHeight="1" x14ac:dyDescent="0.15">
      <c r="B378" s="9" t="s">
        <v>202</v>
      </c>
      <c r="G378" s="30">
        <f>TRUNC(G373+G375+G377, 2)</f>
        <v>20000</v>
      </c>
    </row>
    <row r="379" spans="1:33" ht="18.399999999999999" customHeight="1" x14ac:dyDescent="0.15">
      <c r="A379" s="4"/>
      <c r="B379" s="4"/>
      <c r="C379" s="4"/>
      <c r="D379" s="4"/>
      <c r="E379" s="4"/>
      <c r="F379" s="4"/>
      <c r="G379" s="4"/>
      <c r="H379" s="4"/>
    </row>
    <row r="380" spans="1:33" ht="18.399999999999999" customHeight="1" x14ac:dyDescent="0.15">
      <c r="A380" s="4" t="s">
        <v>1663</v>
      </c>
      <c r="B380" s="4" t="s">
        <v>484</v>
      </c>
      <c r="C380" s="4"/>
      <c r="D380" s="4"/>
      <c r="E380" s="4"/>
      <c r="F380" s="4"/>
      <c r="G380" s="4"/>
      <c r="H380" s="4"/>
      <c r="I380" s="9" t="s">
        <v>1850</v>
      </c>
      <c r="J380" s="9" t="s">
        <v>623</v>
      </c>
    </row>
    <row r="381" spans="1:33" ht="18.399999999999999" customHeight="1" x14ac:dyDescent="0.15">
      <c r="A381" s="4" t="s">
        <v>535</v>
      </c>
      <c r="B381" s="4" t="s">
        <v>1255</v>
      </c>
      <c r="C381" s="4"/>
      <c r="D381" s="4"/>
      <c r="E381" s="4"/>
      <c r="F381" s="4"/>
      <c r="G381" s="4"/>
      <c r="H381" s="4"/>
    </row>
    <row r="382" spans="1:33" ht="18.399999999999999" customHeight="1" x14ac:dyDescent="0.15">
      <c r="A382" s="27" t="s">
        <v>1449</v>
      </c>
      <c r="B382" s="27"/>
      <c r="C382" s="27" t="s">
        <v>954</v>
      </c>
      <c r="D382" s="27" t="s">
        <v>58</v>
      </c>
      <c r="E382" s="27" t="s">
        <v>1744</v>
      </c>
      <c r="F382" s="27" t="s">
        <v>448</v>
      </c>
      <c r="G382" s="27" t="s">
        <v>263</v>
      </c>
      <c r="H382" s="27" t="s">
        <v>515</v>
      </c>
    </row>
    <row r="383" spans="1:33" ht="18.399999999999999" customHeight="1" x14ac:dyDescent="0.15">
      <c r="A383" s="9" t="s">
        <v>128</v>
      </c>
      <c r="B383" s="9" t="s">
        <v>705</v>
      </c>
      <c r="C383" s="9" t="s">
        <v>563</v>
      </c>
      <c r="D383" s="9">
        <v>0.29670000000000002</v>
      </c>
      <c r="E383" s="28" t="s">
        <v>248</v>
      </c>
      <c r="F383" s="28">
        <f>중기기초자료!F35</f>
        <v>28750</v>
      </c>
      <c r="G383" s="28">
        <f>TRUNC(F383*D383, 0)</f>
        <v>8530</v>
      </c>
      <c r="H383" s="9" t="s">
        <v>1850</v>
      </c>
      <c r="I383" s="9" t="s">
        <v>1850</v>
      </c>
      <c r="K383" s="9" t="s">
        <v>243</v>
      </c>
      <c r="L383" s="9" t="s">
        <v>1850</v>
      </c>
      <c r="M383" s="9" t="s">
        <v>1221</v>
      </c>
      <c r="N383" s="9" t="s">
        <v>1850</v>
      </c>
      <c r="AG383" s="29" t="str">
        <f>HYPERLINK("#중기기초자료!A35","GDD00020000 →")</f>
        <v>GDD00020000 →</v>
      </c>
    </row>
    <row r="384" spans="1:33" ht="18.399999999999999" customHeight="1" x14ac:dyDescent="0.15">
      <c r="B384" s="9" t="s">
        <v>1606</v>
      </c>
      <c r="G384" s="28">
        <f>TRUNC(G383, 0)</f>
        <v>8530</v>
      </c>
    </row>
    <row r="385" spans="1:33" ht="18.399999999999999" customHeight="1" x14ac:dyDescent="0.15">
      <c r="A385" s="9" t="s">
        <v>1307</v>
      </c>
      <c r="B385" s="9" t="s">
        <v>331</v>
      </c>
      <c r="C385" s="9" t="s">
        <v>1850</v>
      </c>
      <c r="D385" s="9">
        <v>3.8</v>
      </c>
      <c r="E385" s="30" t="s">
        <v>1813</v>
      </c>
      <c r="F385" s="30">
        <f>중기기초자료!D52</f>
        <v>1356.54</v>
      </c>
      <c r="G385" s="30">
        <f>TRUNC(F385*D385, 2)</f>
        <v>5154.8500000000004</v>
      </c>
      <c r="H385" s="9" t="s">
        <v>1850</v>
      </c>
      <c r="I385" s="9" t="s">
        <v>1850</v>
      </c>
      <c r="K385" s="9" t="s">
        <v>622</v>
      </c>
      <c r="L385" s="9" t="s">
        <v>1850</v>
      </c>
      <c r="M385" s="9" t="s">
        <v>400</v>
      </c>
      <c r="AG385" s="29" t="str">
        <f>HYPERLINK("#중기기초자료!A52","M9366005 →")</f>
        <v>M9366005 →</v>
      </c>
    </row>
    <row r="386" spans="1:33" ht="18.399999999999999" customHeight="1" x14ac:dyDescent="0.15">
      <c r="B386" s="9" t="s">
        <v>1788</v>
      </c>
      <c r="C386" s="9" t="s">
        <v>961</v>
      </c>
      <c r="D386" s="9">
        <v>38</v>
      </c>
      <c r="E386" s="30" t="s">
        <v>1603</v>
      </c>
      <c r="F386" s="30">
        <v>0</v>
      </c>
      <c r="G386" s="30">
        <f>TRUNC((G385) * D386/100, 2)</f>
        <v>1958.84</v>
      </c>
      <c r="H386" s="9" t="s">
        <v>1850</v>
      </c>
      <c r="I386" s="9" t="s">
        <v>1850</v>
      </c>
      <c r="K386" s="9" t="s">
        <v>1167</v>
      </c>
      <c r="L386" s="9" t="s">
        <v>1850</v>
      </c>
      <c r="M386" s="9" t="s">
        <v>1287</v>
      </c>
      <c r="N386" s="9" t="s">
        <v>154</v>
      </c>
    </row>
    <row r="387" spans="1:33" ht="18.399999999999999" customHeight="1" x14ac:dyDescent="0.15">
      <c r="B387" s="9" t="s">
        <v>1606</v>
      </c>
      <c r="G387" s="30">
        <f>TRUNC(G385+G386, 2)</f>
        <v>7113.69</v>
      </c>
    </row>
    <row r="388" spans="1:33" ht="18.399999999999999" customHeight="1" x14ac:dyDescent="0.15">
      <c r="A388" s="9" t="s">
        <v>789</v>
      </c>
      <c r="B388" s="9" t="s">
        <v>139</v>
      </c>
      <c r="C388" s="9" t="s">
        <v>1021</v>
      </c>
      <c r="D388" s="9">
        <v>1</v>
      </c>
      <c r="E388" s="28" t="s">
        <v>1142</v>
      </c>
      <c r="F388" s="28">
        <f>TRUNC(중기기초자료!E48 * 중기전역변수!C18, 0)</f>
        <v>47231</v>
      </c>
      <c r="G388" s="28">
        <f>TRUNC(F388*D388, 0)</f>
        <v>47231</v>
      </c>
      <c r="H388" s="9" t="s">
        <v>1850</v>
      </c>
      <c r="I388" s="9" t="s">
        <v>1850</v>
      </c>
      <c r="K388" s="9" t="s">
        <v>1619</v>
      </c>
      <c r="L388" s="9" t="s">
        <v>1850</v>
      </c>
      <c r="M388" s="9" t="s">
        <v>686</v>
      </c>
      <c r="AG388" s="29" t="str">
        <f>HYPERLINK("#중기기초자료!A48","L001010101000049 →")</f>
        <v>L001010101000049 →</v>
      </c>
    </row>
    <row r="389" spans="1:33" ht="18.399999999999999" customHeight="1" x14ac:dyDescent="0.15">
      <c r="B389" s="9" t="s">
        <v>1606</v>
      </c>
      <c r="G389" s="28">
        <f>TRUNC(G388, 0)</f>
        <v>47231</v>
      </c>
    </row>
    <row r="390" spans="1:33" ht="18.399999999999999" customHeight="1" x14ac:dyDescent="0.15">
      <c r="B390" s="9" t="s">
        <v>202</v>
      </c>
      <c r="G390" s="30">
        <f>TRUNC(G384+G387+G389, 2)</f>
        <v>62874.69</v>
      </c>
    </row>
    <row r="391" spans="1:33" ht="18.399999999999999" customHeight="1" x14ac:dyDescent="0.15">
      <c r="A391" s="4"/>
      <c r="B391" s="4"/>
      <c r="C391" s="4"/>
      <c r="D391" s="4"/>
      <c r="E391" s="4"/>
      <c r="F391" s="4"/>
      <c r="G391" s="4"/>
      <c r="H391" s="4"/>
    </row>
    <row r="392" spans="1:33" ht="18.399999999999999" customHeight="1" x14ac:dyDescent="0.15">
      <c r="A392" s="4" t="s">
        <v>1663</v>
      </c>
      <c r="B392" s="4" t="s">
        <v>1440</v>
      </c>
      <c r="C392" s="4"/>
      <c r="D392" s="4"/>
      <c r="E392" s="4"/>
      <c r="F392" s="4"/>
      <c r="G392" s="4"/>
      <c r="H392" s="4"/>
      <c r="I392" s="9" t="s">
        <v>1850</v>
      </c>
      <c r="J392" s="9" t="s">
        <v>1050</v>
      </c>
    </row>
    <row r="393" spans="1:33" ht="18.399999999999999" customHeight="1" x14ac:dyDescent="0.15">
      <c r="A393" s="4" t="s">
        <v>535</v>
      </c>
      <c r="B393" s="4" t="s">
        <v>525</v>
      </c>
      <c r="C393" s="4"/>
      <c r="D393" s="4"/>
      <c r="E393" s="4"/>
      <c r="F393" s="4"/>
      <c r="G393" s="4"/>
      <c r="H393" s="4"/>
    </row>
    <row r="394" spans="1:33" ht="18.399999999999999" customHeight="1" x14ac:dyDescent="0.15">
      <c r="A394" s="27" t="s">
        <v>1449</v>
      </c>
      <c r="B394" s="27"/>
      <c r="C394" s="27" t="s">
        <v>954</v>
      </c>
      <c r="D394" s="27" t="s">
        <v>58</v>
      </c>
      <c r="E394" s="27" t="s">
        <v>1744</v>
      </c>
      <c r="F394" s="27" t="s">
        <v>448</v>
      </c>
      <c r="G394" s="27" t="s">
        <v>263</v>
      </c>
      <c r="H394" s="27" t="s">
        <v>515</v>
      </c>
    </row>
    <row r="395" spans="1:33" ht="18.399999999999999" customHeight="1" x14ac:dyDescent="0.15">
      <c r="A395" s="9" t="s">
        <v>128</v>
      </c>
      <c r="B395" s="9" t="s">
        <v>967</v>
      </c>
      <c r="C395" s="9" t="s">
        <v>485</v>
      </c>
      <c r="D395" s="9">
        <v>0.67</v>
      </c>
      <c r="E395" s="28" t="s">
        <v>248</v>
      </c>
      <c r="F395" s="28">
        <f>중기기초자료!F36</f>
        <v>600</v>
      </c>
      <c r="G395" s="28">
        <f>TRUNC(F395*D395, 0)</f>
        <v>402</v>
      </c>
      <c r="H395" s="9" t="s">
        <v>1850</v>
      </c>
      <c r="I395" s="9" t="s">
        <v>1850</v>
      </c>
      <c r="K395" s="9" t="s">
        <v>243</v>
      </c>
      <c r="L395" s="9" t="s">
        <v>1850</v>
      </c>
      <c r="M395" s="9" t="s">
        <v>583</v>
      </c>
      <c r="N395" s="9" t="s">
        <v>1850</v>
      </c>
      <c r="AG395" s="29" t="str">
        <f>HYPERLINK("#중기기초자료!A36","GDD00030300 →")</f>
        <v>GDD00030300 →</v>
      </c>
    </row>
    <row r="396" spans="1:33" ht="18.399999999999999" customHeight="1" x14ac:dyDescent="0.15">
      <c r="B396" s="9" t="s">
        <v>1674</v>
      </c>
      <c r="C396" s="9" t="s">
        <v>485</v>
      </c>
      <c r="D396" s="9">
        <v>3.33</v>
      </c>
      <c r="E396" s="28" t="s">
        <v>248</v>
      </c>
      <c r="F396" s="28">
        <f>중기기초자료!F37</f>
        <v>243.6</v>
      </c>
      <c r="G396" s="28">
        <f>TRUNC(F396*D396, 0)</f>
        <v>811</v>
      </c>
      <c r="H396" s="9" t="s">
        <v>1850</v>
      </c>
      <c r="I396" s="9" t="s">
        <v>1850</v>
      </c>
      <c r="K396" s="9" t="s">
        <v>1619</v>
      </c>
      <c r="L396" s="9" t="s">
        <v>1850</v>
      </c>
      <c r="M396" s="9" t="s">
        <v>730</v>
      </c>
      <c r="N396" s="9" t="s">
        <v>1850</v>
      </c>
      <c r="AG396" s="29" t="str">
        <f>HYPERLINK("#중기기초자료!A37","GDD00040300 →")</f>
        <v>GDD00040300 →</v>
      </c>
    </row>
    <row r="397" spans="1:33" ht="18.399999999999999" customHeight="1" x14ac:dyDescent="0.15">
      <c r="B397" s="9" t="s">
        <v>1606</v>
      </c>
      <c r="G397" s="28">
        <f>TRUNC(G395+G396, 0)</f>
        <v>1213</v>
      </c>
    </row>
    <row r="398" spans="1:33" ht="18.399999999999999" customHeight="1" x14ac:dyDescent="0.15">
      <c r="A398" s="9" t="s">
        <v>1307</v>
      </c>
    </row>
    <row r="399" spans="1:33" ht="18.399999999999999" customHeight="1" x14ac:dyDescent="0.15">
      <c r="B399" s="9" t="s">
        <v>1606</v>
      </c>
    </row>
    <row r="400" spans="1:33" ht="18.399999999999999" customHeight="1" x14ac:dyDescent="0.15">
      <c r="A400" s="9" t="s">
        <v>789</v>
      </c>
    </row>
    <row r="401" spans="1:33" ht="18.399999999999999" customHeight="1" x14ac:dyDescent="0.15">
      <c r="B401" s="9" t="s">
        <v>1606</v>
      </c>
    </row>
    <row r="402" spans="1:33" ht="18.399999999999999" customHeight="1" x14ac:dyDescent="0.15">
      <c r="B402" s="9" t="s">
        <v>202</v>
      </c>
      <c r="G402" s="30">
        <f>TRUNC(G397+G399+G401, 2)</f>
        <v>1213</v>
      </c>
    </row>
    <row r="403" spans="1:33" ht="18.399999999999999" customHeight="1" x14ac:dyDescent="0.15">
      <c r="A403" s="4"/>
      <c r="B403" s="4"/>
      <c r="C403" s="4"/>
      <c r="D403" s="4"/>
      <c r="E403" s="4"/>
      <c r="F403" s="4"/>
      <c r="G403" s="4"/>
      <c r="H403" s="4"/>
    </row>
    <row r="404" spans="1:33" ht="18.399999999999999" customHeight="1" x14ac:dyDescent="0.15">
      <c r="A404" s="4" t="s">
        <v>1663</v>
      </c>
      <c r="B404" s="4" t="s">
        <v>56</v>
      </c>
      <c r="C404" s="4"/>
      <c r="D404" s="4"/>
      <c r="E404" s="4"/>
      <c r="F404" s="4"/>
      <c r="G404" s="4"/>
      <c r="H404" s="4"/>
      <c r="I404" s="9" t="s">
        <v>1850</v>
      </c>
      <c r="J404" s="9" t="s">
        <v>309</v>
      </c>
    </row>
    <row r="405" spans="1:33" ht="18.399999999999999" customHeight="1" x14ac:dyDescent="0.15">
      <c r="A405" s="4" t="s">
        <v>535</v>
      </c>
      <c r="B405" s="4" t="s">
        <v>1810</v>
      </c>
      <c r="C405" s="4"/>
      <c r="D405" s="4"/>
      <c r="E405" s="4"/>
      <c r="F405" s="4"/>
      <c r="G405" s="4"/>
      <c r="H405" s="4"/>
    </row>
    <row r="406" spans="1:33" ht="18.399999999999999" customHeight="1" x14ac:dyDescent="0.15">
      <c r="A406" s="27" t="s">
        <v>1449</v>
      </c>
      <c r="B406" s="27"/>
      <c r="C406" s="27" t="s">
        <v>954</v>
      </c>
      <c r="D406" s="27" t="s">
        <v>58</v>
      </c>
      <c r="E406" s="27" t="s">
        <v>1744</v>
      </c>
      <c r="F406" s="27" t="s">
        <v>448</v>
      </c>
      <c r="G406" s="27" t="s">
        <v>263</v>
      </c>
      <c r="H406" s="27" t="s">
        <v>515</v>
      </c>
    </row>
    <row r="407" spans="1:33" ht="18.399999999999999" customHeight="1" x14ac:dyDescent="0.15">
      <c r="A407" s="9" t="s">
        <v>128</v>
      </c>
      <c r="B407" s="9" t="s">
        <v>660</v>
      </c>
      <c r="C407" s="9" t="s">
        <v>270</v>
      </c>
      <c r="D407" s="9">
        <v>0.24229999999999999</v>
      </c>
      <c r="E407" s="28" t="s">
        <v>248</v>
      </c>
      <c r="F407" s="28">
        <f>중기기초자료!F38</f>
        <v>28130</v>
      </c>
      <c r="G407" s="28">
        <f>TRUNC(F407*D407, 0)</f>
        <v>6815</v>
      </c>
      <c r="H407" s="9" t="s">
        <v>1850</v>
      </c>
      <c r="I407" s="9" t="s">
        <v>1850</v>
      </c>
      <c r="K407" s="9" t="s">
        <v>243</v>
      </c>
      <c r="L407" s="9" t="s">
        <v>1850</v>
      </c>
      <c r="M407" s="9" t="s">
        <v>662</v>
      </c>
      <c r="N407" s="9" t="s">
        <v>1850</v>
      </c>
      <c r="AG407" s="29" t="str">
        <f>HYPERLINK("#중기기초자료!A38","GDD00054825 →")</f>
        <v>GDD00054825 →</v>
      </c>
    </row>
    <row r="408" spans="1:33" ht="18.399999999999999" customHeight="1" x14ac:dyDescent="0.15">
      <c r="B408" s="9" t="s">
        <v>1606</v>
      </c>
      <c r="G408" s="28">
        <f>TRUNC(G407, 0)</f>
        <v>6815</v>
      </c>
    </row>
    <row r="409" spans="1:33" ht="18.399999999999999" customHeight="1" x14ac:dyDescent="0.15">
      <c r="A409" s="9" t="s">
        <v>1307</v>
      </c>
    </row>
    <row r="410" spans="1:33" ht="18.399999999999999" customHeight="1" x14ac:dyDescent="0.15">
      <c r="B410" s="9" t="s">
        <v>1606</v>
      </c>
    </row>
    <row r="411" spans="1:33" ht="18.399999999999999" customHeight="1" x14ac:dyDescent="0.15">
      <c r="A411" s="9" t="s">
        <v>789</v>
      </c>
    </row>
    <row r="412" spans="1:33" ht="18.399999999999999" customHeight="1" x14ac:dyDescent="0.15">
      <c r="B412" s="9" t="s">
        <v>1606</v>
      </c>
    </row>
    <row r="413" spans="1:33" ht="18.399999999999999" customHeight="1" x14ac:dyDescent="0.15">
      <c r="B413" s="9" t="s">
        <v>202</v>
      </c>
      <c r="G413" s="30">
        <f>TRUNC(G408+G410+G412, 2)</f>
        <v>6815</v>
      </c>
    </row>
    <row r="414" spans="1:33" ht="18.399999999999999" customHeight="1" x14ac:dyDescent="0.15">
      <c r="A414" s="4"/>
      <c r="B414" s="4"/>
      <c r="C414" s="4"/>
      <c r="D414" s="4"/>
      <c r="E414" s="4"/>
      <c r="F414" s="4"/>
      <c r="G414" s="4"/>
      <c r="H414" s="4"/>
    </row>
    <row r="415" spans="1:33" ht="18.399999999999999" customHeight="1" x14ac:dyDescent="0.15">
      <c r="A415" s="4" t="s">
        <v>1663</v>
      </c>
      <c r="B415" s="4" t="s">
        <v>1585</v>
      </c>
      <c r="C415" s="4"/>
      <c r="D415" s="4"/>
      <c r="E415" s="4"/>
      <c r="F415" s="4"/>
      <c r="G415" s="4"/>
      <c r="H415" s="4"/>
      <c r="I415" s="9" t="s">
        <v>1850</v>
      </c>
      <c r="J415" s="9" t="s">
        <v>733</v>
      </c>
    </row>
    <row r="416" spans="1:33" ht="18.399999999999999" customHeight="1" x14ac:dyDescent="0.15">
      <c r="A416" s="4" t="s">
        <v>535</v>
      </c>
      <c r="B416" s="4" t="s">
        <v>1362</v>
      </c>
      <c r="C416" s="4"/>
      <c r="D416" s="4"/>
      <c r="E416" s="4"/>
      <c r="F416" s="4"/>
      <c r="G416" s="4"/>
      <c r="H416" s="4"/>
    </row>
    <row r="417" spans="1:33" ht="18.399999999999999" customHeight="1" x14ac:dyDescent="0.15">
      <c r="A417" s="27" t="s">
        <v>1449</v>
      </c>
      <c r="B417" s="27"/>
      <c r="C417" s="27" t="s">
        <v>954</v>
      </c>
      <c r="D417" s="27" t="s">
        <v>58</v>
      </c>
      <c r="E417" s="27" t="s">
        <v>1744</v>
      </c>
      <c r="F417" s="27" t="s">
        <v>448</v>
      </c>
      <c r="G417" s="27" t="s">
        <v>263</v>
      </c>
      <c r="H417" s="27" t="s">
        <v>515</v>
      </c>
    </row>
    <row r="418" spans="1:33" ht="18.399999999999999" customHeight="1" x14ac:dyDescent="0.15">
      <c r="A418" s="9" t="s">
        <v>128</v>
      </c>
      <c r="B418" s="9" t="s">
        <v>777</v>
      </c>
      <c r="C418" s="9" t="s">
        <v>1499</v>
      </c>
      <c r="D418" s="9">
        <v>9</v>
      </c>
      <c r="E418" s="28" t="s">
        <v>248</v>
      </c>
      <c r="F418" s="28">
        <f>중기기초자료!F39</f>
        <v>750</v>
      </c>
      <c r="G418" s="28">
        <f>TRUNC(F418*D418, 0)</f>
        <v>6750</v>
      </c>
      <c r="H418" s="9" t="s">
        <v>1850</v>
      </c>
      <c r="I418" s="9" t="s">
        <v>1850</v>
      </c>
      <c r="K418" s="9" t="s">
        <v>243</v>
      </c>
      <c r="L418" s="9" t="s">
        <v>1850</v>
      </c>
      <c r="M418" s="9" t="s">
        <v>604</v>
      </c>
      <c r="N418" s="9" t="s">
        <v>1850</v>
      </c>
      <c r="AG418" s="29" t="str">
        <f>HYPERLINK("#중기기초자료!A39","GDD00060250 →")</f>
        <v>GDD00060250 →</v>
      </c>
    </row>
    <row r="419" spans="1:33" ht="18.399999999999999" customHeight="1" x14ac:dyDescent="0.15">
      <c r="B419" s="9" t="s">
        <v>1606</v>
      </c>
      <c r="G419" s="28">
        <f>TRUNC(G418, 0)</f>
        <v>6750</v>
      </c>
    </row>
    <row r="420" spans="1:33" ht="18.399999999999999" customHeight="1" x14ac:dyDescent="0.15">
      <c r="A420" s="9" t="s">
        <v>1307</v>
      </c>
    </row>
    <row r="421" spans="1:33" ht="18.399999999999999" customHeight="1" x14ac:dyDescent="0.15">
      <c r="B421" s="9" t="s">
        <v>1606</v>
      </c>
    </row>
    <row r="422" spans="1:33" ht="18.399999999999999" customHeight="1" x14ac:dyDescent="0.15">
      <c r="A422" s="9" t="s">
        <v>789</v>
      </c>
    </row>
    <row r="423" spans="1:33" ht="18.399999999999999" customHeight="1" x14ac:dyDescent="0.15">
      <c r="B423" s="9" t="s">
        <v>1606</v>
      </c>
    </row>
    <row r="424" spans="1:33" ht="18.399999999999999" customHeight="1" x14ac:dyDescent="0.15">
      <c r="B424" s="9" t="s">
        <v>202</v>
      </c>
      <c r="G424" s="30">
        <f>TRUNC(G419+G421+G423, 2)</f>
        <v>6750</v>
      </c>
    </row>
    <row r="425" spans="1:33" ht="18.399999999999999" customHeight="1" x14ac:dyDescent="0.15">
      <c r="A425" s="4"/>
      <c r="B425" s="4"/>
      <c r="C425" s="4"/>
      <c r="D425" s="4"/>
      <c r="E425" s="4"/>
      <c r="F425" s="4"/>
      <c r="G425" s="4"/>
      <c r="H425" s="4"/>
    </row>
    <row r="426" spans="1:33" ht="18.399999999999999" customHeight="1" x14ac:dyDescent="0.15">
      <c r="A426" s="4" t="s">
        <v>1663</v>
      </c>
      <c r="B426" s="4" t="s">
        <v>1550</v>
      </c>
      <c r="C426" s="4"/>
      <c r="D426" s="4"/>
      <c r="E426" s="4"/>
      <c r="F426" s="4"/>
      <c r="G426" s="4"/>
      <c r="H426" s="4"/>
      <c r="I426" s="9" t="s">
        <v>1850</v>
      </c>
      <c r="J426" s="9" t="s">
        <v>1495</v>
      </c>
    </row>
    <row r="427" spans="1:33" ht="18.399999999999999" customHeight="1" x14ac:dyDescent="0.15">
      <c r="A427" s="4" t="s">
        <v>535</v>
      </c>
      <c r="B427" s="4" t="s">
        <v>1741</v>
      </c>
      <c r="C427" s="4"/>
      <c r="D427" s="4"/>
      <c r="E427" s="4"/>
      <c r="F427" s="4"/>
      <c r="G427" s="4"/>
      <c r="H427" s="4"/>
    </row>
    <row r="428" spans="1:33" ht="18.399999999999999" customHeight="1" x14ac:dyDescent="0.15">
      <c r="A428" s="27" t="s">
        <v>1449</v>
      </c>
      <c r="B428" s="27"/>
      <c r="C428" s="27" t="s">
        <v>954</v>
      </c>
      <c r="D428" s="27" t="s">
        <v>58</v>
      </c>
      <c r="E428" s="27" t="s">
        <v>1744</v>
      </c>
      <c r="F428" s="27" t="s">
        <v>448</v>
      </c>
      <c r="G428" s="27" t="s">
        <v>263</v>
      </c>
      <c r="H428" s="27" t="s">
        <v>515</v>
      </c>
    </row>
    <row r="429" spans="1:33" ht="18.399999999999999" customHeight="1" x14ac:dyDescent="0.15">
      <c r="A429" s="9" t="s">
        <v>128</v>
      </c>
      <c r="B429" s="9" t="s">
        <v>1822</v>
      </c>
      <c r="C429" s="9" t="s">
        <v>332</v>
      </c>
      <c r="D429" s="9">
        <v>0.35649999999999998</v>
      </c>
      <c r="E429" s="28" t="s">
        <v>248</v>
      </c>
      <c r="F429" s="28">
        <f>중기기초자료!F40</f>
        <v>463640</v>
      </c>
      <c r="G429" s="28">
        <f>TRUNC(F429*D429, 0)</f>
        <v>165287</v>
      </c>
      <c r="H429" s="9" t="s">
        <v>1850</v>
      </c>
      <c r="I429" s="9" t="s">
        <v>1850</v>
      </c>
      <c r="K429" s="9" t="s">
        <v>243</v>
      </c>
      <c r="L429" s="9" t="s">
        <v>1850</v>
      </c>
      <c r="M429" s="9" t="s">
        <v>663</v>
      </c>
      <c r="N429" s="9" t="s">
        <v>1850</v>
      </c>
      <c r="AG429" s="29" t="str">
        <f>HYPERLINK("#중기기초자료!A40","GDD00070020 →")</f>
        <v>GDD00070020 →</v>
      </c>
    </row>
    <row r="430" spans="1:33" ht="18.399999999999999" customHeight="1" x14ac:dyDescent="0.15">
      <c r="B430" s="9" t="s">
        <v>1606</v>
      </c>
      <c r="G430" s="28">
        <f>TRUNC(G429, 0)</f>
        <v>165287</v>
      </c>
    </row>
    <row r="431" spans="1:33" ht="18.399999999999999" customHeight="1" x14ac:dyDescent="0.15">
      <c r="A431" s="9" t="s">
        <v>1307</v>
      </c>
      <c r="B431" s="9" t="s">
        <v>331</v>
      </c>
      <c r="C431" s="9" t="s">
        <v>1850</v>
      </c>
      <c r="D431" s="9">
        <v>181</v>
      </c>
      <c r="E431" s="30" t="s">
        <v>1813</v>
      </c>
      <c r="F431" s="30">
        <f>중기기초자료!D52</f>
        <v>1356.54</v>
      </c>
      <c r="G431" s="30">
        <f>TRUNC(F431*D431, 2)</f>
        <v>245533.74</v>
      </c>
      <c r="H431" s="9" t="s">
        <v>1850</v>
      </c>
      <c r="I431" s="9" t="s">
        <v>1850</v>
      </c>
      <c r="K431" s="9" t="s">
        <v>207</v>
      </c>
      <c r="L431" s="9" t="s">
        <v>1850</v>
      </c>
      <c r="M431" s="9" t="s">
        <v>400</v>
      </c>
      <c r="AG431" s="29" t="str">
        <f>HYPERLINK("#중기기초자료!A52","M9366005 →")</f>
        <v>M9366005 →</v>
      </c>
    </row>
    <row r="432" spans="1:33" ht="18.399999999999999" customHeight="1" x14ac:dyDescent="0.15">
      <c r="B432" s="9" t="s">
        <v>1788</v>
      </c>
      <c r="C432" s="9" t="s">
        <v>961</v>
      </c>
      <c r="D432" s="9">
        <v>16</v>
      </c>
      <c r="E432" s="30" t="s">
        <v>804</v>
      </c>
      <c r="F432" s="30">
        <v>0</v>
      </c>
      <c r="G432" s="30">
        <f>TRUNC((G431) * D432/100, 2)</f>
        <v>39285.39</v>
      </c>
      <c r="H432" s="9" t="s">
        <v>1850</v>
      </c>
      <c r="I432" s="9" t="s">
        <v>1850</v>
      </c>
      <c r="K432" s="9" t="s">
        <v>1598</v>
      </c>
      <c r="L432" s="9" t="s">
        <v>1850</v>
      </c>
      <c r="M432" s="9" t="s">
        <v>1287</v>
      </c>
      <c r="N432" s="9" t="s">
        <v>154</v>
      </c>
    </row>
    <row r="433" spans="1:33" ht="18.399999999999999" customHeight="1" x14ac:dyDescent="0.15">
      <c r="B433" s="9" t="s">
        <v>1606</v>
      </c>
      <c r="G433" s="30">
        <f>TRUNC(G431+G432, 2)</f>
        <v>284819.13</v>
      </c>
    </row>
    <row r="434" spans="1:33" ht="18.399999999999999" customHeight="1" x14ac:dyDescent="0.15">
      <c r="A434" s="9" t="s">
        <v>789</v>
      </c>
      <c r="B434" s="9" t="s">
        <v>453</v>
      </c>
      <c r="C434" s="9" t="s">
        <v>1021</v>
      </c>
      <c r="D434" s="9">
        <v>1</v>
      </c>
      <c r="E434" s="28" t="s">
        <v>1142</v>
      </c>
      <c r="F434" s="28">
        <f>TRUNC(중기기초자료!E47 * 중기전역변수!C18, 0)</f>
        <v>55700</v>
      </c>
      <c r="G434" s="28">
        <f>TRUNC(F434*D434, 0)</f>
        <v>55700</v>
      </c>
      <c r="H434" s="9" t="s">
        <v>1850</v>
      </c>
      <c r="I434" s="9" t="s">
        <v>1850</v>
      </c>
      <c r="K434" s="9" t="s">
        <v>715</v>
      </c>
      <c r="L434" s="9" t="s">
        <v>1850</v>
      </c>
      <c r="M434" s="9" t="s">
        <v>1521</v>
      </c>
      <c r="AG434" s="29" t="str">
        <f>HYPERLINK("#중기기초자료!A47","L001010101000048 →")</f>
        <v>L001010101000048 →</v>
      </c>
    </row>
    <row r="435" spans="1:33" ht="18.399999999999999" customHeight="1" x14ac:dyDescent="0.15">
      <c r="B435" s="9" t="s">
        <v>1606</v>
      </c>
      <c r="G435" s="28">
        <f>TRUNC(G434, 0)</f>
        <v>55700</v>
      </c>
    </row>
    <row r="436" spans="1:33" ht="18.399999999999999" customHeight="1" x14ac:dyDescent="0.15">
      <c r="B436" s="9" t="s">
        <v>202</v>
      </c>
      <c r="G436" s="30">
        <f>TRUNC(G430+G433+G435, 2)</f>
        <v>505806.13</v>
      </c>
    </row>
    <row r="437" spans="1:33" ht="18.399999999999999" customHeight="1" x14ac:dyDescent="0.15">
      <c r="A437" s="4"/>
      <c r="B437" s="4"/>
      <c r="C437" s="4"/>
      <c r="D437" s="4"/>
      <c r="E437" s="4"/>
      <c r="F437" s="4"/>
      <c r="G437" s="4"/>
      <c r="H437" s="4"/>
    </row>
    <row r="438" spans="1:33" ht="18.399999999999999" customHeight="1" x14ac:dyDescent="0.15">
      <c r="A438" s="4" t="s">
        <v>1663</v>
      </c>
      <c r="B438" s="4" t="s">
        <v>1768</v>
      </c>
      <c r="C438" s="4"/>
      <c r="D438" s="4"/>
      <c r="E438" s="4"/>
      <c r="F438" s="4"/>
      <c r="G438" s="4"/>
      <c r="H438" s="4"/>
      <c r="I438" s="9" t="s">
        <v>1850</v>
      </c>
      <c r="J438" s="9" t="s">
        <v>1039</v>
      </c>
    </row>
    <row r="439" spans="1:33" ht="18.399999999999999" customHeight="1" x14ac:dyDescent="0.15">
      <c r="A439" s="4" t="s">
        <v>535</v>
      </c>
      <c r="B439" s="4" t="s">
        <v>1741</v>
      </c>
      <c r="C439" s="4"/>
      <c r="D439" s="4"/>
      <c r="E439" s="4"/>
      <c r="F439" s="4"/>
      <c r="G439" s="4"/>
      <c r="H439" s="4"/>
    </row>
    <row r="440" spans="1:33" ht="18.399999999999999" customHeight="1" x14ac:dyDescent="0.15">
      <c r="A440" s="27" t="s">
        <v>1449</v>
      </c>
      <c r="B440" s="27"/>
      <c r="C440" s="27" t="s">
        <v>954</v>
      </c>
      <c r="D440" s="27" t="s">
        <v>58</v>
      </c>
      <c r="E440" s="27" t="s">
        <v>1744</v>
      </c>
      <c r="F440" s="27" t="s">
        <v>448</v>
      </c>
      <c r="G440" s="27" t="s">
        <v>263</v>
      </c>
      <c r="H440" s="27" t="s">
        <v>515</v>
      </c>
    </row>
    <row r="441" spans="1:33" ht="18.399999999999999" customHeight="1" x14ac:dyDescent="0.15">
      <c r="A441" s="9" t="s">
        <v>128</v>
      </c>
      <c r="B441" s="9" t="s">
        <v>1822</v>
      </c>
      <c r="C441" s="9" t="s">
        <v>332</v>
      </c>
      <c r="D441" s="9">
        <v>0.35649999999999998</v>
      </c>
      <c r="E441" s="28" t="s">
        <v>248</v>
      </c>
      <c r="F441" s="28">
        <f>중기기초자료!F40</f>
        <v>463640</v>
      </c>
      <c r="G441" s="28">
        <f>TRUNC(F441*D441, 0)</f>
        <v>165287</v>
      </c>
      <c r="H441" s="9" t="s">
        <v>1850</v>
      </c>
      <c r="I441" s="9" t="s">
        <v>1850</v>
      </c>
      <c r="K441" s="9" t="s">
        <v>243</v>
      </c>
      <c r="L441" s="9" t="s">
        <v>1850</v>
      </c>
      <c r="M441" s="9" t="s">
        <v>663</v>
      </c>
      <c r="N441" s="9" t="s">
        <v>1850</v>
      </c>
      <c r="AG441" s="29" t="str">
        <f>HYPERLINK("#중기기초자료!A40","GDD00070020 →")</f>
        <v>GDD00070020 →</v>
      </c>
    </row>
    <row r="442" spans="1:33" ht="18.399999999999999" customHeight="1" x14ac:dyDescent="0.15">
      <c r="B442" s="9" t="s">
        <v>1606</v>
      </c>
      <c r="G442" s="28">
        <f>TRUNC(G441, 0)</f>
        <v>165287</v>
      </c>
    </row>
    <row r="443" spans="1:33" ht="18.399999999999999" customHeight="1" x14ac:dyDescent="0.15">
      <c r="A443" s="9" t="s">
        <v>1307</v>
      </c>
      <c r="B443" s="9" t="s">
        <v>331</v>
      </c>
      <c r="C443" s="9" t="s">
        <v>1850</v>
      </c>
      <c r="D443" s="9">
        <v>16</v>
      </c>
      <c r="E443" s="30" t="s">
        <v>1813</v>
      </c>
      <c r="F443" s="30">
        <f>중기기초자료!D52</f>
        <v>1356.54</v>
      </c>
      <c r="G443" s="30">
        <f>TRUNC(F443*D443, 2)</f>
        <v>21704.639999999999</v>
      </c>
      <c r="H443" s="9" t="s">
        <v>1850</v>
      </c>
      <c r="I443" s="9" t="s">
        <v>1850</v>
      </c>
      <c r="K443" s="9" t="s">
        <v>1167</v>
      </c>
      <c r="L443" s="9" t="s">
        <v>1850</v>
      </c>
      <c r="M443" s="9" t="s">
        <v>400</v>
      </c>
      <c r="AG443" s="29" t="str">
        <f>HYPERLINK("#중기기초자료!A52","M9366005 →")</f>
        <v>M9366005 →</v>
      </c>
    </row>
    <row r="444" spans="1:33" ht="18.399999999999999" customHeight="1" x14ac:dyDescent="0.15">
      <c r="B444" s="9" t="s">
        <v>1788</v>
      </c>
      <c r="C444" s="9" t="s">
        <v>961</v>
      </c>
      <c r="D444" s="9">
        <v>16</v>
      </c>
      <c r="E444" s="30" t="s">
        <v>804</v>
      </c>
      <c r="F444" s="30">
        <v>0</v>
      </c>
      <c r="G444" s="30">
        <f>TRUNC((G443) * D444/100, 2)</f>
        <v>3472.74</v>
      </c>
      <c r="H444" s="9" t="s">
        <v>1850</v>
      </c>
      <c r="I444" s="9" t="s">
        <v>1850</v>
      </c>
      <c r="K444" s="9" t="s">
        <v>715</v>
      </c>
      <c r="L444" s="9" t="s">
        <v>1850</v>
      </c>
      <c r="M444" s="9" t="s">
        <v>1287</v>
      </c>
      <c r="N444" s="9" t="s">
        <v>154</v>
      </c>
    </row>
    <row r="445" spans="1:33" ht="18.399999999999999" customHeight="1" x14ac:dyDescent="0.15">
      <c r="B445" s="9" t="s">
        <v>1606</v>
      </c>
      <c r="G445" s="30">
        <f>TRUNC(G443+G444, 2)</f>
        <v>25177.38</v>
      </c>
    </row>
    <row r="446" spans="1:33" ht="18.399999999999999" customHeight="1" x14ac:dyDescent="0.15">
      <c r="A446" s="9" t="s">
        <v>789</v>
      </c>
      <c r="B446" s="9" t="s">
        <v>453</v>
      </c>
      <c r="C446" s="9" t="s">
        <v>1021</v>
      </c>
      <c r="D446" s="9">
        <v>1</v>
      </c>
      <c r="E446" s="28" t="s">
        <v>1142</v>
      </c>
      <c r="F446" s="28">
        <f>TRUNC(중기기초자료!E47 * 중기전역변수!C18, 0)</f>
        <v>55700</v>
      </c>
      <c r="G446" s="28">
        <f>TRUNC(F446*D446, 0)</f>
        <v>55700</v>
      </c>
      <c r="H446" s="9" t="s">
        <v>1850</v>
      </c>
      <c r="I446" s="9" t="s">
        <v>1850</v>
      </c>
      <c r="K446" s="9" t="s">
        <v>1619</v>
      </c>
      <c r="L446" s="9" t="s">
        <v>1850</v>
      </c>
      <c r="M446" s="9" t="s">
        <v>1521</v>
      </c>
      <c r="AG446" s="29" t="str">
        <f>HYPERLINK("#중기기초자료!A47","L001010101000048 →")</f>
        <v>L001010101000048 →</v>
      </c>
    </row>
    <row r="447" spans="1:33" ht="18.399999999999999" customHeight="1" x14ac:dyDescent="0.15">
      <c r="B447" s="9" t="s">
        <v>1606</v>
      </c>
      <c r="G447" s="28">
        <f>TRUNC(G446, 0)</f>
        <v>55700</v>
      </c>
    </row>
    <row r="448" spans="1:33" ht="18.399999999999999" customHeight="1" x14ac:dyDescent="0.15">
      <c r="B448" s="9" t="s">
        <v>202</v>
      </c>
      <c r="G448" s="30">
        <f>TRUNC(G442+G445+G447, 2)</f>
        <v>246164.38</v>
      </c>
    </row>
    <row r="449" spans="1:33" ht="18.399999999999999" customHeight="1" x14ac:dyDescent="0.15">
      <c r="A449" s="4"/>
      <c r="B449" s="4"/>
      <c r="C449" s="4"/>
      <c r="D449" s="4"/>
      <c r="E449" s="4"/>
      <c r="F449" s="4"/>
      <c r="G449" s="4"/>
      <c r="H449" s="4"/>
    </row>
    <row r="450" spans="1:33" ht="18.399999999999999" customHeight="1" x14ac:dyDescent="0.15">
      <c r="A450" s="4" t="s">
        <v>1663</v>
      </c>
      <c r="B450" s="4" t="s">
        <v>1121</v>
      </c>
      <c r="C450" s="4"/>
      <c r="D450" s="4"/>
      <c r="E450" s="4"/>
      <c r="F450" s="4"/>
      <c r="G450" s="4"/>
      <c r="H450" s="4"/>
      <c r="I450" s="9" t="s">
        <v>1850</v>
      </c>
      <c r="J450" s="9" t="s">
        <v>470</v>
      </c>
    </row>
    <row r="451" spans="1:33" ht="18.399999999999999" customHeight="1" x14ac:dyDescent="0.15">
      <c r="A451" s="4" t="s">
        <v>535</v>
      </c>
      <c r="B451" s="4" t="s">
        <v>1707</v>
      </c>
      <c r="C451" s="4"/>
      <c r="D451" s="4"/>
      <c r="E451" s="4"/>
      <c r="F451" s="4"/>
      <c r="G451" s="4"/>
      <c r="H451" s="4"/>
    </row>
    <row r="452" spans="1:33" ht="18.399999999999999" customHeight="1" x14ac:dyDescent="0.15">
      <c r="A452" s="27" t="s">
        <v>1449</v>
      </c>
      <c r="B452" s="27"/>
      <c r="C452" s="27" t="s">
        <v>954</v>
      </c>
      <c r="D452" s="27" t="s">
        <v>58</v>
      </c>
      <c r="E452" s="27" t="s">
        <v>1744</v>
      </c>
      <c r="F452" s="27" t="s">
        <v>448</v>
      </c>
      <c r="G452" s="27" t="s">
        <v>263</v>
      </c>
      <c r="H452" s="27" t="s">
        <v>515</v>
      </c>
    </row>
    <row r="453" spans="1:33" ht="18.399999999999999" customHeight="1" x14ac:dyDescent="0.15">
      <c r="A453" s="9" t="s">
        <v>128</v>
      </c>
      <c r="B453" s="9" t="s">
        <v>1673</v>
      </c>
      <c r="C453" s="9" t="s">
        <v>1499</v>
      </c>
      <c r="D453" s="9">
        <v>0.64</v>
      </c>
      <c r="E453" s="28" t="s">
        <v>248</v>
      </c>
      <c r="F453" s="28">
        <f>중기기초자료!F41</f>
        <v>7500</v>
      </c>
      <c r="G453" s="28">
        <f>TRUNC(F453*D453, 0)</f>
        <v>4800</v>
      </c>
      <c r="H453" s="9" t="s">
        <v>1850</v>
      </c>
      <c r="I453" s="9" t="s">
        <v>1850</v>
      </c>
      <c r="K453" s="9" t="s">
        <v>243</v>
      </c>
      <c r="L453" s="9" t="s">
        <v>1850</v>
      </c>
      <c r="M453" s="9" t="s">
        <v>364</v>
      </c>
      <c r="N453" s="9" t="s">
        <v>1850</v>
      </c>
      <c r="AG453" s="29" t="str">
        <f>HYPERLINK("#중기기초자료!A41","GDD00080250 →")</f>
        <v>GDD00080250 →</v>
      </c>
    </row>
    <row r="454" spans="1:33" ht="18.399999999999999" customHeight="1" x14ac:dyDescent="0.15">
      <c r="B454" s="9" t="s">
        <v>1606</v>
      </c>
      <c r="G454" s="28">
        <f>TRUNC(G453, 0)</f>
        <v>4800</v>
      </c>
    </row>
    <row r="455" spans="1:33" ht="18.399999999999999" customHeight="1" x14ac:dyDescent="0.15">
      <c r="A455" s="9" t="s">
        <v>1307</v>
      </c>
    </row>
    <row r="456" spans="1:33" ht="18.399999999999999" customHeight="1" x14ac:dyDescent="0.15">
      <c r="B456" s="9" t="s">
        <v>1606</v>
      </c>
    </row>
    <row r="457" spans="1:33" ht="18.399999999999999" customHeight="1" x14ac:dyDescent="0.15">
      <c r="A457" s="9" t="s">
        <v>789</v>
      </c>
    </row>
    <row r="458" spans="1:33" ht="18.399999999999999" customHeight="1" x14ac:dyDescent="0.15">
      <c r="B458" s="9" t="s">
        <v>1606</v>
      </c>
    </row>
    <row r="459" spans="1:33" ht="18.399999999999999" customHeight="1" x14ac:dyDescent="0.15">
      <c r="B459" s="9" t="s">
        <v>202</v>
      </c>
      <c r="G459" s="30">
        <f>TRUNC(G454+G456+G458, 2)</f>
        <v>4800</v>
      </c>
    </row>
    <row r="460" spans="1:33" ht="18.399999999999999" customHeight="1" x14ac:dyDescent="0.15">
      <c r="A460" s="4"/>
      <c r="B460" s="4"/>
      <c r="C460" s="4"/>
      <c r="D460" s="4"/>
      <c r="E460" s="4"/>
      <c r="F460" s="4"/>
      <c r="G460" s="4"/>
      <c r="H460" s="4"/>
    </row>
    <row r="461" spans="1:33" ht="18.399999999999999" customHeight="1" x14ac:dyDescent="0.15">
      <c r="A461" s="4" t="s">
        <v>1663</v>
      </c>
      <c r="B461" s="4" t="s">
        <v>755</v>
      </c>
      <c r="C461" s="4"/>
      <c r="D461" s="4"/>
      <c r="E461" s="4"/>
      <c r="F461" s="4"/>
      <c r="G461" s="4"/>
      <c r="H461" s="4"/>
      <c r="I461" s="9" t="s">
        <v>1850</v>
      </c>
      <c r="J461" s="9" t="s">
        <v>1150</v>
      </c>
    </row>
    <row r="462" spans="1:33" ht="18.399999999999999" customHeight="1" x14ac:dyDescent="0.15">
      <c r="A462" s="4" t="s">
        <v>535</v>
      </c>
      <c r="B462" s="4" t="s">
        <v>1095</v>
      </c>
      <c r="C462" s="4"/>
      <c r="D462" s="4"/>
      <c r="E462" s="4"/>
      <c r="F462" s="4"/>
      <c r="G462" s="4"/>
      <c r="H462" s="4"/>
    </row>
    <row r="463" spans="1:33" ht="18.399999999999999" customHeight="1" x14ac:dyDescent="0.15">
      <c r="A463" s="27" t="s">
        <v>1449</v>
      </c>
      <c r="B463" s="27"/>
      <c r="C463" s="27" t="s">
        <v>954</v>
      </c>
      <c r="D463" s="27" t="s">
        <v>58</v>
      </c>
      <c r="E463" s="27" t="s">
        <v>1744</v>
      </c>
      <c r="F463" s="27" t="s">
        <v>448</v>
      </c>
      <c r="G463" s="27" t="s">
        <v>263</v>
      </c>
      <c r="H463" s="27" t="s">
        <v>515</v>
      </c>
    </row>
    <row r="464" spans="1:33" ht="18.399999999999999" customHeight="1" x14ac:dyDescent="0.15">
      <c r="A464" s="9" t="s">
        <v>128</v>
      </c>
      <c r="B464" s="9" t="s">
        <v>1161</v>
      </c>
      <c r="C464" s="9" t="s">
        <v>1141</v>
      </c>
      <c r="D464" s="9">
        <v>0.35899999999999999</v>
      </c>
      <c r="E464" s="28" t="s">
        <v>248</v>
      </c>
      <c r="F464" s="28">
        <f>중기기초자료!F42</f>
        <v>58200</v>
      </c>
      <c r="G464" s="28">
        <f>TRUNC(F464*D464, 0)</f>
        <v>20893</v>
      </c>
      <c r="H464" s="9" t="s">
        <v>1850</v>
      </c>
      <c r="I464" s="9" t="s">
        <v>1850</v>
      </c>
      <c r="K464" s="9" t="s">
        <v>243</v>
      </c>
      <c r="L464" s="9" t="s">
        <v>1850</v>
      </c>
      <c r="M464" s="9" t="s">
        <v>1342</v>
      </c>
      <c r="N464" s="9" t="s">
        <v>1850</v>
      </c>
      <c r="AG464" s="29" t="str">
        <f>HYPERLINK("#중기기초자료!A42","GDD06040045 →")</f>
        <v>GDD06040045 →</v>
      </c>
    </row>
    <row r="465" spans="1:33" ht="18.399999999999999" customHeight="1" x14ac:dyDescent="0.15">
      <c r="B465" s="9" t="s">
        <v>1606</v>
      </c>
      <c r="G465" s="28">
        <f>TRUNC(G464, 0)</f>
        <v>20893</v>
      </c>
    </row>
    <row r="466" spans="1:33" ht="18.399999999999999" customHeight="1" x14ac:dyDescent="0.15">
      <c r="A466" s="9" t="s">
        <v>1307</v>
      </c>
      <c r="B466" s="9" t="s">
        <v>331</v>
      </c>
      <c r="C466" s="9" t="s">
        <v>1850</v>
      </c>
      <c r="D466" s="9">
        <v>6.7</v>
      </c>
      <c r="E466" s="30" t="s">
        <v>1813</v>
      </c>
      <c r="F466" s="30">
        <f>중기기초자료!D52</f>
        <v>1356.54</v>
      </c>
      <c r="G466" s="30">
        <f>TRUNC(F466*D466, 2)</f>
        <v>9088.81</v>
      </c>
      <c r="H466" s="9" t="s">
        <v>1850</v>
      </c>
      <c r="I466" s="9" t="s">
        <v>1850</v>
      </c>
      <c r="K466" s="9" t="s">
        <v>1167</v>
      </c>
      <c r="L466" s="9" t="s">
        <v>1850</v>
      </c>
      <c r="M466" s="9" t="s">
        <v>400</v>
      </c>
      <c r="AG466" s="29" t="str">
        <f>HYPERLINK("#중기기초자료!A52","M9366005 →")</f>
        <v>M9366005 →</v>
      </c>
    </row>
    <row r="467" spans="1:33" ht="18.399999999999999" customHeight="1" x14ac:dyDescent="0.15">
      <c r="B467" s="9" t="s">
        <v>456</v>
      </c>
      <c r="C467" s="9" t="s">
        <v>961</v>
      </c>
      <c r="D467" s="9">
        <v>38</v>
      </c>
      <c r="E467" s="30" t="s">
        <v>804</v>
      </c>
      <c r="F467" s="30">
        <v>0</v>
      </c>
      <c r="G467" s="30">
        <f>TRUNC((G466) * D467/100, 2)</f>
        <v>3453.74</v>
      </c>
      <c r="H467" s="9" t="s">
        <v>1850</v>
      </c>
      <c r="I467" s="9" t="s">
        <v>1850</v>
      </c>
      <c r="K467" s="9" t="s">
        <v>715</v>
      </c>
      <c r="L467" s="9" t="s">
        <v>1850</v>
      </c>
      <c r="M467" s="9" t="s">
        <v>1287</v>
      </c>
      <c r="N467" s="9" t="s">
        <v>154</v>
      </c>
    </row>
    <row r="468" spans="1:33" ht="18.399999999999999" customHeight="1" x14ac:dyDescent="0.15">
      <c r="B468" s="9" t="s">
        <v>1606</v>
      </c>
      <c r="G468" s="30">
        <f>TRUNC(G466+G467, 2)</f>
        <v>12542.55</v>
      </c>
    </row>
    <row r="469" spans="1:33" ht="18.399999999999999" customHeight="1" x14ac:dyDescent="0.15">
      <c r="A469" s="9" t="s">
        <v>789</v>
      </c>
      <c r="B469" s="9" t="s">
        <v>139</v>
      </c>
      <c r="C469" s="9" t="s">
        <v>1021</v>
      </c>
      <c r="D469" s="9">
        <v>1</v>
      </c>
      <c r="E469" s="28" t="s">
        <v>1142</v>
      </c>
      <c r="F469" s="28">
        <f>TRUNC(중기기초자료!E48 * 중기전역변수!C18, 0)</f>
        <v>47231</v>
      </c>
      <c r="G469" s="28">
        <f>TRUNC(F469*D469, 0)</f>
        <v>47231</v>
      </c>
      <c r="H469" s="9" t="s">
        <v>1850</v>
      </c>
      <c r="I469" s="9" t="s">
        <v>1850</v>
      </c>
      <c r="K469" s="9" t="s">
        <v>1619</v>
      </c>
      <c r="L469" s="9" t="s">
        <v>1850</v>
      </c>
      <c r="M469" s="9" t="s">
        <v>686</v>
      </c>
      <c r="AG469" s="29" t="str">
        <f>HYPERLINK("#중기기초자료!A48","L001010101000049 →")</f>
        <v>L001010101000049 →</v>
      </c>
    </row>
    <row r="470" spans="1:33" ht="18.399999999999999" customHeight="1" x14ac:dyDescent="0.15">
      <c r="B470" s="9" t="s">
        <v>1606</v>
      </c>
      <c r="G470" s="28">
        <f>TRUNC(G469, 0)</f>
        <v>47231</v>
      </c>
    </row>
    <row r="471" spans="1:33" ht="18.399999999999999" customHeight="1" x14ac:dyDescent="0.15">
      <c r="B471" s="9" t="s">
        <v>202</v>
      </c>
      <c r="G471" s="30">
        <f>TRUNC(G465+G468+G470, 2)</f>
        <v>80666.55</v>
      </c>
    </row>
    <row r="472" spans="1:33" ht="18.399999999999999" customHeight="1" x14ac:dyDescent="0.15">
      <c r="A472" s="4"/>
      <c r="B472" s="4"/>
      <c r="C472" s="4"/>
      <c r="D472" s="4"/>
      <c r="E472" s="4"/>
      <c r="F472" s="4"/>
      <c r="G472" s="4"/>
      <c r="H472" s="4"/>
    </row>
    <row r="473" spans="1:33" ht="18.399999999999999" customHeight="1" x14ac:dyDescent="0.15">
      <c r="A473" s="4" t="s">
        <v>1663</v>
      </c>
      <c r="B473" s="4" t="s">
        <v>1809</v>
      </c>
      <c r="C473" s="4"/>
      <c r="D473" s="4"/>
      <c r="E473" s="4"/>
      <c r="F473" s="4"/>
      <c r="G473" s="4"/>
      <c r="H473" s="4"/>
      <c r="I473" s="9" t="s">
        <v>1850</v>
      </c>
      <c r="J473" s="9" t="s">
        <v>748</v>
      </c>
    </row>
    <row r="474" spans="1:33" ht="18.399999999999999" customHeight="1" x14ac:dyDescent="0.15">
      <c r="A474" s="4" t="s">
        <v>535</v>
      </c>
      <c r="B474" s="4" t="s">
        <v>476</v>
      </c>
      <c r="C474" s="4"/>
      <c r="D474" s="4"/>
      <c r="E474" s="4"/>
      <c r="F474" s="4"/>
      <c r="G474" s="4"/>
      <c r="H474" s="4"/>
    </row>
    <row r="475" spans="1:33" ht="18.399999999999999" customHeight="1" x14ac:dyDescent="0.15">
      <c r="A475" s="27" t="s">
        <v>1449</v>
      </c>
      <c r="B475" s="27"/>
      <c r="C475" s="27" t="s">
        <v>954</v>
      </c>
      <c r="D475" s="27" t="s">
        <v>58</v>
      </c>
      <c r="E475" s="27" t="s">
        <v>1744</v>
      </c>
      <c r="F475" s="27" t="s">
        <v>448</v>
      </c>
      <c r="G475" s="27" t="s">
        <v>263</v>
      </c>
      <c r="H475" s="27" t="s">
        <v>515</v>
      </c>
    </row>
    <row r="476" spans="1:33" ht="18.399999999999999" customHeight="1" x14ac:dyDescent="0.15">
      <c r="A476" s="9" t="s">
        <v>128</v>
      </c>
      <c r="B476" s="9" t="s">
        <v>415</v>
      </c>
      <c r="C476" s="9" t="s">
        <v>1623</v>
      </c>
      <c r="D476" s="9">
        <v>0.1368</v>
      </c>
      <c r="E476" s="28" t="s">
        <v>248</v>
      </c>
      <c r="F476" s="28">
        <f>중기기초자료!F43</f>
        <v>1319</v>
      </c>
      <c r="G476" s="28">
        <f>TRUNC(F476*D476, 0)</f>
        <v>180</v>
      </c>
      <c r="H476" s="9" t="s">
        <v>1850</v>
      </c>
      <c r="I476" s="9" t="s">
        <v>1850</v>
      </c>
      <c r="K476" s="9" t="s">
        <v>243</v>
      </c>
      <c r="L476" s="9" t="s">
        <v>1850</v>
      </c>
      <c r="M476" s="9" t="s">
        <v>1692</v>
      </c>
      <c r="N476" s="9" t="s">
        <v>1850</v>
      </c>
      <c r="AG476" s="29" t="str">
        <f>HYPERLINK("#중기기초자료!A43","GDD80000001 →")</f>
        <v>GDD80000001 →</v>
      </c>
    </row>
    <row r="477" spans="1:33" ht="18.399999999999999" customHeight="1" x14ac:dyDescent="0.15">
      <c r="B477" s="9" t="s">
        <v>1606</v>
      </c>
      <c r="G477" s="28">
        <f>TRUNC(G476, 0)</f>
        <v>180</v>
      </c>
    </row>
    <row r="478" spans="1:33" ht="18.399999999999999" customHeight="1" x14ac:dyDescent="0.15">
      <c r="A478" s="9" t="s">
        <v>1307</v>
      </c>
    </row>
    <row r="479" spans="1:33" ht="18.399999999999999" customHeight="1" x14ac:dyDescent="0.15">
      <c r="B479" s="9" t="s">
        <v>1606</v>
      </c>
    </row>
    <row r="480" spans="1:33" ht="18.399999999999999" customHeight="1" x14ac:dyDescent="0.15">
      <c r="A480" s="9" t="s">
        <v>789</v>
      </c>
    </row>
    <row r="481" spans="1:33" ht="18.399999999999999" customHeight="1" x14ac:dyDescent="0.15">
      <c r="B481" s="9" t="s">
        <v>1606</v>
      </c>
    </row>
    <row r="482" spans="1:33" ht="18.399999999999999" customHeight="1" x14ac:dyDescent="0.15">
      <c r="B482" s="9" t="s">
        <v>202</v>
      </c>
      <c r="G482" s="30">
        <f>TRUNC(G477+G479+G481, 2)</f>
        <v>180</v>
      </c>
    </row>
    <row r="483" spans="1:33" ht="18.399999999999999" customHeight="1" x14ac:dyDescent="0.15">
      <c r="A483" s="4"/>
      <c r="B483" s="4"/>
      <c r="C483" s="4"/>
      <c r="D483" s="4"/>
      <c r="E483" s="4"/>
      <c r="F483" s="4"/>
      <c r="G483" s="4"/>
      <c r="H483" s="4"/>
    </row>
    <row r="484" spans="1:33" ht="18.399999999999999" customHeight="1" x14ac:dyDescent="0.15">
      <c r="A484" s="4" t="s">
        <v>1663</v>
      </c>
      <c r="B484" s="4" t="s">
        <v>313</v>
      </c>
      <c r="C484" s="4"/>
      <c r="D484" s="4"/>
      <c r="E484" s="4"/>
      <c r="F484" s="4"/>
      <c r="G484" s="4"/>
      <c r="H484" s="4"/>
      <c r="I484" s="9" t="s">
        <v>1850</v>
      </c>
      <c r="J484" s="9" t="s">
        <v>1789</v>
      </c>
    </row>
    <row r="485" spans="1:33" ht="18.399999999999999" customHeight="1" x14ac:dyDescent="0.15">
      <c r="A485" s="4" t="s">
        <v>535</v>
      </c>
      <c r="B485" s="4" t="s">
        <v>283</v>
      </c>
      <c r="C485" s="4"/>
      <c r="D485" s="4"/>
      <c r="E485" s="4"/>
      <c r="F485" s="4"/>
      <c r="G485" s="4"/>
      <c r="H485" s="4"/>
    </row>
    <row r="486" spans="1:33" ht="18.399999999999999" customHeight="1" x14ac:dyDescent="0.15">
      <c r="A486" s="27" t="s">
        <v>1449</v>
      </c>
      <c r="B486" s="27"/>
      <c r="C486" s="27" t="s">
        <v>954</v>
      </c>
      <c r="D486" s="27" t="s">
        <v>58</v>
      </c>
      <c r="E486" s="27" t="s">
        <v>1744</v>
      </c>
      <c r="F486" s="27" t="s">
        <v>448</v>
      </c>
      <c r="G486" s="27" t="s">
        <v>263</v>
      </c>
      <c r="H486" s="27" t="s">
        <v>515</v>
      </c>
    </row>
    <row r="487" spans="1:33" ht="18.399999999999999" customHeight="1" x14ac:dyDescent="0.15">
      <c r="A487" s="9" t="s">
        <v>128</v>
      </c>
      <c r="B487" s="9" t="s">
        <v>1587</v>
      </c>
      <c r="C487" s="9" t="s">
        <v>1029</v>
      </c>
      <c r="D487" s="9">
        <v>0.1368</v>
      </c>
      <c r="E487" s="28" t="s">
        <v>248</v>
      </c>
      <c r="F487" s="28">
        <f>중기기초자료!F44</f>
        <v>1359</v>
      </c>
      <c r="G487" s="28">
        <f>TRUNC(F487*D487, 0)</f>
        <v>185</v>
      </c>
      <c r="H487" s="9" t="s">
        <v>1850</v>
      </c>
      <c r="I487" s="9" t="s">
        <v>1850</v>
      </c>
      <c r="K487" s="9" t="s">
        <v>243</v>
      </c>
      <c r="L487" s="9" t="s">
        <v>1850</v>
      </c>
      <c r="M487" s="9" t="s">
        <v>729</v>
      </c>
      <c r="N487" s="9" t="s">
        <v>1850</v>
      </c>
      <c r="AG487" s="29" t="str">
        <f>HYPERLINK("#중기기초자료!A44","GDD80000002 →")</f>
        <v>GDD80000002 →</v>
      </c>
    </row>
    <row r="488" spans="1:33" ht="18.399999999999999" customHeight="1" x14ac:dyDescent="0.15">
      <c r="B488" s="9" t="s">
        <v>1606</v>
      </c>
      <c r="G488" s="28">
        <f>TRUNC(G487, 0)</f>
        <v>185</v>
      </c>
    </row>
    <row r="489" spans="1:33" ht="18.399999999999999" customHeight="1" x14ac:dyDescent="0.15">
      <c r="A489" s="9" t="s">
        <v>1307</v>
      </c>
    </row>
    <row r="490" spans="1:33" ht="18.399999999999999" customHeight="1" x14ac:dyDescent="0.15">
      <c r="B490" s="9" t="s">
        <v>1606</v>
      </c>
    </row>
    <row r="491" spans="1:33" ht="18.399999999999999" customHeight="1" x14ac:dyDescent="0.15">
      <c r="A491" s="9" t="s">
        <v>789</v>
      </c>
    </row>
    <row r="492" spans="1:33" ht="18.399999999999999" customHeight="1" x14ac:dyDescent="0.15">
      <c r="B492" s="9" t="s">
        <v>1606</v>
      </c>
    </row>
    <row r="493" spans="1:33" ht="18.399999999999999" customHeight="1" x14ac:dyDescent="0.15">
      <c r="B493" s="9" t="s">
        <v>202</v>
      </c>
      <c r="G493" s="30">
        <f>TRUNC(G488+G490+G492, 2)</f>
        <v>185</v>
      </c>
    </row>
    <row r="494" spans="1:33" ht="18.399999999999999" customHeight="1" x14ac:dyDescent="0.15">
      <c r="A494" s="4"/>
      <c r="B494" s="4"/>
      <c r="C494" s="4"/>
      <c r="D494" s="4"/>
      <c r="E494" s="4"/>
      <c r="F494" s="4"/>
      <c r="G494" s="4"/>
      <c r="H494" s="4"/>
    </row>
    <row r="495" spans="1:33" ht="18.399999999999999" customHeight="1" x14ac:dyDescent="0.15">
      <c r="A495" s="4" t="s">
        <v>1663</v>
      </c>
      <c r="B495" s="4" t="s">
        <v>192</v>
      </c>
      <c r="C495" s="4"/>
      <c r="D495" s="4"/>
      <c r="E495" s="4"/>
      <c r="F495" s="4"/>
      <c r="G495" s="4"/>
      <c r="H495" s="4"/>
      <c r="I495" s="9" t="s">
        <v>1850</v>
      </c>
      <c r="J495" s="9" t="s">
        <v>582</v>
      </c>
    </row>
    <row r="496" spans="1:33" ht="18.399999999999999" customHeight="1" x14ac:dyDescent="0.15">
      <c r="A496" s="4" t="s">
        <v>535</v>
      </c>
      <c r="B496" s="4" t="s">
        <v>722</v>
      </c>
      <c r="C496" s="4"/>
      <c r="D496" s="4"/>
      <c r="E496" s="4"/>
      <c r="F496" s="4"/>
      <c r="G496" s="4"/>
      <c r="H496" s="4"/>
    </row>
    <row r="497" spans="1:33" ht="18.399999999999999" customHeight="1" x14ac:dyDescent="0.15">
      <c r="A497" s="27" t="s">
        <v>1449</v>
      </c>
      <c r="B497" s="27"/>
      <c r="C497" s="27" t="s">
        <v>954</v>
      </c>
      <c r="D497" s="27" t="s">
        <v>58</v>
      </c>
      <c r="E497" s="27" t="s">
        <v>1744</v>
      </c>
      <c r="F497" s="27" t="s">
        <v>448</v>
      </c>
      <c r="G497" s="27" t="s">
        <v>263</v>
      </c>
      <c r="H497" s="27" t="s">
        <v>515</v>
      </c>
    </row>
    <row r="498" spans="1:33" ht="18.399999999999999" customHeight="1" x14ac:dyDescent="0.15">
      <c r="A498" s="9" t="s">
        <v>128</v>
      </c>
      <c r="B498" s="9" t="s">
        <v>471</v>
      </c>
      <c r="C498" s="9" t="s">
        <v>1620</v>
      </c>
      <c r="D498" s="9">
        <v>0.1368</v>
      </c>
      <c r="E498" s="28" t="s">
        <v>248</v>
      </c>
      <c r="F498" s="28">
        <f>중기기초자료!F45</f>
        <v>15000</v>
      </c>
      <c r="G498" s="28">
        <f>TRUNC(F498*D498, 0)</f>
        <v>2052</v>
      </c>
      <c r="H498" s="9" t="s">
        <v>1850</v>
      </c>
      <c r="I498" s="9" t="s">
        <v>1850</v>
      </c>
      <c r="K498" s="9" t="s">
        <v>243</v>
      </c>
      <c r="L498" s="9" t="s">
        <v>1850</v>
      </c>
      <c r="M498" s="9" t="s">
        <v>1496</v>
      </c>
      <c r="N498" s="9" t="s">
        <v>1850</v>
      </c>
      <c r="AG498" s="29" t="str">
        <f>HYPERLINK("#중기기초자료!A45","GDD80000003 →")</f>
        <v>GDD80000003 →</v>
      </c>
    </row>
    <row r="499" spans="1:33" ht="18.399999999999999" customHeight="1" x14ac:dyDescent="0.15">
      <c r="B499" s="9" t="s">
        <v>1606</v>
      </c>
      <c r="G499" s="28">
        <f>TRUNC(G498, 0)</f>
        <v>2052</v>
      </c>
    </row>
    <row r="500" spans="1:33" ht="18.399999999999999" customHeight="1" x14ac:dyDescent="0.15">
      <c r="A500" s="9" t="s">
        <v>1307</v>
      </c>
    </row>
    <row r="501" spans="1:33" ht="18.399999999999999" customHeight="1" x14ac:dyDescent="0.15">
      <c r="B501" s="9" t="s">
        <v>1606</v>
      </c>
    </row>
    <row r="502" spans="1:33" ht="18.399999999999999" customHeight="1" x14ac:dyDescent="0.15">
      <c r="A502" s="9" t="s">
        <v>789</v>
      </c>
    </row>
    <row r="503" spans="1:33" ht="18.399999999999999" customHeight="1" x14ac:dyDescent="0.15">
      <c r="B503" s="9" t="s">
        <v>1606</v>
      </c>
    </row>
    <row r="504" spans="1:33" ht="18.399999999999999" customHeight="1" x14ac:dyDescent="0.15">
      <c r="B504" s="9" t="s">
        <v>202</v>
      </c>
      <c r="G504" s="30">
        <f>TRUNC(G499+G501+G503, 2)</f>
        <v>2052</v>
      </c>
    </row>
    <row r="505" spans="1:33" ht="18.399999999999999" customHeight="1" x14ac:dyDescent="0.15">
      <c r="A505" s="4"/>
      <c r="B505" s="4"/>
      <c r="C505" s="4"/>
      <c r="D505" s="4"/>
      <c r="E505" s="4"/>
      <c r="F505" s="4"/>
      <c r="G505" s="4"/>
      <c r="H505" s="4"/>
    </row>
    <row r="506" spans="1:33" ht="18.399999999999999" customHeight="1" x14ac:dyDescent="0.15">
      <c r="A506" s="4" t="s">
        <v>1663</v>
      </c>
      <c r="B506" s="4" t="s">
        <v>1445</v>
      </c>
      <c r="C506" s="4"/>
      <c r="D506" s="4"/>
      <c r="E506" s="4"/>
      <c r="F506" s="4"/>
      <c r="G506" s="4"/>
      <c r="H506" s="4"/>
      <c r="I506" s="9" t="s">
        <v>1850</v>
      </c>
      <c r="J506" s="9" t="s">
        <v>1611</v>
      </c>
    </row>
    <row r="507" spans="1:33" ht="18.399999999999999" customHeight="1" x14ac:dyDescent="0.15">
      <c r="A507" s="4" t="s">
        <v>535</v>
      </c>
      <c r="B507" s="4" t="s">
        <v>803</v>
      </c>
      <c r="C507" s="4"/>
      <c r="D507" s="4"/>
      <c r="E507" s="4"/>
      <c r="F507" s="4"/>
      <c r="G507" s="4"/>
      <c r="H507" s="4"/>
    </row>
    <row r="508" spans="1:33" ht="18.399999999999999" customHeight="1" x14ac:dyDescent="0.15">
      <c r="A508" s="27" t="s">
        <v>1449</v>
      </c>
      <c r="B508" s="27"/>
      <c r="C508" s="27" t="s">
        <v>954</v>
      </c>
      <c r="D508" s="27" t="s">
        <v>58</v>
      </c>
      <c r="E508" s="27" t="s">
        <v>1744</v>
      </c>
      <c r="F508" s="27" t="s">
        <v>448</v>
      </c>
      <c r="G508" s="27" t="s">
        <v>263</v>
      </c>
      <c r="H508" s="27" t="s">
        <v>515</v>
      </c>
    </row>
    <row r="509" spans="1:33" ht="18.399999999999999" customHeight="1" x14ac:dyDescent="0.15">
      <c r="A509" s="9" t="s">
        <v>128</v>
      </c>
      <c r="B509" s="9" t="s">
        <v>578</v>
      </c>
      <c r="C509" s="9" t="s">
        <v>522</v>
      </c>
      <c r="D509" s="9">
        <v>0.1368</v>
      </c>
      <c r="E509" s="28" t="s">
        <v>248</v>
      </c>
      <c r="F509" s="28">
        <f>중기기초자료!F46</f>
        <v>499.9</v>
      </c>
      <c r="G509" s="28">
        <f>TRUNC(F509*D509, 0)</f>
        <v>68</v>
      </c>
      <c r="H509" s="9" t="s">
        <v>1850</v>
      </c>
      <c r="I509" s="9" t="s">
        <v>1850</v>
      </c>
      <c r="K509" s="9" t="s">
        <v>243</v>
      </c>
      <c r="L509" s="9" t="s">
        <v>1850</v>
      </c>
      <c r="M509" s="9" t="s">
        <v>798</v>
      </c>
      <c r="N509" s="9" t="s">
        <v>1850</v>
      </c>
      <c r="AG509" s="29" t="str">
        <f>HYPERLINK("#중기기초자료!A46","GDD80000004 →")</f>
        <v>GDD80000004 →</v>
      </c>
    </row>
    <row r="510" spans="1:33" ht="18.399999999999999" customHeight="1" x14ac:dyDescent="0.15">
      <c r="B510" s="9" t="s">
        <v>1606</v>
      </c>
      <c r="G510" s="28">
        <f>TRUNC(G509, 0)</f>
        <v>68</v>
      </c>
    </row>
    <row r="511" spans="1:33" ht="18.399999999999999" customHeight="1" x14ac:dyDescent="0.15">
      <c r="A511" s="9" t="s">
        <v>1307</v>
      </c>
    </row>
    <row r="512" spans="1:33" ht="18.399999999999999" customHeight="1" x14ac:dyDescent="0.15">
      <c r="B512" s="9" t="s">
        <v>1606</v>
      </c>
    </row>
    <row r="513" spans="1:33" ht="18.399999999999999" customHeight="1" x14ac:dyDescent="0.15">
      <c r="A513" s="9" t="s">
        <v>789</v>
      </c>
    </row>
    <row r="514" spans="1:33" ht="18.399999999999999" customHeight="1" x14ac:dyDescent="0.15">
      <c r="B514" s="9" t="s">
        <v>1606</v>
      </c>
    </row>
    <row r="515" spans="1:33" ht="18.399999999999999" customHeight="1" x14ac:dyDescent="0.15">
      <c r="B515" s="9" t="s">
        <v>202</v>
      </c>
      <c r="G515" s="30">
        <f>TRUNC(G510+G512+G514, 2)</f>
        <v>68</v>
      </c>
    </row>
    <row r="516" spans="1:33" ht="18.399999999999999" customHeight="1" x14ac:dyDescent="0.15">
      <c r="A516" s="4"/>
      <c r="B516" s="4"/>
      <c r="C516" s="4"/>
      <c r="D516" s="4"/>
      <c r="E516" s="4"/>
      <c r="F516" s="4"/>
      <c r="G516" s="4"/>
      <c r="H516" s="4"/>
    </row>
    <row r="517" spans="1:33" ht="18.399999999999999" customHeight="1" x14ac:dyDescent="0.15">
      <c r="A517" s="4" t="s">
        <v>1663</v>
      </c>
      <c r="B517" s="4" t="s">
        <v>1185</v>
      </c>
      <c r="C517" s="4"/>
      <c r="D517" s="4"/>
      <c r="E517" s="4"/>
      <c r="F517" s="4"/>
      <c r="G517" s="4"/>
      <c r="H517" s="4"/>
      <c r="I517" s="9" t="s">
        <v>1850</v>
      </c>
      <c r="J517" s="9" t="s">
        <v>916</v>
      </c>
    </row>
    <row r="518" spans="1:33" ht="18.399999999999999" customHeight="1" x14ac:dyDescent="0.15">
      <c r="A518" s="4" t="s">
        <v>535</v>
      </c>
      <c r="B518" s="4"/>
      <c r="C518" s="4"/>
      <c r="D518" s="4"/>
      <c r="E518" s="4"/>
      <c r="F518" s="4"/>
      <c r="G518" s="4"/>
      <c r="H518" s="4"/>
    </row>
    <row r="519" spans="1:33" ht="18.399999999999999" customHeight="1" x14ac:dyDescent="0.15">
      <c r="A519" s="27" t="s">
        <v>1449</v>
      </c>
      <c r="B519" s="27"/>
      <c r="C519" s="27" t="s">
        <v>954</v>
      </c>
      <c r="D519" s="27" t="s">
        <v>58</v>
      </c>
      <c r="E519" s="27" t="s">
        <v>1744</v>
      </c>
      <c r="F519" s="27" t="s">
        <v>448</v>
      </c>
      <c r="G519" s="27" t="s">
        <v>263</v>
      </c>
      <c r="H519" s="27" t="s">
        <v>515</v>
      </c>
    </row>
    <row r="520" spans="1:33" ht="18.399999999999999" customHeight="1" x14ac:dyDescent="0.15">
      <c r="A520" s="9" t="s">
        <v>128</v>
      </c>
      <c r="B520" s="9" t="s">
        <v>415</v>
      </c>
      <c r="C520" s="9" t="s">
        <v>1623</v>
      </c>
      <c r="D520" s="9">
        <v>1</v>
      </c>
      <c r="E520" s="28" t="s">
        <v>848</v>
      </c>
      <c r="F520" s="28">
        <f>중기사용료목록!G43</f>
        <v>180</v>
      </c>
      <c r="G520" s="28">
        <f>TRUNC(F520*D520, 0)</f>
        <v>180</v>
      </c>
      <c r="H520" s="9" t="s">
        <v>1850</v>
      </c>
      <c r="I520" s="9" t="s">
        <v>1850</v>
      </c>
      <c r="K520" s="9" t="s">
        <v>243</v>
      </c>
      <c r="L520" s="9" t="s">
        <v>1850</v>
      </c>
      <c r="M520" s="9" t="s">
        <v>748</v>
      </c>
      <c r="AG520" s="29" t="str">
        <f>HYPERLINK("#중기사용료목록!A43","EDD00180000 →")</f>
        <v>EDD00180000 →</v>
      </c>
    </row>
    <row r="521" spans="1:33" ht="18.399999999999999" customHeight="1" x14ac:dyDescent="0.15">
      <c r="B521" s="9" t="s">
        <v>1587</v>
      </c>
      <c r="C521" s="9" t="s">
        <v>1029</v>
      </c>
      <c r="D521" s="9">
        <v>1</v>
      </c>
      <c r="E521" s="28" t="s">
        <v>848</v>
      </c>
      <c r="F521" s="28">
        <f>중기사용료목록!G44</f>
        <v>185</v>
      </c>
      <c r="G521" s="28">
        <f>TRUNC(F521*D521, 0)</f>
        <v>185</v>
      </c>
      <c r="H521" s="9" t="s">
        <v>1850</v>
      </c>
      <c r="I521" s="9" t="s">
        <v>1850</v>
      </c>
      <c r="K521" s="9" t="s">
        <v>1619</v>
      </c>
      <c r="L521" s="9" t="s">
        <v>1850</v>
      </c>
      <c r="M521" s="9" t="s">
        <v>1789</v>
      </c>
      <c r="AG521" s="29" t="str">
        <f>HYPERLINK("#중기사용료목록!A44","EDD00180001 →")</f>
        <v>EDD00180001 →</v>
      </c>
    </row>
    <row r="522" spans="1:33" ht="18.399999999999999" customHeight="1" x14ac:dyDescent="0.15">
      <c r="B522" s="9" t="s">
        <v>471</v>
      </c>
      <c r="C522" s="9" t="s">
        <v>1620</v>
      </c>
      <c r="D522" s="9">
        <v>1</v>
      </c>
      <c r="E522" s="28" t="s">
        <v>848</v>
      </c>
      <c r="F522" s="28">
        <f>중기사용료목록!G45</f>
        <v>2052</v>
      </c>
      <c r="G522" s="28">
        <f>TRUNC(F522*D522, 0)</f>
        <v>2052</v>
      </c>
      <c r="H522" s="9" t="s">
        <v>1850</v>
      </c>
      <c r="I522" s="9" t="s">
        <v>1850</v>
      </c>
      <c r="K522" s="9" t="s">
        <v>1167</v>
      </c>
      <c r="L522" s="9" t="s">
        <v>1850</v>
      </c>
      <c r="M522" s="9" t="s">
        <v>582</v>
      </c>
      <c r="AG522" s="29" t="str">
        <f>HYPERLINK("#중기사용료목록!A45","EDD00180002 →")</f>
        <v>EDD00180002 →</v>
      </c>
    </row>
    <row r="523" spans="1:33" ht="18.399999999999999" customHeight="1" x14ac:dyDescent="0.15">
      <c r="B523" s="9" t="s">
        <v>578</v>
      </c>
      <c r="C523" s="9" t="s">
        <v>522</v>
      </c>
      <c r="D523" s="9">
        <v>1</v>
      </c>
      <c r="E523" s="28" t="s">
        <v>848</v>
      </c>
      <c r="F523" s="28">
        <f>중기사용료목록!G46</f>
        <v>68</v>
      </c>
      <c r="G523" s="28">
        <f>TRUNC(F523*D523, 0)</f>
        <v>68</v>
      </c>
      <c r="H523" s="9" t="s">
        <v>1850</v>
      </c>
      <c r="I523" s="9" t="s">
        <v>1850</v>
      </c>
      <c r="K523" s="9" t="s">
        <v>715</v>
      </c>
      <c r="L523" s="9" t="s">
        <v>1850</v>
      </c>
      <c r="M523" s="9" t="s">
        <v>1611</v>
      </c>
      <c r="AG523" s="29" t="str">
        <f>HYPERLINK("#중기사용료목록!A46","EDD00180003 →")</f>
        <v>EDD00180003 →</v>
      </c>
    </row>
    <row r="524" spans="1:33" ht="18.399999999999999" customHeight="1" x14ac:dyDescent="0.15">
      <c r="B524" s="9" t="s">
        <v>1606</v>
      </c>
      <c r="G524" s="28">
        <f>TRUNC(G520+G521+G522+G523, 0)</f>
        <v>2485</v>
      </c>
    </row>
    <row r="525" spans="1:33" ht="18.399999999999999" customHeight="1" x14ac:dyDescent="0.15">
      <c r="A525" s="9" t="s">
        <v>1307</v>
      </c>
    </row>
    <row r="526" spans="1:33" ht="18.399999999999999" customHeight="1" x14ac:dyDescent="0.15">
      <c r="B526" s="9" t="s">
        <v>1606</v>
      </c>
    </row>
    <row r="527" spans="1:33" ht="18.399999999999999" customHeight="1" x14ac:dyDescent="0.15">
      <c r="A527" s="9" t="s">
        <v>789</v>
      </c>
    </row>
    <row r="528" spans="1:33" ht="18.399999999999999" customHeight="1" x14ac:dyDescent="0.15">
      <c r="B528" s="9" t="s">
        <v>1606</v>
      </c>
    </row>
    <row r="529" spans="1:8" ht="18.399999999999999" customHeight="1" x14ac:dyDescent="0.15">
      <c r="B529" s="9" t="s">
        <v>202</v>
      </c>
      <c r="G529" s="30">
        <f>TRUNC(G524+G526+G528, 2)</f>
        <v>2485</v>
      </c>
    </row>
    <row r="530" spans="1:8" ht="18.399999999999999" customHeight="1" x14ac:dyDescent="0.15">
      <c r="A530" s="4"/>
      <c r="B530" s="4"/>
      <c r="C530" s="4"/>
      <c r="D530" s="4"/>
      <c r="E530" s="4"/>
      <c r="F530" s="4"/>
      <c r="G530" s="4"/>
      <c r="H530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765</v>
      </c>
    </row>
    <row r="2" spans="1:10" ht="18.399999999999999" customHeight="1" x14ac:dyDescent="0.15">
      <c r="A2" s="14" t="s">
        <v>1337</v>
      </c>
      <c r="B2" s="15" t="s">
        <v>739</v>
      </c>
      <c r="C2" s="15" t="s">
        <v>1744</v>
      </c>
      <c r="D2" s="15" t="s">
        <v>1307</v>
      </c>
      <c r="E2" s="15" t="s">
        <v>789</v>
      </c>
      <c r="F2" s="15" t="s">
        <v>128</v>
      </c>
      <c r="G2" s="15" t="s">
        <v>1791</v>
      </c>
      <c r="H2" s="17" t="s">
        <v>515</v>
      </c>
    </row>
    <row r="3" spans="1:10" ht="18.399999999999999" customHeight="1" x14ac:dyDescent="0.15">
      <c r="A3" s="11" t="s">
        <v>585</v>
      </c>
      <c r="B3" s="2" t="s">
        <v>1756</v>
      </c>
      <c r="C3" s="2" t="s">
        <v>248</v>
      </c>
      <c r="D3" s="23">
        <v>0</v>
      </c>
      <c r="E3" s="24">
        <v>0</v>
      </c>
      <c r="F3" s="24">
        <v>66336</v>
      </c>
      <c r="G3" s="23">
        <v>66336</v>
      </c>
      <c r="H3" s="18" t="s">
        <v>1850</v>
      </c>
      <c r="I3" t="s">
        <v>1850</v>
      </c>
      <c r="J3" t="s">
        <v>152</v>
      </c>
    </row>
    <row r="4" spans="1:10" ht="18.399999999999999" customHeight="1" x14ac:dyDescent="0.15">
      <c r="A4" s="11" t="s">
        <v>585</v>
      </c>
      <c r="B4" s="2" t="s">
        <v>1775</v>
      </c>
      <c r="C4" s="2" t="s">
        <v>248</v>
      </c>
      <c r="D4" s="23">
        <v>0</v>
      </c>
      <c r="E4" s="24">
        <v>0</v>
      </c>
      <c r="F4" s="24">
        <v>112684</v>
      </c>
      <c r="G4" s="23">
        <v>112684</v>
      </c>
      <c r="H4" s="18" t="s">
        <v>1850</v>
      </c>
      <c r="I4" t="s">
        <v>1850</v>
      </c>
      <c r="J4" t="s">
        <v>824</v>
      </c>
    </row>
    <row r="5" spans="1:10" ht="18.399999999999999" customHeight="1" x14ac:dyDescent="0.15">
      <c r="A5" s="11" t="s">
        <v>570</v>
      </c>
      <c r="B5" s="2" t="s">
        <v>1080</v>
      </c>
      <c r="C5" s="2" t="s">
        <v>248</v>
      </c>
      <c r="D5" s="23">
        <v>0</v>
      </c>
      <c r="E5" s="24">
        <v>0</v>
      </c>
      <c r="F5" s="24">
        <v>7882</v>
      </c>
      <c r="G5" s="23">
        <v>7882</v>
      </c>
      <c r="H5" s="18" t="s">
        <v>1850</v>
      </c>
      <c r="I5" t="s">
        <v>1850</v>
      </c>
      <c r="J5" t="s">
        <v>1523</v>
      </c>
    </row>
    <row r="6" spans="1:10" ht="18.399999999999999" customHeight="1" x14ac:dyDescent="0.15">
      <c r="A6" s="11" t="s">
        <v>704</v>
      </c>
      <c r="B6" s="2" t="s">
        <v>785</v>
      </c>
      <c r="C6" s="2" t="s">
        <v>248</v>
      </c>
      <c r="D6" s="23">
        <v>0</v>
      </c>
      <c r="E6" s="24">
        <v>0</v>
      </c>
      <c r="F6" s="24">
        <v>44634</v>
      </c>
      <c r="G6" s="23">
        <v>44634</v>
      </c>
      <c r="H6" s="18" t="s">
        <v>1850</v>
      </c>
      <c r="I6" t="s">
        <v>1850</v>
      </c>
      <c r="J6" t="s">
        <v>353</v>
      </c>
    </row>
    <row r="7" spans="1:10" ht="18.399999999999999" customHeight="1" x14ac:dyDescent="0.15">
      <c r="A7" s="11" t="s">
        <v>850</v>
      </c>
      <c r="B7" s="2" t="s">
        <v>371</v>
      </c>
      <c r="C7" s="2" t="s">
        <v>248</v>
      </c>
      <c r="D7" s="23">
        <v>0</v>
      </c>
      <c r="E7" s="24">
        <v>0</v>
      </c>
      <c r="F7" s="24">
        <v>20793</v>
      </c>
      <c r="G7" s="23">
        <v>20793</v>
      </c>
      <c r="H7" s="18" t="s">
        <v>1850</v>
      </c>
      <c r="I7" t="s">
        <v>1850</v>
      </c>
      <c r="J7" t="s">
        <v>864</v>
      </c>
    </row>
    <row r="8" spans="1:10" ht="18.399999999999999" customHeight="1" x14ac:dyDescent="0.15">
      <c r="A8" s="11" t="s">
        <v>850</v>
      </c>
      <c r="B8" s="2" t="s">
        <v>1465</v>
      </c>
      <c r="C8" s="2" t="s">
        <v>248</v>
      </c>
      <c r="D8" s="23">
        <v>0</v>
      </c>
      <c r="E8" s="24">
        <v>0</v>
      </c>
      <c r="F8" s="24">
        <v>86142</v>
      </c>
      <c r="G8" s="23">
        <v>86142</v>
      </c>
      <c r="H8" s="18" t="s">
        <v>1850</v>
      </c>
      <c r="I8" t="s">
        <v>1850</v>
      </c>
      <c r="J8" t="s">
        <v>106</v>
      </c>
    </row>
    <row r="9" spans="1:10" ht="18.399999999999999" customHeight="1" x14ac:dyDescent="0.15">
      <c r="A9" s="11" t="s">
        <v>59</v>
      </c>
      <c r="B9" s="2" t="s">
        <v>1465</v>
      </c>
      <c r="C9" s="2" t="s">
        <v>248</v>
      </c>
      <c r="D9" s="23">
        <v>0</v>
      </c>
      <c r="E9" s="24">
        <v>0</v>
      </c>
      <c r="F9" s="24">
        <v>1546</v>
      </c>
      <c r="G9" s="23">
        <v>1546</v>
      </c>
      <c r="H9" s="18" t="s">
        <v>1850</v>
      </c>
      <c r="I9" t="s">
        <v>1850</v>
      </c>
      <c r="J9" t="s">
        <v>1348</v>
      </c>
    </row>
    <row r="10" spans="1:10" ht="18.399999999999999" customHeight="1" x14ac:dyDescent="0.15">
      <c r="A10" s="11" t="s">
        <v>1401</v>
      </c>
      <c r="B10" s="2" t="s">
        <v>771</v>
      </c>
      <c r="C10" s="2" t="s">
        <v>248</v>
      </c>
      <c r="D10" s="23">
        <v>0</v>
      </c>
      <c r="E10" s="24">
        <v>0</v>
      </c>
      <c r="F10" s="24">
        <v>6537</v>
      </c>
      <c r="G10" s="23">
        <v>6537</v>
      </c>
      <c r="H10" s="18" t="s">
        <v>1850</v>
      </c>
      <c r="I10" t="s">
        <v>1850</v>
      </c>
      <c r="J10" t="s">
        <v>1826</v>
      </c>
    </row>
    <row r="11" spans="1:10" ht="18.399999999999999" customHeight="1" x14ac:dyDescent="0.15">
      <c r="A11" s="11" t="s">
        <v>1743</v>
      </c>
      <c r="B11" s="2" t="s">
        <v>371</v>
      </c>
      <c r="C11" s="2" t="s">
        <v>248</v>
      </c>
      <c r="D11" s="23">
        <v>0</v>
      </c>
      <c r="E11" s="24">
        <v>0</v>
      </c>
      <c r="F11" s="24">
        <v>17252</v>
      </c>
      <c r="G11" s="23">
        <v>17252</v>
      </c>
      <c r="H11" s="18" t="s">
        <v>1850</v>
      </c>
      <c r="I11" t="s">
        <v>1850</v>
      </c>
      <c r="J11" t="s">
        <v>632</v>
      </c>
    </row>
    <row r="12" spans="1:10" ht="18.399999999999999" customHeight="1" x14ac:dyDescent="0.15">
      <c r="A12" s="11" t="s">
        <v>1176</v>
      </c>
      <c r="B12" s="2" t="s">
        <v>869</v>
      </c>
      <c r="C12" s="2" t="s">
        <v>248</v>
      </c>
      <c r="D12" s="23">
        <v>0</v>
      </c>
      <c r="E12" s="24">
        <v>0</v>
      </c>
      <c r="F12" s="24">
        <v>1330</v>
      </c>
      <c r="G12" s="23">
        <v>1330</v>
      </c>
      <c r="H12" s="18" t="s">
        <v>1850</v>
      </c>
      <c r="I12" t="s">
        <v>1850</v>
      </c>
      <c r="J12" t="s">
        <v>1066</v>
      </c>
    </row>
    <row r="13" spans="1:10" ht="18.399999999999999" customHeight="1" x14ac:dyDescent="0.15">
      <c r="A13" s="11" t="s">
        <v>892</v>
      </c>
      <c r="B13" s="2" t="s">
        <v>1328</v>
      </c>
      <c r="C13" s="2" t="s">
        <v>248</v>
      </c>
      <c r="D13" s="23">
        <v>0</v>
      </c>
      <c r="E13" s="24">
        <v>0</v>
      </c>
      <c r="F13" s="24">
        <v>1570</v>
      </c>
      <c r="G13" s="23">
        <v>1570</v>
      </c>
      <c r="H13" s="18" t="s">
        <v>1850</v>
      </c>
      <c r="I13" t="s">
        <v>1850</v>
      </c>
      <c r="J13" t="s">
        <v>1784</v>
      </c>
    </row>
    <row r="14" spans="1:10" ht="18.399999999999999" customHeight="1" x14ac:dyDescent="0.15">
      <c r="A14" s="11" t="s">
        <v>1314</v>
      </c>
      <c r="B14" s="2" t="s">
        <v>1828</v>
      </c>
      <c r="C14" s="2" t="s">
        <v>248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1850</v>
      </c>
      <c r="I14" t="s">
        <v>1850</v>
      </c>
      <c r="J14" t="s">
        <v>1276</v>
      </c>
    </row>
    <row r="15" spans="1:10" ht="18.399999999999999" customHeight="1" x14ac:dyDescent="0.15">
      <c r="A15" s="11" t="s">
        <v>391</v>
      </c>
      <c r="B15" s="2" t="s">
        <v>1352</v>
      </c>
      <c r="C15" s="2" t="s">
        <v>248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1850</v>
      </c>
      <c r="I15" t="s">
        <v>1850</v>
      </c>
      <c r="J15" t="s">
        <v>449</v>
      </c>
    </row>
    <row r="16" spans="1:10" ht="18.399999999999999" customHeight="1" x14ac:dyDescent="0.15">
      <c r="A16" s="11" t="s">
        <v>391</v>
      </c>
      <c r="B16" s="2" t="s">
        <v>806</v>
      </c>
      <c r="C16" s="2" t="s">
        <v>248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1850</v>
      </c>
      <c r="I16" t="s">
        <v>1850</v>
      </c>
      <c r="J16" t="s">
        <v>1675</v>
      </c>
    </row>
    <row r="17" spans="1:10" ht="18.399999999999999" customHeight="1" x14ac:dyDescent="0.15">
      <c r="A17" s="11" t="s">
        <v>673</v>
      </c>
      <c r="B17" s="2" t="s">
        <v>856</v>
      </c>
      <c r="C17" s="2" t="s">
        <v>248</v>
      </c>
      <c r="D17" s="23">
        <v>0</v>
      </c>
      <c r="E17" s="24">
        <v>0</v>
      </c>
      <c r="F17" s="24">
        <v>38469</v>
      </c>
      <c r="G17" s="23">
        <v>38469</v>
      </c>
      <c r="H17" s="18" t="s">
        <v>1850</v>
      </c>
      <c r="I17" t="s">
        <v>1850</v>
      </c>
      <c r="J17" t="s">
        <v>1283</v>
      </c>
    </row>
    <row r="18" spans="1:10" ht="18.399999999999999" customHeight="1" x14ac:dyDescent="0.15">
      <c r="A18" s="11" t="s">
        <v>887</v>
      </c>
      <c r="B18" s="2" t="s">
        <v>1352</v>
      </c>
      <c r="C18" s="2" t="s">
        <v>248</v>
      </c>
      <c r="D18" s="23">
        <v>0</v>
      </c>
      <c r="E18" s="24">
        <v>0</v>
      </c>
      <c r="F18" s="24">
        <v>83693</v>
      </c>
      <c r="G18" s="23">
        <v>83693</v>
      </c>
      <c r="H18" s="18" t="s">
        <v>1850</v>
      </c>
      <c r="I18" t="s">
        <v>1850</v>
      </c>
      <c r="J18" t="s">
        <v>920</v>
      </c>
    </row>
    <row r="19" spans="1:10" ht="18.399999999999999" customHeight="1" x14ac:dyDescent="0.15">
      <c r="A19" s="11" t="s">
        <v>1015</v>
      </c>
      <c r="B19" s="2" t="s">
        <v>1051</v>
      </c>
      <c r="C19" s="2" t="s">
        <v>248</v>
      </c>
      <c r="D19" s="23">
        <v>0</v>
      </c>
      <c r="E19" s="24">
        <v>0</v>
      </c>
      <c r="F19" s="24">
        <v>2917</v>
      </c>
      <c r="G19" s="23">
        <v>2917</v>
      </c>
      <c r="H19" s="18" t="s">
        <v>1850</v>
      </c>
      <c r="I19" t="s">
        <v>1850</v>
      </c>
      <c r="J19" t="s">
        <v>1294</v>
      </c>
    </row>
    <row r="20" spans="1:10" ht="18.399999999999999" customHeight="1" x14ac:dyDescent="0.15">
      <c r="A20" s="11" t="s">
        <v>863</v>
      </c>
      <c r="B20" s="2" t="s">
        <v>1626</v>
      </c>
      <c r="C20" s="2" t="s">
        <v>248</v>
      </c>
      <c r="D20" s="23">
        <v>0</v>
      </c>
      <c r="E20" s="24">
        <v>0</v>
      </c>
      <c r="F20" s="24">
        <v>2954</v>
      </c>
      <c r="G20" s="23">
        <v>2954</v>
      </c>
      <c r="H20" s="18" t="s">
        <v>1850</v>
      </c>
      <c r="I20" t="s">
        <v>1850</v>
      </c>
      <c r="J20" t="s">
        <v>268</v>
      </c>
    </row>
    <row r="21" spans="1:10" ht="18.399999999999999" customHeight="1" x14ac:dyDescent="0.15">
      <c r="A21" s="11" t="s">
        <v>44</v>
      </c>
      <c r="B21" s="2" t="s">
        <v>51</v>
      </c>
      <c r="C21" s="2" t="s">
        <v>248</v>
      </c>
      <c r="D21" s="23">
        <v>0</v>
      </c>
      <c r="E21" s="24">
        <v>0</v>
      </c>
      <c r="F21" s="24">
        <v>77487</v>
      </c>
      <c r="G21" s="23">
        <v>77487</v>
      </c>
      <c r="H21" s="18" t="s">
        <v>1850</v>
      </c>
      <c r="I21" t="s">
        <v>1850</v>
      </c>
      <c r="J21" t="s">
        <v>1434</v>
      </c>
    </row>
    <row r="22" spans="1:10" ht="18.399999999999999" customHeight="1" x14ac:dyDescent="0.15">
      <c r="A22" s="11" t="s">
        <v>1433</v>
      </c>
      <c r="B22" s="2" t="s">
        <v>941</v>
      </c>
      <c r="C22" s="2" t="s">
        <v>248</v>
      </c>
      <c r="D22" s="23">
        <v>0</v>
      </c>
      <c r="E22" s="24">
        <v>0</v>
      </c>
      <c r="F22" s="24">
        <v>202854</v>
      </c>
      <c r="G22" s="23">
        <v>202854</v>
      </c>
      <c r="H22" s="18" t="s">
        <v>1850</v>
      </c>
      <c r="I22" t="s">
        <v>1850</v>
      </c>
      <c r="J22" t="s">
        <v>1402</v>
      </c>
    </row>
    <row r="23" spans="1:10" ht="18.399999999999999" customHeight="1" x14ac:dyDescent="0.15">
      <c r="A23" s="11" t="s">
        <v>393</v>
      </c>
      <c r="B23" s="2" t="s">
        <v>384</v>
      </c>
      <c r="C23" s="2" t="s">
        <v>248</v>
      </c>
      <c r="D23" s="23">
        <v>0</v>
      </c>
      <c r="E23" s="24">
        <v>0</v>
      </c>
      <c r="F23" s="24">
        <v>38646</v>
      </c>
      <c r="G23" s="23">
        <v>38646</v>
      </c>
      <c r="H23" s="18" t="s">
        <v>1850</v>
      </c>
      <c r="I23" t="s">
        <v>1850</v>
      </c>
      <c r="J23" t="s">
        <v>1653</v>
      </c>
    </row>
    <row r="24" spans="1:10" ht="18.399999999999999" customHeight="1" x14ac:dyDescent="0.15">
      <c r="A24" s="11" t="s">
        <v>393</v>
      </c>
      <c r="B24" s="2" t="s">
        <v>1168</v>
      </c>
      <c r="C24" s="2" t="s">
        <v>248</v>
      </c>
      <c r="D24" s="23">
        <v>0</v>
      </c>
      <c r="E24" s="24">
        <v>0</v>
      </c>
      <c r="F24" s="24">
        <v>44820</v>
      </c>
      <c r="G24" s="23">
        <v>44820</v>
      </c>
      <c r="H24" s="18" t="s">
        <v>1850</v>
      </c>
      <c r="I24" t="s">
        <v>1850</v>
      </c>
      <c r="J24" t="s">
        <v>584</v>
      </c>
    </row>
    <row r="25" spans="1:10" ht="18.399999999999999" customHeight="1" x14ac:dyDescent="0.15">
      <c r="A25" s="11" t="s">
        <v>1590</v>
      </c>
      <c r="B25" s="2" t="s">
        <v>526</v>
      </c>
      <c r="C25" s="2" t="s">
        <v>248</v>
      </c>
      <c r="D25" s="23">
        <v>0</v>
      </c>
      <c r="E25" s="24">
        <v>0</v>
      </c>
      <c r="F25" s="24">
        <v>875</v>
      </c>
      <c r="G25" s="23">
        <v>875</v>
      </c>
      <c r="H25" s="18" t="s">
        <v>1850</v>
      </c>
      <c r="I25" t="s">
        <v>1850</v>
      </c>
      <c r="J25" t="s">
        <v>1327</v>
      </c>
    </row>
    <row r="26" spans="1:10" ht="18.399999999999999" customHeight="1" x14ac:dyDescent="0.15">
      <c r="A26" s="11" t="s">
        <v>840</v>
      </c>
      <c r="B26" s="2" t="s">
        <v>209</v>
      </c>
      <c r="C26" s="2" t="s">
        <v>248</v>
      </c>
      <c r="D26" s="23">
        <v>0</v>
      </c>
      <c r="E26" s="24">
        <v>0</v>
      </c>
      <c r="F26" s="24">
        <v>6200</v>
      </c>
      <c r="G26" s="23">
        <v>6200</v>
      </c>
      <c r="H26" s="18" t="s">
        <v>1850</v>
      </c>
      <c r="I26" t="s">
        <v>1850</v>
      </c>
      <c r="J26" t="s">
        <v>991</v>
      </c>
    </row>
    <row r="27" spans="1:10" ht="18.399999999999999" customHeight="1" x14ac:dyDescent="0.15">
      <c r="A27" s="11" t="s">
        <v>208</v>
      </c>
      <c r="B27" s="2" t="s">
        <v>1750</v>
      </c>
      <c r="C27" s="2" t="s">
        <v>248</v>
      </c>
      <c r="D27" s="23">
        <v>0</v>
      </c>
      <c r="E27" s="24">
        <v>0</v>
      </c>
      <c r="F27" s="24">
        <v>3130</v>
      </c>
      <c r="G27" s="23">
        <v>3130</v>
      </c>
      <c r="H27" s="18" t="s">
        <v>1850</v>
      </c>
      <c r="I27" t="s">
        <v>1850</v>
      </c>
      <c r="J27" t="s">
        <v>1164</v>
      </c>
    </row>
    <row r="28" spans="1:10" ht="18.399999999999999" customHeight="1" x14ac:dyDescent="0.15">
      <c r="A28" s="11" t="s">
        <v>208</v>
      </c>
      <c r="B28" s="2" t="s">
        <v>1742</v>
      </c>
      <c r="C28" s="2" t="s">
        <v>248</v>
      </c>
      <c r="D28" s="23">
        <v>0</v>
      </c>
      <c r="E28" s="24">
        <v>0</v>
      </c>
      <c r="F28" s="24">
        <v>13705</v>
      </c>
      <c r="G28" s="23">
        <v>13705</v>
      </c>
      <c r="H28" s="18" t="s">
        <v>1850</v>
      </c>
      <c r="I28" t="s">
        <v>1850</v>
      </c>
      <c r="J28" t="s">
        <v>410</v>
      </c>
    </row>
    <row r="29" spans="1:10" ht="18.399999999999999" customHeight="1" x14ac:dyDescent="0.15">
      <c r="A29" s="11" t="s">
        <v>208</v>
      </c>
      <c r="B29" s="2" t="s">
        <v>1503</v>
      </c>
      <c r="C29" s="2" t="s">
        <v>248</v>
      </c>
      <c r="D29" s="23">
        <v>0</v>
      </c>
      <c r="E29" s="24">
        <v>0</v>
      </c>
      <c r="F29" s="24">
        <v>18829</v>
      </c>
      <c r="G29" s="23">
        <v>18829</v>
      </c>
      <c r="H29" s="18" t="s">
        <v>1850</v>
      </c>
      <c r="I29" t="s">
        <v>1850</v>
      </c>
      <c r="J29" t="s">
        <v>1834</v>
      </c>
    </row>
    <row r="30" spans="1:10" ht="18.399999999999999" customHeight="1" x14ac:dyDescent="0.15">
      <c r="A30" s="11" t="s">
        <v>208</v>
      </c>
      <c r="B30" s="2" t="s">
        <v>83</v>
      </c>
      <c r="C30" s="2" t="s">
        <v>248</v>
      </c>
      <c r="D30" s="23">
        <v>0</v>
      </c>
      <c r="E30" s="24">
        <v>0</v>
      </c>
      <c r="F30" s="24">
        <v>22877</v>
      </c>
      <c r="G30" s="23">
        <v>22877</v>
      </c>
      <c r="H30" s="18" t="s">
        <v>1850</v>
      </c>
      <c r="I30" t="s">
        <v>1850</v>
      </c>
      <c r="J30" t="s">
        <v>1808</v>
      </c>
    </row>
    <row r="31" spans="1:10" ht="18.399999999999999" customHeight="1" x14ac:dyDescent="0.15">
      <c r="A31" s="11" t="s">
        <v>458</v>
      </c>
      <c r="B31" s="2" t="s">
        <v>414</v>
      </c>
      <c r="C31" s="2" t="s">
        <v>248</v>
      </c>
      <c r="D31" s="23">
        <v>0</v>
      </c>
      <c r="E31" s="24">
        <v>0</v>
      </c>
      <c r="F31" s="24">
        <v>246</v>
      </c>
      <c r="G31" s="23">
        <v>246</v>
      </c>
      <c r="H31" s="18" t="s">
        <v>1850</v>
      </c>
      <c r="I31" t="s">
        <v>1850</v>
      </c>
      <c r="J31" t="s">
        <v>849</v>
      </c>
    </row>
    <row r="32" spans="1:10" ht="18.399999999999999" customHeight="1" x14ac:dyDescent="0.15">
      <c r="A32" s="11" t="s">
        <v>1607</v>
      </c>
      <c r="B32" s="2" t="s">
        <v>1715</v>
      </c>
      <c r="C32" s="2" t="s">
        <v>248</v>
      </c>
      <c r="D32" s="23">
        <v>0</v>
      </c>
      <c r="E32" s="24">
        <v>0</v>
      </c>
      <c r="F32" s="24">
        <v>818</v>
      </c>
      <c r="G32" s="23">
        <v>818</v>
      </c>
      <c r="H32" s="18" t="s">
        <v>1850</v>
      </c>
      <c r="I32" t="s">
        <v>1850</v>
      </c>
      <c r="J32" t="s">
        <v>1588</v>
      </c>
    </row>
    <row r="33" spans="1:10" ht="18.399999999999999" customHeight="1" x14ac:dyDescent="0.15">
      <c r="A33" s="11" t="s">
        <v>834</v>
      </c>
      <c r="B33" s="2" t="s">
        <v>823</v>
      </c>
      <c r="C33" s="2" t="s">
        <v>248</v>
      </c>
      <c r="D33" s="23">
        <v>0</v>
      </c>
      <c r="E33" s="24">
        <v>0</v>
      </c>
      <c r="F33" s="24">
        <v>190</v>
      </c>
      <c r="G33" s="23">
        <v>190</v>
      </c>
      <c r="H33" s="18" t="s">
        <v>1850</v>
      </c>
      <c r="I33" t="s">
        <v>1850</v>
      </c>
      <c r="J33" t="s">
        <v>13</v>
      </c>
    </row>
    <row r="34" spans="1:10" ht="18.399999999999999" customHeight="1" x14ac:dyDescent="0.15">
      <c r="A34" s="11" t="s">
        <v>1711</v>
      </c>
      <c r="B34" s="2" t="s">
        <v>1727</v>
      </c>
      <c r="C34" s="2" t="s">
        <v>248</v>
      </c>
      <c r="D34" s="23">
        <v>0</v>
      </c>
      <c r="E34" s="24">
        <v>0</v>
      </c>
      <c r="F34" s="24">
        <v>40000</v>
      </c>
      <c r="G34" s="23">
        <v>40000</v>
      </c>
      <c r="H34" s="18" t="s">
        <v>1850</v>
      </c>
      <c r="I34" t="s">
        <v>1850</v>
      </c>
      <c r="J34" t="s">
        <v>882</v>
      </c>
    </row>
    <row r="35" spans="1:10" ht="18.399999999999999" customHeight="1" x14ac:dyDescent="0.15">
      <c r="A35" s="11" t="s">
        <v>705</v>
      </c>
      <c r="B35" s="2" t="s">
        <v>563</v>
      </c>
      <c r="C35" s="2" t="s">
        <v>248</v>
      </c>
      <c r="D35" s="23">
        <v>0</v>
      </c>
      <c r="E35" s="24">
        <v>0</v>
      </c>
      <c r="F35" s="24">
        <v>28750</v>
      </c>
      <c r="G35" s="23">
        <v>28750</v>
      </c>
      <c r="H35" s="18" t="s">
        <v>1850</v>
      </c>
      <c r="I35" t="s">
        <v>1850</v>
      </c>
      <c r="J35" t="s">
        <v>1221</v>
      </c>
    </row>
    <row r="36" spans="1:10" ht="18.399999999999999" customHeight="1" x14ac:dyDescent="0.15">
      <c r="A36" s="11" t="s">
        <v>967</v>
      </c>
      <c r="B36" s="2" t="s">
        <v>485</v>
      </c>
      <c r="C36" s="2" t="s">
        <v>248</v>
      </c>
      <c r="D36" s="23">
        <v>0</v>
      </c>
      <c r="E36" s="24">
        <v>0</v>
      </c>
      <c r="F36" s="24">
        <v>600</v>
      </c>
      <c r="G36" s="23">
        <v>600</v>
      </c>
      <c r="H36" s="18" t="s">
        <v>1850</v>
      </c>
      <c r="I36" t="s">
        <v>1850</v>
      </c>
      <c r="J36" t="s">
        <v>583</v>
      </c>
    </row>
    <row r="37" spans="1:10" ht="18.399999999999999" customHeight="1" x14ac:dyDescent="0.15">
      <c r="A37" s="11" t="s">
        <v>1674</v>
      </c>
      <c r="B37" s="2" t="s">
        <v>485</v>
      </c>
      <c r="C37" s="2" t="s">
        <v>248</v>
      </c>
      <c r="D37" s="23">
        <v>0</v>
      </c>
      <c r="E37" s="24">
        <v>0</v>
      </c>
      <c r="F37" s="24">
        <v>243.6</v>
      </c>
      <c r="G37" s="23">
        <v>243.6</v>
      </c>
      <c r="H37" s="18" t="s">
        <v>1850</v>
      </c>
      <c r="I37" t="s">
        <v>1850</v>
      </c>
      <c r="J37" t="s">
        <v>730</v>
      </c>
    </row>
    <row r="38" spans="1:10" ht="18.399999999999999" customHeight="1" x14ac:dyDescent="0.15">
      <c r="A38" s="11" t="s">
        <v>660</v>
      </c>
      <c r="B38" s="2" t="s">
        <v>270</v>
      </c>
      <c r="C38" s="2" t="s">
        <v>248</v>
      </c>
      <c r="D38" s="23">
        <v>0</v>
      </c>
      <c r="E38" s="24">
        <v>0</v>
      </c>
      <c r="F38" s="24">
        <v>28130</v>
      </c>
      <c r="G38" s="23">
        <v>28130</v>
      </c>
      <c r="H38" s="18" t="s">
        <v>1850</v>
      </c>
      <c r="I38" t="s">
        <v>1850</v>
      </c>
      <c r="J38" t="s">
        <v>662</v>
      </c>
    </row>
    <row r="39" spans="1:10" ht="18.399999999999999" customHeight="1" x14ac:dyDescent="0.15">
      <c r="A39" s="11" t="s">
        <v>777</v>
      </c>
      <c r="B39" s="2" t="s">
        <v>1499</v>
      </c>
      <c r="C39" s="2" t="s">
        <v>248</v>
      </c>
      <c r="D39" s="23">
        <v>0</v>
      </c>
      <c r="E39" s="24">
        <v>0</v>
      </c>
      <c r="F39" s="24">
        <v>750</v>
      </c>
      <c r="G39" s="23">
        <v>750</v>
      </c>
      <c r="H39" s="18" t="s">
        <v>1850</v>
      </c>
      <c r="I39" t="s">
        <v>1850</v>
      </c>
      <c r="J39" t="s">
        <v>604</v>
      </c>
    </row>
    <row r="40" spans="1:10" ht="18.399999999999999" customHeight="1" x14ac:dyDescent="0.15">
      <c r="A40" s="11" t="s">
        <v>1822</v>
      </c>
      <c r="B40" s="2" t="s">
        <v>332</v>
      </c>
      <c r="C40" s="2" t="s">
        <v>248</v>
      </c>
      <c r="D40" s="23">
        <v>0</v>
      </c>
      <c r="E40" s="24">
        <v>0</v>
      </c>
      <c r="F40" s="24">
        <v>463640</v>
      </c>
      <c r="G40" s="23">
        <v>463640</v>
      </c>
      <c r="H40" s="18" t="s">
        <v>1850</v>
      </c>
      <c r="I40" t="s">
        <v>1850</v>
      </c>
      <c r="J40" t="s">
        <v>663</v>
      </c>
    </row>
    <row r="41" spans="1:10" ht="18.399999999999999" customHeight="1" x14ac:dyDescent="0.15">
      <c r="A41" s="11" t="s">
        <v>1673</v>
      </c>
      <c r="B41" s="2" t="s">
        <v>1499</v>
      </c>
      <c r="C41" s="2" t="s">
        <v>248</v>
      </c>
      <c r="D41" s="23">
        <v>0</v>
      </c>
      <c r="E41" s="24">
        <v>0</v>
      </c>
      <c r="F41" s="24">
        <v>7500</v>
      </c>
      <c r="G41" s="23">
        <v>7500</v>
      </c>
      <c r="H41" s="18" t="s">
        <v>1850</v>
      </c>
      <c r="I41" t="s">
        <v>1850</v>
      </c>
      <c r="J41" t="s">
        <v>364</v>
      </c>
    </row>
    <row r="42" spans="1:10" ht="18.399999999999999" customHeight="1" x14ac:dyDescent="0.15">
      <c r="A42" s="11" t="s">
        <v>1161</v>
      </c>
      <c r="B42" s="2" t="s">
        <v>1141</v>
      </c>
      <c r="C42" s="2" t="s">
        <v>248</v>
      </c>
      <c r="D42" s="23">
        <v>0</v>
      </c>
      <c r="E42" s="24">
        <v>0</v>
      </c>
      <c r="F42" s="24">
        <v>58200</v>
      </c>
      <c r="G42" s="23">
        <v>58200</v>
      </c>
      <c r="H42" s="18" t="s">
        <v>1850</v>
      </c>
      <c r="I42" t="s">
        <v>1850</v>
      </c>
      <c r="J42" t="s">
        <v>1342</v>
      </c>
    </row>
    <row r="43" spans="1:10" ht="18.399999999999999" customHeight="1" x14ac:dyDescent="0.15">
      <c r="A43" s="11" t="s">
        <v>415</v>
      </c>
      <c r="B43" s="2" t="s">
        <v>1623</v>
      </c>
      <c r="C43" s="2" t="s">
        <v>248</v>
      </c>
      <c r="D43" s="23">
        <v>0</v>
      </c>
      <c r="E43" s="24">
        <v>0</v>
      </c>
      <c r="F43" s="24">
        <v>1319</v>
      </c>
      <c r="G43" s="23">
        <v>1319</v>
      </c>
      <c r="H43" s="18" t="s">
        <v>759</v>
      </c>
      <c r="I43" t="s">
        <v>1850</v>
      </c>
      <c r="J43" t="s">
        <v>1692</v>
      </c>
    </row>
    <row r="44" spans="1:10" ht="18.399999999999999" customHeight="1" x14ac:dyDescent="0.15">
      <c r="A44" s="11" t="s">
        <v>1587</v>
      </c>
      <c r="B44" s="2" t="s">
        <v>1029</v>
      </c>
      <c r="C44" s="2" t="s">
        <v>248</v>
      </c>
      <c r="D44" s="23">
        <v>0</v>
      </c>
      <c r="E44" s="24">
        <v>0</v>
      </c>
      <c r="F44" s="24">
        <v>1359</v>
      </c>
      <c r="G44" s="23">
        <v>1359</v>
      </c>
      <c r="H44" s="18" t="s">
        <v>759</v>
      </c>
      <c r="I44" t="s">
        <v>1850</v>
      </c>
      <c r="J44" t="s">
        <v>729</v>
      </c>
    </row>
    <row r="45" spans="1:10" ht="18.399999999999999" customHeight="1" x14ac:dyDescent="0.15">
      <c r="A45" s="11" t="s">
        <v>471</v>
      </c>
      <c r="B45" s="2" t="s">
        <v>1620</v>
      </c>
      <c r="C45" s="2" t="s">
        <v>248</v>
      </c>
      <c r="D45" s="23">
        <v>0</v>
      </c>
      <c r="E45" s="24">
        <v>0</v>
      </c>
      <c r="F45" s="24">
        <v>15000</v>
      </c>
      <c r="G45" s="23">
        <v>15000</v>
      </c>
      <c r="H45" s="18" t="s">
        <v>759</v>
      </c>
      <c r="I45" t="s">
        <v>1850</v>
      </c>
      <c r="J45" t="s">
        <v>1496</v>
      </c>
    </row>
    <row r="46" spans="1:10" ht="18.399999999999999" customHeight="1" x14ac:dyDescent="0.15">
      <c r="A46" s="11" t="s">
        <v>578</v>
      </c>
      <c r="B46" s="2" t="s">
        <v>522</v>
      </c>
      <c r="C46" s="2" t="s">
        <v>248</v>
      </c>
      <c r="D46" s="23">
        <v>0</v>
      </c>
      <c r="E46" s="24">
        <v>0</v>
      </c>
      <c r="F46" s="24">
        <v>499.9</v>
      </c>
      <c r="G46" s="23">
        <v>499.9</v>
      </c>
      <c r="H46" s="18" t="s">
        <v>759</v>
      </c>
      <c r="I46" t="s">
        <v>1850</v>
      </c>
      <c r="J46" t="s">
        <v>798</v>
      </c>
    </row>
    <row r="47" spans="1:10" ht="18.399999999999999" customHeight="1" x14ac:dyDescent="0.15">
      <c r="A47" s="11" t="s">
        <v>453</v>
      </c>
      <c r="B47" s="2" t="s">
        <v>1021</v>
      </c>
      <c r="C47" s="2" t="s">
        <v>1142</v>
      </c>
      <c r="D47" s="23">
        <v>0</v>
      </c>
      <c r="E47" s="24">
        <v>267360</v>
      </c>
      <c r="F47" s="24">
        <v>0</v>
      </c>
      <c r="G47" s="23">
        <v>267360</v>
      </c>
      <c r="H47" s="18" t="s">
        <v>1850</v>
      </c>
      <c r="I47" t="s">
        <v>1850</v>
      </c>
      <c r="J47" t="s">
        <v>1521</v>
      </c>
    </row>
    <row r="48" spans="1:10" ht="18.399999999999999" customHeight="1" x14ac:dyDescent="0.15">
      <c r="A48" s="11" t="s">
        <v>139</v>
      </c>
      <c r="B48" s="2" t="s">
        <v>1021</v>
      </c>
      <c r="C48" s="2" t="s">
        <v>1142</v>
      </c>
      <c r="D48" s="23">
        <v>0</v>
      </c>
      <c r="E48" s="24">
        <v>226709</v>
      </c>
      <c r="F48" s="24">
        <v>0</v>
      </c>
      <c r="G48" s="23">
        <v>226709</v>
      </c>
      <c r="H48" s="18" t="s">
        <v>1850</v>
      </c>
      <c r="I48" t="s">
        <v>1850</v>
      </c>
      <c r="J48" t="s">
        <v>686</v>
      </c>
    </row>
    <row r="49" spans="1:10" ht="18.399999999999999" customHeight="1" x14ac:dyDescent="0.15">
      <c r="A49" s="11" t="s">
        <v>982</v>
      </c>
      <c r="B49" s="2" t="s">
        <v>1021</v>
      </c>
      <c r="C49" s="2" t="s">
        <v>1142</v>
      </c>
      <c r="D49" s="23">
        <v>0</v>
      </c>
      <c r="E49" s="24">
        <v>161142</v>
      </c>
      <c r="F49" s="24">
        <v>0</v>
      </c>
      <c r="G49" s="23">
        <v>161142</v>
      </c>
      <c r="H49" s="18" t="s">
        <v>1850</v>
      </c>
      <c r="I49" t="s">
        <v>1850</v>
      </c>
      <c r="J49" t="s">
        <v>1391</v>
      </c>
    </row>
    <row r="50" spans="1:10" ht="18.399999999999999" customHeight="1" x14ac:dyDescent="0.15">
      <c r="A50" s="11" t="s">
        <v>185</v>
      </c>
      <c r="B50" s="2" t="s">
        <v>1326</v>
      </c>
      <c r="C50" s="2" t="s">
        <v>1813</v>
      </c>
      <c r="D50" s="23">
        <v>1356.64</v>
      </c>
      <c r="E50" s="24">
        <v>0</v>
      </c>
      <c r="F50" s="24">
        <v>0</v>
      </c>
      <c r="G50" s="23">
        <v>1356.64</v>
      </c>
      <c r="H50" s="18" t="s">
        <v>155</v>
      </c>
      <c r="I50" t="s">
        <v>1850</v>
      </c>
      <c r="J50" t="s">
        <v>1282</v>
      </c>
    </row>
    <row r="51" spans="1:10" ht="18.399999999999999" customHeight="1" x14ac:dyDescent="0.15">
      <c r="A51" s="11" t="s">
        <v>18</v>
      </c>
      <c r="B51" s="2" t="s">
        <v>769</v>
      </c>
      <c r="C51" s="2" t="s">
        <v>1813</v>
      </c>
      <c r="D51" s="23">
        <v>1433.72</v>
      </c>
      <c r="E51" s="24">
        <v>0</v>
      </c>
      <c r="F51" s="24">
        <v>0</v>
      </c>
      <c r="G51" s="23">
        <v>1433.72</v>
      </c>
      <c r="H51" s="18" t="s">
        <v>155</v>
      </c>
      <c r="I51" t="s">
        <v>1850</v>
      </c>
      <c r="J51" t="s">
        <v>1347</v>
      </c>
    </row>
    <row r="52" spans="1:10" ht="18.399999999999999" customHeight="1" x14ac:dyDescent="0.15">
      <c r="A52" s="12" t="s">
        <v>331</v>
      </c>
      <c r="B52" s="13" t="s">
        <v>1850</v>
      </c>
      <c r="C52" s="13" t="s">
        <v>1813</v>
      </c>
      <c r="D52" s="25">
        <v>1356.54</v>
      </c>
      <c r="E52" s="26">
        <v>0</v>
      </c>
      <c r="F52" s="26">
        <v>0</v>
      </c>
      <c r="G52" s="25">
        <v>1356.54</v>
      </c>
      <c r="H52" s="19" t="s">
        <v>155</v>
      </c>
      <c r="I52" t="s">
        <v>1850</v>
      </c>
      <c r="J52" t="s">
        <v>400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873</v>
      </c>
    </row>
    <row r="2" spans="1:8" ht="18.399999999999999" customHeight="1" x14ac:dyDescent="0.15">
      <c r="A2" s="14" t="s">
        <v>1337</v>
      </c>
      <c r="B2" s="15" t="s">
        <v>739</v>
      </c>
      <c r="C2" s="15" t="s">
        <v>1744</v>
      </c>
      <c r="D2" s="15" t="s">
        <v>1033</v>
      </c>
      <c r="E2" s="17" t="s">
        <v>515</v>
      </c>
    </row>
    <row r="3" spans="1:8" ht="18.399999999999999" customHeight="1" x14ac:dyDescent="0.15">
      <c r="A3" s="11" t="s">
        <v>542</v>
      </c>
      <c r="B3" s="2" t="s">
        <v>1364</v>
      </c>
      <c r="C3" s="2" t="s">
        <v>1716</v>
      </c>
      <c r="D3" s="21">
        <v>204000</v>
      </c>
      <c r="E3" s="18" t="s">
        <v>344</v>
      </c>
      <c r="F3" t="s">
        <v>1850</v>
      </c>
      <c r="G3" t="s">
        <v>253</v>
      </c>
      <c r="H3" t="s">
        <v>1850</v>
      </c>
    </row>
    <row r="4" spans="1:8" ht="18.399999999999999" customHeight="1" x14ac:dyDescent="0.15">
      <c r="A4" s="11" t="s">
        <v>472</v>
      </c>
      <c r="B4" s="2" t="s">
        <v>1428</v>
      </c>
      <c r="C4" s="2" t="s">
        <v>743</v>
      </c>
      <c r="D4" s="21">
        <v>240.2</v>
      </c>
      <c r="E4" s="18" t="s">
        <v>344</v>
      </c>
      <c r="F4" t="s">
        <v>1850</v>
      </c>
      <c r="G4" t="s">
        <v>1384</v>
      </c>
      <c r="H4" t="s">
        <v>1850</v>
      </c>
    </row>
    <row r="5" spans="1:8" ht="18.399999999999999" customHeight="1" x14ac:dyDescent="0.15">
      <c r="A5" s="11" t="s">
        <v>93</v>
      </c>
      <c r="B5" s="2" t="s">
        <v>249</v>
      </c>
      <c r="C5" s="2" t="s">
        <v>799</v>
      </c>
      <c r="D5" s="21">
        <v>51000</v>
      </c>
      <c r="E5" s="18" t="s">
        <v>344</v>
      </c>
      <c r="F5" t="s">
        <v>1850</v>
      </c>
      <c r="G5" t="s">
        <v>52</v>
      </c>
      <c r="H5" t="s">
        <v>1850</v>
      </c>
    </row>
    <row r="6" spans="1:8" ht="18.399999999999999" customHeight="1" x14ac:dyDescent="0.15">
      <c r="A6" s="11" t="s">
        <v>681</v>
      </c>
      <c r="B6" s="2" t="s">
        <v>1850</v>
      </c>
      <c r="C6" s="2" t="s">
        <v>962</v>
      </c>
      <c r="D6" s="21">
        <v>3.03</v>
      </c>
      <c r="E6" s="18" t="s">
        <v>344</v>
      </c>
      <c r="F6" t="s">
        <v>1850</v>
      </c>
      <c r="G6" t="s">
        <v>1506</v>
      </c>
      <c r="H6" t="s">
        <v>1850</v>
      </c>
    </row>
    <row r="7" spans="1:8" ht="18.399999999999999" customHeight="1" x14ac:dyDescent="0.15">
      <c r="A7" s="11" t="s">
        <v>1284</v>
      </c>
      <c r="B7" s="2" t="s">
        <v>362</v>
      </c>
      <c r="C7" s="2" t="s">
        <v>347</v>
      </c>
      <c r="D7" s="21">
        <v>2546.3000000000002</v>
      </c>
      <c r="E7" s="18" t="s">
        <v>344</v>
      </c>
      <c r="F7" t="s">
        <v>1850</v>
      </c>
      <c r="G7" t="s">
        <v>841</v>
      </c>
      <c r="H7" t="s">
        <v>1850</v>
      </c>
    </row>
    <row r="8" spans="1:8" ht="18.399999999999999" customHeight="1" x14ac:dyDescent="0.15">
      <c r="A8" s="11" t="s">
        <v>942</v>
      </c>
      <c r="B8" s="2" t="s">
        <v>1268</v>
      </c>
      <c r="C8" s="2" t="s">
        <v>347</v>
      </c>
      <c r="D8" s="21">
        <v>3050</v>
      </c>
      <c r="E8" s="18" t="s">
        <v>344</v>
      </c>
      <c r="F8" t="s">
        <v>1850</v>
      </c>
      <c r="G8" t="s">
        <v>1553</v>
      </c>
      <c r="H8" t="s">
        <v>1850</v>
      </c>
    </row>
    <row r="9" spans="1:8" ht="18.399999999999999" customHeight="1" x14ac:dyDescent="0.15">
      <c r="A9" s="11" t="s">
        <v>1763</v>
      </c>
      <c r="B9" s="2" t="s">
        <v>1573</v>
      </c>
      <c r="C9" s="2" t="s">
        <v>1790</v>
      </c>
      <c r="D9" s="21">
        <v>36000</v>
      </c>
      <c r="E9" s="18" t="s">
        <v>344</v>
      </c>
      <c r="F9" t="s">
        <v>1850</v>
      </c>
      <c r="G9" t="s">
        <v>1336</v>
      </c>
      <c r="H9" t="s">
        <v>1850</v>
      </c>
    </row>
    <row r="10" spans="1:8" ht="18.399999999999999" customHeight="1" x14ac:dyDescent="0.15">
      <c r="A10" s="11" t="s">
        <v>1177</v>
      </c>
      <c r="B10" s="2" t="s">
        <v>1681</v>
      </c>
      <c r="C10" s="2" t="s">
        <v>962</v>
      </c>
      <c r="D10" s="21">
        <v>4145</v>
      </c>
      <c r="E10" s="18" t="s">
        <v>344</v>
      </c>
      <c r="F10" t="s">
        <v>1850</v>
      </c>
      <c r="G10" t="s">
        <v>933</v>
      </c>
      <c r="H10" t="s">
        <v>1850</v>
      </c>
    </row>
    <row r="11" spans="1:8" ht="18.399999999999999" customHeight="1" x14ac:dyDescent="0.15">
      <c r="A11" s="11" t="s">
        <v>1183</v>
      </c>
      <c r="B11" s="2" t="s">
        <v>166</v>
      </c>
      <c r="C11" s="2" t="s">
        <v>1716</v>
      </c>
      <c r="D11" s="21">
        <v>1459</v>
      </c>
      <c r="E11" s="18" t="s">
        <v>344</v>
      </c>
      <c r="F11" t="s">
        <v>1850</v>
      </c>
      <c r="G11" t="s">
        <v>656</v>
      </c>
      <c r="H11" t="s">
        <v>1850</v>
      </c>
    </row>
    <row r="12" spans="1:8" ht="18.399999999999999" customHeight="1" x14ac:dyDescent="0.15">
      <c r="A12" s="11" t="s">
        <v>883</v>
      </c>
      <c r="B12" s="2" t="s">
        <v>871</v>
      </c>
      <c r="C12" s="2" t="s">
        <v>347</v>
      </c>
      <c r="D12" s="21">
        <v>1180</v>
      </c>
      <c r="E12" s="18" t="s">
        <v>344</v>
      </c>
      <c r="F12" t="s">
        <v>1850</v>
      </c>
      <c r="G12" t="s">
        <v>1777</v>
      </c>
      <c r="H12" t="s">
        <v>1850</v>
      </c>
    </row>
    <row r="13" spans="1:8" ht="18.399999999999999" customHeight="1" x14ac:dyDescent="0.15">
      <c r="A13" s="11" t="s">
        <v>883</v>
      </c>
      <c r="B13" s="2" t="s">
        <v>1415</v>
      </c>
      <c r="C13" s="2" t="s">
        <v>347</v>
      </c>
      <c r="D13" s="21">
        <v>1180</v>
      </c>
      <c r="E13" s="18" t="s">
        <v>344</v>
      </c>
      <c r="F13" t="s">
        <v>1850</v>
      </c>
      <c r="G13" t="s">
        <v>760</v>
      </c>
      <c r="H13" t="s">
        <v>1850</v>
      </c>
    </row>
    <row r="14" spans="1:8" ht="18.399999999999999" customHeight="1" x14ac:dyDescent="0.15">
      <c r="A14" s="11" t="s">
        <v>1622</v>
      </c>
      <c r="B14" s="2" t="s">
        <v>642</v>
      </c>
      <c r="C14" s="2" t="s">
        <v>347</v>
      </c>
      <c r="D14" s="21">
        <v>1240</v>
      </c>
      <c r="E14" s="18" t="s">
        <v>344</v>
      </c>
      <c r="F14" t="s">
        <v>1850</v>
      </c>
      <c r="G14" t="s">
        <v>599</v>
      </c>
      <c r="H14" t="s">
        <v>1850</v>
      </c>
    </row>
    <row r="15" spans="1:8" ht="18.399999999999999" customHeight="1" x14ac:dyDescent="0.15">
      <c r="A15" s="11" t="s">
        <v>1288</v>
      </c>
      <c r="B15" s="2" t="s">
        <v>1122</v>
      </c>
      <c r="C15" s="2" t="s">
        <v>347</v>
      </c>
      <c r="D15" s="21">
        <v>-415</v>
      </c>
      <c r="E15" s="18" t="s">
        <v>344</v>
      </c>
      <c r="F15" t="s">
        <v>1850</v>
      </c>
      <c r="G15" t="s">
        <v>315</v>
      </c>
      <c r="H15" t="s">
        <v>1850</v>
      </c>
    </row>
    <row r="16" spans="1:8" ht="18.399999999999999" customHeight="1" x14ac:dyDescent="0.15">
      <c r="A16" s="11" t="s">
        <v>1731</v>
      </c>
      <c r="B16" s="2" t="s">
        <v>1501</v>
      </c>
      <c r="C16" s="2" t="s">
        <v>347</v>
      </c>
      <c r="D16" s="21">
        <v>885</v>
      </c>
      <c r="E16" s="18" t="s">
        <v>344</v>
      </c>
      <c r="F16" t="s">
        <v>1850</v>
      </c>
      <c r="G16" t="s">
        <v>1047</v>
      </c>
      <c r="H16" t="s">
        <v>1850</v>
      </c>
    </row>
    <row r="17" spans="1:8" ht="18.399999999999999" customHeight="1" x14ac:dyDescent="0.15">
      <c r="A17" s="11" t="s">
        <v>874</v>
      </c>
      <c r="B17" s="2" t="s">
        <v>1721</v>
      </c>
      <c r="C17" s="2" t="s">
        <v>1790</v>
      </c>
      <c r="D17" s="21">
        <v>616467</v>
      </c>
      <c r="E17" s="18" t="s">
        <v>344</v>
      </c>
      <c r="F17" t="s">
        <v>1850</v>
      </c>
      <c r="G17" t="s">
        <v>385</v>
      </c>
      <c r="H17" t="s">
        <v>1850</v>
      </c>
    </row>
    <row r="18" spans="1:8" ht="18.399999999999999" customHeight="1" x14ac:dyDescent="0.15">
      <c r="A18" s="11" t="s">
        <v>1067</v>
      </c>
      <c r="B18" s="2" t="s">
        <v>372</v>
      </c>
      <c r="C18" s="2" t="s">
        <v>595</v>
      </c>
      <c r="D18" s="21">
        <v>16000</v>
      </c>
      <c r="E18" s="18" t="s">
        <v>344</v>
      </c>
      <c r="F18" t="s">
        <v>1850</v>
      </c>
      <c r="G18" t="s">
        <v>825</v>
      </c>
      <c r="H18" t="s">
        <v>1850</v>
      </c>
    </row>
    <row r="19" spans="1:8" ht="18.399999999999999" customHeight="1" x14ac:dyDescent="0.15">
      <c r="A19" s="11" t="s">
        <v>425</v>
      </c>
      <c r="B19" s="2" t="s">
        <v>1599</v>
      </c>
      <c r="C19" s="2" t="s">
        <v>595</v>
      </c>
      <c r="D19" s="21">
        <v>160000</v>
      </c>
      <c r="E19" s="18" t="s">
        <v>344</v>
      </c>
      <c r="F19" t="s">
        <v>1850</v>
      </c>
      <c r="G19" t="s">
        <v>1525</v>
      </c>
      <c r="H19" t="s">
        <v>1850</v>
      </c>
    </row>
    <row r="20" spans="1:8" ht="18.399999999999999" customHeight="1" x14ac:dyDescent="0.15">
      <c r="A20" s="11" t="s">
        <v>1330</v>
      </c>
      <c r="B20" s="2" t="s">
        <v>1191</v>
      </c>
      <c r="C20" s="2" t="s">
        <v>1716</v>
      </c>
      <c r="D20" s="21">
        <v>9000</v>
      </c>
      <c r="E20" s="18" t="s">
        <v>344</v>
      </c>
      <c r="F20" t="s">
        <v>1850</v>
      </c>
      <c r="G20" t="s">
        <v>685</v>
      </c>
      <c r="H20" t="s">
        <v>1850</v>
      </c>
    </row>
    <row r="21" spans="1:8" ht="18.399999999999999" customHeight="1" x14ac:dyDescent="0.15">
      <c r="A21" s="11" t="s">
        <v>36</v>
      </c>
      <c r="B21" s="2" t="s">
        <v>290</v>
      </c>
      <c r="C21" s="2" t="s">
        <v>1390</v>
      </c>
      <c r="D21" s="21">
        <v>95000</v>
      </c>
      <c r="E21" s="18" t="s">
        <v>344</v>
      </c>
      <c r="F21" t="s">
        <v>1850</v>
      </c>
      <c r="G21" t="s">
        <v>1656</v>
      </c>
      <c r="H21" t="s">
        <v>1850</v>
      </c>
    </row>
    <row r="22" spans="1:8" ht="18.399999999999999" customHeight="1" x14ac:dyDescent="0.15">
      <c r="A22" s="11" t="s">
        <v>107</v>
      </c>
      <c r="B22" s="2" t="s">
        <v>603</v>
      </c>
      <c r="C22" s="2" t="s">
        <v>1390</v>
      </c>
      <c r="D22" s="21">
        <v>47000</v>
      </c>
      <c r="E22" s="18" t="s">
        <v>344</v>
      </c>
      <c r="F22" t="s">
        <v>1850</v>
      </c>
      <c r="G22" t="s">
        <v>878</v>
      </c>
      <c r="H22" t="s">
        <v>1850</v>
      </c>
    </row>
    <row r="23" spans="1:8" ht="18.399999999999999" customHeight="1" x14ac:dyDescent="0.15">
      <c r="A23" s="11" t="s">
        <v>121</v>
      </c>
      <c r="B23" s="2" t="s">
        <v>67</v>
      </c>
      <c r="C23" s="2" t="s">
        <v>1390</v>
      </c>
      <c r="D23" s="21">
        <v>96000</v>
      </c>
      <c r="E23" s="18" t="s">
        <v>344</v>
      </c>
      <c r="F23" t="s">
        <v>1850</v>
      </c>
      <c r="G23" t="s">
        <v>1680</v>
      </c>
      <c r="H23" t="s">
        <v>1850</v>
      </c>
    </row>
    <row r="24" spans="1:8" ht="18.399999999999999" customHeight="1" x14ac:dyDescent="0.15">
      <c r="A24" s="11" t="s">
        <v>981</v>
      </c>
      <c r="B24" s="2" t="s">
        <v>1383</v>
      </c>
      <c r="C24" s="2" t="s">
        <v>1390</v>
      </c>
      <c r="D24" s="21">
        <v>150000</v>
      </c>
      <c r="E24" s="18" t="s">
        <v>344</v>
      </c>
      <c r="F24" t="s">
        <v>1850</v>
      </c>
      <c r="G24" t="s">
        <v>870</v>
      </c>
      <c r="H24" t="s">
        <v>1850</v>
      </c>
    </row>
    <row r="25" spans="1:8" ht="18.399999999999999" customHeight="1" x14ac:dyDescent="0.15">
      <c r="A25" s="11" t="s">
        <v>300</v>
      </c>
      <c r="B25" s="2" t="s">
        <v>687</v>
      </c>
      <c r="C25" s="2" t="s">
        <v>1716</v>
      </c>
      <c r="D25" s="21">
        <v>152000</v>
      </c>
      <c r="E25" s="18" t="s">
        <v>344</v>
      </c>
      <c r="F25" t="s">
        <v>1850</v>
      </c>
      <c r="G25" t="s">
        <v>579</v>
      </c>
      <c r="H25" t="s">
        <v>1850</v>
      </c>
    </row>
    <row r="26" spans="1:8" ht="18.399999999999999" customHeight="1" x14ac:dyDescent="0.15">
      <c r="A26" s="11" t="s">
        <v>532</v>
      </c>
      <c r="B26" s="2" t="s">
        <v>550</v>
      </c>
      <c r="C26" s="2" t="s">
        <v>1790</v>
      </c>
      <c r="D26" s="21">
        <v>24000</v>
      </c>
      <c r="E26" s="18" t="s">
        <v>344</v>
      </c>
      <c r="F26" t="s">
        <v>1850</v>
      </c>
      <c r="G26" t="s">
        <v>1757</v>
      </c>
      <c r="H26" t="s">
        <v>1850</v>
      </c>
    </row>
    <row r="27" spans="1:8" ht="18.399999999999999" customHeight="1" x14ac:dyDescent="0.15">
      <c r="A27" s="11" t="s">
        <v>1461</v>
      </c>
      <c r="B27" s="2" t="s">
        <v>592</v>
      </c>
      <c r="C27" s="2" t="s">
        <v>962</v>
      </c>
      <c r="D27" s="21">
        <v>1447</v>
      </c>
      <c r="E27" s="18" t="s">
        <v>344</v>
      </c>
      <c r="F27" t="s">
        <v>1850</v>
      </c>
      <c r="G27" t="s">
        <v>1158</v>
      </c>
      <c r="H27" t="s">
        <v>1850</v>
      </c>
    </row>
    <row r="28" spans="1:8" ht="18.399999999999999" customHeight="1" x14ac:dyDescent="0.15">
      <c r="A28" s="11" t="s">
        <v>1461</v>
      </c>
      <c r="B28" s="2" t="s">
        <v>1459</v>
      </c>
      <c r="C28" s="2" t="s">
        <v>962</v>
      </c>
      <c r="D28" s="21">
        <v>750</v>
      </c>
      <c r="E28" s="18" t="s">
        <v>344</v>
      </c>
      <c r="F28" t="s">
        <v>1850</v>
      </c>
      <c r="G28" t="s">
        <v>92</v>
      </c>
      <c r="H28" t="s">
        <v>1850</v>
      </c>
    </row>
    <row r="29" spans="1:8" ht="18.399999999999999" customHeight="1" x14ac:dyDescent="0.15">
      <c r="A29" s="11" t="s">
        <v>1052</v>
      </c>
      <c r="B29" s="2" t="s">
        <v>1842</v>
      </c>
      <c r="C29" s="2" t="s">
        <v>1289</v>
      </c>
      <c r="D29" s="21">
        <v>96000</v>
      </c>
      <c r="E29" s="18" t="s">
        <v>344</v>
      </c>
      <c r="F29" t="s">
        <v>1850</v>
      </c>
      <c r="G29" t="s">
        <v>1349</v>
      </c>
      <c r="H29" t="s">
        <v>1850</v>
      </c>
    </row>
    <row r="30" spans="1:8" ht="18.399999999999999" customHeight="1" x14ac:dyDescent="0.15">
      <c r="A30" s="11" t="s">
        <v>1052</v>
      </c>
      <c r="B30" s="2" t="s">
        <v>45</v>
      </c>
      <c r="C30" s="2" t="s">
        <v>1289</v>
      </c>
      <c r="D30" s="21">
        <v>77000</v>
      </c>
      <c r="E30" s="18" t="s">
        <v>344</v>
      </c>
      <c r="F30" t="s">
        <v>1850</v>
      </c>
      <c r="G30" t="s">
        <v>257</v>
      </c>
      <c r="H30" t="s">
        <v>1850</v>
      </c>
    </row>
    <row r="31" spans="1:8" ht="18.399999999999999" customHeight="1" x14ac:dyDescent="0.15">
      <c r="A31" s="11" t="s">
        <v>1452</v>
      </c>
      <c r="B31" s="2" t="s">
        <v>450</v>
      </c>
      <c r="C31" s="2" t="s">
        <v>1716</v>
      </c>
      <c r="D31" s="21">
        <v>134340</v>
      </c>
      <c r="E31" s="18" t="s">
        <v>344</v>
      </c>
      <c r="F31" t="s">
        <v>1850</v>
      </c>
      <c r="G31" t="s">
        <v>381</v>
      </c>
      <c r="H31" t="s">
        <v>1850</v>
      </c>
    </row>
    <row r="32" spans="1:8" ht="18.399999999999999" customHeight="1" x14ac:dyDescent="0.15">
      <c r="A32" s="11" t="s">
        <v>1165</v>
      </c>
      <c r="B32" s="2" t="s">
        <v>450</v>
      </c>
      <c r="C32" s="2" t="s">
        <v>1716</v>
      </c>
      <c r="D32" s="21">
        <v>138740</v>
      </c>
      <c r="E32" s="18" t="s">
        <v>344</v>
      </c>
      <c r="F32" t="s">
        <v>1850</v>
      </c>
      <c r="G32" t="s">
        <v>1737</v>
      </c>
      <c r="H32" t="s">
        <v>1850</v>
      </c>
    </row>
    <row r="33" spans="1:8" ht="18.399999999999999" customHeight="1" x14ac:dyDescent="0.15">
      <c r="A33" s="11" t="s">
        <v>126</v>
      </c>
      <c r="B33" s="2" t="s">
        <v>450</v>
      </c>
      <c r="C33" s="2" t="s">
        <v>1716</v>
      </c>
      <c r="D33" s="21">
        <v>140940</v>
      </c>
      <c r="E33" s="18" t="s">
        <v>344</v>
      </c>
      <c r="F33" t="s">
        <v>1850</v>
      </c>
      <c r="G33" t="s">
        <v>486</v>
      </c>
      <c r="H33" t="s">
        <v>1850</v>
      </c>
    </row>
    <row r="34" spans="1:8" ht="18.399999999999999" customHeight="1" x14ac:dyDescent="0.15">
      <c r="A34" s="11" t="s">
        <v>1357</v>
      </c>
      <c r="B34" s="2" t="s">
        <v>1499</v>
      </c>
      <c r="C34" s="2" t="s">
        <v>1390</v>
      </c>
      <c r="D34" s="21">
        <v>52240</v>
      </c>
      <c r="E34" s="18" t="s">
        <v>344</v>
      </c>
      <c r="F34" t="s">
        <v>1850</v>
      </c>
      <c r="G34" t="s">
        <v>1427</v>
      </c>
      <c r="H34" t="s">
        <v>1850</v>
      </c>
    </row>
    <row r="35" spans="1:8" ht="18.399999999999999" customHeight="1" x14ac:dyDescent="0.15">
      <c r="A35" s="11" t="s">
        <v>1776</v>
      </c>
      <c r="B35" s="2" t="s">
        <v>1499</v>
      </c>
      <c r="C35" s="2" t="s">
        <v>1390</v>
      </c>
      <c r="D35" s="21">
        <v>24280</v>
      </c>
      <c r="E35" s="18" t="s">
        <v>344</v>
      </c>
      <c r="F35" t="s">
        <v>1850</v>
      </c>
      <c r="G35" t="s">
        <v>738</v>
      </c>
      <c r="H35" t="s">
        <v>1850</v>
      </c>
    </row>
    <row r="36" spans="1:8" ht="18.399999999999999" customHeight="1" x14ac:dyDescent="0.15">
      <c r="A36" s="11" t="s">
        <v>1849</v>
      </c>
      <c r="B36" s="2" t="s">
        <v>784</v>
      </c>
      <c r="C36" s="2" t="s">
        <v>799</v>
      </c>
      <c r="D36" s="21">
        <v>1889</v>
      </c>
      <c r="E36" s="18" t="s">
        <v>344</v>
      </c>
      <c r="F36" t="s">
        <v>1850</v>
      </c>
      <c r="G36" t="s">
        <v>341</v>
      </c>
      <c r="H36" t="s">
        <v>1850</v>
      </c>
    </row>
    <row r="37" spans="1:8" ht="18.399999999999999" customHeight="1" x14ac:dyDescent="0.15">
      <c r="A37" s="12" t="s">
        <v>171</v>
      </c>
      <c r="B37" s="13" t="s">
        <v>1480</v>
      </c>
      <c r="C37" s="13" t="s">
        <v>743</v>
      </c>
      <c r="D37" s="22">
        <v>370</v>
      </c>
      <c r="E37" s="19" t="s">
        <v>344</v>
      </c>
      <c r="F37" t="s">
        <v>1850</v>
      </c>
      <c r="G37" t="s">
        <v>980</v>
      </c>
      <c r="H37" t="s">
        <v>1850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1719</v>
      </c>
    </row>
    <row r="2" spans="1:8" ht="18.399999999999999" customHeight="1" x14ac:dyDescent="0.15">
      <c r="A2" s="14" t="s">
        <v>1337</v>
      </c>
      <c r="B2" s="15" t="s">
        <v>739</v>
      </c>
      <c r="C2" s="15" t="s">
        <v>1744</v>
      </c>
      <c r="D2" s="15" t="s">
        <v>1033</v>
      </c>
      <c r="E2" s="17" t="s">
        <v>515</v>
      </c>
    </row>
    <row r="3" spans="1:8" ht="18.399999999999999" customHeight="1" x14ac:dyDescent="0.15">
      <c r="A3" s="11" t="s">
        <v>1717</v>
      </c>
      <c r="B3" s="2" t="s">
        <v>1021</v>
      </c>
      <c r="C3" s="2" t="s">
        <v>1142</v>
      </c>
      <c r="D3" s="21">
        <v>208713</v>
      </c>
      <c r="E3" s="18" t="s">
        <v>1850</v>
      </c>
      <c r="F3" t="s">
        <v>1850</v>
      </c>
      <c r="G3" t="s">
        <v>828</v>
      </c>
      <c r="H3" t="s">
        <v>828</v>
      </c>
    </row>
    <row r="4" spans="1:8" ht="18.399999999999999" customHeight="1" x14ac:dyDescent="0.15">
      <c r="A4" s="11" t="s">
        <v>127</v>
      </c>
      <c r="B4" s="2" t="s">
        <v>1021</v>
      </c>
      <c r="C4" s="2" t="s">
        <v>1142</v>
      </c>
      <c r="D4" s="21">
        <v>165545</v>
      </c>
      <c r="E4" s="18" t="s">
        <v>1850</v>
      </c>
      <c r="F4" t="s">
        <v>1850</v>
      </c>
      <c r="G4" t="s">
        <v>1563</v>
      </c>
      <c r="H4" t="s">
        <v>1563</v>
      </c>
    </row>
    <row r="5" spans="1:8" ht="18.399999999999999" customHeight="1" x14ac:dyDescent="0.15">
      <c r="A5" s="11" t="s">
        <v>99</v>
      </c>
      <c r="B5" s="2" t="s">
        <v>1021</v>
      </c>
      <c r="C5" s="2" t="s">
        <v>1142</v>
      </c>
      <c r="D5" s="21">
        <v>214222</v>
      </c>
      <c r="E5" s="18" t="s">
        <v>1850</v>
      </c>
      <c r="F5" t="s">
        <v>1850</v>
      </c>
      <c r="G5" t="s">
        <v>505</v>
      </c>
      <c r="H5" t="s">
        <v>505</v>
      </c>
    </row>
    <row r="6" spans="1:8" ht="18.399999999999999" customHeight="1" x14ac:dyDescent="0.15">
      <c r="A6" s="11" t="s">
        <v>463</v>
      </c>
      <c r="B6" s="2" t="s">
        <v>1021</v>
      </c>
      <c r="C6" s="2" t="s">
        <v>1142</v>
      </c>
      <c r="D6" s="21">
        <v>280472</v>
      </c>
      <c r="E6" s="18" t="s">
        <v>1850</v>
      </c>
      <c r="F6" t="s">
        <v>1850</v>
      </c>
      <c r="G6" t="s">
        <v>1512</v>
      </c>
      <c r="H6" t="s">
        <v>1512</v>
      </c>
    </row>
    <row r="7" spans="1:8" ht="18.399999999999999" customHeight="1" x14ac:dyDescent="0.15">
      <c r="A7" s="11" t="s">
        <v>694</v>
      </c>
      <c r="B7" s="2" t="s">
        <v>1021</v>
      </c>
      <c r="C7" s="2" t="s">
        <v>1142</v>
      </c>
      <c r="D7" s="21">
        <v>274978</v>
      </c>
      <c r="E7" s="18" t="s">
        <v>1850</v>
      </c>
      <c r="F7" t="s">
        <v>1850</v>
      </c>
      <c r="G7" t="s">
        <v>708</v>
      </c>
      <c r="H7" t="s">
        <v>708</v>
      </c>
    </row>
    <row r="8" spans="1:8" ht="18.399999999999999" customHeight="1" x14ac:dyDescent="0.15">
      <c r="A8" s="11" t="s">
        <v>974</v>
      </c>
      <c r="B8" s="2" t="s">
        <v>1021</v>
      </c>
      <c r="C8" s="2" t="s">
        <v>1142</v>
      </c>
      <c r="D8" s="21">
        <v>243126</v>
      </c>
      <c r="E8" s="18" t="s">
        <v>1850</v>
      </c>
      <c r="F8" t="s">
        <v>1850</v>
      </c>
      <c r="G8" t="s">
        <v>373</v>
      </c>
      <c r="H8" t="s">
        <v>373</v>
      </c>
    </row>
    <row r="9" spans="1:8" ht="18.399999999999999" customHeight="1" x14ac:dyDescent="0.15">
      <c r="A9" s="11" t="s">
        <v>427</v>
      </c>
      <c r="B9" s="2" t="s">
        <v>1021</v>
      </c>
      <c r="C9" s="2" t="s">
        <v>1142</v>
      </c>
      <c r="D9" s="21">
        <v>267021</v>
      </c>
      <c r="E9" s="18" t="s">
        <v>1850</v>
      </c>
      <c r="F9" t="s">
        <v>1850</v>
      </c>
      <c r="G9" t="s">
        <v>1123</v>
      </c>
      <c r="H9" t="s">
        <v>1123</v>
      </c>
    </row>
    <row r="10" spans="1:8" ht="18.399999999999999" customHeight="1" x14ac:dyDescent="0.15">
      <c r="A10" s="11" t="s">
        <v>1682</v>
      </c>
      <c r="B10" s="2" t="s">
        <v>1021</v>
      </c>
      <c r="C10" s="2" t="s">
        <v>1142</v>
      </c>
      <c r="D10" s="21">
        <v>258360</v>
      </c>
      <c r="E10" s="18" t="s">
        <v>1850</v>
      </c>
      <c r="F10" t="s">
        <v>1850</v>
      </c>
      <c r="G10" t="s">
        <v>222</v>
      </c>
      <c r="H10" t="s">
        <v>222</v>
      </c>
    </row>
    <row r="11" spans="1:8" ht="18.399999999999999" customHeight="1" x14ac:dyDescent="0.15">
      <c r="A11" s="11" t="s">
        <v>917</v>
      </c>
      <c r="B11" s="2" t="s">
        <v>1021</v>
      </c>
      <c r="C11" s="2" t="s">
        <v>1142</v>
      </c>
      <c r="D11" s="21">
        <v>243168</v>
      </c>
      <c r="E11" s="18" t="s">
        <v>1850</v>
      </c>
      <c r="F11" t="s">
        <v>1850</v>
      </c>
      <c r="G11" t="s">
        <v>1823</v>
      </c>
      <c r="H11" t="s">
        <v>1823</v>
      </c>
    </row>
    <row r="12" spans="1:8" ht="18.399999999999999" customHeight="1" x14ac:dyDescent="0.15">
      <c r="A12" s="11" t="s">
        <v>982</v>
      </c>
      <c r="B12" s="2" t="s">
        <v>1021</v>
      </c>
      <c r="C12" s="2" t="s">
        <v>1142</v>
      </c>
      <c r="D12" s="21">
        <v>161142</v>
      </c>
      <c r="E12" s="18" t="s">
        <v>1850</v>
      </c>
      <c r="F12" t="s">
        <v>1850</v>
      </c>
      <c r="G12" t="s">
        <v>1391</v>
      </c>
      <c r="H12" t="s">
        <v>1391</v>
      </c>
    </row>
    <row r="13" spans="1:8" ht="18.399999999999999" customHeight="1" x14ac:dyDescent="0.15">
      <c r="A13" s="11" t="s">
        <v>184</v>
      </c>
      <c r="B13" s="2" t="s">
        <v>1277</v>
      </c>
      <c r="C13" s="2" t="s">
        <v>1142</v>
      </c>
      <c r="D13" s="21">
        <v>272915</v>
      </c>
      <c r="E13" s="18" t="s">
        <v>1850</v>
      </c>
      <c r="F13" t="s">
        <v>1850</v>
      </c>
      <c r="G13" t="s">
        <v>1435</v>
      </c>
      <c r="H13" t="s">
        <v>1435</v>
      </c>
    </row>
    <row r="14" spans="1:8" ht="18.399999999999999" customHeight="1" x14ac:dyDescent="0.15">
      <c r="A14" s="12" t="s">
        <v>442</v>
      </c>
      <c r="B14" s="13" t="s">
        <v>1277</v>
      </c>
      <c r="C14" s="13" t="s">
        <v>1142</v>
      </c>
      <c r="D14" s="22">
        <v>213496</v>
      </c>
      <c r="E14" s="19" t="s">
        <v>1850</v>
      </c>
      <c r="F14" t="s">
        <v>1850</v>
      </c>
      <c r="G14" t="s">
        <v>645</v>
      </c>
      <c r="H14" t="s">
        <v>645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2024-03-20T06:33:25Z</dcterms:created>
  <dcterms:modified xsi:type="dcterms:W3CDTF">2024-03-20T06:36:10Z</dcterms:modified>
</cp:coreProperties>
</file>