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16A49607-859D-485E-B1EF-001450F0815F}" xr6:coauthVersionLast="47" xr6:coauthVersionMax="47" xr10:uidLastSave="{00000000-0000-0000-0000-000000000000}"/>
  <bookViews>
    <workbookView xWindow="17445" yWindow="30" windowWidth="11460" windowHeight="15360" firstSheet="8" activeTab="8" xr2:uid="{74FD0FEB-B018-44C3-8CED-8B56A1FD284B}"/>
  </bookViews>
  <sheets>
    <sheet name="borac" sheetId="1" r:id="rId1"/>
    <sheet name="buducnost" sheetId="3" r:id="rId2"/>
    <sheet name="cedevita" sheetId="4" r:id="rId3"/>
    <sheet name="cluj" sheetId="5" r:id="rId4"/>
    <sheet name="crvena" sheetId="6" r:id="rId5"/>
    <sheet name="dubai" sheetId="7" r:id="rId6"/>
    <sheet name="beograd" sheetId="8" r:id="rId7"/>
    <sheet name="igokea" sheetId="9" r:id="rId8"/>
    <sheet name="ilirija" sheetId="10" r:id="rId9"/>
    <sheet name="bosna" sheetId="11" r:id="rId10"/>
    <sheet name="krka" sheetId="12" r:id="rId11"/>
    <sheet name="mega" sheetId="13" r:id="rId12"/>
    <sheet name="partizan" sheetId="14" r:id="rId13"/>
    <sheet name="subotica" sheetId="15" r:id="rId14"/>
    <sheet name="split" sheetId="16" r:id="rId15"/>
    <sheet name="studentski" sheetId="17" r:id="rId16"/>
    <sheet name="vienna" sheetId="18" r:id="rId17"/>
    <sheet name="zadar" sheetId="19" r:id="rId18"/>
    <sheet name="check_data" sheetId="36" r:id="rId19"/>
    <sheet name="PvP" sheetId="35" r:id="rId20"/>
    <sheet name="all_data" sheetId="2" r:id="rId21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E24" i="2"/>
  <c r="D23" i="2"/>
  <c r="D24" i="2"/>
  <c r="E23" i="2"/>
  <c r="D26" i="2"/>
  <c r="E26" i="2"/>
  <c r="D25" i="2"/>
  <c r="E25" i="2"/>
  <c r="D27" i="2"/>
  <c r="E27" i="2"/>
  <c r="D28" i="2"/>
  <c r="E28" i="2"/>
  <c r="E29" i="2"/>
  <c r="D29" i="2"/>
  <c r="D30" i="2"/>
  <c r="E30" i="2"/>
  <c r="D31" i="2"/>
  <c r="E31" i="2"/>
  <c r="GA10" i="2"/>
  <c r="GA16" i="2"/>
  <c r="FW3" i="2"/>
  <c r="FW13" i="2"/>
  <c r="FY9" i="2"/>
  <c r="FY17" i="2"/>
  <c r="FY11" i="2"/>
  <c r="GC10" i="2"/>
  <c r="FW14" i="2"/>
  <c r="GA11" i="2"/>
  <c r="FY12" i="2"/>
  <c r="FW7" i="2"/>
  <c r="FW12" i="2"/>
  <c r="FY8" i="2"/>
  <c r="GC4" i="2"/>
  <c r="GA6" i="2"/>
  <c r="FW11" i="2"/>
  <c r="GA19" i="2"/>
  <c r="GC7" i="2"/>
  <c r="GA8" i="2"/>
  <c r="GA4" i="2"/>
  <c r="FY16" i="2"/>
  <c r="FY4" i="2"/>
  <c r="GA13" i="2"/>
  <c r="GC8" i="2"/>
  <c r="FW5" i="2"/>
  <c r="GA7" i="2"/>
  <c r="FW19" i="2"/>
  <c r="GA3" i="2"/>
  <c r="FW8" i="2"/>
  <c r="FW9" i="2"/>
  <c r="FW17" i="2"/>
  <c r="GC17" i="2"/>
  <c r="FW15" i="2"/>
  <c r="FY7" i="2"/>
  <c r="GC16" i="2"/>
  <c r="GA17" i="2"/>
  <c r="FY10" i="2"/>
  <c r="FY5" i="2"/>
  <c r="GC12" i="2"/>
  <c r="GC5" i="2"/>
  <c r="FW16" i="2"/>
  <c r="FW4" i="2"/>
  <c r="GA15" i="2"/>
  <c r="GC9" i="2"/>
  <c r="GA14" i="2"/>
  <c r="FY15" i="2"/>
  <c r="FW18" i="2"/>
  <c r="FW10" i="2"/>
  <c r="FW6" i="2"/>
  <c r="GA12" i="2"/>
  <c r="FW2" i="2"/>
  <c r="GA2" i="2"/>
  <c r="GA5" i="2"/>
  <c r="GA18" i="2"/>
  <c r="GA9" i="2"/>
  <c r="GC15" i="2"/>
  <c r="F31" i="2" l="1"/>
  <c r="F30" i="2"/>
  <c r="F29" i="2"/>
  <c r="F28" i="2"/>
  <c r="F27" i="2"/>
  <c r="F25" i="2"/>
  <c r="F26" i="2"/>
  <c r="F24" i="2"/>
  <c r="F23" i="2"/>
  <c r="FX16" i="2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17" i="2"/>
  <c r="F11" i="2"/>
  <c r="F16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C3" i="2"/>
  <c r="FY18" i="2"/>
  <c r="FY3" i="2"/>
  <c r="FY19" i="2"/>
  <c r="FY14" i="2"/>
  <c r="FY6" i="2"/>
  <c r="GC11" i="2"/>
  <c r="GC6" i="2"/>
  <c r="GC2" i="2"/>
  <c r="GC18" i="2"/>
  <c r="GC19" i="2"/>
  <c r="GC13" i="2"/>
  <c r="FY13" i="2"/>
  <c r="FY2" i="2"/>
  <c r="GC14" i="2"/>
  <c r="G26" i="2" l="1"/>
  <c r="G23" i="2"/>
  <c r="G27" i="2"/>
  <c r="G30" i="2"/>
  <c r="G25" i="2"/>
  <c r="G28" i="2"/>
  <c r="G24" i="2"/>
  <c r="G31" i="2"/>
  <c r="G29" i="2"/>
  <c r="GD5" i="2"/>
  <c r="GD16" i="2"/>
  <c r="GD11" i="2"/>
  <c r="GD14" i="2"/>
  <c r="GD13" i="2"/>
  <c r="GD2" i="2"/>
  <c r="GD12" i="2"/>
  <c r="GD7" i="2"/>
  <c r="GD10" i="2"/>
  <c r="GD4" i="2"/>
  <c r="GD15" i="2"/>
  <c r="GD8" i="2"/>
  <c r="GD9" i="2"/>
  <c r="GD19" i="2"/>
  <c r="GD3" i="2"/>
  <c r="GD6" i="2"/>
  <c r="GD17" i="2"/>
  <c r="GD18" i="2"/>
  <c r="FZ15" i="2"/>
  <c r="FZ12" i="2"/>
  <c r="FZ18" i="2"/>
  <c r="FZ6" i="2"/>
  <c r="FZ7" i="2"/>
  <c r="FZ2" i="2"/>
  <c r="FZ19" i="2"/>
  <c r="FZ11" i="2"/>
  <c r="FZ16" i="2"/>
  <c r="FZ5" i="2"/>
  <c r="FZ10" i="2"/>
  <c r="FZ8" i="2"/>
  <c r="FZ13" i="2"/>
  <c r="FZ3" i="2"/>
  <c r="FZ14" i="2"/>
  <c r="FZ17" i="2"/>
  <c r="FZ4" i="2"/>
  <c r="FZ9" i="2"/>
  <c r="GB5" i="2"/>
  <c r="GB16" i="2"/>
  <c r="GB13" i="2"/>
  <c r="GB19" i="2"/>
  <c r="GB3" i="2"/>
  <c r="GB6" i="2"/>
  <c r="GB17" i="2"/>
  <c r="GB4" i="2"/>
  <c r="GB7" i="2"/>
  <c r="GB10" i="2"/>
  <c r="GB12" i="2"/>
  <c r="GB15" i="2"/>
  <c r="GB9" i="2"/>
  <c r="GB18" i="2"/>
  <c r="GB2" i="2"/>
  <c r="GB8" i="2"/>
  <c r="GB11" i="2"/>
  <c r="GB14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9"/>
  <c r="CM4" i="16"/>
  <c r="CM4" i="15"/>
  <c r="CM4" i="14"/>
  <c r="CM4" i="13"/>
  <c r="CM4" i="12"/>
  <c r="CM4" i="11"/>
  <c r="CM4" i="9"/>
  <c r="CM4" i="4"/>
  <c r="CM4" i="1"/>
  <c r="CW30" i="35"/>
  <c r="CU48" i="35"/>
  <c r="CT29" i="35"/>
  <c r="CW45" i="35"/>
  <c r="CV45" i="35"/>
  <c r="CW29" i="35"/>
  <c r="CW48" i="35"/>
  <c r="CW44" i="35"/>
  <c r="CT44" i="35"/>
  <c r="CW46" i="35"/>
  <c r="CV51" i="35"/>
  <c r="CW34" i="35"/>
  <c r="CW31" i="35"/>
  <c r="CU34" i="35"/>
  <c r="CU45" i="35"/>
  <c r="CT34" i="35"/>
  <c r="CV46" i="35"/>
  <c r="CV34" i="35"/>
  <c r="CU44" i="35"/>
  <c r="CT45" i="35"/>
  <c r="CV48" i="35"/>
  <c r="CW28" i="35"/>
  <c r="CV30" i="35"/>
  <c r="CT28" i="35"/>
  <c r="CU47" i="35"/>
  <c r="CU30" i="35"/>
  <c r="CU46" i="35"/>
  <c r="CV47" i="35"/>
  <c r="CU51" i="35"/>
  <c r="CT47" i="35"/>
  <c r="CV27" i="35"/>
  <c r="CW27" i="35"/>
  <c r="CU29" i="35"/>
  <c r="CU28" i="35"/>
  <c r="CT48" i="35"/>
  <c r="CW47" i="35"/>
  <c r="CW51" i="35"/>
  <c r="CU27" i="35"/>
  <c r="CT30" i="35"/>
  <c r="CT27" i="35"/>
  <c r="CT31" i="35"/>
  <c r="CU31" i="35"/>
  <c r="CV44" i="35"/>
  <c r="CV29" i="35"/>
  <c r="CT51" i="35"/>
  <c r="CT46" i="35"/>
  <c r="CV28" i="35"/>
  <c r="CV31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CP3" i="2"/>
  <c r="EL19" i="2"/>
  <c r="CP19" i="2"/>
  <c r="AL11" i="2"/>
  <c r="DN18" i="2"/>
  <c r="BZ3" i="2"/>
  <c r="AL6" i="2"/>
  <c r="BR19" i="2"/>
  <c r="CH18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18" i="2"/>
  <c r="FK4" i="2"/>
  <c r="FK2" i="2"/>
  <c r="FM3" i="2"/>
  <c r="FQ4" i="2"/>
  <c r="FM5" i="2"/>
  <c r="FM11" i="2"/>
  <c r="FK12" i="2"/>
  <c r="FK14" i="2"/>
  <c r="FK16" i="2"/>
  <c r="FQ17" i="2"/>
  <c r="FM18" i="2"/>
  <c r="FK19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CC19" i="2"/>
  <c r="DA10" i="2"/>
  <c r="CC3" i="2"/>
  <c r="CE11" i="2"/>
  <c r="BM13" i="2"/>
  <c r="AO14" i="2"/>
  <c r="CC18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DA7" i="2"/>
  <c r="BM5" i="2"/>
  <c r="BE10" i="2"/>
  <c r="AT12" i="2"/>
  <c r="BJ10" i="2"/>
  <c r="V10" i="2"/>
  <c r="DF6" i="2"/>
  <c r="BR11" i="2"/>
  <c r="DV3" i="2"/>
  <c r="AD3" i="2"/>
  <c r="DN19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7" i="2"/>
  <c r="FS9" i="2"/>
  <c r="FO7" i="2"/>
  <c r="FS3" i="2"/>
  <c r="FO13" i="2"/>
  <c r="FO3" i="2"/>
  <c r="FO17" i="2"/>
  <c r="FO5" i="2"/>
  <c r="FU4" i="2"/>
  <c r="FU5" i="2"/>
  <c r="FS14" i="2"/>
  <c r="FO12" i="2"/>
  <c r="FS13" i="2"/>
  <c r="FU19" i="2"/>
  <c r="FO6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17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BK19" i="2"/>
  <c r="BA15" i="2"/>
  <c r="CU10" i="2"/>
  <c r="AW17" i="2"/>
  <c r="AW14" i="2"/>
  <c r="Q16" i="2"/>
  <c r="AI18" i="2"/>
  <c r="Q12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CI19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8" i="2"/>
  <c r="AU11" i="2"/>
  <c r="AU7" i="2"/>
  <c r="AU17" i="2"/>
  <c r="AU5" i="2"/>
  <c r="AU19" i="2"/>
  <c r="AU6" i="2"/>
  <c r="AU9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19" i="2"/>
  <c r="AS7" i="2"/>
  <c r="AS15" i="2"/>
  <c r="AS13" i="2"/>
  <c r="AS3" i="2"/>
  <c r="CO8" i="2"/>
  <c r="M12" i="2"/>
  <c r="M11" i="2"/>
  <c r="M17" i="2"/>
  <c r="M3" i="2"/>
  <c r="M19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M16" i="2"/>
  <c r="S18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E19" i="2"/>
  <c r="AA4" i="2"/>
  <c r="AA12" i="2"/>
  <c r="AC13" i="2"/>
  <c r="CO19" i="2"/>
  <c r="AA17" i="2"/>
  <c r="BY5" i="2"/>
  <c r="BY16" i="2"/>
  <c r="AC14" i="2"/>
  <c r="AY4" i="2"/>
  <c r="AM3" i="2"/>
  <c r="CO10" i="2"/>
  <c r="K11" i="2"/>
  <c r="K8" i="2"/>
  <c r="CY16" i="2"/>
  <c r="BQ19" i="2"/>
  <c r="BQ8" i="2"/>
  <c r="BW2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AE17" i="2"/>
  <c r="AU14" i="2"/>
  <c r="CI18" i="2"/>
  <c r="BI15" i="2"/>
  <c r="BA19" i="2"/>
  <c r="BQ2" i="2"/>
  <c r="BQ4" i="2"/>
  <c r="AM2" i="2"/>
  <c r="AM6" i="2"/>
  <c r="AM19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AK19" i="2"/>
  <c r="AM18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9" i="2"/>
  <c r="CU14" i="2"/>
  <c r="BG2" i="2"/>
  <c r="BG4" i="2"/>
  <c r="BG14" i="2"/>
  <c r="BG19" i="2"/>
  <c r="BG3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AW19" i="2"/>
  <c r="AI17" i="2"/>
  <c r="DC16" i="2"/>
  <c r="AW16" i="2"/>
  <c r="AI14" i="2"/>
  <c r="Y12" i="2"/>
  <c r="BS6" i="2"/>
  <c r="AW5" i="2"/>
  <c r="S4" i="2"/>
  <c r="Q3" i="2"/>
  <c r="AW7" i="2"/>
  <c r="CY19" i="2"/>
  <c r="S19" i="2"/>
  <c r="Q17" i="2"/>
  <c r="CS14" i="2"/>
  <c r="Y14" i="2"/>
  <c r="DC11" i="2"/>
  <c r="AI10" i="2"/>
  <c r="BA4" i="2"/>
  <c r="BA3" i="2"/>
  <c r="BA13" i="2"/>
  <c r="Y5" i="2"/>
  <c r="BS18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19" i="2"/>
  <c r="CA3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CY18" i="2"/>
  <c r="CQ3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C19" i="2"/>
  <c r="O7" i="2"/>
  <c r="BU15" i="2"/>
  <c r="O10" i="2"/>
  <c r="AG12" i="2"/>
  <c r="AG18" i="2"/>
  <c r="O13" i="2"/>
  <c r="O17" i="2"/>
  <c r="BC11" i="2"/>
  <c r="BU5" i="2"/>
  <c r="BC8" i="2"/>
  <c r="AG16" i="2"/>
  <c r="O14" i="2"/>
  <c r="BC9" i="2"/>
  <c r="O1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18" i="2"/>
  <c r="O6" i="2"/>
  <c r="BU2" i="2"/>
  <c r="O4" i="2"/>
  <c r="BC10" i="2"/>
  <c r="BU12" i="2"/>
  <c r="BC18" i="2"/>
  <c r="BC17" i="2"/>
  <c r="O5" i="2"/>
  <c r="BC14" i="2"/>
  <c r="AG14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8" i="2"/>
  <c r="EQ1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16" i="2"/>
  <c r="EU11" i="2"/>
  <c r="EU15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13" i="2"/>
  <c r="EM11" i="2"/>
  <c r="EM6" i="2"/>
  <c r="EO10" i="2"/>
  <c r="EO6" i="2"/>
  <c r="EO13" i="2"/>
  <c r="EO9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K19" i="2"/>
  <c r="EG10" i="2"/>
  <c r="EG13" i="2"/>
  <c r="EG4" i="2"/>
  <c r="EG11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8" i="2"/>
  <c r="EI15" i="2"/>
  <c r="EI5" i="2"/>
  <c r="EI18" i="2"/>
  <c r="EI7" i="2"/>
  <c r="EI16" i="2"/>
  <c r="EI14" i="2"/>
  <c r="EI4" i="2"/>
  <c r="EI12" i="2"/>
  <c r="EI17" i="2"/>
  <c r="EI9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L10" i="2"/>
  <c r="FL13" i="2"/>
  <c r="FL8" i="2"/>
  <c r="FL7" i="2"/>
  <c r="FL5" i="2"/>
  <c r="FL2" i="2"/>
  <c r="FL19" i="2"/>
  <c r="FL6" i="2"/>
  <c r="FL4" i="2"/>
  <c r="FL17" i="2"/>
  <c r="FL18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14" i="2"/>
  <c r="FN2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18" i="2"/>
  <c r="EW8" i="2"/>
  <c r="EW15" i="2"/>
  <c r="EW19" i="2"/>
  <c r="EW11" i="2"/>
  <c r="DM10" i="2"/>
  <c r="DM9" i="2"/>
  <c r="DM6" i="2"/>
  <c r="DM4" i="2"/>
  <c r="DM11" i="2"/>
  <c r="DM5" i="2"/>
  <c r="DM16" i="2"/>
  <c r="DM18" i="2"/>
  <c r="DM19" i="2"/>
  <c r="DM3" i="2"/>
  <c r="DM2" i="2"/>
  <c r="DM15" i="2"/>
  <c r="DM8" i="2"/>
  <c r="DM14" i="2"/>
  <c r="DM7" i="2"/>
  <c r="DM12" i="2"/>
  <c r="DM13" i="2"/>
  <c r="DM17" i="2"/>
  <c r="FC10" i="2"/>
  <c r="FC6" i="2"/>
  <c r="FC18" i="2"/>
  <c r="FC5" i="2"/>
  <c r="FC9" i="2"/>
  <c r="FC17" i="2"/>
  <c r="FC11" i="2"/>
  <c r="FC12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16" i="2"/>
  <c r="DY12" i="2"/>
  <c r="DY6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7" i="2"/>
  <c r="FV17" i="2"/>
  <c r="FV9" i="2"/>
  <c r="FV19" i="2"/>
  <c r="FT10" i="2"/>
  <c r="FT6" i="2"/>
  <c r="FT7" i="2"/>
  <c r="FT5" i="2"/>
  <c r="FT3" i="2"/>
  <c r="FT11" i="2"/>
  <c r="FT8" i="2"/>
  <c r="FT16" i="2"/>
  <c r="FT18" i="2"/>
  <c r="FT9" i="2"/>
  <c r="FT13" i="2"/>
  <c r="FT15" i="2"/>
  <c r="FT12" i="2"/>
  <c r="FT19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8" i="2"/>
  <c r="DS19" i="2"/>
  <c r="DS13" i="2"/>
  <c r="DS11" i="2"/>
  <c r="DW10" i="2"/>
  <c r="DW19" i="2"/>
  <c r="DW18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8" i="2"/>
  <c r="DU13" i="2"/>
  <c r="DU17" i="2"/>
  <c r="DU15" i="2"/>
  <c r="DU2" i="2"/>
  <c r="DU7" i="2"/>
  <c r="DU6" i="2"/>
  <c r="DU8" i="2"/>
  <c r="DU11" i="2"/>
  <c r="DU14" i="2"/>
  <c r="DU19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8" i="2"/>
  <c r="DK15" i="2"/>
  <c r="DK11" i="2"/>
  <c r="DK8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18" i="2"/>
  <c r="CM19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18" i="2"/>
  <c r="DG19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16" i="2"/>
  <c r="FJ16" i="2" s="1"/>
  <c r="G2" i="2"/>
  <c r="FJ2" i="2" s="1"/>
  <c r="E17" i="2" l="1"/>
  <c r="E18" i="2"/>
  <c r="E8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B35" i="35" l="1"/>
  <c r="B52" i="35"/>
  <c r="BF29" i="35" l="1"/>
  <c r="AX46" i="35"/>
  <c r="CF29" i="35"/>
  <c r="BG46" i="35"/>
  <c r="BZ27" i="35"/>
  <c r="AJ51" i="35"/>
  <c r="CA48" i="35"/>
  <c r="BW27" i="35"/>
  <c r="I46" i="35"/>
  <c r="AN34" i="35"/>
  <c r="FG9" i="2"/>
  <c r="X47" i="35"/>
  <c r="S27" i="2"/>
  <c r="BO30" i="35"/>
  <c r="BV34" i="35"/>
  <c r="BH46" i="35"/>
  <c r="BN34" i="35"/>
  <c r="V28" i="35"/>
  <c r="AN47" i="35"/>
  <c r="AH31" i="35"/>
  <c r="A30" i="35"/>
  <c r="AT47" i="35"/>
  <c r="AC51" i="35"/>
  <c r="BY46" i="35"/>
  <c r="BY28" i="35"/>
  <c r="O31" i="35"/>
  <c r="AF45" i="35"/>
  <c r="AR34" i="35"/>
  <c r="BZ28" i="35"/>
  <c r="CG28" i="35"/>
  <c r="K48" i="35"/>
  <c r="BP31" i="35"/>
  <c r="F44" i="35"/>
  <c r="F34" i="35"/>
  <c r="F30" i="35"/>
  <c r="M28" i="35"/>
  <c r="U45" i="35"/>
  <c r="AT51" i="35"/>
  <c r="AA28" i="35"/>
  <c r="AW30" i="35"/>
  <c r="CG29" i="35"/>
  <c r="BE30" i="35"/>
  <c r="L30" i="35"/>
  <c r="AR47" i="35"/>
  <c r="BG28" i="35"/>
  <c r="AQ30" i="35"/>
  <c r="AQ46" i="35"/>
  <c r="AJ30" i="35"/>
  <c r="BP29" i="35"/>
  <c r="CF27" i="35"/>
  <c r="CG47" i="35"/>
  <c r="AW44" i="35"/>
  <c r="AJ29" i="35"/>
  <c r="AY48" i="35"/>
  <c r="L28" i="35"/>
  <c r="AS34" i="35"/>
  <c r="G47" i="35"/>
  <c r="AK46" i="35"/>
  <c r="CC29" i="35"/>
  <c r="BZ47" i="35"/>
  <c r="AL51" i="35"/>
  <c r="CG51" i="35"/>
  <c r="AK34" i="35"/>
  <c r="AJ44" i="35"/>
  <c r="L31" i="35"/>
  <c r="P48" i="35"/>
  <c r="CD28" i="35"/>
  <c r="P51" i="35"/>
  <c r="J45" i="35"/>
  <c r="P46" i="35"/>
  <c r="CF46" i="35"/>
  <c r="BL45" i="35"/>
  <c r="BN48" i="35"/>
  <c r="BB29" i="35"/>
  <c r="V27" i="35"/>
  <c r="AV45" i="35"/>
  <c r="BX48" i="35"/>
  <c r="BW30" i="35"/>
  <c r="FG17" i="2"/>
  <c r="AL28" i="35"/>
  <c r="S27" i="35"/>
  <c r="AZ29" i="35"/>
  <c r="FF6" i="2"/>
  <c r="CK27" i="35"/>
  <c r="C45" i="35"/>
  <c r="L46" i="35"/>
  <c r="X30" i="35"/>
  <c r="AA31" i="35"/>
  <c r="BT51" i="35"/>
  <c r="X29" i="35"/>
  <c r="H45" i="35"/>
  <c r="CI29" i="35"/>
  <c r="CM48" i="35"/>
  <c r="CG31" i="35"/>
  <c r="AR29" i="35"/>
  <c r="BU34" i="35"/>
  <c r="I34" i="35"/>
  <c r="J47" i="35"/>
  <c r="CM47" i="35"/>
  <c r="BH48" i="35"/>
  <c r="AR48" i="35"/>
  <c r="AJ27" i="35"/>
  <c r="B34" i="35"/>
  <c r="AU44" i="35"/>
  <c r="BB46" i="35"/>
  <c r="BE47" i="35"/>
  <c r="CD30" i="35"/>
  <c r="CE34" i="35"/>
  <c r="FG16" i="2"/>
  <c r="H31" i="35"/>
  <c r="AU27" i="35"/>
  <c r="AR44" i="35"/>
  <c r="AF48" i="35"/>
  <c r="AU31" i="35"/>
  <c r="FG7" i="2"/>
  <c r="AZ27" i="35"/>
  <c r="BC34" i="35"/>
  <c r="BV46" i="35"/>
  <c r="BB45" i="35"/>
  <c r="AV27" i="35"/>
  <c r="AL45" i="35"/>
  <c r="AY31" i="35"/>
  <c r="FG3" i="2"/>
  <c r="BT46" i="35"/>
  <c r="BM30" i="35"/>
  <c r="BW29" i="35"/>
  <c r="BY48" i="35"/>
  <c r="BW51" i="35"/>
  <c r="AJ31" i="35"/>
  <c r="CC31" i="35"/>
  <c r="AL48" i="35"/>
  <c r="BR29" i="35"/>
  <c r="BE45" i="35"/>
  <c r="AR51" i="35"/>
  <c r="BY30" i="35"/>
  <c r="AV34" i="35"/>
  <c r="AI34" i="35"/>
  <c r="AJ28" i="35"/>
  <c r="AD29" i="35"/>
  <c r="CJ31" i="35"/>
  <c r="AL27" i="35"/>
  <c r="AR46" i="35"/>
  <c r="BE29" i="35"/>
  <c r="Q31" i="35"/>
  <c r="S31" i="2"/>
  <c r="CK31" i="35"/>
  <c r="CC48" i="35"/>
  <c r="R29" i="35"/>
  <c r="I31" i="35"/>
  <c r="AP45" i="35"/>
  <c r="BE28" i="35"/>
  <c r="CM44" i="35"/>
  <c r="M34" i="35"/>
  <c r="BB34" i="35"/>
  <c r="AO28" i="35"/>
  <c r="AX45" i="35"/>
  <c r="BH34" i="35"/>
  <c r="O47" i="35"/>
  <c r="BU45" i="35"/>
  <c r="BU31" i="35"/>
  <c r="AF47" i="35"/>
  <c r="CK44" i="35"/>
  <c r="Q27" i="35"/>
  <c r="A29" i="35"/>
  <c r="AP27" i="35"/>
  <c r="BD27" i="35"/>
  <c r="V30" i="35"/>
  <c r="R34" i="35"/>
  <c r="BN29" i="35"/>
  <c r="I27" i="35"/>
  <c r="E31" i="35"/>
  <c r="Z28" i="35"/>
  <c r="N31" i="35"/>
  <c r="BS44" i="35"/>
  <c r="U44" i="35"/>
  <c r="BV51" i="35"/>
  <c r="BE34" i="35"/>
  <c r="BL51" i="35"/>
  <c r="AN31" i="35"/>
  <c r="BH44" i="35"/>
  <c r="FG8" i="2"/>
  <c r="AB48" i="35"/>
  <c r="AP44" i="35"/>
  <c r="C47" i="35"/>
  <c r="BO44" i="35"/>
  <c r="I30" i="35"/>
  <c r="AD47" i="35"/>
  <c r="G30" i="35"/>
  <c r="BQ34" i="35"/>
  <c r="BY45" i="35"/>
  <c r="AW34" i="35"/>
  <c r="BL47" i="35"/>
  <c r="Y27" i="35"/>
  <c r="BS34" i="35"/>
  <c r="AT44" i="35"/>
  <c r="BP46" i="35"/>
  <c r="AP47" i="35"/>
  <c r="AC27" i="35"/>
  <c r="CL27" i="35"/>
  <c r="BD30" i="35"/>
  <c r="I51" i="35"/>
  <c r="AX31" i="35"/>
  <c r="AX28" i="35"/>
  <c r="BN44" i="35"/>
  <c r="C44" i="35"/>
  <c r="BY27" i="35"/>
  <c r="AH44" i="35"/>
  <c r="BM46" i="35"/>
  <c r="AZ30" i="35"/>
  <c r="AY28" i="35"/>
  <c r="V45" i="35"/>
  <c r="U28" i="35"/>
  <c r="G28" i="35"/>
  <c r="BB44" i="35"/>
  <c r="M27" i="35"/>
  <c r="BH47" i="35"/>
  <c r="T26" i="2"/>
  <c r="CC28" i="35"/>
  <c r="AC30" i="35"/>
  <c r="BT44" i="35"/>
  <c r="BA46" i="35"/>
  <c r="AC45" i="35"/>
  <c r="AY45" i="35"/>
  <c r="A48" i="35"/>
  <c r="F27" i="35"/>
  <c r="L48" i="35"/>
  <c r="AO48" i="35"/>
  <c r="BJ45" i="35"/>
  <c r="AT31" i="35"/>
  <c r="BM31" i="35"/>
  <c r="S26" i="2"/>
  <c r="AM28" i="35"/>
  <c r="C28" i="35"/>
  <c r="AT30" i="35"/>
  <c r="BI29" i="35"/>
  <c r="BA45" i="35"/>
  <c r="G29" i="35"/>
  <c r="AG27" i="35"/>
  <c r="Q51" i="35"/>
  <c r="BD44" i="35"/>
  <c r="BK45" i="35"/>
  <c r="AV47" i="35"/>
  <c r="AG46" i="35"/>
  <c r="AO27" i="35"/>
  <c r="AO29" i="35"/>
  <c r="CA30" i="35"/>
  <c r="AL30" i="35"/>
  <c r="E46" i="35"/>
  <c r="U31" i="35"/>
  <c r="BQ31" i="35"/>
  <c r="AP30" i="35"/>
  <c r="CF34" i="35"/>
  <c r="CJ46" i="35"/>
  <c r="O29" i="35"/>
  <c r="CD48" i="35"/>
  <c r="BD28" i="35"/>
  <c r="BV45" i="35"/>
  <c r="B44" i="35"/>
  <c r="AC46" i="35"/>
  <c r="N47" i="35"/>
  <c r="AH46" i="35"/>
  <c r="AN28" i="35"/>
  <c r="AA34" i="35"/>
  <c r="V48" i="35"/>
  <c r="FG18" i="2"/>
  <c r="BH30" i="35"/>
  <c r="AF30" i="35"/>
  <c r="H28" i="35"/>
  <c r="CJ27" i="35"/>
  <c r="O34" i="35"/>
  <c r="BY34" i="35"/>
  <c r="AA44" i="35"/>
  <c r="CA29" i="35"/>
  <c r="BI27" i="35"/>
  <c r="BG47" i="35"/>
  <c r="A45" i="35"/>
  <c r="AI45" i="35"/>
  <c r="AM31" i="35"/>
  <c r="BH31" i="35"/>
  <c r="BK47" i="35"/>
  <c r="BR51" i="35"/>
  <c r="BF46" i="35"/>
  <c r="BF48" i="35"/>
  <c r="A44" i="35"/>
  <c r="AQ29" i="35"/>
  <c r="BI31" i="35"/>
  <c r="AI28" i="35"/>
  <c r="B30" i="35"/>
  <c r="CB51" i="35"/>
  <c r="B31" i="35"/>
  <c r="AS46" i="35"/>
  <c r="BC28" i="35"/>
  <c r="BK51" i="35"/>
  <c r="BV31" i="35"/>
  <c r="R46" i="35"/>
  <c r="X27" i="35"/>
  <c r="BO51" i="35"/>
  <c r="W44" i="35"/>
  <c r="BM28" i="35"/>
  <c r="AV28" i="35"/>
  <c r="B51" i="35"/>
  <c r="AC34" i="35"/>
  <c r="J28" i="35"/>
  <c r="B47" i="35"/>
  <c r="AD30" i="35"/>
  <c r="BP27" i="35"/>
  <c r="BA31" i="35"/>
  <c r="AV44" i="35"/>
  <c r="N48" i="35"/>
  <c r="BP47" i="35"/>
  <c r="AT48" i="35"/>
  <c r="I28" i="35"/>
  <c r="M46" i="35"/>
  <c r="BZ44" i="35"/>
  <c r="BS48" i="35"/>
  <c r="AE48" i="35"/>
  <c r="T27" i="35"/>
  <c r="S44" i="35"/>
  <c r="AY46" i="35"/>
  <c r="CF47" i="35"/>
  <c r="J44" i="35"/>
  <c r="C46" i="35"/>
  <c r="AX27" i="35"/>
  <c r="AE30" i="35"/>
  <c r="BQ28" i="35"/>
  <c r="BH27" i="35"/>
  <c r="AN29" i="35"/>
  <c r="AW29" i="35"/>
  <c r="BK44" i="35"/>
  <c r="J46" i="35"/>
  <c r="BV27" i="35"/>
  <c r="AI44" i="35"/>
  <c r="AM27" i="35"/>
  <c r="BM34" i="35"/>
  <c r="BE46" i="35"/>
  <c r="AX47" i="35"/>
  <c r="AH47" i="35"/>
  <c r="BF31" i="35"/>
  <c r="CG30" i="35"/>
  <c r="M51" i="35"/>
  <c r="S29" i="2"/>
  <c r="CC46" i="35"/>
  <c r="BY47" i="35"/>
  <c r="CE31" i="35"/>
  <c r="T24" i="2"/>
  <c r="FF13" i="2"/>
  <c r="BO31" i="35"/>
  <c r="AX34" i="35"/>
  <c r="T29" i="2"/>
  <c r="W29" i="35"/>
  <c r="AG34" i="35"/>
  <c r="AO45" i="35"/>
  <c r="CM28" i="35"/>
  <c r="AX48" i="35"/>
  <c r="BV29" i="35"/>
  <c r="AV29" i="35"/>
  <c r="BR46" i="35"/>
  <c r="CF44" i="35"/>
  <c r="BZ45" i="35"/>
  <c r="BH28" i="35"/>
  <c r="AT34" i="35"/>
  <c r="BZ34" i="35"/>
  <c r="AP34" i="35"/>
  <c r="AE45" i="35"/>
  <c r="BU48" i="35"/>
  <c r="BM48" i="35"/>
  <c r="BX34" i="35"/>
  <c r="AH27" i="35"/>
  <c r="CK29" i="35"/>
  <c r="CB46" i="35"/>
  <c r="BN27" i="35"/>
  <c r="CK45" i="35"/>
  <c r="AW45" i="35"/>
  <c r="AP51" i="35"/>
  <c r="BN28" i="35"/>
  <c r="BX47" i="35"/>
  <c r="AS48" i="35"/>
  <c r="AQ47" i="35"/>
  <c r="E45" i="35"/>
  <c r="AZ48" i="35"/>
  <c r="BJ30" i="35"/>
  <c r="M44" i="35"/>
  <c r="BC30" i="35"/>
  <c r="D27" i="35"/>
  <c r="BO47" i="35"/>
  <c r="BW47" i="35"/>
  <c r="BS51" i="35"/>
  <c r="CH44" i="35"/>
  <c r="AZ34" i="35"/>
  <c r="BW45" i="35"/>
  <c r="AB47" i="35"/>
  <c r="I48" i="35"/>
  <c r="V46" i="35"/>
  <c r="BQ47" i="35"/>
  <c r="AA27" i="35"/>
  <c r="F51" i="35"/>
  <c r="CD45" i="35"/>
  <c r="AV48" i="35"/>
  <c r="FF9" i="2"/>
  <c r="BO27" i="35"/>
  <c r="FF16" i="2"/>
  <c r="AF46" i="35"/>
  <c r="FG15" i="2"/>
  <c r="AV30" i="35"/>
  <c r="S30" i="35"/>
  <c r="Y51" i="35"/>
  <c r="BR30" i="35"/>
  <c r="BW28" i="35"/>
  <c r="AB51" i="35"/>
  <c r="AC44" i="35"/>
  <c r="O51" i="35"/>
  <c r="AE46" i="35"/>
  <c r="CB27" i="35"/>
  <c r="AO51" i="35"/>
  <c r="R51" i="35"/>
  <c r="Q34" i="35"/>
  <c r="Y31" i="35"/>
  <c r="W46" i="35"/>
  <c r="CF51" i="35"/>
  <c r="BB27" i="35"/>
  <c r="CH46" i="35"/>
  <c r="BU30" i="35"/>
  <c r="AG30" i="35"/>
  <c r="K47" i="35"/>
  <c r="AF31" i="35"/>
  <c r="AE31" i="35"/>
  <c r="CK34" i="35"/>
  <c r="BM45" i="35"/>
  <c r="AZ46" i="35"/>
  <c r="T28" i="35"/>
  <c r="B27" i="35"/>
  <c r="CC51" i="35"/>
  <c r="AP48" i="35"/>
  <c r="BV47" i="35"/>
  <c r="BP28" i="35"/>
  <c r="CI27" i="35"/>
  <c r="T29" i="35"/>
  <c r="P47" i="35"/>
  <c r="BG51" i="35"/>
  <c r="Q45" i="35"/>
  <c r="FG5" i="2"/>
  <c r="T44" i="35"/>
  <c r="BF45" i="35"/>
  <c r="S30" i="2"/>
  <c r="W51" i="35"/>
  <c r="AF29" i="35"/>
  <c r="CB47" i="35"/>
  <c r="S25" i="2"/>
  <c r="AU46" i="35"/>
  <c r="AG31" i="35"/>
  <c r="D29" i="35"/>
  <c r="CL48" i="35"/>
  <c r="V31" i="35"/>
  <c r="M45" i="35"/>
  <c r="CD51" i="35"/>
  <c r="BB51" i="35"/>
  <c r="Z45" i="35"/>
  <c r="BE27" i="35"/>
  <c r="CG27" i="35"/>
  <c r="AC47" i="35"/>
  <c r="AH28" i="35"/>
  <c r="BX31" i="35"/>
  <c r="CL31" i="35"/>
  <c r="X45" i="35"/>
  <c r="BD48" i="35"/>
  <c r="BF47" i="35"/>
  <c r="BS28" i="35"/>
  <c r="AQ34" i="35"/>
  <c r="Y30" i="35"/>
  <c r="AQ31" i="35"/>
  <c r="J31" i="35"/>
  <c r="AY27" i="35"/>
  <c r="BU27" i="35"/>
  <c r="AK47" i="35"/>
  <c r="BS27" i="35"/>
  <c r="FG4" i="2"/>
  <c r="U48" i="35"/>
  <c r="S48" i="35"/>
  <c r="T46" i="35"/>
  <c r="AH34" i="35"/>
  <c r="CA28" i="35"/>
  <c r="L51" i="35"/>
  <c r="BA29" i="35"/>
  <c r="BK28" i="35"/>
  <c r="U29" i="35"/>
  <c r="CL30" i="35"/>
  <c r="K51" i="35"/>
  <c r="W30" i="35"/>
  <c r="BU47" i="35"/>
  <c r="BI51" i="35"/>
  <c r="BA51" i="35"/>
  <c r="AK51" i="35"/>
  <c r="BF44" i="35"/>
  <c r="B48" i="35"/>
  <c r="AR28" i="35"/>
  <c r="K29" i="35"/>
  <c r="BI48" i="35"/>
  <c r="E30" i="35"/>
  <c r="H46" i="35"/>
  <c r="S28" i="35"/>
  <c r="P44" i="35"/>
  <c r="BL29" i="35"/>
  <c r="P31" i="35"/>
  <c r="CA34" i="35"/>
  <c r="O46" i="35"/>
  <c r="V34" i="35"/>
  <c r="CB29" i="35"/>
  <c r="AC29" i="35"/>
  <c r="H47" i="35"/>
  <c r="BX51" i="35"/>
  <c r="FG2" i="2"/>
  <c r="BU28" i="35"/>
  <c r="BI46" i="35"/>
  <c r="AB29" i="35"/>
  <c r="BI28" i="35"/>
  <c r="BL46" i="35"/>
  <c r="BG45" i="35"/>
  <c r="X28" i="35"/>
  <c r="AV31" i="35"/>
  <c r="AF34" i="35"/>
  <c r="B28" i="35"/>
  <c r="AK48" i="35"/>
  <c r="CJ48" i="35"/>
  <c r="CH47" i="35"/>
  <c r="BN46" i="35"/>
  <c r="AO46" i="35"/>
  <c r="CI44" i="35"/>
  <c r="AR45" i="35"/>
  <c r="W28" i="35"/>
  <c r="BP48" i="35"/>
  <c r="BC48" i="35"/>
  <c r="J48" i="35"/>
  <c r="CH51" i="35"/>
  <c r="B45" i="35"/>
  <c r="R48" i="35"/>
  <c r="J27" i="35"/>
  <c r="BG27" i="35"/>
  <c r="AO34" i="35"/>
  <c r="CJ47" i="35"/>
  <c r="F31" i="35"/>
  <c r="P34" i="35"/>
  <c r="AB28" i="35"/>
  <c r="AQ28" i="35"/>
  <c r="E34" i="35"/>
  <c r="BK27" i="35"/>
  <c r="AQ51" i="35"/>
  <c r="BZ29" i="35"/>
  <c r="BQ48" i="35"/>
  <c r="J51" i="35"/>
  <c r="AQ48" i="35"/>
  <c r="BG44" i="35"/>
  <c r="AY30" i="35"/>
  <c r="BJ27" i="35"/>
  <c r="FF10" i="2"/>
  <c r="M29" i="35"/>
  <c r="BX29" i="35"/>
  <c r="L29" i="35"/>
  <c r="H29" i="35"/>
  <c r="X44" i="35"/>
  <c r="BT34" i="35"/>
  <c r="BU29" i="35"/>
  <c r="BM44" i="35"/>
  <c r="AF51" i="35"/>
  <c r="CM30" i="35"/>
  <c r="CI45" i="35"/>
  <c r="CH28" i="35"/>
  <c r="BA48" i="35"/>
  <c r="AY34" i="35"/>
  <c r="J30" i="35"/>
  <c r="T27" i="2"/>
  <c r="AM45" i="35"/>
  <c r="F48" i="35"/>
  <c r="AB31" i="35"/>
  <c r="K46" i="35"/>
  <c r="AE47" i="35"/>
  <c r="A27" i="35"/>
  <c r="BE44" i="35"/>
  <c r="AJ48" i="35"/>
  <c r="BP44" i="35"/>
  <c r="BE51" i="35"/>
  <c r="BQ45" i="35"/>
  <c r="T34" i="35"/>
  <c r="AZ31" i="35"/>
  <c r="T48" i="35"/>
  <c r="X51" i="35"/>
  <c r="FG12" i="2"/>
  <c r="AL44" i="35"/>
  <c r="CE45" i="35"/>
  <c r="BM47" i="35"/>
  <c r="AQ45" i="35"/>
  <c r="BL44" i="35"/>
  <c r="AS27" i="35"/>
  <c r="S51" i="35"/>
  <c r="AA48" i="35"/>
  <c r="D28" i="35"/>
  <c r="BU44" i="35"/>
  <c r="H48" i="35"/>
  <c r="H30" i="35"/>
  <c r="N29" i="35"/>
  <c r="BL48" i="35"/>
  <c r="B29" i="35"/>
  <c r="BZ31" i="35"/>
  <c r="E44" i="35"/>
  <c r="BJ31" i="35"/>
  <c r="O44" i="35"/>
  <c r="AP28" i="35"/>
  <c r="BW46" i="35"/>
  <c r="Z46" i="35"/>
  <c r="W47" i="35"/>
  <c r="AL46" i="35"/>
  <c r="AI31" i="35"/>
  <c r="FF17" i="2"/>
  <c r="AO31" i="35"/>
  <c r="AS45" i="35"/>
  <c r="W48" i="35"/>
  <c r="AN27" i="35"/>
  <c r="BE48" i="35"/>
  <c r="AM30" i="35"/>
  <c r="BT28" i="35"/>
  <c r="CL46" i="35"/>
  <c r="BN31" i="35"/>
  <c r="CH45" i="35"/>
  <c r="CB44" i="35"/>
  <c r="AV46" i="35"/>
  <c r="BT47" i="35"/>
  <c r="Z31" i="35"/>
  <c r="BD47" i="35"/>
  <c r="O48" i="35"/>
  <c r="AA51" i="35"/>
  <c r="CA45" i="35"/>
  <c r="AG48" i="35"/>
  <c r="BC44" i="35"/>
  <c r="AP46" i="35"/>
  <c r="CH34" i="35"/>
  <c r="D46" i="35"/>
  <c r="AD45" i="35"/>
  <c r="AE28" i="35"/>
  <c r="R45" i="35"/>
  <c r="BJ44" i="35"/>
  <c r="CH48" i="35"/>
  <c r="BR27" i="35"/>
  <c r="CC45" i="35"/>
  <c r="BI47" i="35"/>
  <c r="AL29" i="35"/>
  <c r="U47" i="35"/>
  <c r="CJ44" i="35"/>
  <c r="BK34" i="35"/>
  <c r="BV28" i="35"/>
  <c r="CA44" i="35"/>
  <c r="AM48" i="35"/>
  <c r="BP30" i="35"/>
  <c r="CA27" i="35"/>
  <c r="Y45" i="35"/>
  <c r="BT29" i="35"/>
  <c r="Y46" i="35"/>
  <c r="B46" i="35"/>
  <c r="AZ47" i="35"/>
  <c r="BX27" i="35"/>
  <c r="R28" i="35"/>
  <c r="AP29" i="35"/>
  <c r="G44" i="35"/>
  <c r="AZ45" i="35"/>
  <c r="FF5" i="2"/>
  <c r="CD31" i="35"/>
  <c r="T30" i="2"/>
  <c r="K28" i="35"/>
  <c r="FF4" i="2"/>
  <c r="AB27" i="35"/>
  <c r="CF48" i="35"/>
  <c r="BM29" i="35"/>
  <c r="AI29" i="35"/>
  <c r="V47" i="35"/>
  <c r="BV44" i="35"/>
  <c r="AT27" i="35"/>
  <c r="K30" i="35"/>
  <c r="AK29" i="35"/>
  <c r="BT48" i="35"/>
  <c r="BJ51" i="35"/>
  <c r="AN48" i="35"/>
  <c r="AL31" i="35"/>
  <c r="BX30" i="35"/>
  <c r="S28" i="2"/>
  <c r="BS29" i="35"/>
  <c r="K27" i="35"/>
  <c r="AY51" i="35"/>
  <c r="CL45" i="35"/>
  <c r="AK30" i="35"/>
  <c r="U30" i="35"/>
  <c r="T28" i="2"/>
  <c r="P29" i="35"/>
  <c r="AC28" i="35"/>
  <c r="BG29" i="35"/>
  <c r="AE29" i="35"/>
  <c r="AD44" i="35"/>
  <c r="BA44" i="35"/>
  <c r="AH51" i="35"/>
  <c r="CK30" i="35"/>
  <c r="W31" i="35"/>
  <c r="AS28" i="35"/>
  <c r="CE29" i="35"/>
  <c r="W34" i="35"/>
  <c r="FG13" i="2"/>
  <c r="CG45" i="35"/>
  <c r="Z27" i="35"/>
  <c r="BO46" i="35"/>
  <c r="CE47" i="35"/>
  <c r="CK47" i="35"/>
  <c r="BY31" i="35"/>
  <c r="BL30" i="35"/>
  <c r="Z30" i="35"/>
  <c r="O27" i="35"/>
  <c r="AG29" i="35"/>
  <c r="A47" i="35"/>
  <c r="AI51" i="35"/>
  <c r="BO48" i="35"/>
  <c r="BR44" i="35"/>
  <c r="BZ46" i="35"/>
  <c r="AM51" i="35"/>
  <c r="AO30" i="35"/>
  <c r="AD34" i="35"/>
  <c r="N45" i="35"/>
  <c r="H51" i="35"/>
  <c r="U46" i="35"/>
  <c r="AE34" i="35"/>
  <c r="AD48" i="35"/>
  <c r="BW48" i="35"/>
  <c r="BC27" i="35"/>
  <c r="D34" i="35"/>
  <c r="CH31" i="35"/>
  <c r="BT27" i="35"/>
  <c r="BN30" i="35"/>
  <c r="BD45" i="35"/>
  <c r="BX45" i="35"/>
  <c r="AS30" i="35"/>
  <c r="BF27" i="35"/>
  <c r="CM29" i="35"/>
  <c r="AF44" i="35"/>
  <c r="AS31" i="35"/>
  <c r="AK44" i="35"/>
  <c r="M47" i="35"/>
  <c r="T51" i="35"/>
  <c r="BC47" i="35"/>
  <c r="Q47" i="35"/>
  <c r="BO45" i="35"/>
  <c r="I47" i="35"/>
  <c r="AX29" i="35"/>
  <c r="AG47" i="35"/>
  <c r="AK28" i="35"/>
  <c r="L45" i="35"/>
  <c r="AU28" i="35"/>
  <c r="FF7" i="2"/>
  <c r="BZ30" i="35"/>
  <c r="FF14" i="2"/>
  <c r="AK27" i="35"/>
  <c r="CJ28" i="35"/>
  <c r="F46" i="35"/>
  <c r="T47" i="35"/>
  <c r="BL28" i="35"/>
  <c r="D51" i="35"/>
  <c r="AU45" i="35"/>
  <c r="Q44" i="35"/>
  <c r="AY29" i="35"/>
  <c r="CM45" i="35"/>
  <c r="G48" i="35"/>
  <c r="AA47" i="35"/>
  <c r="BB30" i="35"/>
  <c r="V44" i="35"/>
  <c r="AB44" i="35"/>
  <c r="C33" i="35"/>
  <c r="BM51" i="35"/>
  <c r="AI48" i="35"/>
  <c r="AB45" i="35"/>
  <c r="N34" i="35"/>
  <c r="AS29" i="35"/>
  <c r="O45" i="35"/>
  <c r="CC27" i="35"/>
  <c r="CB30" i="35"/>
  <c r="CF31" i="35"/>
  <c r="AG28" i="35"/>
  <c r="CG48" i="35"/>
  <c r="AW51" i="35"/>
  <c r="X46" i="35"/>
  <c r="CF28" i="35"/>
  <c r="CD47" i="35"/>
  <c r="AD27" i="35"/>
  <c r="BD46" i="35"/>
  <c r="AN44" i="35"/>
  <c r="BY51" i="35"/>
  <c r="BN45" i="35"/>
  <c r="AH30" i="35"/>
  <c r="AR30" i="35"/>
  <c r="AJ46" i="35"/>
  <c r="C31" i="35"/>
  <c r="AU48" i="35"/>
  <c r="AB34" i="35"/>
  <c r="L34" i="35"/>
  <c r="C27" i="35"/>
  <c r="BX46" i="35"/>
  <c r="AR27" i="35"/>
  <c r="BH51" i="35"/>
  <c r="BC31" i="35"/>
  <c r="P30" i="35"/>
  <c r="Q29" i="35"/>
  <c r="CI47" i="35"/>
  <c r="AU34" i="35"/>
  <c r="BE31" i="35"/>
  <c r="BO29" i="35"/>
  <c r="CF45" i="35"/>
  <c r="Y28" i="35"/>
  <c r="FG6" i="2"/>
  <c r="M31" i="35"/>
  <c r="BQ29" i="35"/>
  <c r="CB48" i="35"/>
  <c r="Y47" i="35"/>
  <c r="CC30" i="35"/>
  <c r="F28" i="35"/>
  <c r="G45" i="35"/>
  <c r="L47" i="35"/>
  <c r="BR47" i="35"/>
  <c r="BY44" i="35"/>
  <c r="BR28" i="35"/>
  <c r="AW46" i="35"/>
  <c r="CM31" i="35"/>
  <c r="O28" i="35"/>
  <c r="Z44" i="35"/>
  <c r="AM46" i="35"/>
  <c r="AY47" i="35"/>
  <c r="AF28" i="35"/>
  <c r="FG10" i="2"/>
  <c r="L44" i="35"/>
  <c r="BQ44" i="35"/>
  <c r="BC45" i="35"/>
  <c r="BW34" i="35"/>
  <c r="AJ47" i="35"/>
  <c r="AG44" i="35"/>
  <c r="CL29" i="35"/>
  <c r="BA27" i="35"/>
  <c r="BJ29" i="35"/>
  <c r="BJ34" i="35"/>
  <c r="AG45" i="35"/>
  <c r="S24" i="2"/>
  <c r="BR48" i="35"/>
  <c r="BC46" i="35"/>
  <c r="BD31" i="35"/>
  <c r="CD34" i="35"/>
  <c r="A46" i="35"/>
  <c r="BI34" i="35"/>
  <c r="CB31" i="35"/>
  <c r="FF8" i="2"/>
  <c r="S46" i="35"/>
  <c r="N51" i="35"/>
  <c r="BI44" i="35"/>
  <c r="CF30" i="35"/>
  <c r="AT45" i="35"/>
  <c r="AT28" i="35"/>
  <c r="Q30" i="35"/>
  <c r="E47" i="35"/>
  <c r="Z51" i="35"/>
  <c r="BR34" i="35"/>
  <c r="AG51" i="35"/>
  <c r="FF19" i="2"/>
  <c r="U34" i="35"/>
  <c r="BS45" i="35"/>
  <c r="D48" i="35"/>
  <c r="C29" i="35"/>
  <c r="AB46" i="35"/>
  <c r="FF15" i="2"/>
  <c r="O30" i="35"/>
  <c r="BB47" i="35"/>
  <c r="AI46" i="35"/>
  <c r="Y29" i="35"/>
  <c r="AW31" i="35"/>
  <c r="CI30" i="35"/>
  <c r="R44" i="35"/>
  <c r="BM27" i="35"/>
  <c r="G27" i="35"/>
  <c r="BA47" i="35"/>
  <c r="BU46" i="35"/>
  <c r="N46" i="35"/>
  <c r="CM46" i="35"/>
  <c r="CK51" i="35"/>
  <c r="U51" i="35"/>
  <c r="R31" i="35"/>
  <c r="AR31" i="35"/>
  <c r="FF12" i="2"/>
  <c r="K45" i="35"/>
  <c r="AU29" i="35"/>
  <c r="BU51" i="35"/>
  <c r="S29" i="35"/>
  <c r="AF27" i="35"/>
  <c r="CE46" i="35"/>
  <c r="BJ46" i="35"/>
  <c r="AC48" i="35"/>
  <c r="AI27" i="35"/>
  <c r="CG44" i="35"/>
  <c r="BO28" i="35"/>
  <c r="AC31" i="35"/>
  <c r="S45" i="35"/>
  <c r="AS44" i="35"/>
  <c r="AN46" i="35"/>
  <c r="BR45" i="35"/>
  <c r="AP31" i="35"/>
  <c r="BN47" i="35"/>
  <c r="Z47" i="35"/>
  <c r="CE28" i="35"/>
  <c r="BK31" i="35"/>
  <c r="BG30" i="35"/>
  <c r="AY44" i="35"/>
  <c r="H27" i="35"/>
  <c r="X31" i="35"/>
  <c r="BK29" i="35"/>
  <c r="D47" i="35"/>
  <c r="BS31" i="35"/>
  <c r="F45" i="35"/>
  <c r="AW48" i="35"/>
  <c r="CA51" i="35"/>
  <c r="CJ29" i="35"/>
  <c r="AX51" i="35"/>
  <c r="BT45" i="35"/>
  <c r="CJ45" i="35"/>
  <c r="CG34" i="35"/>
  <c r="R47" i="35"/>
  <c r="CA31" i="35"/>
  <c r="FF2" i="2"/>
  <c r="AI30" i="35"/>
  <c r="CH30" i="35"/>
  <c r="H34" i="35"/>
  <c r="AM44" i="35"/>
  <c r="AO44" i="35"/>
  <c r="BO34" i="35"/>
  <c r="CK28" i="35"/>
  <c r="CI28" i="35"/>
  <c r="AI47" i="35"/>
  <c r="CA46" i="35"/>
  <c r="L27" i="35"/>
  <c r="AN45" i="35"/>
  <c r="D30" i="35"/>
  <c r="AA30" i="35"/>
  <c r="CG46" i="35"/>
  <c r="K34" i="35"/>
  <c r="X34" i="35"/>
  <c r="AK45" i="35"/>
  <c r="CA47" i="35"/>
  <c r="BV48" i="35"/>
  <c r="Q48" i="35"/>
  <c r="E29" i="35"/>
  <c r="BK30" i="35"/>
  <c r="BX28" i="35"/>
  <c r="BF51" i="35"/>
  <c r="F29" i="35"/>
  <c r="CD46" i="35"/>
  <c r="AM29" i="35"/>
  <c r="AV51" i="35"/>
  <c r="BD51" i="35"/>
  <c r="AA46" i="35"/>
  <c r="BT31" i="35"/>
  <c r="Y44" i="35"/>
  <c r="CC44" i="35"/>
  <c r="BG31" i="35"/>
  <c r="AH48" i="35"/>
  <c r="BP34" i="35"/>
  <c r="P27" i="35"/>
  <c r="BS47" i="35"/>
  <c r="FG14" i="2"/>
  <c r="AX44" i="35"/>
  <c r="AE51" i="35"/>
  <c r="BD34" i="35"/>
  <c r="BH45" i="35"/>
  <c r="BZ48" i="35"/>
  <c r="CK48" i="35"/>
  <c r="N30" i="35"/>
  <c r="BB31" i="35"/>
  <c r="T31" i="2"/>
  <c r="BW44" i="35"/>
  <c r="D45" i="35"/>
  <c r="AJ45" i="35"/>
  <c r="AX30" i="35"/>
  <c r="AM47" i="35"/>
  <c r="AU51" i="35"/>
  <c r="Q28" i="35"/>
  <c r="BQ27" i="35"/>
  <c r="CI31" i="35"/>
  <c r="CD29" i="35"/>
  <c r="BG34" i="35"/>
  <c r="P45" i="35"/>
  <c r="CH27" i="35"/>
  <c r="CI46" i="35"/>
  <c r="S31" i="35"/>
  <c r="G46" i="35"/>
  <c r="AT46" i="35"/>
  <c r="J34" i="35"/>
  <c r="CB45" i="35"/>
  <c r="FF3" i="2"/>
  <c r="CL44" i="35"/>
  <c r="C50" i="35"/>
  <c r="G31" i="35"/>
  <c r="AZ51" i="35"/>
  <c r="AS47" i="35"/>
  <c r="A28" i="35"/>
  <c r="BK48" i="35"/>
  <c r="BR31" i="35"/>
  <c r="K31" i="35"/>
  <c r="BI30" i="35"/>
  <c r="BP45" i="35"/>
  <c r="M30" i="35"/>
  <c r="BQ46" i="35"/>
  <c r="X48" i="35"/>
  <c r="BQ51" i="35"/>
  <c r="BI45" i="35"/>
  <c r="BV30" i="35"/>
  <c r="Y34" i="35"/>
  <c r="BK46" i="35"/>
  <c r="AM34" i="35"/>
  <c r="E51" i="35"/>
  <c r="BF28" i="35"/>
  <c r="AH45" i="35"/>
  <c r="BZ51" i="35"/>
  <c r="AO47" i="35"/>
  <c r="A31" i="35"/>
  <c r="BL34" i="35"/>
  <c r="AU47" i="35"/>
  <c r="AD28" i="35"/>
  <c r="AN51" i="35"/>
  <c r="T31" i="35"/>
  <c r="S47" i="35"/>
  <c r="BH29" i="35"/>
  <c r="AL34" i="35"/>
  <c r="AJ34" i="35"/>
  <c r="AE44" i="35"/>
  <c r="AZ28" i="35"/>
  <c r="AN30" i="35"/>
  <c r="BL31" i="35"/>
  <c r="CK46" i="35"/>
  <c r="Q46" i="35"/>
  <c r="BC51" i="35"/>
  <c r="AL47" i="35"/>
  <c r="R27" i="35"/>
  <c r="BA30" i="35"/>
  <c r="FF11" i="2"/>
  <c r="CE27" i="35"/>
  <c r="E27" i="35"/>
  <c r="AK31" i="35"/>
  <c r="H44" i="35"/>
  <c r="AQ27" i="35"/>
  <c r="I45" i="35"/>
  <c r="BC29" i="35"/>
  <c r="FG19" i="2"/>
  <c r="Z34" i="35"/>
  <c r="CL28" i="35"/>
  <c r="CI48" i="35"/>
  <c r="S23" i="2"/>
  <c r="AD46" i="35"/>
  <c r="BA28" i="35"/>
  <c r="T23" i="2"/>
  <c r="AE27" i="35"/>
  <c r="AA45" i="35"/>
  <c r="J29" i="35"/>
  <c r="BB48" i="35"/>
  <c r="W27" i="35"/>
  <c r="V51" i="35"/>
  <c r="AZ44" i="35"/>
  <c r="FF18" i="2"/>
  <c r="CH29" i="35"/>
  <c r="T30" i="35"/>
  <c r="CJ30" i="35"/>
  <c r="CB28" i="35"/>
  <c r="AA29" i="35"/>
  <c r="V29" i="35"/>
  <c r="AH29" i="35"/>
  <c r="AW27" i="35"/>
  <c r="CE44" i="35"/>
  <c r="CL47" i="35"/>
  <c r="BP51" i="35"/>
  <c r="BF34" i="35"/>
  <c r="BQ30" i="35"/>
  <c r="K44" i="35"/>
  <c r="W45" i="35"/>
  <c r="AD51" i="35"/>
  <c r="CD27" i="35"/>
  <c r="CE51" i="35"/>
  <c r="E28" i="35"/>
  <c r="C51" i="35"/>
  <c r="C48" i="35"/>
  <c r="C34" i="35"/>
  <c r="I44" i="35"/>
  <c r="CC34" i="35"/>
  <c r="T45" i="35"/>
  <c r="BS30" i="35"/>
  <c r="FG11" i="2"/>
  <c r="P28" i="35"/>
  <c r="BF30" i="35"/>
  <c r="N44" i="35"/>
  <c r="AQ44" i="35"/>
  <c r="BY29" i="35"/>
  <c r="D44" i="35"/>
  <c r="E48" i="35"/>
  <c r="BD29" i="35"/>
  <c r="I29" i="35"/>
  <c r="N27" i="35"/>
  <c r="CM27" i="35"/>
  <c r="T25" i="2"/>
  <c r="CD44" i="35"/>
  <c r="BJ48" i="35"/>
  <c r="Z48" i="35"/>
  <c r="BA34" i="35"/>
  <c r="AU30" i="35"/>
  <c r="BW31" i="35"/>
  <c r="Z29" i="35"/>
  <c r="U27" i="35"/>
  <c r="S34" i="35"/>
  <c r="R30" i="35"/>
  <c r="BJ28" i="35"/>
  <c r="D31" i="35"/>
  <c r="BL27" i="35"/>
  <c r="CB34" i="35"/>
  <c r="CE48" i="35"/>
  <c r="BG48" i="35"/>
  <c r="AW28" i="35"/>
  <c r="BJ47" i="35"/>
  <c r="M48" i="35"/>
  <c r="CE30" i="35"/>
  <c r="AT29" i="35"/>
  <c r="BN51" i="35"/>
  <c r="BS46" i="35"/>
  <c r="AW47" i="35"/>
  <c r="Y48" i="35"/>
  <c r="AS51" i="35"/>
  <c r="CC47" i="35"/>
  <c r="BX44" i="35"/>
  <c r="AD31" i="35"/>
  <c r="N28" i="35"/>
  <c r="BB28" i="35"/>
  <c r="F47" i="35"/>
  <c r="AB30" i="35"/>
  <c r="C30" i="35"/>
  <c r="BT30" i="35"/>
  <c r="BX50" i="35" l="1"/>
  <c r="CQ44" i="35"/>
  <c r="BX49" i="35"/>
  <c r="CR47" i="35"/>
  <c r="AS52" i="35"/>
  <c r="BN52" i="35"/>
  <c r="CB35" i="35"/>
  <c r="BL33" i="35"/>
  <c r="BL32" i="35"/>
  <c r="S35" i="35"/>
  <c r="U32" i="35"/>
  <c r="U33" i="35"/>
  <c r="CP31" i="35"/>
  <c r="BA35" i="35"/>
  <c r="CD50" i="35"/>
  <c r="CD49" i="35"/>
  <c r="CS44" i="35"/>
  <c r="E3" i="35"/>
  <c r="N33" i="35"/>
  <c r="N32" i="35"/>
  <c r="O2" i="35"/>
  <c r="AQ50" i="35"/>
  <c r="AQ49" i="35"/>
  <c r="N50" i="35"/>
  <c r="N49" i="35"/>
  <c r="CC35" i="35"/>
  <c r="CR34" i="35"/>
  <c r="CR35" i="35" s="1"/>
  <c r="I49" i="35"/>
  <c r="I50" i="35"/>
  <c r="D2" i="35"/>
  <c r="CE52" i="35"/>
  <c r="CS27" i="35"/>
  <c r="CD32" i="35"/>
  <c r="CD33" i="35"/>
  <c r="AD52" i="35"/>
  <c r="K50" i="35"/>
  <c r="K49" i="35"/>
  <c r="BF35" i="35"/>
  <c r="BP52" i="35"/>
  <c r="CE49" i="35"/>
  <c r="CE50" i="35"/>
  <c r="AW33" i="35"/>
  <c r="AW32" i="35"/>
  <c r="FH18" i="2"/>
  <c r="AZ49" i="35"/>
  <c r="AZ50" i="35"/>
  <c r="V52" i="35"/>
  <c r="W32" i="35"/>
  <c r="W33" i="35"/>
  <c r="AE32" i="35"/>
  <c r="AE33" i="35"/>
  <c r="U23" i="2"/>
  <c r="Z35" i="35"/>
  <c r="AQ32" i="35"/>
  <c r="AQ33" i="35"/>
  <c r="H49" i="35"/>
  <c r="M3" i="35" s="1"/>
  <c r="H50" i="35"/>
  <c r="E2" i="35"/>
  <c r="CE32" i="35"/>
  <c r="CE33" i="35"/>
  <c r="FH11" i="2"/>
  <c r="R32" i="35"/>
  <c r="R33" i="35"/>
  <c r="BC52" i="35"/>
  <c r="Q5" i="35"/>
  <c r="AE49" i="35"/>
  <c r="AE50" i="35"/>
  <c r="AJ35" i="35"/>
  <c r="AL35" i="35"/>
  <c r="AN52" i="35"/>
  <c r="BL35" i="35"/>
  <c r="BZ52" i="35"/>
  <c r="AM35" i="35"/>
  <c r="Y35" i="35"/>
  <c r="CO30" i="35"/>
  <c r="BQ52" i="35"/>
  <c r="AZ52" i="35"/>
  <c r="A4" i="35"/>
  <c r="FH3" i="2"/>
  <c r="J35" i="35"/>
  <c r="Q4" i="35"/>
  <c r="CH32" i="35"/>
  <c r="CH33" i="35"/>
  <c r="BG35" i="35"/>
  <c r="CS29" i="35"/>
  <c r="BQ32" i="35"/>
  <c r="BQ33" i="35"/>
  <c r="AU52" i="35"/>
  <c r="CP44" i="35"/>
  <c r="BW50" i="35"/>
  <c r="BW49" i="35"/>
  <c r="O5" i="35"/>
  <c r="BD35" i="35"/>
  <c r="AE52" i="35"/>
  <c r="AX49" i="35"/>
  <c r="AX50" i="35"/>
  <c r="P32" i="35"/>
  <c r="P33" i="35"/>
  <c r="BP35" i="35"/>
  <c r="CC49" i="35"/>
  <c r="CC50" i="35"/>
  <c r="CR44" i="35"/>
  <c r="Y49" i="35"/>
  <c r="Y50" i="35"/>
  <c r="BD52" i="35"/>
  <c r="AV52" i="35"/>
  <c r="CS46" i="35"/>
  <c r="BF52" i="35"/>
  <c r="CQ28" i="35"/>
  <c r="C2" i="35"/>
  <c r="CO48" i="35"/>
  <c r="X35" i="35"/>
  <c r="K35" i="35"/>
  <c r="L33" i="35"/>
  <c r="L32" i="35"/>
  <c r="D5" i="35"/>
  <c r="BO35" i="35"/>
  <c r="AO49" i="35"/>
  <c r="AO50" i="35"/>
  <c r="AM50" i="35"/>
  <c r="AM49" i="35"/>
  <c r="H35" i="35"/>
  <c r="K2" i="35"/>
  <c r="FH2" i="2"/>
  <c r="M16" i="35"/>
  <c r="AX52" i="35"/>
  <c r="CA52" i="35"/>
  <c r="H33" i="35"/>
  <c r="H32" i="35"/>
  <c r="K3" i="35" s="1"/>
  <c r="AY50" i="35"/>
  <c r="AY49" i="35"/>
  <c r="AS49" i="35"/>
  <c r="AS50" i="35"/>
  <c r="CG50" i="35"/>
  <c r="CG49" i="35"/>
  <c r="AI33" i="35"/>
  <c r="AI32" i="35"/>
  <c r="AF33" i="35"/>
  <c r="AF32" i="35"/>
  <c r="BU52" i="35"/>
  <c r="CN51" i="35"/>
  <c r="CN52" i="35" s="1"/>
  <c r="FH12" i="2"/>
  <c r="U52" i="35"/>
  <c r="Q3" i="35"/>
  <c r="CN46" i="35"/>
  <c r="E4" i="35"/>
  <c r="BM33" i="35"/>
  <c r="BM32" i="35"/>
  <c r="R50" i="35"/>
  <c r="R49" i="35"/>
  <c r="FH15" i="2"/>
  <c r="U35" i="35"/>
  <c r="FH19" i="2"/>
  <c r="AG52" i="35"/>
  <c r="BR35" i="35"/>
  <c r="Z52" i="35"/>
  <c r="P2" i="35"/>
  <c r="BI50" i="35"/>
  <c r="BI49" i="35"/>
  <c r="N52" i="35"/>
  <c r="FH8" i="2"/>
  <c r="BI35" i="35"/>
  <c r="CD35" i="35"/>
  <c r="CS34" i="35"/>
  <c r="CS35" i="35" s="1"/>
  <c r="U24" i="2"/>
  <c r="BJ35" i="35"/>
  <c r="BA32" i="35"/>
  <c r="BA33" i="35"/>
  <c r="AG50" i="35"/>
  <c r="AG49" i="35"/>
  <c r="CP34" i="35"/>
  <c r="CP35" i="35" s="1"/>
  <c r="M10" i="35" s="1"/>
  <c r="BW35" i="35"/>
  <c r="BQ50" i="35"/>
  <c r="BQ49" i="35"/>
  <c r="L50" i="35"/>
  <c r="L49" i="35"/>
  <c r="Z49" i="35"/>
  <c r="Z50" i="35"/>
  <c r="A3" i="35"/>
  <c r="BY49" i="35"/>
  <c r="BY50" i="35"/>
  <c r="R4" i="35"/>
  <c r="CR30" i="35"/>
  <c r="AU35" i="35"/>
  <c r="BH52" i="35"/>
  <c r="AR33" i="35"/>
  <c r="AR32" i="35"/>
  <c r="CQ46" i="35"/>
  <c r="L35" i="35"/>
  <c r="AB35" i="35"/>
  <c r="BY52" i="35"/>
  <c r="AN50" i="35"/>
  <c r="AN49" i="35"/>
  <c r="AD32" i="35"/>
  <c r="AD33" i="35"/>
  <c r="CS47" i="35"/>
  <c r="AW52" i="35"/>
  <c r="CC32" i="35"/>
  <c r="CC33" i="35"/>
  <c r="CR27" i="35"/>
  <c r="N35" i="35"/>
  <c r="BM52" i="35"/>
  <c r="AB50" i="35"/>
  <c r="AB49" i="35"/>
  <c r="V49" i="35"/>
  <c r="V50" i="35"/>
  <c r="O4" i="35"/>
  <c r="R3" i="35"/>
  <c r="Q50" i="35"/>
  <c r="Q49" i="35"/>
  <c r="AK33" i="35"/>
  <c r="AK32" i="35"/>
  <c r="FH14" i="2"/>
  <c r="FH7" i="2"/>
  <c r="T52" i="35"/>
  <c r="AK50" i="35"/>
  <c r="AK49" i="35"/>
  <c r="AF50" i="35"/>
  <c r="AF49" i="35"/>
  <c r="C3" i="35"/>
  <c r="BF33" i="35"/>
  <c r="BF32" i="35"/>
  <c r="CQ45" i="35"/>
  <c r="BT33" i="35"/>
  <c r="BT32" i="35"/>
  <c r="BC33" i="35"/>
  <c r="BC32" i="35"/>
  <c r="CP48" i="35"/>
  <c r="AE35" i="35"/>
  <c r="M2" i="35"/>
  <c r="H52" i="35"/>
  <c r="AD35" i="35"/>
  <c r="AM52" i="35"/>
  <c r="BR50" i="35"/>
  <c r="BR49" i="35"/>
  <c r="AI52" i="35"/>
  <c r="O32" i="35"/>
  <c r="O33" i="35"/>
  <c r="P5" i="35"/>
  <c r="Z33" i="35"/>
  <c r="Z32" i="35"/>
  <c r="W35" i="35"/>
  <c r="B5" i="35"/>
  <c r="AH52" i="35"/>
  <c r="BA49" i="35"/>
  <c r="BA50" i="35"/>
  <c r="AD50" i="35"/>
  <c r="AD49" i="35"/>
  <c r="AY52" i="35"/>
  <c r="K33" i="35"/>
  <c r="K32" i="35"/>
  <c r="U28" i="2"/>
  <c r="CQ30" i="35"/>
  <c r="BJ52" i="35"/>
  <c r="AT32" i="35"/>
  <c r="AT33" i="35"/>
  <c r="BV49" i="35"/>
  <c r="CO44" i="35"/>
  <c r="BV50" i="35"/>
  <c r="AB32" i="35"/>
  <c r="AB33" i="35"/>
  <c r="FH4" i="2"/>
  <c r="CS31" i="35"/>
  <c r="FH5" i="2"/>
  <c r="S4" i="35"/>
  <c r="BX32" i="35"/>
  <c r="CQ27" i="35"/>
  <c r="BX33" i="35"/>
  <c r="CA32" i="35"/>
  <c r="CA33" i="35"/>
  <c r="CA50" i="35"/>
  <c r="CA49" i="35"/>
  <c r="CO28" i="35"/>
  <c r="BK35" i="35"/>
  <c r="CR45" i="35"/>
  <c r="BR32" i="35"/>
  <c r="BR33" i="35"/>
  <c r="BJ49" i="35"/>
  <c r="BJ50" i="35"/>
  <c r="M17" i="35"/>
  <c r="BC50" i="35"/>
  <c r="BC49" i="35"/>
  <c r="AA52" i="35"/>
  <c r="CB49" i="35"/>
  <c r="CB50" i="35"/>
  <c r="AN33" i="35"/>
  <c r="AN32" i="35"/>
  <c r="FH17" i="2"/>
  <c r="CP46" i="35"/>
  <c r="O49" i="35"/>
  <c r="O50" i="35"/>
  <c r="S2" i="35"/>
  <c r="CN44" i="35"/>
  <c r="BU50" i="35"/>
  <c r="BU49" i="35"/>
  <c r="S52" i="35"/>
  <c r="AS33" i="35"/>
  <c r="AS32" i="35"/>
  <c r="BL49" i="35"/>
  <c r="BL50" i="35"/>
  <c r="AL49" i="35"/>
  <c r="AL50" i="35"/>
  <c r="X52" i="35"/>
  <c r="T35" i="35"/>
  <c r="BE52" i="35"/>
  <c r="BP50" i="35"/>
  <c r="BP49" i="35"/>
  <c r="BE50" i="35"/>
  <c r="BE49" i="35"/>
  <c r="AY35" i="35"/>
  <c r="B3" i="35"/>
  <c r="AF52" i="35"/>
  <c r="BM49" i="35"/>
  <c r="BM50" i="35"/>
  <c r="CN29" i="35"/>
  <c r="BT35" i="35"/>
  <c r="X49" i="35"/>
  <c r="X50" i="35"/>
  <c r="CQ29" i="35"/>
  <c r="FH10" i="2"/>
  <c r="BJ32" i="35"/>
  <c r="BJ33" i="35"/>
  <c r="BG49" i="35"/>
  <c r="BG50" i="35"/>
  <c r="J52" i="35"/>
  <c r="AQ52" i="35"/>
  <c r="BK32" i="35"/>
  <c r="BK33" i="35"/>
  <c r="P35" i="35"/>
  <c r="AO35" i="35"/>
  <c r="BG33" i="35"/>
  <c r="BG32" i="35"/>
  <c r="J32" i="35"/>
  <c r="J33" i="35"/>
  <c r="O17" i="35"/>
  <c r="AF35" i="35"/>
  <c r="CN28" i="35"/>
  <c r="CQ51" i="35"/>
  <c r="CQ52" i="35" s="1"/>
  <c r="BX52" i="35"/>
  <c r="V35" i="35"/>
  <c r="CA35" i="35"/>
  <c r="P49" i="35"/>
  <c r="P50" i="35"/>
  <c r="B2" i="35"/>
  <c r="BF49" i="35"/>
  <c r="BF50" i="35"/>
  <c r="AK52" i="35"/>
  <c r="BA52" i="35"/>
  <c r="BI52" i="35"/>
  <c r="CN47" i="35"/>
  <c r="K52" i="35"/>
  <c r="L52" i="35"/>
  <c r="AH35" i="35"/>
  <c r="BS32" i="35"/>
  <c r="BS33" i="35"/>
  <c r="CN27" i="35"/>
  <c r="BU32" i="35"/>
  <c r="BU33" i="35"/>
  <c r="AY32" i="35"/>
  <c r="AY33" i="35"/>
  <c r="AQ35" i="35"/>
  <c r="CQ31" i="35"/>
  <c r="CG32" i="35"/>
  <c r="CG33" i="35"/>
  <c r="BE32" i="35"/>
  <c r="BE33" i="35"/>
  <c r="BB52" i="35"/>
  <c r="CD52" i="35"/>
  <c r="CS51" i="35"/>
  <c r="CS52" i="35" s="1"/>
  <c r="O13" i="35" s="1"/>
  <c r="U25" i="2"/>
  <c r="W52" i="35"/>
  <c r="U30" i="2"/>
  <c r="T50" i="35"/>
  <c r="T49" i="35"/>
  <c r="BG52" i="35"/>
  <c r="CO47" i="35"/>
  <c r="CC52" i="35"/>
  <c r="CR51" i="35"/>
  <c r="CR52" i="35" s="1"/>
  <c r="CN30" i="35"/>
  <c r="BB32" i="35"/>
  <c r="BB33" i="35"/>
  <c r="CF52" i="35"/>
  <c r="Q35" i="35"/>
  <c r="R52" i="35"/>
  <c r="AO52" i="35"/>
  <c r="CB32" i="35"/>
  <c r="CB33" i="35"/>
  <c r="O52" i="35"/>
  <c r="AC50" i="35"/>
  <c r="AC49" i="35"/>
  <c r="AB52" i="35"/>
  <c r="CP28" i="35"/>
  <c r="Y52" i="35"/>
  <c r="FH16" i="2"/>
  <c r="BO32" i="35"/>
  <c r="BO33" i="35"/>
  <c r="FH9" i="2"/>
  <c r="CS45" i="35"/>
  <c r="O18" i="35"/>
  <c r="AA32" i="35"/>
  <c r="AA33" i="35"/>
  <c r="CP45" i="35"/>
  <c r="AZ35" i="35"/>
  <c r="CH49" i="35"/>
  <c r="CH50" i="35"/>
  <c r="BS52" i="35"/>
  <c r="CP47" i="35"/>
  <c r="M50" i="35"/>
  <c r="M49" i="35"/>
  <c r="R2" i="35"/>
  <c r="CQ47" i="35"/>
  <c r="AP52" i="35"/>
  <c r="R5" i="35"/>
  <c r="BN33" i="35"/>
  <c r="BN32" i="35"/>
  <c r="C5" i="35"/>
  <c r="AH33" i="35"/>
  <c r="AH32" i="35"/>
  <c r="CQ34" i="35"/>
  <c r="CQ35" i="35" s="1"/>
  <c r="BX35" i="35"/>
  <c r="CN48" i="35"/>
  <c r="AP35" i="35"/>
  <c r="BZ35" i="35"/>
  <c r="AT35" i="35"/>
  <c r="CF50" i="35"/>
  <c r="CF49" i="35"/>
  <c r="CO29" i="35"/>
  <c r="D3" i="35"/>
  <c r="AG35" i="35"/>
  <c r="AX35" i="35"/>
  <c r="FH13" i="2"/>
  <c r="CR46" i="35"/>
  <c r="U29" i="2"/>
  <c r="M52" i="35"/>
  <c r="BM35" i="35"/>
  <c r="AM32" i="35"/>
  <c r="AM33" i="35"/>
  <c r="AI50" i="35"/>
  <c r="AI49" i="35"/>
  <c r="CO27" i="35"/>
  <c r="BV33" i="35"/>
  <c r="BV32" i="35"/>
  <c r="BK50" i="35"/>
  <c r="BK49" i="35"/>
  <c r="BH32" i="35"/>
  <c r="BH33" i="35"/>
  <c r="AX32" i="35"/>
  <c r="AX33" i="35"/>
  <c r="J49" i="35"/>
  <c r="J50" i="35"/>
  <c r="S49" i="35"/>
  <c r="S50" i="35"/>
  <c r="T32" i="35"/>
  <c r="T33" i="35"/>
  <c r="BZ49" i="35"/>
  <c r="BZ50" i="35"/>
  <c r="AV50" i="35"/>
  <c r="AV49" i="35"/>
  <c r="BP33" i="35"/>
  <c r="BP32" i="35"/>
  <c r="AC35" i="35"/>
  <c r="I3" i="35"/>
  <c r="I2" i="35"/>
  <c r="W50" i="35"/>
  <c r="W49" i="35"/>
  <c r="BO52" i="35"/>
  <c r="X32" i="35"/>
  <c r="X33" i="35"/>
  <c r="CO31" i="35"/>
  <c r="BK52" i="35"/>
  <c r="CB52" i="35"/>
  <c r="BR52" i="35"/>
  <c r="BI32" i="35"/>
  <c r="BI33" i="35"/>
  <c r="AA49" i="35"/>
  <c r="AA50" i="35"/>
  <c r="BY35" i="35"/>
  <c r="O35" i="35"/>
  <c r="AA35" i="35"/>
  <c r="CO45" i="35"/>
  <c r="CS48" i="35"/>
  <c r="CF35" i="35"/>
  <c r="Q2" i="35"/>
  <c r="AO32" i="35"/>
  <c r="AO33" i="35"/>
  <c r="BD49" i="35"/>
  <c r="BD50" i="35"/>
  <c r="Q52" i="35"/>
  <c r="AG32" i="35"/>
  <c r="AG33" i="35"/>
  <c r="C4" i="35"/>
  <c r="U26" i="2"/>
  <c r="BT50" i="35"/>
  <c r="BT49" i="35"/>
  <c r="CR28" i="35"/>
  <c r="M32" i="35"/>
  <c r="M33" i="35"/>
  <c r="BB49" i="35"/>
  <c r="BB50" i="35"/>
  <c r="D4" i="35"/>
  <c r="AH49" i="35"/>
  <c r="AH50" i="35"/>
  <c r="BY32" i="35"/>
  <c r="BY33" i="35"/>
  <c r="BN49" i="35"/>
  <c r="BN50" i="35"/>
  <c r="I52" i="35"/>
  <c r="AC33" i="35"/>
  <c r="AC32" i="35"/>
  <c r="AT49" i="35"/>
  <c r="AT50" i="35"/>
  <c r="BS35" i="35"/>
  <c r="Y32" i="35"/>
  <c r="Y33" i="35"/>
  <c r="AW35" i="35"/>
  <c r="BQ35" i="35"/>
  <c r="B4" i="35"/>
  <c r="BO49" i="35"/>
  <c r="BO50" i="35"/>
  <c r="AP50" i="35"/>
  <c r="AP49" i="35"/>
  <c r="BH49" i="35"/>
  <c r="BH50" i="35"/>
  <c r="BL52" i="35"/>
  <c r="BE35" i="35"/>
  <c r="BV52" i="35"/>
  <c r="CO51" i="35"/>
  <c r="CO52" i="35" s="1"/>
  <c r="U50" i="35"/>
  <c r="U49" i="35"/>
  <c r="BS50" i="35"/>
  <c r="BS49" i="35"/>
  <c r="A2" i="35"/>
  <c r="I33" i="35"/>
  <c r="I32" i="35"/>
  <c r="R35" i="35"/>
  <c r="BD33" i="35"/>
  <c r="BD32" i="35"/>
  <c r="AP33" i="35"/>
  <c r="AP32" i="35"/>
  <c r="Q32" i="35"/>
  <c r="Q33" i="35"/>
  <c r="CK50" i="35"/>
  <c r="S5" i="35"/>
  <c r="CK49" i="35"/>
  <c r="CN31" i="35"/>
  <c r="CN45" i="35"/>
  <c r="BH35" i="35"/>
  <c r="BB35" i="35"/>
  <c r="M35" i="35"/>
  <c r="S3" i="35"/>
  <c r="CR48" i="35"/>
  <c r="A5" i="35"/>
  <c r="U31" i="2"/>
  <c r="AL32" i="35"/>
  <c r="AL33" i="35"/>
  <c r="AI35" i="35"/>
  <c r="AV35" i="35"/>
  <c r="AR52" i="35"/>
  <c r="CR31" i="35"/>
  <c r="BW52" i="35"/>
  <c r="CP51" i="35"/>
  <c r="CP52" i="35" s="1"/>
  <c r="CP29" i="35"/>
  <c r="AV32" i="35"/>
  <c r="AV33" i="35"/>
  <c r="CO46" i="35"/>
  <c r="BC35" i="35"/>
  <c r="AZ32" i="35"/>
  <c r="AZ33" i="35"/>
  <c r="AR50" i="35"/>
  <c r="AR49" i="35"/>
  <c r="AU32" i="35"/>
  <c r="AU33" i="35"/>
  <c r="CE35" i="35"/>
  <c r="CS30" i="35"/>
  <c r="AU49" i="35"/>
  <c r="AU50" i="35"/>
  <c r="G3" i="35"/>
  <c r="G2" i="35"/>
  <c r="AJ33" i="35"/>
  <c r="AJ32" i="35"/>
  <c r="P3" i="35"/>
  <c r="I35" i="35"/>
  <c r="BU35" i="35"/>
  <c r="CN34" i="35"/>
  <c r="CN35" i="35" s="1"/>
  <c r="O3" i="35"/>
  <c r="BT52" i="35"/>
  <c r="CK32" i="35"/>
  <c r="E5" i="35"/>
  <c r="CK33" i="35"/>
  <c r="FH6" i="2"/>
  <c r="S32" i="35"/>
  <c r="S33" i="35"/>
  <c r="CP30" i="35"/>
  <c r="CQ48" i="35"/>
  <c r="V33" i="35"/>
  <c r="V32" i="35"/>
  <c r="P52" i="35"/>
  <c r="CS28" i="35"/>
  <c r="AJ49" i="35"/>
  <c r="AJ50" i="35"/>
  <c r="AK35" i="35"/>
  <c r="O16" i="35"/>
  <c r="AL52" i="35"/>
  <c r="CR29" i="35"/>
  <c r="P4" i="35"/>
  <c r="AS35" i="35"/>
  <c r="AW50" i="35"/>
  <c r="AW49" i="35"/>
  <c r="CF32" i="35"/>
  <c r="CF33" i="35"/>
  <c r="AT52" i="35"/>
  <c r="M18" i="35"/>
  <c r="AR35" i="35"/>
  <c r="AC52" i="35"/>
  <c r="BN35" i="35"/>
  <c r="CO34" i="35"/>
  <c r="CO35" i="35" s="1"/>
  <c r="M9" i="35" s="1"/>
  <c r="BV35" i="35"/>
  <c r="U27" i="2"/>
  <c r="AN35" i="35"/>
  <c r="BW33" i="35"/>
  <c r="BW32" i="35"/>
  <c r="CP27" i="35"/>
  <c r="AJ52" i="35"/>
  <c r="BZ33" i="35"/>
  <c r="BZ32" i="35"/>
  <c r="G17" i="35" l="1"/>
  <c r="G8" i="35"/>
  <c r="A22" i="35"/>
  <c r="I18" i="35"/>
  <c r="C17" i="35"/>
  <c r="CR32" i="35"/>
  <c r="A21" i="35"/>
  <c r="CR33" i="35"/>
  <c r="A16" i="35"/>
  <c r="K10" i="35"/>
  <c r="O9" i="35"/>
  <c r="E10" i="35"/>
  <c r="A12" i="35"/>
  <c r="C8" i="35"/>
  <c r="C12" i="35"/>
  <c r="A10" i="35"/>
  <c r="G13" i="35"/>
  <c r="I13" i="35"/>
  <c r="G9" i="35"/>
  <c r="G18" i="35"/>
  <c r="I8" i="35"/>
  <c r="M8" i="35"/>
  <c r="G15" i="35"/>
  <c r="E17" i="35"/>
  <c r="C21" i="35"/>
  <c r="K9" i="35"/>
  <c r="E14" i="35"/>
  <c r="K5" i="35"/>
  <c r="M5" i="35"/>
  <c r="I4" i="35"/>
  <c r="M13" i="35"/>
  <c r="CP33" i="35"/>
  <c r="E21" i="35"/>
  <c r="K13" i="35"/>
  <c r="CN32" i="35"/>
  <c r="K12" i="35"/>
  <c r="E16" i="35"/>
  <c r="I10" i="35"/>
  <c r="I12" i="35"/>
  <c r="G10" i="35"/>
  <c r="A13" i="35"/>
  <c r="E18" i="35"/>
  <c r="A14" i="35"/>
  <c r="E12" i="35"/>
  <c r="I11" i="35"/>
  <c r="A9" i="35"/>
  <c r="G14" i="35"/>
  <c r="CN49" i="35"/>
  <c r="E13" i="35"/>
  <c r="K18" i="35"/>
  <c r="C20" i="35"/>
  <c r="A17" i="35"/>
  <c r="K11" i="35"/>
  <c r="I9" i="35"/>
  <c r="C16" i="35"/>
  <c r="K19" i="35"/>
  <c r="G16" i="35"/>
  <c r="CO33" i="35"/>
  <c r="C18" i="35"/>
  <c r="G21" i="35"/>
  <c r="C9" i="35"/>
  <c r="A8" i="35"/>
  <c r="CN50" i="35"/>
  <c r="G12" i="35"/>
  <c r="I16" i="35"/>
  <c r="K14" i="35"/>
  <c r="E9" i="35"/>
  <c r="C14" i="35"/>
  <c r="O8" i="35"/>
  <c r="K4" i="35"/>
  <c r="C22" i="35"/>
  <c r="I17" i="35"/>
  <c r="V28" i="2"/>
  <c r="G22" i="35"/>
  <c r="A18" i="35"/>
  <c r="K20" i="35"/>
  <c r="I19" i="35"/>
  <c r="E20" i="35"/>
  <c r="E8" i="35"/>
  <c r="C13" i="35"/>
  <c r="M12" i="35"/>
  <c r="FI13" i="2"/>
  <c r="K8" i="35"/>
  <c r="K17" i="35"/>
  <c r="I20" i="35"/>
  <c r="E22" i="35"/>
  <c r="E15" i="35"/>
  <c r="CO50" i="35"/>
  <c r="I14" i="35"/>
  <c r="G20" i="35"/>
  <c r="CP32" i="35"/>
  <c r="CS49" i="35"/>
  <c r="CR50" i="35"/>
  <c r="CP50" i="35"/>
  <c r="CS50" i="35"/>
  <c r="FI6" i="2"/>
  <c r="G4" i="35"/>
  <c r="V30" i="2"/>
  <c r="FI19" i="2"/>
  <c r="FI12" i="2"/>
  <c r="G5" i="35"/>
  <c r="CR49" i="35"/>
  <c r="FI4" i="2"/>
  <c r="V27" i="2"/>
  <c r="CO49" i="35"/>
  <c r="FI8" i="2"/>
  <c r="FI15" i="2"/>
  <c r="FI3" i="2"/>
  <c r="FI5" i="2"/>
  <c r="FI16" i="2"/>
  <c r="K16" i="35"/>
  <c r="V29" i="2"/>
  <c r="V25" i="2"/>
  <c r="FI10" i="2"/>
  <c r="CQ33" i="35"/>
  <c r="FI7" i="2"/>
  <c r="M4" i="35"/>
  <c r="CQ49" i="35"/>
  <c r="FI11" i="2"/>
  <c r="C10" i="35"/>
  <c r="O12" i="35"/>
  <c r="O11" i="35"/>
  <c r="FI14" i="2"/>
  <c r="CS33" i="35"/>
  <c r="FI18" i="2"/>
  <c r="V24" i="2"/>
  <c r="FI2" i="2"/>
  <c r="V23" i="2"/>
  <c r="V26" i="2"/>
  <c r="I5" i="35"/>
  <c r="CP49" i="35"/>
  <c r="V31" i="2"/>
  <c r="O10" i="35"/>
  <c r="A20" i="35"/>
  <c r="CO32" i="35"/>
  <c r="M11" i="35"/>
  <c r="FI9" i="2"/>
  <c r="CN33" i="35"/>
  <c r="FI17" i="2"/>
  <c r="CQ32" i="35"/>
  <c r="CS32" i="35"/>
  <c r="CQ50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<sst xmlns="http://schemas.openxmlformats.org/spreadsheetml/2006/main" count="2476" uniqueCount="399">
  <si>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</si>
  <si>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</si>
  <si>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</si>
  <si>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</si>
  <si>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</si>
  <si>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</si>
  <si>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</si>
  <si>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</si>
  <si>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</si>
  <si>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</si>
  <si>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</si>
  <si>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</si>
  <si>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</si>
  <si>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</si>
  <si>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</si>
  <si>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</si>
  <si>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</si>
  <si>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</si>
  <si>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</si>
  <si>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</si>
  <si>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</si>
  <si>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</si>
  <si>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</si>
  <si>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</si>
  <si>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</si>
  <si>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</si>
  <si>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</si>
  <si>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</si>
  <si>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</si>
  <si>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</si>
  <si>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</si>
  <si>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</si>
  <si>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</si>
  <si>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</si>
  <si>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</si>
  <si>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</si>
  <si>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</si>
  <si>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</si>
  <si>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</si>
  <si>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</si>
  <si>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</si>
  <si>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</si>
  <si>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</si>
  <si>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</si>
  <si>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</si>
  <si>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</si>
  <si>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</si>
  <si>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</si>
  <si>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</si>
  <si>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</si>
  <si>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</si>
  <si>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</si>
  <si>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</si>
  <si>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</si>
  <si>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</si>
  <si>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</si>
  <si>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</si>
  <si>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</si>
  <si>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</si>
  <si>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</si>
  <si>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</si>
  <si>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</si>
  <si>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</si>
  <si>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</si>
  <si>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</si>
  <si>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</si>
  <si>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</si>
  <si>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</si>
  <si>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</si>
  <si>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</si>
  <si>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</si>
  <si>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</si>
  <si>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</si>
  <si>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</si>
  <si>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</si>
  <si>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</si>
  <si>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</si>
  <si>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</si>
  <si>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</si>
  <si>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</si>
  <si>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</si>
  <si>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</si>
  <si>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</si>
  <si>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</si>
  <si>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</si>
  <si>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</si>
  <si>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</si>
  <si>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</si>
  <si>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</si>
  <si>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</si>
  <si>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</si>
  <si>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</si>
  <si>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</si>
  <si>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</si>
  <si>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</si>
  <si>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</si>
  <si>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</si>
  <si>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</si>
  <si>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</si>
  <si>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</si>
  <si>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</si>
  <si>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</si>
  <si>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</si>
  <si>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</si>
  <si>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</si>
  <si>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</si>
  <si>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</si>
  <si>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</si>
  <si>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</si>
  <si>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</si>
  <si>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</si>
  <si>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</si>
  <si>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</si>
  <si>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</si>
  <si>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</si>
  <si>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</si>
  <si>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</si>
  <si>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</si>
  <si>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</si>
  <si>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</si>
  <si>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</si>
  <si>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</si>
  <si>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</si>
  <si>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</si>
  <si>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</si>
  <si>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</si>
  <si>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</si>
  <si>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</si>
  <si>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</si>
  <si>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</si>
  <si>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</si>
  <si>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</si>
  <si>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</si>
  <si>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</si>
  <si>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</si>
  <si>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</si>
  <si>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</si>
  <si>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</si>
  <si>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</si>
  <si>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</si>
  <si>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</si>
  <si>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</si>
  <si>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</si>
  <si>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</si>
  <si>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</si>
  <si>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</si>
  <si>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</si>
  <si>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</si>
  <si>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</si>
  <si>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</si>
  <si>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</si>
  <si>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</si>
  <si>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</si>
  <si>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</si>
  <si>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</si>
  <si>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</si>
  <si>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</si>
  <si>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</si>
  <si>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</si>
  <si>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</si>
  <si>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</si>
  <si>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place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</si>
  <si>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</si>
  <si>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</si>
  <si>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</si>
  <si>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</si>
  <si>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</si>
  <si>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</si>
  <si>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</si>
  <si>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</si>
  <si>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</si>
  <si>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</si>
  <si>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</si>
  <si>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</si>
  <si>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</si>
  <si>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</si>
  <si>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</si>
  <si>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</si>
  <si>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</si>
  <si>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</si>
  <si>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</si>
  <si>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</si>
  <si>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</si>
  <si>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</si>
  <si>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</si>
  <si>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</si>
  <si>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</si>
  <si>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</si>
  <si>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</si>
  <si>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</si>
  <si>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</si>
  <si>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</si>
  <si>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</si>
  <si>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</si>
  <si>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</si>
  <si>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</si>
  <si>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</si>
  <si>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</si>
  <si>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</si>
  <si>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</si>
  <si>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</si>
  <si>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</si>
  <si>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</si>
  <si>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</si>
  <si>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</si>
  <si>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</si>
  <si>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</si>
  <si>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</si>
  <si>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</si>
  <si>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</si>
  <si>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</si>
  <si>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</si>
  <si>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</si>
  <si>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</si>
  <si>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</si>
  <si>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</si>
  <si>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</si>
  <si>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</si>
  <si>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</si>
  <si>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</si>
  <si>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</si>
  <si>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</si>
  <si>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</si>
  <si>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</si>
  <si>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</si>
  <si>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</si>
  <si>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</si>
  <si>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</si>
  <si>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</si>
  <si>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</si>
  <si>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</si>
  <si>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</si>
  <si>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</si>
  <si>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</si>
  <si>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</si>
  <si>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</si>
  <si>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</si>
  <si>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</si>
  <si>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</si>
  <si>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</si>
  <si>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</si>
  <si>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</si>
  <si>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</si>
  <si>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</si>
  <si>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</si>
  <si>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</si>
  <si>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</si>
  <si>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</si>
  <si>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</si>
  <si>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</si>
  <si>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</si>
  <si>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</si>
  <si>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</si>
  <si>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</si>
  <si>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</si>
  <si>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</si>
  <si>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</si>
  <si>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</si>
  <si>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</si>
  <si>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</si>
  <si>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</si>
  <si>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</si>
  <si>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</si>
  <si>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</si>
  <si>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</si>
  <si>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</si>
  <si>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</si>
  <si>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</si>
  <si>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</si>
  <si>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</si>
  <si>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</si>
  <si>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</si>
  <si>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</si>
  <si>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</si>
  <si>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</si>
  <si>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</si>
  <si>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</si>
  <si>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</si>
  <si>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</si>
  <si>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</si>
  <si>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</si>
  <si>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</si>
  <si>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</si>
  <si>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</si>
  <si>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</si>
  <si>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</si>
  <si>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</si>
  <si>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</si>
  <si>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</si>
  <si>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</si>
  <si>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</si>
  <si>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</si>
  <si>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</si>
  <si>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</si>
  <si>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</si>
  <si>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</si>
  <si>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</si>
  <si>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</si>
  <si>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</si>
  <si>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</si>
  <si>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</si>
  <si>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</si>
  <si>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Aris</t>
  </si>
  <si>
    <t>Bahcesehir Kol.</t>
  </si>
  <si>
    <t>Besiktas</t>
  </si>
  <si>
    <t>JL Bourg</t>
  </si>
  <si>
    <t>Buducnost</t>
  </si>
  <si>
    <t>buducnost</t>
  </si>
  <si>
    <t>BUD</t>
  </si>
  <si>
    <t>Cedevita Olimpija</t>
  </si>
  <si>
    <t>cedevita</t>
  </si>
  <si>
    <t>CED</t>
  </si>
  <si>
    <t>Cluj-Napoca</t>
  </si>
  <si>
    <t>cluj</t>
  </si>
  <si>
    <t>Hamburg</t>
  </si>
  <si>
    <t>Hapoel Jerusalem</t>
  </si>
  <si>
    <t>Lietkabelis</t>
  </si>
  <si>
    <t>Trento</t>
  </si>
  <si>
    <t>Turk Telekom</t>
  </si>
  <si>
    <t>Ulm</t>
  </si>
  <si>
    <t>Venezia</t>
  </si>
  <si>
    <t>EuroCup</t>
  </si>
  <si>
    <t>Cedevita</t>
  </si>
  <si>
    <t>Cluj</t>
  </si>
  <si>
    <t>HapoelJer</t>
  </si>
  <si>
    <t>%(last5)</t>
  </si>
  <si>
    <t>CLU</t>
  </si>
  <si>
    <t>Chemnitz</t>
  </si>
  <si>
    <t>London Lions</t>
  </si>
  <si>
    <t>Manresa</t>
  </si>
  <si>
    <t>Neptunas</t>
  </si>
  <si>
    <t>Panionios</t>
  </si>
  <si>
    <t>Slask Wroclaw</t>
  </si>
  <si>
    <t>https://www.flashscore.com/match/basketball/turk-telekom-xzhkYoHf/ulm-fcks1zeJ/?mid=WMaqA8n9</t>
  </si>
  <si>
    <t>https://www.flashscore.com/match/basketball/neptunas-pUCKb7F3/slask-wroclaw-AJa8Xj5a/?mid=Y9YEyltp</t>
  </si>
  <si>
    <t>https://www.flashscore.com/match/basketball/hamburg-towers-zyBCtTHn/hapoel-jerusalem-Emu0IzI2/?mid=hWvAe9XF</t>
  </si>
  <si>
    <t>https://www.flashscore.com/match/basketball/aris-fND8BWOm/venezia-nR1rGe9M/?mid=p6y2cV23</t>
  </si>
  <si>
    <t>https://www.flashscore.com/match/basketball/besiktas-hE4Gkj9l/lietkabelis-vVYAjqNq/?mid=YmLPkv1f</t>
  </si>
  <si>
    <t>https://www.flashscore.com/match/basketball/bahcesehir-koleji-AJURGI1d/csu-cluj-napoca-Iy6Md8xS/?mid=6NWMZRAd</t>
  </si>
  <si>
    <t>https://www.flashscore.com/match/basketball/cedevita-olimpija-M7fraCjJ/manresa-KAm6vlvR/?mid=EoTIgm2S</t>
  </si>
  <si>
    <t>https://www.flashscore.com/match/basketball/chemnitz-hInQh5sp/panionios-2HXSYgu0/?mid=QNHHi0Ws</t>
  </si>
  <si>
    <t>https://www.flashscore.com/match/basketball/jl-bourg-A5BNuIF5/trento-ITNxcZJl/?mid=vTCcn5f2</t>
  </si>
  <si>
    <t>https://www.flashscore.com/match/basketball/buducnost-6s1E9IqE/london-lions-2L6k5Rg4/?mid=pUJllRPk</t>
  </si>
  <si>
    <t>Borac</t>
  </si>
  <si>
    <t>BOR</t>
  </si>
  <si>
    <t>borac</t>
  </si>
  <si>
    <t>Crvena zvezda</t>
  </si>
  <si>
    <t>CRZ</t>
  </si>
  <si>
    <t>CrvenaZv</t>
  </si>
  <si>
    <t>crvena</t>
  </si>
  <si>
    <t>Dubai</t>
  </si>
  <si>
    <t>DUB</t>
  </si>
  <si>
    <t>dubai</t>
  </si>
  <si>
    <t>FMP Beograd</t>
  </si>
  <si>
    <t>BEO</t>
  </si>
  <si>
    <t>beograd</t>
  </si>
  <si>
    <t>FMPBeo</t>
  </si>
  <si>
    <t>Igokea</t>
  </si>
  <si>
    <t>IGO</t>
  </si>
  <si>
    <t>igokea</t>
  </si>
  <si>
    <t>Ilirija</t>
  </si>
  <si>
    <t>ILI</t>
  </si>
  <si>
    <t>ilirija</t>
  </si>
  <si>
    <t>KK Bosna</t>
  </si>
  <si>
    <t>BOS</t>
  </si>
  <si>
    <t>KKBosna</t>
  </si>
  <si>
    <t>bosna</t>
  </si>
  <si>
    <t>KK Krka Novo mesto</t>
  </si>
  <si>
    <t>KKK</t>
  </si>
  <si>
    <t>KKKrka</t>
  </si>
  <si>
    <t>krka</t>
  </si>
  <si>
    <t>Mega Basket</t>
  </si>
  <si>
    <t>MEG</t>
  </si>
  <si>
    <t>Mega</t>
  </si>
  <si>
    <t>mega</t>
  </si>
  <si>
    <t>Partizan</t>
  </si>
  <si>
    <t>PAR</t>
  </si>
  <si>
    <t>partizan</t>
  </si>
  <si>
    <t>Spartak Subotica</t>
  </si>
  <si>
    <t>SUB</t>
  </si>
  <si>
    <t>Subotica</t>
  </si>
  <si>
    <t>subotica</t>
  </si>
  <si>
    <t>Split</t>
  </si>
  <si>
    <t>SPL</t>
  </si>
  <si>
    <t>split</t>
  </si>
  <si>
    <t>Studentski Centar</t>
  </si>
  <si>
    <t>STU</t>
  </si>
  <si>
    <t>Studentski</t>
  </si>
  <si>
    <t>studentski</t>
  </si>
  <si>
    <t>Vienna Basket</t>
  </si>
  <si>
    <t>VIE</t>
  </si>
  <si>
    <t>Vienna</t>
  </si>
  <si>
    <t>vienna</t>
  </si>
  <si>
    <t>Zadar</t>
  </si>
  <si>
    <t>ZAD</t>
  </si>
  <si>
    <t>zadar</t>
  </si>
  <si>
    <t>ABA</t>
  </si>
  <si>
    <t>https://www.flashscore.com/match/basketball/fmp-beograd-tl351fif/igokea-bH3GbrA3/?mid=63jog6KH</t>
  </si>
  <si>
    <t>https://www.flashscore.com/match/basketball/ilirija-fNfJBWiR/vienna-basket-pG2944ye/?mid=l4efD8S8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</si>
</sst>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36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borac" displayName="borac" ref="A3:CQ4" totalsRowShown="0" headerRowDxfId="2367" dataDxfId="2366">
  <autoFilter ref="A3:CQ4" xr:uid="{6F44C236-BD30-49C1-AC80-B66D4596B51B}"/>
  <tableColumns count="95">
    <tableColumn id="1" xr3:uid="{6599CE50-CD7A-476A-A3CF-F60836994BE8}" name="Tournament" dataDxfId="2365"/>
    <tableColumn id="2" xr3:uid="{55E9E0D7-356A-4626-B968-19FB67FE2957}" name="Home_team" dataDxfId="2364"/>
    <tableColumn id="3" xr3:uid="{4F606D5D-FC40-42B6-B063-FA5AA19C9D39}" name="Stage" dataDxfId="2363"/>
    <tableColumn id="4" xr3:uid="{0E6D9A8A-50BB-4996-8809-EAE27BE502E6}" name="Date" dataDxfId="2362"/>
    <tableColumn id="5" xr3:uid="{1444E70D-EB74-4B69-B657-F4A5ADDA5F69}" name="Location" dataDxfId="2361"/>
    <tableColumn id="6" xr3:uid="{AF73A5FC-42DE-4A5B-99CE-5C2667D27FA0}" name="Away_team" dataDxfId="2360"/>
    <tableColumn id="7" xr3:uid="{BF0127D0-1714-423E-BAC9-635D6884BC28}" name="Result" dataDxfId="2359"/>
    <tableColumn id="8" xr3:uid="{6313AB05-37E3-40D0-B876-D9112E74BF7D}" name="Home_scored" dataDxfId="2358"/>
    <tableColumn id="9" xr3:uid="{1F4D5434-9310-4896-998C-C37C81074EDC}" name="Away_scored" dataDxfId="2357"/>
    <tableColumn id="10" xr3:uid="{FFE98535-E356-4CF2-9197-B74E83B0A6D9}" name="FGM" dataDxfId="2356"/>
    <tableColumn id="11" xr3:uid="{002FF4B5-4288-4254-BC99-F63AD518C111}" name="FGA" dataDxfId="2355"/>
    <tableColumn id="12" xr3:uid="{4E30639F-2B4E-4E57-96A4-158D52024909}" name="FGp" dataDxfId="2354"/>
    <tableColumn id="13" xr3:uid="{6091E629-8B4D-4D94-8AF6-B19280E80435}" name="P2M" dataDxfId="2353"/>
    <tableColumn id="14" xr3:uid="{5E77FADA-3042-41DA-A2AD-AB13C743B820}" name="P2A" dataDxfId="2352"/>
    <tableColumn id="15" xr3:uid="{BFC2A377-E869-45DE-B34E-3B5745A446B4}" name="P2p" dataDxfId="2351"/>
    <tableColumn id="16" xr3:uid="{78A4C836-49FD-4E63-AF91-022BEE93C283}" name="P3M" dataDxfId="2350"/>
    <tableColumn id="17" xr3:uid="{23C7D171-4625-476C-A1E1-BBFB06C48E11}" name="P3A" dataDxfId="2349"/>
    <tableColumn id="18" xr3:uid="{CC02B07D-5314-4E5A-BF6A-5D2331399FE8}" name="P3p" dataDxfId="2348"/>
    <tableColumn id="19" xr3:uid="{5F97A641-A04E-4E93-ACEC-07BEE0C549F2}" name="FTM" dataDxfId="2347"/>
    <tableColumn id="20" xr3:uid="{9E631F6D-6B0F-482D-926A-09A5F3128D4B}" name="FTA" dataDxfId="2346"/>
    <tableColumn id="21" xr3:uid="{0BCD3EBB-50E6-459D-8232-368D2486C077}" name="FTp" dataDxfId="2345"/>
    <tableColumn id="22" xr3:uid="{675B135A-49D3-414C-8373-42422CC61B57}" name="ORB" dataDxfId="2344"/>
    <tableColumn id="23" xr3:uid="{621C20CB-FF2C-4468-9BBB-EB0F043EE979}" name="DRB" dataDxfId="2343"/>
    <tableColumn id="24" xr3:uid="{EA6F17D7-585E-438D-AD9D-A6B5F0080F75}" name="TRB" dataDxfId="2342"/>
    <tableColumn id="25" xr3:uid="{6417CBF8-8148-4079-BBD1-06CD5265081C}" name="AST" dataDxfId="2341"/>
    <tableColumn id="26" xr3:uid="{4474783F-1A65-4E66-B0D6-3D2BFBBA2DC9}" name="STL" dataDxfId="2340"/>
    <tableColumn id="27" xr3:uid="{4015DDAB-0867-493D-8EB2-932D4EF1B359}" name="BLK" dataDxfId="2339"/>
    <tableColumn id="28" xr3:uid="{F5AB7481-0CB8-4FC2-BD5C-591534324146}" name="TOV" dataDxfId="2338"/>
    <tableColumn id="29" xr3:uid="{47071DE0-627D-465E-9CD3-BBE3C9396E9E}" name="PF" dataDxfId="2337"/>
    <tableColumn id="30" xr3:uid="{62A76C09-4036-4B72-98C4-31897C925F6E}" name="FGMop" dataDxfId="2336"/>
    <tableColumn id="31" xr3:uid="{76DE5378-5A11-4EE7-8E69-A31ADC6D254A}" name="FGAop" dataDxfId="2335"/>
    <tableColumn id="32" xr3:uid="{3A62644D-6730-4FF5-B127-87BE4A44942A}" name="FGpop" dataDxfId="2334"/>
    <tableColumn id="33" xr3:uid="{62302910-51E8-4F53-BEB7-2778F85530E6}" name="P2Mop" dataDxfId="2333"/>
    <tableColumn id="34" xr3:uid="{1DBDCA62-AB01-4A75-8425-7971795BF600}" name="P2Aop" dataDxfId="2332"/>
    <tableColumn id="35" xr3:uid="{35A48FED-8D3A-463A-8141-924F7DBE7419}" name="P2pop" dataDxfId="2331"/>
    <tableColumn id="36" xr3:uid="{B5125097-7EAF-4EFF-B079-FB161B778C29}" name="P3Mop" dataDxfId="2330"/>
    <tableColumn id="37" xr3:uid="{B3C34BAA-1C73-4EBE-865F-A508A6118A3E}" name="P3Aop" dataDxfId="2329"/>
    <tableColumn id="38" xr3:uid="{50542CFE-C1AB-40EB-B379-DF7CC21153CB}" name="P3pop" dataDxfId="2328"/>
    <tableColumn id="39" xr3:uid="{6CAB8404-303C-4925-B7E2-C3B9F069AE54}" name="FTMop" dataDxfId="2327"/>
    <tableColumn id="40" xr3:uid="{8D2867BC-8EA6-4FC0-AF51-BD5A756D026C}" name="FTAop" dataDxfId="2326"/>
    <tableColumn id="41" xr3:uid="{BB1E46C7-263C-4F05-984B-00F9B9CC13C0}" name="FTpop" dataDxfId="2325"/>
    <tableColumn id="42" xr3:uid="{41607EF8-816B-4621-8B4C-D4FE4509C85D}" name="ORBop" dataDxfId="2324"/>
    <tableColumn id="43" xr3:uid="{6507A7B2-3E93-4E52-9BF9-F23CDFAA037C}" name="DRBop" dataDxfId="2323"/>
    <tableColumn id="44" xr3:uid="{4319C22F-9406-4BAF-98C2-822297D92236}" name="TRBop" dataDxfId="2322"/>
    <tableColumn id="45" xr3:uid="{48AEDB5C-7279-4D8E-A815-69F5271FA71E}" name="ASTop" dataDxfId="2321"/>
    <tableColumn id="46" xr3:uid="{CFC36FEC-F2AE-4760-9E35-C95BF3A259F0}" name="STLop" dataDxfId="2320"/>
    <tableColumn id="47" xr3:uid="{B9AB074C-5FBB-48E2-97FC-6D25CC4E44F2}" name="BLKop" dataDxfId="2319"/>
    <tableColumn id="48" xr3:uid="{36CC2048-3DAD-4013-8BD5-8B316C2D2E2C}" name="TOVop" dataDxfId="2318"/>
    <tableColumn id="49" xr3:uid="{7EAF8FB2-9E39-4BBC-A4B9-3E0BDD683002}" name="PFop" dataDxfId="2317"/>
    <tableColumn id="50" xr3:uid="{60A5219B-F03A-4A75-810A-175A142BF613}" name="TS%" dataDxfId="2316"/>
    <tableColumn id="51" xr3:uid="{C077C382-A18A-4C96-9152-DF833B3C743F}" name="eFG%" dataDxfId="2315"/>
    <tableColumn id="52" xr3:uid="{63B27726-31BE-4DCC-A68B-87DFE4B3D5CD}" name="ORB%" dataDxfId="2314"/>
    <tableColumn id="53" xr3:uid="{D3A35C05-A631-478D-9D6A-A05813DF5939}" name="DRB%" dataDxfId="2313"/>
    <tableColumn id="54" xr3:uid="{DCA845DD-2617-49BF-B280-9B7532B45220}" name="TRB%" dataDxfId="2312"/>
    <tableColumn id="55" xr3:uid="{4489609E-91F2-49DB-B88E-0E72750D2A73}" name="Poss" dataDxfId="2311"/>
    <tableColumn id="56" xr3:uid="{B79959BE-55EA-41D1-8AAE-43D7BEE7A857}" name="AST%" dataDxfId="2310"/>
    <tableColumn id="57" xr3:uid="{356CD4DD-B1D7-4FD3-A259-FD3846675CF4}" name="FTFGA%" dataDxfId="2309"/>
    <tableColumn id="58" xr3:uid="{53A3751F-54F9-4EA7-9C2D-A36D8D5E3DFA}" name="TOV%" dataDxfId="2308"/>
    <tableColumn id="59" xr3:uid="{9FFF162E-9E89-413A-9DA0-55193A4620E7}" name="ORtg" dataDxfId="2307"/>
    <tableColumn id="60" xr3:uid="{39946237-221F-4F21-A0B0-8D1C5EB55489}" name="DRtg" dataDxfId="2306"/>
    <tableColumn id="61" xr3:uid="{8C01EEFA-0DDC-4A0C-8266-33F7DBCB0502}" name="Pace" dataDxfId="2305"/>
    <tableColumn id="62" xr3:uid="{96C17781-62B8-4F24-BA05-2049C0984CA1}" name="TS%op" dataDxfId="2304"/>
    <tableColumn id="63" xr3:uid="{51C1A8C9-5A4A-40EC-AF6D-AE3FF99A8DBE}" name="eFG%op" dataDxfId="2303"/>
    <tableColumn id="64" xr3:uid="{CE02E2BE-8C61-4F4B-92F3-4264551DAD6F}" name="ORB%op" dataDxfId="2302"/>
    <tableColumn id="65" xr3:uid="{095E6207-9EB2-4459-A263-B28D840922D3}" name="DRB%op" dataDxfId="2301"/>
    <tableColumn id="66" xr3:uid="{093D78A6-6A6A-40B6-ABCF-B480F2E57521}" name="TRB%op" dataDxfId="2300"/>
    <tableColumn id="67" xr3:uid="{2BAE9B08-E09C-4B46-801C-7F5C04E5AFD2}" name="Possop" dataDxfId="2299"/>
    <tableColumn id="68" xr3:uid="{D5430AB1-6027-442C-92DD-EB152AAAF139}" name="AST%op" dataDxfId="2298"/>
    <tableColumn id="69" xr3:uid="{7C7C4FCC-E93F-4B50-B2AD-E84A1CC29D69}" name="FTFGA%op" dataDxfId="2297"/>
    <tableColumn id="70" xr3:uid="{16024894-0D2B-4517-92F5-47C7930373DB}" name="TOV%op" dataDxfId="2296"/>
    <tableColumn id="71" xr3:uid="{11C6F289-1520-4C35-B00E-FA9151DA07FE}" name="ORtgop" dataDxfId="2295"/>
    <tableColumn id="72" xr3:uid="{A260AF79-4995-4196-A33B-065B7D364D88}" name="DRtgop" dataDxfId="2294"/>
    <tableColumn id="73" xr3:uid="{452D9D35-864A-49CF-B831-C2F5366E6C00}" name="Q1H" dataDxfId="2293"/>
    <tableColumn id="74" xr3:uid="{3A649A64-B20D-4F1C-8A2E-852E0190C06A}" name="Q2H" dataDxfId="2292"/>
    <tableColumn id="75" xr3:uid="{604409CB-4639-4BAE-B620-4550BC7BEB6B}" name="Q3H" dataDxfId="2291"/>
    <tableColumn id="76" xr3:uid="{E5EA46EC-C6BA-4A94-83D4-1CAD06E2BD21}" name="Q4H" dataDxfId="2290"/>
    <tableColumn id="77" xr3:uid="{BBA596A5-4486-429D-BB9A-B2FB7F8CADDE}" name="Q1A" dataDxfId="2289"/>
    <tableColumn id="78" xr3:uid="{21B1B3D7-E298-4F14-9C32-28E0A5FF86DF}" name="Q2A" dataDxfId="2288"/>
    <tableColumn id="79" xr3:uid="{6C2D85AB-8862-4C0D-938B-90EBDAC89B5F}" name="Q3A" dataDxfId="2287"/>
    <tableColumn id="80" xr3:uid="{25077938-1121-4649-8C08-56C4AAA75DEE}" name="Q4A" dataDxfId="2286"/>
    <tableColumn id="81" xr3:uid="{10A75BAE-A6E4-47F9-9D06-61766533DAB6}" name="FhalfH" dataDxfId="2285"/>
    <tableColumn id="82" xr3:uid="{8560A07E-03F1-4FE4-B476-7C8313314D35}" name="ShalfH" dataDxfId="2284"/>
    <tableColumn id="83" xr3:uid="{766F0652-B602-4F60-9DB6-BC57D62E1F4D}" name="FhalfA" dataDxfId="2283"/>
    <tableColumn id="84" xr3:uid="{4AFACCA9-11E1-4FF6-8464-B9F281B5236F}" name="ShalfA" dataDxfId="2282"/>
    <tableColumn id="85" xr3:uid="{3ADA4961-60E6-4DC0-8855-B61DA55FA860}" name="win" dataDxfId="2281"/>
    <tableColumn id="86" xr3:uid="{A0E2E3E3-1E7B-4029-B5C5-4BDF56014F91}" name="lose" dataDxfId="2280"/>
    <tableColumn id="87" xr3:uid="{C7068F64-B2FF-489B-8298-47C352C1232C}" name="foraH" dataDxfId="2279"/>
    <tableColumn id="88" xr3:uid="{DFD470D7-BDD6-4729-B2A1-D5125F742AC6}" name="foraA" dataDxfId="2278"/>
    <tableColumn id="89" xr3:uid="{C7FB8015-F732-4794-8CDF-B4A2358D2571}" name="total" dataDxfId="2277"/>
    <tableColumn id="90" xr3:uid="{C15079DB-6AA6-412F-B948-A4C0367FBA9A}" name="link" dataDxfId="2276"/>
    <tableColumn id="91" xr3:uid="{22FD2623-9148-4ADD-8E7D-F73D723B980F}" name="abbr" dataDxfId="2275">
      <calculatedColumnFormula>VLOOKUP(borac[[#This Row],[Away_team]],all[[Full name]:[Abbr]],3,FALSE)</calculatedColumnFormula>
    </tableColumn>
    <tableColumn id="92" xr3:uid="{F82401E8-570E-47D2-AB21-E3CEAE7A455B}" name="BetH" dataDxfId="2274">
      <calculatedColumnFormula>IF(OR(borac[[#This Row],[Result]]="w",borac[[#This Row],[Result]]="dw"),borac[[#This Row],[win]]-1,-1)</calculatedColumnFormula>
    </tableColumn>
    <tableColumn id="93" xr3:uid="{B62812E3-48BF-481E-85EB-6EB0F04F6855}" name="BetA" dataDxfId="2273">
      <calculatedColumnFormula>IF(OR(borac[[#This Row],[Result]]="L",borac[[#This Row],[Result]]="dl"),borac[[#This Row],[lose]]-1,-1)</calculatedColumnFormula>
    </tableColumn>
    <tableColumn id="94" xr3:uid="{C5DE9D21-BAAC-455B-98BE-175A6F914FC9}" name="Tover" dataDxfId="2272">
      <calculatedColumnFormula>IF(OR((borac[[#This Row],[Home_scored]]+borac[[#This Row],[Away_scored]])&gt;borac[[#This Row],[total]],OR(borac[[#This Row],[Result]]="dw",borac[[#This Row],[Result]]="dl")),1,0)</calculatedColumnFormula>
    </tableColumn>
    <tableColumn id="98" xr3:uid="{EFE91E7A-7F18-436C-B645-9002B0FA9B7A}" name="Deviation" dataDxfId="2271">
      <calculatedColumnFormula>ABS((borac[[#This Row],[Home_scored]]+borac[[#This Row],[Away_scored]])-borac[[#This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bosna" displayName="bosna" ref="A3:CQ4" totalsRowShown="0" headerRowDxfId="1494" dataDxfId="1493">
  <autoFilter ref="A3:CQ4" xr:uid="{6F44C236-BD30-49C1-AC80-B66D4596B51B}"/>
  <tableColumns count="95">
    <tableColumn id="1" xr3:uid="{D6CA07B2-4A7E-403B-8194-F12361BD669A}" name="Tournament" dataDxfId="1492"/>
    <tableColumn id="2" xr3:uid="{9FE07738-A717-4D8D-997E-642C4A70F9AE}" name="Home_team" dataDxfId="1491"/>
    <tableColumn id="3" xr3:uid="{8760AC15-585A-4501-9691-EE8AB9ACD28C}" name="Stage" dataDxfId="1490"/>
    <tableColumn id="4" xr3:uid="{8428E49F-D589-453A-97E8-756D4767560A}" name="Date" dataDxfId="1489"/>
    <tableColumn id="5" xr3:uid="{3A48E2AE-2C45-4B84-A518-904D7B659B2F}" name="Location" dataDxfId="1488"/>
    <tableColumn id="6" xr3:uid="{8602E1F7-1726-47A5-BF4A-914B63FC5C75}" name="Away_team" dataDxfId="1487"/>
    <tableColumn id="7" xr3:uid="{5866FE4D-5987-4E2A-A5A4-08FF00804B21}" name="Result" dataDxfId="1486"/>
    <tableColumn id="8" xr3:uid="{97D8FEC7-7666-4D44-B15C-00E4D8DA6988}" name="Home_scored" dataDxfId="1485"/>
    <tableColumn id="9" xr3:uid="{BD4CCDA6-3000-47C4-A723-C004381057FC}" name="Away_scored" dataDxfId="1484"/>
    <tableColumn id="10" xr3:uid="{858793B2-FEF8-4E15-BE79-66C6E54A47F6}" name="FGM" dataDxfId="1483"/>
    <tableColumn id="11" xr3:uid="{13A4F42F-9AAD-4020-B0CD-8301BD3068BB}" name="FGA" dataDxfId="1482"/>
    <tableColumn id="12" xr3:uid="{9B79ACD1-7811-4914-991F-4289B7DAA8B3}" name="FGp" dataDxfId="1481"/>
    <tableColumn id="13" xr3:uid="{263DC5C0-8A14-4FDE-85CB-76139FFA1AD2}" name="P2M" dataDxfId="1480"/>
    <tableColumn id="14" xr3:uid="{15662D04-10E2-4361-80E9-3B9CEE267375}" name="P2A" dataDxfId="1479"/>
    <tableColumn id="15" xr3:uid="{FFC5396D-339E-4B19-B29E-73BE4E33C952}" name="P2p" dataDxfId="1478"/>
    <tableColumn id="16" xr3:uid="{E4CFB2D0-5A78-4C91-B2BC-92007E794279}" name="P3M" dataDxfId="1477"/>
    <tableColumn id="17" xr3:uid="{36383FA8-2553-4760-9A2A-9BFBA4017F9E}" name="P3A" dataDxfId="1476"/>
    <tableColumn id="18" xr3:uid="{3E849AF0-8776-447E-BD5D-B476F6401DE0}" name="P3p" dataDxfId="1475"/>
    <tableColumn id="19" xr3:uid="{1041BACD-4CB1-4B0C-893A-4B9A68A2B3FE}" name="FTM" dataDxfId="1474"/>
    <tableColumn id="20" xr3:uid="{37D9456B-9A7E-4F9E-9ABC-823C4A358D7C}" name="FTA" dataDxfId="1473"/>
    <tableColumn id="21" xr3:uid="{125204EF-9F8B-4744-9F95-A34C4BB094DF}" name="FTp" dataDxfId="1472"/>
    <tableColumn id="22" xr3:uid="{5CD77D99-B6BC-4C97-96CF-847101CEA0C0}" name="ORB" dataDxfId="1471"/>
    <tableColumn id="23" xr3:uid="{ADBC209F-C5A1-433B-AEB9-D1A0B904831E}" name="DRB" dataDxfId="1470"/>
    <tableColumn id="24" xr3:uid="{42DAB8E3-070A-4EC0-A099-B76249B94FB5}" name="TRB" dataDxfId="1469"/>
    <tableColumn id="25" xr3:uid="{387A9082-095D-4264-B5D6-C929C154B32F}" name="AST" dataDxfId="1468"/>
    <tableColumn id="26" xr3:uid="{17D907A5-EB24-493A-A84C-51A2FE8DB6CB}" name="STL" dataDxfId="1467"/>
    <tableColumn id="27" xr3:uid="{5919EBDA-805A-4226-9F4A-4FFA94BEE4CD}" name="BLK" dataDxfId="1466"/>
    <tableColumn id="28" xr3:uid="{85BEA9C2-0B44-4271-9799-FD1069EC5C47}" name="TOV" dataDxfId="1465"/>
    <tableColumn id="29" xr3:uid="{EB26949C-7494-402F-BAB3-044E08FC1A5C}" name="PF" dataDxfId="1464"/>
    <tableColumn id="30" xr3:uid="{E49A858F-86F6-4C17-BB71-045E068A6209}" name="FGMop" dataDxfId="1463"/>
    <tableColumn id="31" xr3:uid="{EA690943-BC38-491D-A050-7350ABE4F692}" name="FGAop" dataDxfId="1462"/>
    <tableColumn id="32" xr3:uid="{25518B3E-773E-486C-9750-D55BD517E958}" name="FGpop" dataDxfId="1461"/>
    <tableColumn id="33" xr3:uid="{61F4143C-5089-4465-B7BC-636D3BFFEE4C}" name="P2Mop" dataDxfId="1460"/>
    <tableColumn id="34" xr3:uid="{86B48269-BF24-4E2C-8538-C246E501678E}" name="P2Aop" dataDxfId="1459"/>
    <tableColumn id="35" xr3:uid="{B9AEEF52-CAF1-4375-97D3-DE2B1BD71B9A}" name="P2pop" dataDxfId="1458"/>
    <tableColumn id="36" xr3:uid="{C40756EB-065F-40E0-93F0-64B2DB521BF1}" name="P3Mop" dataDxfId="1457"/>
    <tableColumn id="37" xr3:uid="{3B3CBC5D-DCD6-4AEA-959D-976077AFF41A}" name="P3Aop" dataDxfId="1456"/>
    <tableColumn id="38" xr3:uid="{52A83C41-3BE2-4620-89D6-1EC8CF6D2CEB}" name="P3pop" dataDxfId="1455"/>
    <tableColumn id="39" xr3:uid="{5EDAC69B-9B0C-4482-BDFA-CD748E77BC84}" name="FTMop" dataDxfId="1454"/>
    <tableColumn id="40" xr3:uid="{A6CC613D-3770-4E95-B40C-EFF9E6F8495A}" name="FTAop" dataDxfId="1453"/>
    <tableColumn id="41" xr3:uid="{AA87F83A-4645-47FF-8041-5BA872E8A78F}" name="FTpop" dataDxfId="1452"/>
    <tableColumn id="42" xr3:uid="{32A1D3EB-1F5A-4A8A-A079-C7910281D5A7}" name="ORBop" dataDxfId="1451"/>
    <tableColumn id="43" xr3:uid="{6CD11FCD-0CCB-4F02-9377-87B84A62AABC}" name="DRBop" dataDxfId="1450"/>
    <tableColumn id="44" xr3:uid="{F11310DD-960F-40FE-9AC3-710D35854A0C}" name="TRBop" dataDxfId="1449"/>
    <tableColumn id="45" xr3:uid="{9D2C980C-CECE-4539-B3EF-821CFB20DDD7}" name="ASTop" dataDxfId="1448"/>
    <tableColumn id="46" xr3:uid="{8F902842-439A-439E-9755-E13B5D49422A}" name="STLop" dataDxfId="1447"/>
    <tableColumn id="47" xr3:uid="{3814354F-90C4-4413-B589-C2C8C65489DB}" name="BLKop" dataDxfId="1446"/>
    <tableColumn id="48" xr3:uid="{C57D246F-7748-4794-8279-E616DC98901E}" name="TOVop" dataDxfId="1445"/>
    <tableColumn id="49" xr3:uid="{31B0E109-BCE3-424E-B6B6-D7073B88428A}" name="PFop" dataDxfId="1444"/>
    <tableColumn id="50" xr3:uid="{0A378AC9-FF21-4932-99EF-B6010DED0330}" name="TS%" dataDxfId="1443"/>
    <tableColumn id="51" xr3:uid="{30F776BF-7CC5-4BA0-9DBF-DA9F5172FEDC}" name="eFG%" dataDxfId="1442"/>
    <tableColumn id="52" xr3:uid="{1BC7DAE8-B146-49E2-B03E-2CAB00662E59}" name="ORB%" dataDxfId="1441"/>
    <tableColumn id="53" xr3:uid="{059FFA09-4718-4238-9E24-CA874B3BFDEB}" name="DRB%" dataDxfId="1440"/>
    <tableColumn id="54" xr3:uid="{B6392139-AAA9-4128-93B5-D30986D3A03D}" name="TRB%" dataDxfId="1439"/>
    <tableColumn id="55" xr3:uid="{45CDCD75-B990-41DB-AA62-BFAE6D8E7C08}" name="Poss" dataDxfId="1438"/>
    <tableColumn id="56" xr3:uid="{87473C53-30C3-4911-86D9-47952439DDBB}" name="AST%" dataDxfId="1437"/>
    <tableColumn id="57" xr3:uid="{4A0ECFF0-6F7A-4F57-A95A-FBD692F49AE9}" name="FTFGA%" dataDxfId="1436"/>
    <tableColumn id="58" xr3:uid="{CBC67780-4AAD-4FFA-A73D-28FE8190A24E}" name="TOV%" dataDxfId="1435"/>
    <tableColumn id="59" xr3:uid="{AB96D9E5-1C46-4C82-980F-E0DE259C31C1}" name="ORtg" dataDxfId="1434"/>
    <tableColumn id="60" xr3:uid="{BDC8DF0E-3180-4FE5-A15E-9CF4BFF569D7}" name="DRtg" dataDxfId="1433"/>
    <tableColumn id="61" xr3:uid="{84FE9952-9A75-46FD-951B-607B9DCEC11D}" name="Pace" dataDxfId="1432"/>
    <tableColumn id="62" xr3:uid="{B34EC544-C5D4-4781-92CA-14F31FFD2EB5}" name="TS%op" dataDxfId="1431"/>
    <tableColumn id="63" xr3:uid="{A90CF13A-FC16-4FD0-915B-9B50A1FC52A5}" name="eFG%op" dataDxfId="1430"/>
    <tableColumn id="64" xr3:uid="{63F6E12E-6695-48A4-8AAD-7D30222C4282}" name="ORB%op" dataDxfId="1429"/>
    <tableColumn id="65" xr3:uid="{FC993BBE-3A91-463B-93A5-C835D4FFAF36}" name="DRB%op" dataDxfId="1428"/>
    <tableColumn id="66" xr3:uid="{393D2BEA-EB57-480A-B4B7-96490952F852}" name="TRB%op" dataDxfId="1427"/>
    <tableColumn id="67" xr3:uid="{996AD515-F88F-4E98-A523-61C6FF7945A3}" name="Possop" dataDxfId="1426"/>
    <tableColumn id="68" xr3:uid="{E0FA29EF-6081-4D3B-B938-FDFBC8895489}" name="AST%op" dataDxfId="1425"/>
    <tableColumn id="69" xr3:uid="{724567E2-76FF-4543-AA7A-991F55FEDD36}" name="FTFGA%op" dataDxfId="1424"/>
    <tableColumn id="70" xr3:uid="{D3AA5190-8DB9-4703-80D1-4806936BCE46}" name="TOV%op" dataDxfId="1423"/>
    <tableColumn id="71" xr3:uid="{9EFF3887-A2E3-48E4-89E6-E0957A001B15}" name="ORtgop" dataDxfId="1422"/>
    <tableColumn id="72" xr3:uid="{9B227553-8887-465C-8176-72F28B0BB92D}" name="DRtgop" dataDxfId="1421"/>
    <tableColumn id="73" xr3:uid="{6FCEB221-5788-4E65-BC87-CBA5E9BDFEA6}" name="Q1H" dataDxfId="1420"/>
    <tableColumn id="74" xr3:uid="{6D5B6BF4-9ADA-49E1-92E1-ACB6D597E088}" name="Q2H" dataDxfId="1419"/>
    <tableColumn id="75" xr3:uid="{B170BE67-4436-4AEF-B5E8-0A5EA280422A}" name="Q3H" dataDxfId="1418"/>
    <tableColumn id="76" xr3:uid="{1DBE51AC-0EB7-4CF3-BAA0-F826403CFFE6}" name="Q4H" dataDxfId="1417"/>
    <tableColumn id="77" xr3:uid="{AB17C20B-B8C5-43C2-A99A-7BB387A7A0DF}" name="Q1A" dataDxfId="1416"/>
    <tableColumn id="78" xr3:uid="{63A6AC1A-0908-49E8-9A18-7C9B44AF723E}" name="Q2A" dataDxfId="1415"/>
    <tableColumn id="79" xr3:uid="{3E8C7B3A-2903-429E-8067-A06015C798BA}" name="Q3A" dataDxfId="1414"/>
    <tableColumn id="80" xr3:uid="{5E79F17B-8CED-403C-97E1-340D35953FE7}" name="Q4A" dataDxfId="1413"/>
    <tableColumn id="81" xr3:uid="{2C519177-B60B-417D-85C7-E7217689190D}" name="FhalfH" dataDxfId="1412"/>
    <tableColumn id="82" xr3:uid="{744C5AF1-F5AF-4181-99DB-1492D334D6AA}" name="ShalfH" dataDxfId="1411"/>
    <tableColumn id="83" xr3:uid="{AEC606CF-E963-49E1-A05D-B0B6CADE7EA4}" name="FhalfA" dataDxfId="1410"/>
    <tableColumn id="84" xr3:uid="{03E89218-4B8B-437A-9ED2-ADBAB8E64684}" name="ShalfA" dataDxfId="1409"/>
    <tableColumn id="85" xr3:uid="{3A4DA040-E487-4FCA-A744-FAD8AB54E02B}" name="win" dataDxfId="1408"/>
    <tableColumn id="86" xr3:uid="{5B432A99-0544-45C8-B8BF-90C4D93EABBE}" name="lose" dataDxfId="1407"/>
    <tableColumn id="87" xr3:uid="{3E948E85-6B13-48B3-BF8D-C2DF755769EA}" name="foraH" dataDxfId="1406"/>
    <tableColumn id="88" xr3:uid="{0FE7E274-E1E9-4610-B544-342C10617E3F}" name="foraA" dataDxfId="1405"/>
    <tableColumn id="89" xr3:uid="{94A82465-BF33-4FD5-A600-37937D370E68}" name="total" dataDxfId="1404"/>
    <tableColumn id="90" xr3:uid="{86532B54-9279-4DBA-81E2-97DFAEEDAEBE}" name="link" dataDxfId="1403"/>
    <tableColumn id="91" xr3:uid="{58B43F4E-BF0A-436C-8FFE-920DA542BBD3}" name="abbr" dataDxfId="1402">
      <calculatedColumnFormula>VLOOKUP(bosna[[#This Row],[Away_team]],all[[Full name]:[Abbr]],3,FALSE)</calculatedColumnFormula>
    </tableColumn>
    <tableColumn id="92" xr3:uid="{0843B89F-79FD-45E6-864B-D3A0D619BA21}" name="BetH" dataDxfId="1401">
      <calculatedColumnFormula>IF(OR(bosna[[#This Row],[Result]]="w",bosna[[#This Row],[Result]]="dw"),bosna[[#This Row],[win]]-1,-1)</calculatedColumnFormula>
    </tableColumn>
    <tableColumn id="93" xr3:uid="{27D28D64-D8F4-439E-AF85-C4A1AA60C794}" name="BetA" dataDxfId="1400">
      <calculatedColumnFormula>IF(OR(bosna[[#This Row],[Result]]="L",bosna[[#This Row],[Result]]="dl"),bosna[[#This Row],[lose]]-1,-1)</calculatedColumnFormula>
    </tableColumn>
    <tableColumn id="94" xr3:uid="{1C874260-C1F0-434D-9483-3AE86A31A448}" name="Tover" dataDxfId="1399">
      <calculatedColumnFormula>IF(OR((bosna[[#This Row],[Home_scored]]+bosna[[#This Row],[Away_scored]])&gt;bosna[[#This Row],[total]],OR(bosna[[#This Row],[Result]]="dw",bosna[[#This Row],[Result]]="dl")),1,0)</calculatedColumnFormula>
    </tableColumn>
    <tableColumn id="95" xr3:uid="{8A312E08-45BF-41B1-85D0-AE4BA23C1A48}" name="Deviation" dataDxfId="1398">
      <calculatedColumnFormula>ABS((bosna[[#This Row],[Home_scored]]+bosna[[#This Row],[Away_scored]])-bosna[[#This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krka" displayName="krka" ref="A3:CQ4" totalsRowShown="0" headerRowDxfId="1397" dataDxfId="1396">
  <autoFilter ref="A3:CQ4" xr:uid="{6F44C236-BD30-49C1-AC80-B66D4596B51B}"/>
  <tableColumns count="95">
    <tableColumn id="1" xr3:uid="{74D3C6E2-2F2A-4CCC-9FC5-3E586BFB7811}" name="Tournament" dataDxfId="1395"/>
    <tableColumn id="2" xr3:uid="{047BB9DB-FA96-4D2C-9FD1-4416CA7828D4}" name="Home_team" dataDxfId="1394"/>
    <tableColumn id="3" xr3:uid="{2A6A48EC-B377-4381-A8BD-102742EEB3E1}" name="Stage" dataDxfId="1393"/>
    <tableColumn id="4" xr3:uid="{C97D0DBC-8CA9-430F-8704-63DE78E40609}" name="Date" dataDxfId="1392"/>
    <tableColumn id="5" xr3:uid="{1EB176CF-1EAF-46CE-A5E1-1C67FFD5CEFE}" name="Location" dataDxfId="1391"/>
    <tableColumn id="6" xr3:uid="{31252852-F2D9-4120-8D6C-84BB226F38A8}" name="Away_team" dataDxfId="1390"/>
    <tableColumn id="7" xr3:uid="{A96F9708-AD27-4305-B41B-942C494A4B51}" name="Result" dataDxfId="1389"/>
    <tableColumn id="8" xr3:uid="{C8A36C2F-1DE7-4B64-B151-798145965283}" name="Home_scored" dataDxfId="1388"/>
    <tableColumn id="9" xr3:uid="{5F57AB3F-CC9F-4758-93EA-56E19718A55C}" name="Away_scored" dataDxfId="1387"/>
    <tableColumn id="10" xr3:uid="{DB855428-9ED0-49A7-A735-6E5E027B092C}" name="FGM" dataDxfId="1386"/>
    <tableColumn id="11" xr3:uid="{A572F032-066C-42C2-B368-240B08FA6F58}" name="FGA" dataDxfId="1385"/>
    <tableColumn id="12" xr3:uid="{ABF2F234-C9EA-491F-96A3-0DFCB6BE667F}" name="FGp" dataDxfId="1384"/>
    <tableColumn id="13" xr3:uid="{E9A9E28E-8558-4939-8385-A741D6FD5733}" name="P2M" dataDxfId="1383"/>
    <tableColumn id="14" xr3:uid="{E2AEC678-CEBF-421E-BAAB-E120724455B6}" name="P2A" dataDxfId="1382"/>
    <tableColumn id="15" xr3:uid="{1462F572-5E0A-4F0C-B569-2E227B258F25}" name="P2p" dataDxfId="1381"/>
    <tableColumn id="16" xr3:uid="{B98E53CE-B6F7-4C83-A631-EC6AC70CC91F}" name="P3M" dataDxfId="1380"/>
    <tableColumn id="17" xr3:uid="{9879CD82-7561-4D34-8693-33C7BFE5CE70}" name="P3A" dataDxfId="1379"/>
    <tableColumn id="18" xr3:uid="{02979AEA-191D-4AD4-82D6-EA5865E68A2F}" name="P3p" dataDxfId="1378"/>
    <tableColumn id="19" xr3:uid="{086A29BB-067E-478B-B065-3AD4FE9390B0}" name="FTM" dataDxfId="1377"/>
    <tableColumn id="20" xr3:uid="{B93A527C-9903-4887-971C-53A84181BB10}" name="FTA" dataDxfId="1376"/>
    <tableColumn id="21" xr3:uid="{07451BE4-9E83-4B35-BA07-E5F84D9E92A2}" name="FTp" dataDxfId="1375"/>
    <tableColumn id="22" xr3:uid="{92241D88-AF31-4A8B-97FC-65F19ABAE44E}" name="ORB" dataDxfId="1374"/>
    <tableColumn id="23" xr3:uid="{8F17C769-4894-4132-B492-893E05976074}" name="DRB" dataDxfId="1373"/>
    <tableColumn id="24" xr3:uid="{1853DD9C-5990-453D-BA41-0EC3C186646D}" name="TRB" dataDxfId="1372"/>
    <tableColumn id="25" xr3:uid="{D568FEE6-978F-42F5-803C-16249C336CE2}" name="AST" dataDxfId="1371"/>
    <tableColumn id="26" xr3:uid="{D7C7C274-BAA8-4797-80C4-8D70677F38CD}" name="STL" dataDxfId="1370"/>
    <tableColumn id="27" xr3:uid="{F50961F0-AE3A-4559-9BB5-7E03C2071BA6}" name="BLK" dataDxfId="1369"/>
    <tableColumn id="28" xr3:uid="{C3178A13-4531-416A-BF21-EF9197AE74A5}" name="TOV" dataDxfId="1368"/>
    <tableColumn id="29" xr3:uid="{5B7B4671-ACFC-42AE-A8F2-5B6FA31C9145}" name="PF" dataDxfId="1367"/>
    <tableColumn id="30" xr3:uid="{42FCBD16-DD0E-4F0D-B0E0-603D5DD69203}" name="FGMop" dataDxfId="1366"/>
    <tableColumn id="31" xr3:uid="{FCD5BAB8-9373-4BEF-8A19-D4651B4811E2}" name="FGAop" dataDxfId="1365"/>
    <tableColumn id="32" xr3:uid="{32C99292-D436-4849-9895-7626286E49AE}" name="FGpop" dataDxfId="1364"/>
    <tableColumn id="33" xr3:uid="{76F6FA91-0FAF-4972-803D-458BB61BFA35}" name="P2Mop" dataDxfId="1363"/>
    <tableColumn id="34" xr3:uid="{935E7271-2486-48AA-AC8D-163575A471FA}" name="P2Aop" dataDxfId="1362"/>
    <tableColumn id="35" xr3:uid="{ECE87B4D-396A-4DFD-ACE4-CCABE797128E}" name="P2pop" dataDxfId="1361"/>
    <tableColumn id="36" xr3:uid="{105A4FCB-3B75-4497-9FC9-378A604C309B}" name="P3Mop" dataDxfId="1360"/>
    <tableColumn id="37" xr3:uid="{F40A3541-B2DE-4F02-B5BE-13BC6538DD81}" name="P3Aop" dataDxfId="1359"/>
    <tableColumn id="38" xr3:uid="{BE463727-553E-42F8-961F-EC93CE641145}" name="P3pop" dataDxfId="1358"/>
    <tableColumn id="39" xr3:uid="{A2A6A156-7447-41AD-B7E7-39343C9B8563}" name="FTMop" dataDxfId="1357"/>
    <tableColumn id="40" xr3:uid="{4AC0E671-06D9-4D01-93DC-A32E8EA36C73}" name="FTAop" dataDxfId="1356"/>
    <tableColumn id="41" xr3:uid="{84B69017-7CA7-424E-A9F8-95462C9BB19F}" name="FTpop" dataDxfId="1355"/>
    <tableColumn id="42" xr3:uid="{2FE1E6D5-A084-42F4-8691-85ED46E265AD}" name="ORBop" dataDxfId="1354"/>
    <tableColumn id="43" xr3:uid="{232E8AE1-CED2-4DE3-A8AE-EEA5F4155B91}" name="DRBop" dataDxfId="1353"/>
    <tableColumn id="44" xr3:uid="{5F4AEFEB-8A35-4704-AD81-1C12016FAF4B}" name="TRBop" dataDxfId="1352"/>
    <tableColumn id="45" xr3:uid="{6DAF8585-9150-4297-8C6C-CC32A8DB7B0E}" name="ASTop" dataDxfId="1351"/>
    <tableColumn id="46" xr3:uid="{D855FF14-CB25-477D-91D2-0CDC155E7C69}" name="STLop" dataDxfId="1350"/>
    <tableColumn id="47" xr3:uid="{6C4D0DF7-6E47-4EFB-82C6-6D3B6FF53B26}" name="BLKop" dataDxfId="1349"/>
    <tableColumn id="48" xr3:uid="{B6A87D8D-8044-47D6-97A8-68A3E07C3ED7}" name="TOVop" dataDxfId="1348"/>
    <tableColumn id="49" xr3:uid="{DECB9FC2-C038-4EC9-A111-090EDF552796}" name="PFop" dataDxfId="1347"/>
    <tableColumn id="50" xr3:uid="{04261475-FEF3-4236-B31F-BB5EBD40BB3B}" name="TS%" dataDxfId="1346"/>
    <tableColumn id="51" xr3:uid="{B2371860-5705-4215-9DEC-F5D2197EA2EB}" name="eFG%" dataDxfId="1345"/>
    <tableColumn id="52" xr3:uid="{C571D4FC-D676-443B-837F-F9579CC53CE9}" name="ORB%" dataDxfId="1344"/>
    <tableColumn id="53" xr3:uid="{A1B7172A-A0D5-4C33-BC4B-567C4253A056}" name="DRB%" dataDxfId="1343"/>
    <tableColumn id="54" xr3:uid="{0878393E-C281-491E-8DE8-73592E4EDE42}" name="TRB%" dataDxfId="1342"/>
    <tableColumn id="55" xr3:uid="{9BEB529B-B2FC-4B40-98FB-14AE2685454F}" name="Poss" dataDxfId="1341"/>
    <tableColumn id="56" xr3:uid="{DA16F600-8982-45E6-99A7-E6EFC0BE1090}" name="AST%" dataDxfId="1340"/>
    <tableColumn id="57" xr3:uid="{E11D401D-5066-46D8-BB51-D5D7663163D4}" name="FTFGA%" dataDxfId="1339"/>
    <tableColumn id="58" xr3:uid="{93CED33F-5D96-442D-9001-52E8F8000DCC}" name="TOV%" dataDxfId="1338"/>
    <tableColumn id="59" xr3:uid="{5787A8BA-C02A-4DC8-A557-DC872BBD28B0}" name="ORtg" dataDxfId="1337"/>
    <tableColumn id="60" xr3:uid="{5F174AC3-8335-43EA-AACE-7A726D86DCE0}" name="DRtg" dataDxfId="1336"/>
    <tableColumn id="61" xr3:uid="{710DC4AF-C644-47A5-9E6A-E0960A0CFABB}" name="Pace" dataDxfId="1335"/>
    <tableColumn id="62" xr3:uid="{EC0FDA91-606B-4A6A-81E0-E8581A180C05}" name="TS%op" dataDxfId="1334"/>
    <tableColumn id="63" xr3:uid="{FB96FE9D-3286-4191-A39E-7BA27F16618A}" name="eFG%op" dataDxfId="1333"/>
    <tableColumn id="64" xr3:uid="{0951992E-8440-4D30-9AF7-D9CF182017BC}" name="ORB%op" dataDxfId="1332"/>
    <tableColumn id="65" xr3:uid="{4E0FCAA8-F90F-40B0-8E23-CCC488F376D8}" name="DRB%op" dataDxfId="1331"/>
    <tableColumn id="66" xr3:uid="{4AC3E432-9C15-4478-A90E-383CAAA51657}" name="TRB%op" dataDxfId="1330"/>
    <tableColumn id="67" xr3:uid="{29FAE669-12CD-480D-9E58-97F72A355A7F}" name="Possop" dataDxfId="1329"/>
    <tableColumn id="68" xr3:uid="{42EA90CB-5192-4547-AACB-C0B6683B4C1C}" name="AST%op" dataDxfId="1328"/>
    <tableColumn id="69" xr3:uid="{D1C90988-F75B-4E8E-A308-80A780FB8BE0}" name="FTFGA%op" dataDxfId="1327"/>
    <tableColumn id="70" xr3:uid="{BD0243AE-C4C8-43F1-AA1A-876425649951}" name="TOV%op" dataDxfId="1326"/>
    <tableColumn id="71" xr3:uid="{F219E428-3AF7-470B-91B4-A04B45ED1890}" name="ORtgop" dataDxfId="1325"/>
    <tableColumn id="72" xr3:uid="{C8F55551-B542-415B-8355-2D9FA8BAD79F}" name="DRtgop" dataDxfId="1324"/>
    <tableColumn id="73" xr3:uid="{14EE36BB-0862-4A08-BCEF-FB373B92C361}" name="Q1H" dataDxfId="1323"/>
    <tableColumn id="74" xr3:uid="{53EECAF0-70D3-4131-8BAE-0D2D43299DD5}" name="Q2H" dataDxfId="1322"/>
    <tableColumn id="75" xr3:uid="{B3545222-50A2-4110-ACEC-BE7D5C5D0D01}" name="Q3H" dataDxfId="1321"/>
    <tableColumn id="76" xr3:uid="{F3E7AA44-2B03-475D-8017-BA2449CA0B50}" name="Q4H" dataDxfId="1320"/>
    <tableColumn id="77" xr3:uid="{D38DFE04-6198-40CD-89B9-4BA880C88C53}" name="Q1A" dataDxfId="1319"/>
    <tableColumn id="78" xr3:uid="{42DEE4DE-5EBF-40DB-84C9-5431B52D3E6E}" name="Q2A" dataDxfId="1318"/>
    <tableColumn id="79" xr3:uid="{A917CB40-DEB5-4713-90F3-6E160BE06AE2}" name="Q3A" dataDxfId="1317"/>
    <tableColumn id="80" xr3:uid="{45AAD624-0105-44D7-9F14-D6FD21A9B01C}" name="Q4A" dataDxfId="1316"/>
    <tableColumn id="81" xr3:uid="{E3BD6104-4B2D-45F6-910E-798FADBA1851}" name="FhalfH" dataDxfId="1315"/>
    <tableColumn id="82" xr3:uid="{6B7663CC-2E33-46AF-A111-1FFD813FE928}" name="ShalfH" dataDxfId="1314"/>
    <tableColumn id="83" xr3:uid="{80AF3A58-8515-446B-BB2D-66386BE617F4}" name="FhalfA" dataDxfId="1313"/>
    <tableColumn id="84" xr3:uid="{9FEE2F20-B08D-44B7-ABA9-1020C864D825}" name="ShalfA" dataDxfId="1312"/>
    <tableColumn id="85" xr3:uid="{907FD716-623E-4647-AF37-328357536EEB}" name="win" dataDxfId="1311"/>
    <tableColumn id="86" xr3:uid="{F9D74CC1-E740-4C6F-8ED3-0DB8F634BB7C}" name="lose" dataDxfId="1310"/>
    <tableColumn id="87" xr3:uid="{2B4119FA-D661-4889-9E2D-58B0F803B194}" name="foraH" dataDxfId="1309"/>
    <tableColumn id="88" xr3:uid="{23D50A77-337B-4C4F-8876-8E16E8937F30}" name="foraA" dataDxfId="1308"/>
    <tableColumn id="89" xr3:uid="{08CB73D3-381C-4595-BBAF-7B130BF4B8FB}" name="total" dataDxfId="1307"/>
    <tableColumn id="90" xr3:uid="{0CED71D6-95E1-4E85-B554-8CAFB37E2690}" name="link" dataDxfId="1306"/>
    <tableColumn id="91" xr3:uid="{593D7EB2-0C62-4663-88A5-A18733BD15A2}" name="abbr" dataDxfId="1305">
      <calculatedColumnFormula>VLOOKUP(krka[[#This Row],[Away_team]],all[[Full name]:[Abbr]],3,FALSE)</calculatedColumnFormula>
    </tableColumn>
    <tableColumn id="92" xr3:uid="{CF350ACC-3E70-4BFE-99FC-0234AA965B18}" name="BetH" dataDxfId="1304">
      <calculatedColumnFormula>IF(OR(krka[[#This Row],[Result]]="w",krka[[#This Row],[Result]]="dw"),krka[[#This Row],[win]]-1,-1)</calculatedColumnFormula>
    </tableColumn>
    <tableColumn id="93" xr3:uid="{6C2652B6-E4BA-4514-9503-542DA5033657}" name="BetA" dataDxfId="1303">
      <calculatedColumnFormula>IF(OR(krka[[#This Row],[Result]]="L",krka[[#This Row],[Result]]="dl"),krka[[#This Row],[lose]]-1,-1)</calculatedColumnFormula>
    </tableColumn>
    <tableColumn id="94" xr3:uid="{BB7DEB8E-017C-4E99-A76D-223D3050C9B5}" name="Tover" dataDxfId="1302">
      <calculatedColumnFormula>IF(OR((krka[[#This Row],[Home_scored]]+krka[[#This Row],[Away_scored]])&gt;krka[[#This Row],[total]],OR(krka[[#This Row],[Result]]="dw",krka[[#This Row],[Result]]="dl")),1,0)</calculatedColumnFormula>
    </tableColumn>
    <tableColumn id="95" xr3:uid="{2D676805-73D1-4BA6-9823-710EFF922245}" name="Deviation" dataDxfId="1301">
      <calculatedColumnFormula>ABS((krka[[#This Row],[Home_scored]]+krka[[#This Row],[Away_scored]])-krka[[#This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mega" displayName="mega" ref="A3:CQ4" totalsRowShown="0" headerRowDxfId="1300" dataDxfId="1299">
  <autoFilter ref="A3:CQ4" xr:uid="{6F44C236-BD30-49C1-AC80-B66D4596B51B}"/>
  <tableColumns count="95">
    <tableColumn id="1" xr3:uid="{DD536D1A-B870-4E6B-9294-F4D98552F726}" name="Tournament" dataDxfId="1298"/>
    <tableColumn id="2" xr3:uid="{6E344B70-A7DC-4281-B4E1-18B4622E7FF1}" name="Home_team" dataDxfId="1297"/>
    <tableColumn id="3" xr3:uid="{5FABEC4E-6696-420D-BF82-CC754EC46115}" name="Stage" dataDxfId="1296"/>
    <tableColumn id="4" xr3:uid="{2B5F932D-1B2F-4EF7-8C02-68933C20E265}" name="Date" dataDxfId="1295"/>
    <tableColumn id="5" xr3:uid="{8C518889-62DB-440D-848A-9E886A266BAF}" name="Location" dataDxfId="1294"/>
    <tableColumn id="6" xr3:uid="{3056259A-3263-4196-A88B-7AD9FBCB8A40}" name="Away_team" dataDxfId="1293"/>
    <tableColumn id="7" xr3:uid="{20A1FA16-E7AB-4FBD-B130-75B86734A564}" name="Result" dataDxfId="1292"/>
    <tableColumn id="8" xr3:uid="{1D01F08B-D046-457B-B8C7-0BBFAB42C62E}" name="Home_scored" dataDxfId="1291"/>
    <tableColumn id="9" xr3:uid="{ABF8990C-6FDA-4F80-909C-CB4C017F2027}" name="Away_scored" dataDxfId="1290"/>
    <tableColumn id="10" xr3:uid="{65F1AEE1-DAD9-4EF8-800D-5A45134043CD}" name="FGM" dataDxfId="1289"/>
    <tableColumn id="11" xr3:uid="{1364C055-16F3-4FC1-B128-E19CC0985ABF}" name="FGA" dataDxfId="1288"/>
    <tableColumn id="12" xr3:uid="{DAB0193C-CCA7-4DF8-96AF-06011E92A90C}" name="FGp" dataDxfId="1287"/>
    <tableColumn id="13" xr3:uid="{D031D9EF-C979-43B5-A61E-1CCF4ABF0D79}" name="P2M" dataDxfId="1286"/>
    <tableColumn id="14" xr3:uid="{152BB6A4-E1DC-4F1B-AE0A-10E39E045510}" name="P2A" dataDxfId="1285"/>
    <tableColumn id="15" xr3:uid="{E7A4A856-744C-4F49-ACA3-1FED403E7A39}" name="P2p" dataDxfId="1284"/>
    <tableColumn id="16" xr3:uid="{5DEE1922-346D-47E2-8BB3-50B96F09E06B}" name="P3M" dataDxfId="1283"/>
    <tableColumn id="17" xr3:uid="{79532C2E-0933-480C-8B44-A3761B2D64A0}" name="P3A" dataDxfId="1282"/>
    <tableColumn id="18" xr3:uid="{1A120052-76CC-46D4-AAEF-FB1A2900FF55}" name="P3p" dataDxfId="1281"/>
    <tableColumn id="19" xr3:uid="{F88D52B7-4919-4F25-9A8A-F0C0CA1ADB73}" name="FTM" dataDxfId="1280"/>
    <tableColumn id="20" xr3:uid="{48259F87-7BC7-4F22-9374-33D358A735B5}" name="FTA" dataDxfId="1279"/>
    <tableColumn id="21" xr3:uid="{E53513B9-64B2-4DCC-9D6A-FB6F2B937DD1}" name="FTp" dataDxfId="1278"/>
    <tableColumn id="22" xr3:uid="{5B032B95-86E8-4019-992F-4C0245C98D40}" name="ORB" dataDxfId="1277"/>
    <tableColumn id="23" xr3:uid="{4275D094-7367-4280-8D8A-3744977AEE72}" name="DRB" dataDxfId="1276"/>
    <tableColumn id="24" xr3:uid="{1605731A-5F37-44CF-8B5E-CE6CD58E965E}" name="TRB" dataDxfId="1275"/>
    <tableColumn id="25" xr3:uid="{59AD5322-1116-45EB-8440-1DA157C20BEC}" name="AST" dataDxfId="1274"/>
    <tableColumn id="26" xr3:uid="{8521799C-93AE-42BC-942D-F50459025F10}" name="STL" dataDxfId="1273"/>
    <tableColumn id="27" xr3:uid="{F5571A58-186B-4FA4-99C3-325EB2E1545D}" name="BLK" dataDxfId="1272"/>
    <tableColumn id="28" xr3:uid="{4D64C734-5037-4BD2-A16F-626D0364FE50}" name="TOV" dataDxfId="1271"/>
    <tableColumn id="29" xr3:uid="{3298BC43-50B2-4030-8E6C-4CBF743096D2}" name="PF" dataDxfId="1270"/>
    <tableColumn id="30" xr3:uid="{3BA62D49-B40B-4E12-A199-404AC29460CA}" name="FGMop" dataDxfId="1269"/>
    <tableColumn id="31" xr3:uid="{3FBE2443-C712-4C0D-83A8-890DCBBE0425}" name="FGAop" dataDxfId="1268"/>
    <tableColumn id="32" xr3:uid="{6CBFFA99-AAC5-4F21-A802-3DC50E3DB2E4}" name="FGpop" dataDxfId="1267"/>
    <tableColumn id="33" xr3:uid="{641BE33B-97E7-4BFC-99DD-7D947E793325}" name="P2Mop" dataDxfId="1266"/>
    <tableColumn id="34" xr3:uid="{BA1E1853-7FEC-406E-84AB-FF1E497BD713}" name="P2Aop" dataDxfId="1265"/>
    <tableColumn id="35" xr3:uid="{9B173982-B469-4461-8228-E51EBF418066}" name="P2pop" dataDxfId="1264"/>
    <tableColumn id="36" xr3:uid="{A19311B4-61F0-426F-BEAA-B9CE62A74D49}" name="P3Mop" dataDxfId="1263"/>
    <tableColumn id="37" xr3:uid="{7454CAAE-9C63-4B7D-8354-20964EACA8E8}" name="P3Aop" dataDxfId="1262"/>
    <tableColumn id="38" xr3:uid="{9AA05FBA-BB28-4FE8-B73F-CFFA055F4464}" name="P3pop" dataDxfId="1261"/>
    <tableColumn id="39" xr3:uid="{4F9AA123-25E1-4A0E-845D-5EF3B1EEB9CD}" name="FTMop" dataDxfId="1260"/>
    <tableColumn id="40" xr3:uid="{21B552CF-8FDE-4E19-9E6B-38E8E73C7E87}" name="FTAop" dataDxfId="1259"/>
    <tableColumn id="41" xr3:uid="{3CED5E3E-5144-4496-A631-05D3A67889D2}" name="FTpop" dataDxfId="1258"/>
    <tableColumn id="42" xr3:uid="{2E40020D-60D7-4E70-89C6-26D1268E47CA}" name="ORBop" dataDxfId="1257"/>
    <tableColumn id="43" xr3:uid="{194C40B1-F943-4031-9ED0-2BCB4303600A}" name="DRBop" dataDxfId="1256"/>
    <tableColumn id="44" xr3:uid="{A4CFB13C-D6DA-45F8-8AE7-84364E4B72A2}" name="TRBop" dataDxfId="1255"/>
    <tableColumn id="45" xr3:uid="{44EC7BE9-8EF4-44FA-8B9A-196DA3707475}" name="ASTop" dataDxfId="1254"/>
    <tableColumn id="46" xr3:uid="{F5542E31-C410-4182-B773-BDA348EE4F21}" name="STLop" dataDxfId="1253"/>
    <tableColumn id="47" xr3:uid="{5BCB5A77-6A8A-470F-B2D3-7AA65D1A5736}" name="BLKop" dataDxfId="1252"/>
    <tableColumn id="48" xr3:uid="{AA3D7F1A-C213-4B07-90B5-A3DF0259F3EA}" name="TOVop" dataDxfId="1251"/>
    <tableColumn id="49" xr3:uid="{73DE04C6-36FF-449C-91C1-D1B81D15B6BB}" name="PFop" dataDxfId="1250"/>
    <tableColumn id="50" xr3:uid="{46D06F05-742B-4AB0-B856-8F0D261242F9}" name="TS%" dataDxfId="1249"/>
    <tableColumn id="51" xr3:uid="{3523D6C2-D516-479C-AAD2-9E5BE7DED4A7}" name="eFG%" dataDxfId="1248"/>
    <tableColumn id="52" xr3:uid="{6AE9EE21-DE9A-4E81-9B1C-DCB14182589B}" name="ORB%" dataDxfId="1247"/>
    <tableColumn id="53" xr3:uid="{28254153-0C98-4856-ACAF-86CDA1C9BD3D}" name="DRB%" dataDxfId="1246"/>
    <tableColumn id="54" xr3:uid="{35B1AC12-E759-4613-8DAE-07E4804D3E87}" name="TRB%" dataDxfId="1245"/>
    <tableColumn id="55" xr3:uid="{83A337FE-DB5D-4519-8832-4A0A9F1A9B8D}" name="Poss" dataDxfId="1244"/>
    <tableColumn id="56" xr3:uid="{C29C9B8D-FC55-4CDE-8990-2E8B995DF811}" name="AST%" dataDxfId="1243"/>
    <tableColumn id="57" xr3:uid="{3FD12FAF-D181-40AD-8FA5-BBBB89FACF2E}" name="FTFGA%" dataDxfId="1242"/>
    <tableColumn id="58" xr3:uid="{43A34AD9-0019-4439-A0CC-A6BD85CD29CC}" name="TOV%" dataDxfId="1241"/>
    <tableColumn id="59" xr3:uid="{5A51FDC8-DAFC-4503-AE67-B1DA5358EBCE}" name="ORtg" dataDxfId="1240"/>
    <tableColumn id="60" xr3:uid="{D9A92CBB-FE9D-45B0-BB97-CD0380AC75DD}" name="DRtg" dataDxfId="1239"/>
    <tableColumn id="61" xr3:uid="{83EE9381-F1DA-47B1-B6DA-3AF6DF91D68B}" name="Pace" dataDxfId="1238"/>
    <tableColumn id="62" xr3:uid="{036C652B-4FD4-4FD0-A3E0-9C7A7A0D9B2B}" name="TS%op" dataDxfId="1237"/>
    <tableColumn id="63" xr3:uid="{29500672-49D3-4D75-B0D3-D4C0F7A1C7BF}" name="eFG%op" dataDxfId="1236"/>
    <tableColumn id="64" xr3:uid="{6FAAA57B-AB58-4267-A276-54E54FA77084}" name="ORB%op" dataDxfId="1235"/>
    <tableColumn id="65" xr3:uid="{C8E2FB5B-9D44-4964-9A1A-36C71D768811}" name="DRB%op" dataDxfId="1234"/>
    <tableColumn id="66" xr3:uid="{201406E2-0A94-4274-B1E8-99F64BE5AC3A}" name="TRB%op" dataDxfId="1233"/>
    <tableColumn id="67" xr3:uid="{CC0E2CAB-05DC-4194-AF4D-BD380E40F28C}" name="Possop" dataDxfId="1232"/>
    <tableColumn id="68" xr3:uid="{7525F7D5-6314-4B6F-B8C4-8124E6769BCD}" name="AST%op" dataDxfId="1231"/>
    <tableColumn id="69" xr3:uid="{8ECF3B9B-1C6F-4EF1-BB9F-B01C21B94C1E}" name="FTFGA%op" dataDxfId="1230"/>
    <tableColumn id="70" xr3:uid="{A66CF919-056F-4E9D-B805-1E303E7B8C87}" name="TOV%op" dataDxfId="1229"/>
    <tableColumn id="71" xr3:uid="{3A4B5102-84EC-4B64-B36E-7D9AA0053BC9}" name="ORtgop" dataDxfId="1228"/>
    <tableColumn id="72" xr3:uid="{09DEB2B9-CB95-4C2E-AC3D-B3B95B2FDED8}" name="DRtgop" dataDxfId="1227"/>
    <tableColumn id="73" xr3:uid="{7B4D28D6-62EA-464A-B788-832A3801C5A4}" name="Q1H" dataDxfId="1226"/>
    <tableColumn id="74" xr3:uid="{13A23204-997B-4E48-BB27-E50D08EC83C6}" name="Q2H" dataDxfId="1225"/>
    <tableColumn id="75" xr3:uid="{F0C32AF4-5D01-454D-AEA4-9A14376B1121}" name="Q3H" dataDxfId="1224"/>
    <tableColumn id="76" xr3:uid="{9ABF6784-E116-4BB9-9DFD-DA711F4C2A7E}" name="Q4H" dataDxfId="1223"/>
    <tableColumn id="77" xr3:uid="{B11A659E-BFD3-42F0-B44F-463BDF8518F6}" name="Q1A" dataDxfId="1222"/>
    <tableColumn id="78" xr3:uid="{D396A323-2FA8-46C0-934F-3B21D505D830}" name="Q2A" dataDxfId="1221"/>
    <tableColumn id="79" xr3:uid="{5C70A8A5-F6D6-4C26-A2F6-F24530637838}" name="Q3A" dataDxfId="1220"/>
    <tableColumn id="80" xr3:uid="{9936A0B3-5AF9-45C0-AB91-59092F73967E}" name="Q4A" dataDxfId="1219"/>
    <tableColumn id="81" xr3:uid="{D10B6669-695E-4192-A4C0-451143BE0F23}" name="FhalfH" dataDxfId="1218"/>
    <tableColumn id="82" xr3:uid="{436AB612-2EF9-42D2-8BD9-35BD633173CB}" name="ShalfH" dataDxfId="1217"/>
    <tableColumn id="83" xr3:uid="{245C2B01-2216-41C6-B402-4C3EB20526C9}" name="FhalfA" dataDxfId="1216"/>
    <tableColumn id="84" xr3:uid="{0A58E8DC-07B0-4FEE-98E0-5DB7848DD512}" name="ShalfA" dataDxfId="1215"/>
    <tableColumn id="85" xr3:uid="{BC662AAF-EAFB-4D3B-90A1-91C1E642B928}" name="win" dataDxfId="1214"/>
    <tableColumn id="86" xr3:uid="{09F94C2E-CF5A-47B0-9E4F-BB4F7B99CAA6}" name="lose" dataDxfId="1213"/>
    <tableColumn id="87" xr3:uid="{2611B906-4716-4309-80F0-F95B7D71977B}" name="foraH" dataDxfId="1212"/>
    <tableColumn id="88" xr3:uid="{C5FC0022-7A80-4E7E-9660-DEC2238C7C09}" name="foraA" dataDxfId="1211"/>
    <tableColumn id="89" xr3:uid="{075855A7-32DE-4A23-9617-05782FC3E0B2}" name="total" dataDxfId="1210"/>
    <tableColumn id="90" xr3:uid="{91D557EB-BD23-4471-9FEE-E205A509CD78}" name="link" dataDxfId="1209"/>
    <tableColumn id="91" xr3:uid="{581AEC91-CE5A-4CEC-B89C-1DCBC7DAE9EA}" name="abbr" dataDxfId="1208">
      <calculatedColumnFormula>VLOOKUP(mega[[#This Row],[Away_team]],all[[Full name]:[Abbr]],3,FALSE)</calculatedColumnFormula>
    </tableColumn>
    <tableColumn id="92" xr3:uid="{E0CDFC66-2074-4357-AEB0-52C7E1FC1422}" name="BetH" dataDxfId="1207">
      <calculatedColumnFormula>IF(OR(mega[[#This Row],[Result]]="w",mega[[#This Row],[Result]]="dw"),mega[[#This Row],[win]]-1,-1)</calculatedColumnFormula>
    </tableColumn>
    <tableColumn id="93" xr3:uid="{93D55FD1-1914-4708-90A5-372F51EBAA23}" name="BetA" dataDxfId="1206">
      <calculatedColumnFormula>IF(OR(mega[[#This Row],[Result]]="L",mega[[#This Row],[Result]]="dl"),mega[[#This Row],[lose]]-1,-1)</calculatedColumnFormula>
    </tableColumn>
    <tableColumn id="94" xr3:uid="{393BABC5-AFEE-48A4-B0CE-37C04795453D}" name="Tover" dataDxfId="1205">
      <calculatedColumnFormula>IF(OR((mega[[#This Row],[Home_scored]]+mega[[#This Row],[Away_scored]])&gt;mega[[#This Row],[total]],OR(mega[[#This Row],[Result]]="dw",mega[[#This Row],[Result]]="dl")),1,0)</calculatedColumnFormula>
    </tableColumn>
    <tableColumn id="95" xr3:uid="{1C65DD87-5F19-4A4D-A889-8C06F196068E}" name="Deviation" dataDxfId="1204">
      <calculatedColumnFormula>ABS((mega[[#This Row],[Home_scored]]+mega[[#This Row],[Away_scored]])-mega[[#This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partizan" displayName="partizan" ref="A3:CQ4" totalsRowShown="0" headerRowDxfId="1203" dataDxfId="1202">
  <autoFilter ref="A3:CQ4" xr:uid="{6F44C236-BD30-49C1-AC80-B66D4596B51B}"/>
  <tableColumns count="95">
    <tableColumn id="1" xr3:uid="{9C6084FD-FC54-465A-AA82-79B61A4D04A7}" name="Tournament" dataDxfId="1201"/>
    <tableColumn id="2" xr3:uid="{F42C5B5F-C6F6-4FD7-A5E8-C4E29543339A}" name="Home_team" dataDxfId="1200"/>
    <tableColumn id="3" xr3:uid="{8ACD04EC-8836-4353-A316-0B5043A7E07F}" name="Stage" dataDxfId="1199"/>
    <tableColumn id="4" xr3:uid="{B1D9C7CB-8E49-44FB-AB89-6CDF46A597FD}" name="Date" dataDxfId="1198"/>
    <tableColumn id="5" xr3:uid="{D5B5E1A5-7442-47CA-9E66-1B24E5AB7F52}" name="Location" dataDxfId="1197"/>
    <tableColumn id="6" xr3:uid="{259C82F3-6F7B-4078-A116-6833DA4D9D26}" name="Away_team" dataDxfId="1196"/>
    <tableColumn id="7" xr3:uid="{B5E931EF-BF43-4963-9D21-5108EC05F4C1}" name="Result" dataDxfId="1195"/>
    <tableColumn id="8" xr3:uid="{B0F96ECC-40CA-48F0-B8D8-562651904F88}" name="Home_scored" dataDxfId="1194"/>
    <tableColumn id="9" xr3:uid="{1F7F689A-0839-4F63-AA0A-3F0F443A667F}" name="Away_scored" dataDxfId="1193"/>
    <tableColumn id="10" xr3:uid="{43AB11BC-95C6-4194-8294-58AC7FB8789B}" name="FGM" dataDxfId="1192"/>
    <tableColumn id="11" xr3:uid="{A7076707-DA48-4C9C-AB45-92FF503B66F6}" name="FGA" dataDxfId="1191"/>
    <tableColumn id="12" xr3:uid="{9DED4E74-4927-43FC-813D-4253DEEEAAA4}" name="FGp" dataDxfId="1190"/>
    <tableColumn id="13" xr3:uid="{2DB61338-D0E3-4319-894A-769FF48CD886}" name="P2M" dataDxfId="1189"/>
    <tableColumn id="14" xr3:uid="{7FF8D46A-A96C-4ECD-9DC6-8A37033AF08B}" name="P2A" dataDxfId="1188"/>
    <tableColumn id="15" xr3:uid="{C5B33F35-5466-4030-B746-E60E47EE6581}" name="P2p" dataDxfId="1187"/>
    <tableColumn id="16" xr3:uid="{94FF4C40-63CB-4D66-A768-39CE2C53FA53}" name="P3M" dataDxfId="1186"/>
    <tableColumn id="17" xr3:uid="{19B5A89D-9BC9-4186-9948-56D413495417}" name="P3A" dataDxfId="1185"/>
    <tableColumn id="18" xr3:uid="{17AE0D3A-8878-4577-92DF-36EBD8A7C762}" name="P3p" dataDxfId="1184"/>
    <tableColumn id="19" xr3:uid="{E5D0473D-1DDB-4D83-A2D2-825DBDC05B44}" name="FTM" dataDxfId="1183"/>
    <tableColumn id="20" xr3:uid="{06661361-5373-43E3-89A1-F12021C2BAD8}" name="FTA" dataDxfId="1182"/>
    <tableColumn id="21" xr3:uid="{3C58E20F-2702-4ECE-AAE7-2E78A32B44C9}" name="FTp" dataDxfId="1181"/>
    <tableColumn id="22" xr3:uid="{A10B3A11-A183-45D6-8BE1-358FB83E4916}" name="ORB" dataDxfId="1180"/>
    <tableColumn id="23" xr3:uid="{3E937B3A-9E42-4D02-99F9-C27E63203DE9}" name="DRB" dataDxfId="1179"/>
    <tableColumn id="24" xr3:uid="{B3FC8A52-674C-4532-9DC2-044619558F54}" name="TRB" dataDxfId="1178"/>
    <tableColumn id="25" xr3:uid="{9DA37943-A8A1-4508-AD71-31945A5E472F}" name="AST" dataDxfId="1177"/>
    <tableColumn id="26" xr3:uid="{1B34A0EB-1C5C-479B-9E8B-28EC99A1DD92}" name="STL" dataDxfId="1176"/>
    <tableColumn id="27" xr3:uid="{64E03C3D-4177-4993-B58E-96C41E58FE47}" name="BLK" dataDxfId="1175"/>
    <tableColumn id="28" xr3:uid="{A3056938-C7A4-4A0F-8E4E-A53910B7FC97}" name="TOV" dataDxfId="1174"/>
    <tableColumn id="29" xr3:uid="{8DED3BC5-8553-499A-8F16-BE514A9E5227}" name="PF" dataDxfId="1173"/>
    <tableColumn id="30" xr3:uid="{42373D74-4F1D-41DC-9BD6-76C8EF88E95E}" name="FGMop" dataDxfId="1172"/>
    <tableColumn id="31" xr3:uid="{8F7C09EE-D4AE-40A0-B3EF-32DE3E7FE17E}" name="FGAop" dataDxfId="1171"/>
    <tableColumn id="32" xr3:uid="{1FC1ECA6-979B-4868-B3D7-A918938B457D}" name="FGpop" dataDxfId="1170"/>
    <tableColumn id="33" xr3:uid="{10DBF41E-1749-42C7-BDDF-3EF4D4F8FC28}" name="P2Mop" dataDxfId="1169"/>
    <tableColumn id="34" xr3:uid="{4F8061B3-6948-4C46-AD42-08F48A48B275}" name="P2Aop" dataDxfId="1168"/>
    <tableColumn id="35" xr3:uid="{0F3DE539-6497-4D7A-A2C5-E5C471AAF9C2}" name="P2pop" dataDxfId="1167"/>
    <tableColumn id="36" xr3:uid="{D2EBD58B-AE3B-48AB-8148-78B8CBA9DBC1}" name="P3Mop" dataDxfId="1166"/>
    <tableColumn id="37" xr3:uid="{79447A3B-F1E3-462D-8A9E-97D75DA17438}" name="P3Aop" dataDxfId="1165"/>
    <tableColumn id="38" xr3:uid="{C4BBF9D2-310D-400C-A620-9C058B30D461}" name="P3pop" dataDxfId="1164"/>
    <tableColumn id="39" xr3:uid="{4F3430C3-BD98-467D-B24A-D76C41840C9C}" name="FTMop" dataDxfId="1163"/>
    <tableColumn id="40" xr3:uid="{8A89ECC5-AB2A-4D79-93D2-20487E8FBEAF}" name="FTAop" dataDxfId="1162"/>
    <tableColumn id="41" xr3:uid="{20687F3E-56FE-43A0-A93C-369048EDFC67}" name="FTpop" dataDxfId="1161"/>
    <tableColumn id="42" xr3:uid="{7AE46809-B19A-418D-9867-67110E6C6BB7}" name="ORBop" dataDxfId="1160"/>
    <tableColumn id="43" xr3:uid="{6746B735-4670-4F47-9444-E084032D9144}" name="DRBop" dataDxfId="1159"/>
    <tableColumn id="44" xr3:uid="{448CBB2D-F7FE-495D-BDD0-FBF6356C646E}" name="TRBop" dataDxfId="1158"/>
    <tableColumn id="45" xr3:uid="{04599612-9076-4AE0-9BFD-9801D946500B}" name="ASTop" dataDxfId="1157"/>
    <tableColumn id="46" xr3:uid="{552B1A56-47FE-4331-815D-B0EE1D643D9D}" name="STLop" dataDxfId="1156"/>
    <tableColumn id="47" xr3:uid="{1C1B7EF7-9225-4085-B28A-0D9553A5C12E}" name="BLKop" dataDxfId="1155"/>
    <tableColumn id="48" xr3:uid="{36C96FB7-F9D8-49FD-A9D8-C00952064C6B}" name="TOVop" dataDxfId="1154"/>
    <tableColumn id="49" xr3:uid="{5B71139F-337A-4B9B-AEE9-949E404A792A}" name="PFop" dataDxfId="1153"/>
    <tableColumn id="50" xr3:uid="{D00A1527-89F1-4A8D-BDA5-B6EB6AA72B5D}" name="TS%" dataDxfId="1152"/>
    <tableColumn id="51" xr3:uid="{A800FABD-A21D-429A-9BF5-1368B2CCEF9B}" name="eFG%" dataDxfId="1151"/>
    <tableColumn id="52" xr3:uid="{EB7C47BF-8C19-4846-8D72-CCAE80CC89E3}" name="ORB%" dataDxfId="1150"/>
    <tableColumn id="53" xr3:uid="{89743DFD-F247-4144-9454-9AD97F6C97D9}" name="DRB%" dataDxfId="1149"/>
    <tableColumn id="54" xr3:uid="{AFCDC1E3-D5F8-4748-A9FB-968610E9D68E}" name="TRB%" dataDxfId="1148"/>
    <tableColumn id="55" xr3:uid="{D8F93BAC-C747-4DDC-AAF9-A32E737F53CA}" name="Poss" dataDxfId="1147"/>
    <tableColumn id="56" xr3:uid="{CBD1BF51-C2D4-4020-B4D8-458DD5A914BE}" name="AST%" dataDxfId="1146"/>
    <tableColumn id="57" xr3:uid="{0661227B-9F1F-43F0-BDCE-6231DEF85052}" name="FTFGA%" dataDxfId="1145"/>
    <tableColumn id="58" xr3:uid="{B1A5CF89-B2ED-46B9-8399-FCFE33318C00}" name="TOV%" dataDxfId="1144"/>
    <tableColumn id="59" xr3:uid="{225287F7-2C37-4DBB-A390-55C5FE7A898F}" name="ORtg" dataDxfId="1143"/>
    <tableColumn id="60" xr3:uid="{F3DD6CF0-A4BC-4EF9-BC70-3CC88198DE31}" name="DRtg" dataDxfId="1142"/>
    <tableColumn id="61" xr3:uid="{0D6DBA9A-6FA3-4A66-A07E-64CBCCC091A3}" name="Pace" dataDxfId="1141"/>
    <tableColumn id="62" xr3:uid="{42EF5C8C-5F50-4C65-B08A-BE2E9EE19273}" name="TS%op" dataDxfId="1140"/>
    <tableColumn id="63" xr3:uid="{D1634516-3EFB-440F-8C78-33E8B712E00C}" name="eFG%op" dataDxfId="1139"/>
    <tableColumn id="64" xr3:uid="{125477EE-94EC-4345-AF73-314AA5FDA97B}" name="ORB%op" dataDxfId="1138"/>
    <tableColumn id="65" xr3:uid="{B8F85610-ADD8-463D-98EB-8022A5B28521}" name="DRB%op" dataDxfId="1137"/>
    <tableColumn id="66" xr3:uid="{FFB1379B-89A8-4525-9176-E246D9A7ABE1}" name="TRB%op" dataDxfId="1136"/>
    <tableColumn id="67" xr3:uid="{4D1F440A-9EDA-44CE-81A0-E9C2C36E1627}" name="Possop" dataDxfId="1135"/>
    <tableColumn id="68" xr3:uid="{494CC7F8-2165-4B8F-81C2-8669329FC70B}" name="AST%op" dataDxfId="1134"/>
    <tableColumn id="69" xr3:uid="{BAE3593D-2817-4365-9524-0FDAE102FF37}" name="FTFGA%op" dataDxfId="1133"/>
    <tableColumn id="70" xr3:uid="{E92A819B-ECBD-42F7-87BC-72F7B9E23485}" name="TOV%op" dataDxfId="1132"/>
    <tableColumn id="71" xr3:uid="{54020B13-D977-4BDE-B317-1DFBE04D6A67}" name="ORtgop" dataDxfId="1131"/>
    <tableColumn id="72" xr3:uid="{7D0279FD-81A2-4D09-8FC9-F8F6A1AEAA85}" name="DRtgop" dataDxfId="1130"/>
    <tableColumn id="73" xr3:uid="{A1CD4FA4-24ED-473A-9FB9-BED4DCAB2C13}" name="Q1H" dataDxfId="1129"/>
    <tableColumn id="74" xr3:uid="{5DD77F08-7946-418A-A166-33D27CF95806}" name="Q2H" dataDxfId="1128"/>
    <tableColumn id="75" xr3:uid="{D4A508DA-38AC-47D5-801B-9F085C593507}" name="Q3H" dataDxfId="1127"/>
    <tableColumn id="76" xr3:uid="{8276B3D6-FA94-46B7-A8AB-8217DEC637A6}" name="Q4H" dataDxfId="1126"/>
    <tableColumn id="77" xr3:uid="{66B4F5B0-18DE-4B9E-B0E4-4C73932D735C}" name="Q1A" dataDxfId="1125"/>
    <tableColumn id="78" xr3:uid="{CFA250B6-7230-45AB-A387-D0F3735682B1}" name="Q2A" dataDxfId="1124"/>
    <tableColumn id="79" xr3:uid="{7869418B-24D2-42A2-852D-F4A7A88D400B}" name="Q3A" dataDxfId="1123"/>
    <tableColumn id="80" xr3:uid="{98D08DA0-A125-4223-99F6-CA51F1E72A12}" name="Q4A" dataDxfId="1122"/>
    <tableColumn id="81" xr3:uid="{56A36082-0FBA-49C5-9C79-37CF2BE3BEF1}" name="FhalfH" dataDxfId="1121"/>
    <tableColumn id="82" xr3:uid="{BFC798BA-CFD0-40DB-A080-107111F57CDF}" name="ShalfH" dataDxfId="1120"/>
    <tableColumn id="83" xr3:uid="{40757008-79B8-4C10-8FF1-5B3EA493D4B4}" name="FhalfA" dataDxfId="1119"/>
    <tableColumn id="84" xr3:uid="{1E14497C-2D4D-4B88-89FC-A64A900F7BDD}" name="ShalfA" dataDxfId="1118"/>
    <tableColumn id="85" xr3:uid="{1542953D-4063-4479-AAC1-5623C29BB1C2}" name="win" dataDxfId="1117"/>
    <tableColumn id="86" xr3:uid="{50E0133D-BEAE-4A34-BA9A-43DA0E7EB894}" name="lose" dataDxfId="1116"/>
    <tableColumn id="87" xr3:uid="{C49AA99D-DDF9-4B67-81B1-27CCA01C74EF}" name="foraH" dataDxfId="1115"/>
    <tableColumn id="88" xr3:uid="{978F5D9E-C5EA-49F6-97BD-55F960C4C5E8}" name="foraA" dataDxfId="1114"/>
    <tableColumn id="89" xr3:uid="{590F545B-E9B3-47A0-A60A-8F412AEE4857}" name="total" dataDxfId="1113"/>
    <tableColumn id="90" xr3:uid="{D33C07FB-99BC-4A18-82E7-3B4ADAF34A96}" name="link" dataDxfId="1112"/>
    <tableColumn id="91" xr3:uid="{478D629F-FF6D-42CF-A11C-0A3FFD5F1211}" name="abbr" dataDxfId="1111">
      <calculatedColumnFormula>VLOOKUP(partizan[[#This Row],[Away_team]],all[[Full name]:[Abbr]],3,FALSE)</calculatedColumnFormula>
    </tableColumn>
    <tableColumn id="92" xr3:uid="{F9567027-947F-4732-8A7A-834161ED3FC1}" name="BetH" dataDxfId="1110">
      <calculatedColumnFormula>IF(OR(partizan[[#This Row],[Result]]="w",partizan[[#This Row],[Result]]="dw"),partizan[[#This Row],[win]]-1,-1)</calculatedColumnFormula>
    </tableColumn>
    <tableColumn id="93" xr3:uid="{B7EBFD78-76E9-4650-81DB-8AA4491CEDD6}" name="BetA" dataDxfId="1109">
      <calculatedColumnFormula>IF(OR(partizan[[#This Row],[Result]]="L",partizan[[#This Row],[Result]]="dl"),partizan[[#This Row],[lose]]-1,-1)</calculatedColumnFormula>
    </tableColumn>
    <tableColumn id="94" xr3:uid="{3445D2F2-599B-4657-BD89-3318F2DDAA41}" name="Tover" dataDxfId="1108">
      <calculatedColumnFormula>IF(OR((partizan[[#This Row],[Home_scored]]+partizan[[#This Row],[Away_scored]])&gt;partizan[[#This Row],[total]],OR(partizan[[#This Row],[Result]]="dw",partizan[[#This Row],[Result]]="dl")),1,0)</calculatedColumnFormula>
    </tableColumn>
    <tableColumn id="95" xr3:uid="{ABCECAF0-9ABA-4C6C-98C4-F4B68E5803B6}" name="Deviation" dataDxfId="1107">
      <calculatedColumnFormula>ABS((partizan[[#This Row],[Home_scored]]+partizan[[#This Row],[Away_scored]])-partizan[[#This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subotica" displayName="subotica" ref="A3:CQ4" totalsRowShown="0" headerRowDxfId="1106" dataDxfId="1105">
  <autoFilter ref="A3:CQ4" xr:uid="{6F44C236-BD30-49C1-AC80-B66D4596B51B}"/>
  <tableColumns count="95">
    <tableColumn id="1" xr3:uid="{2ACF6EB9-A08D-45D1-997D-5665DC8725E2}" name="Tournament" dataDxfId="1104"/>
    <tableColumn id="2" xr3:uid="{90BA7C2A-7915-4191-80F6-EC78476C0497}" name="Home_team" dataDxfId="1103"/>
    <tableColumn id="3" xr3:uid="{B066187C-C6CC-449D-B4E5-429BBA191634}" name="Stage" dataDxfId="1102"/>
    <tableColumn id="4" xr3:uid="{BD1FC35F-B83C-4929-B35E-1EEED8892E21}" name="Date" dataDxfId="1101"/>
    <tableColumn id="5" xr3:uid="{509A1BFB-BD4E-4D74-9F45-4B63C9D68E21}" name="Location" dataDxfId="1100"/>
    <tableColumn id="6" xr3:uid="{0B9CAA9C-D418-4ECE-8078-038270A5A4AC}" name="Away_team" dataDxfId="1099"/>
    <tableColumn id="7" xr3:uid="{B81F0168-E04E-4F11-9F0C-8EF233E94F9D}" name="Result" dataDxfId="1098"/>
    <tableColumn id="8" xr3:uid="{289A91E6-A655-414F-B6C7-6365AD960E06}" name="Home_scored" dataDxfId="1097"/>
    <tableColumn id="9" xr3:uid="{832921B2-F751-4419-9D06-6BC13EBF2E0F}" name="Away_scored" dataDxfId="1096"/>
    <tableColumn id="10" xr3:uid="{B84E8C5B-DFC0-4636-977F-FC6B2482E013}" name="FGM" dataDxfId="1095"/>
    <tableColumn id="11" xr3:uid="{17573509-A03A-42A5-B44B-0291CA0E4166}" name="FGA" dataDxfId="1094"/>
    <tableColumn id="12" xr3:uid="{2703C64D-9800-4B22-A7D2-3093388B3B26}" name="FGp" dataDxfId="1093"/>
    <tableColumn id="13" xr3:uid="{DB6208CC-A4BE-4939-8C91-83E3374FB966}" name="P2M" dataDxfId="1092"/>
    <tableColumn id="14" xr3:uid="{E27A52CD-9EDB-4720-AB3A-F23728C068D9}" name="P2A" dataDxfId="1091"/>
    <tableColumn id="15" xr3:uid="{00EF584F-2843-401C-95CA-78C8544EBE00}" name="P2p" dataDxfId="1090"/>
    <tableColumn id="16" xr3:uid="{F3724BCE-63BE-4E56-AD5B-D45CD2C6921F}" name="P3M" dataDxfId="1089"/>
    <tableColumn id="17" xr3:uid="{115BFF64-D746-4BE0-B1DC-AAB84AE1739F}" name="P3A" dataDxfId="1088"/>
    <tableColumn id="18" xr3:uid="{65B329E9-FD73-48A7-B03A-5C2820B815DC}" name="P3p" dataDxfId="1087"/>
    <tableColumn id="19" xr3:uid="{489FB9E8-C270-4331-9577-97E025E80F27}" name="FTM" dataDxfId="1086"/>
    <tableColumn id="20" xr3:uid="{5AC8F3E3-B8F1-4260-A47F-6E2EF3FFEF0A}" name="FTA" dataDxfId="1085"/>
    <tableColumn id="21" xr3:uid="{EBFCCDBA-3C2A-409C-ADFC-F43604210B78}" name="FTp" dataDxfId="1084"/>
    <tableColumn id="22" xr3:uid="{ADABB221-F5BB-4F27-A918-0A4E01CC11AC}" name="ORB" dataDxfId="1083"/>
    <tableColumn id="23" xr3:uid="{52A41870-EBB0-4899-9E7A-C7EF1910EC3D}" name="DRB" dataDxfId="1082"/>
    <tableColumn id="24" xr3:uid="{E902C4C6-FC6A-471F-91E5-C422F91A03B2}" name="TRB" dataDxfId="1081"/>
    <tableColumn id="25" xr3:uid="{C11A773C-99FD-402C-8B5C-7B141FD4488F}" name="AST" dataDxfId="1080"/>
    <tableColumn id="26" xr3:uid="{29F8DE85-BE79-407B-A81D-FDC12F440C6F}" name="STL" dataDxfId="1079"/>
    <tableColumn id="27" xr3:uid="{E6070134-0B90-4A14-8893-658800207AE8}" name="BLK" dataDxfId="1078"/>
    <tableColumn id="28" xr3:uid="{8F141588-431E-4AA8-98FF-03FB9F11DE78}" name="TOV" dataDxfId="1077"/>
    <tableColumn id="29" xr3:uid="{43F8CFD4-AC69-40EB-8B5B-E4B15D49CB14}" name="PF" dataDxfId="1076"/>
    <tableColumn id="30" xr3:uid="{AAFD86B5-F328-4C06-9196-E5C6FACC7BB7}" name="FGMop" dataDxfId="1075"/>
    <tableColumn id="31" xr3:uid="{4E1081AF-DC61-4BCA-841B-2CFD7BC133D6}" name="FGAop" dataDxfId="1074"/>
    <tableColumn id="32" xr3:uid="{ABB78AA2-CC33-4229-AB97-73BF457759CA}" name="FGpop" dataDxfId="1073"/>
    <tableColumn id="33" xr3:uid="{EE52C255-FCE0-4B69-9FE8-927A888979BC}" name="P2Mop" dataDxfId="1072"/>
    <tableColumn id="34" xr3:uid="{C9A38E8B-187D-4FD6-85FF-AACAF012D8E0}" name="P2Aop" dataDxfId="1071"/>
    <tableColumn id="35" xr3:uid="{A5FA5C35-0846-4B49-8AC8-97242FA0D757}" name="P2pop" dataDxfId="1070"/>
    <tableColumn id="36" xr3:uid="{D9229771-AA0F-463F-9098-48DED1152C89}" name="P3Mop" dataDxfId="1069"/>
    <tableColumn id="37" xr3:uid="{47380464-39A5-49DD-9E0D-47C0CEFEC7B0}" name="P3Aop" dataDxfId="1068"/>
    <tableColumn id="38" xr3:uid="{1B8D5752-1D78-4851-97D0-7B44AFAC2CF7}" name="P3pop" dataDxfId="1067"/>
    <tableColumn id="39" xr3:uid="{807C8C87-8175-45F1-9194-E9C333D84B42}" name="FTMop" dataDxfId="1066"/>
    <tableColumn id="40" xr3:uid="{CD409282-7CA7-4999-97CC-91CD20CEC96E}" name="FTAop" dataDxfId="1065"/>
    <tableColumn id="41" xr3:uid="{AABD4A08-5A42-4F1C-A650-AB800421AA02}" name="FTpop" dataDxfId="1064"/>
    <tableColumn id="42" xr3:uid="{9CDC5F79-A296-4EBF-AE56-EC5FEED6277E}" name="ORBop" dataDxfId="1063"/>
    <tableColumn id="43" xr3:uid="{7EAA6F21-48A8-4189-A163-D5A90F56FA1E}" name="DRBop" dataDxfId="1062"/>
    <tableColumn id="44" xr3:uid="{B7528C0E-41B6-48A2-BFE7-33AB211AFB19}" name="TRBop" dataDxfId="1061"/>
    <tableColumn id="45" xr3:uid="{A5D1C4C5-E12E-4587-8BAB-EF72725A9F8A}" name="ASTop" dataDxfId="1060"/>
    <tableColumn id="46" xr3:uid="{6DF2EABA-817A-48B0-B789-AA7367963284}" name="STLop" dataDxfId="1059"/>
    <tableColumn id="47" xr3:uid="{85D3D348-C064-45F8-A52C-F23268F4321B}" name="BLKop" dataDxfId="1058"/>
    <tableColumn id="48" xr3:uid="{8E95CDE7-1E2C-4403-BF42-467F6BD9D16D}" name="TOVop" dataDxfId="1057"/>
    <tableColumn id="49" xr3:uid="{F487D418-7D59-4780-ADD6-2BAAFA23E769}" name="PFop" dataDxfId="1056"/>
    <tableColumn id="50" xr3:uid="{EE112853-7EC3-4CC7-8F63-10F09B864DDB}" name="TS%" dataDxfId="1055"/>
    <tableColumn id="51" xr3:uid="{D446CD23-0C9C-441A-98CA-D6BDFD0B6778}" name="eFG%" dataDxfId="1054"/>
    <tableColumn id="52" xr3:uid="{8008E512-498D-4FA5-8149-FA68F8743BBC}" name="ORB%" dataDxfId="1053"/>
    <tableColumn id="53" xr3:uid="{4B8C8D54-FC3A-46BC-B6CB-1CEABA4D78A5}" name="DRB%" dataDxfId="1052"/>
    <tableColumn id="54" xr3:uid="{CC470A58-F3CB-463F-A4BA-AE6CD85B711B}" name="TRB%" dataDxfId="1051"/>
    <tableColumn id="55" xr3:uid="{6F8953AC-B58E-4EEB-B012-FDFFA8CE7899}" name="Poss" dataDxfId="1050"/>
    <tableColumn id="56" xr3:uid="{D560213E-196F-41C3-921E-B0F6E42F27FA}" name="AST%" dataDxfId="1049"/>
    <tableColumn id="57" xr3:uid="{9BCF0493-D24C-49A7-9A42-3EDCBCD9BE9D}" name="FTFGA%" dataDxfId="1048"/>
    <tableColumn id="58" xr3:uid="{E51B73C8-09C6-4F35-B248-7BAD75738A38}" name="TOV%" dataDxfId="1047"/>
    <tableColumn id="59" xr3:uid="{2A095ACF-9430-4D34-8900-79C4F0392617}" name="ORtg" dataDxfId="1046"/>
    <tableColumn id="60" xr3:uid="{0FD95A3D-DE65-4505-8D0E-45BCEA2DE692}" name="DRtg" dataDxfId="1045"/>
    <tableColumn id="61" xr3:uid="{5F540F2A-074D-4B63-83AE-ACB344D33BD4}" name="Pace" dataDxfId="1044"/>
    <tableColumn id="62" xr3:uid="{372E6C0F-5C09-4A8F-BC71-3AEF53B98A45}" name="TS%op" dataDxfId="1043"/>
    <tableColumn id="63" xr3:uid="{32E6775A-50DD-4EA8-8A0E-93C778A55C38}" name="eFG%op" dataDxfId="1042"/>
    <tableColumn id="64" xr3:uid="{D9732DD1-D566-4DDE-90FB-1B60DDD72B70}" name="ORB%op" dataDxfId="1041"/>
    <tableColumn id="65" xr3:uid="{22FD4CF9-BA8A-4079-BDE3-A8AB671EABBE}" name="DRB%op" dataDxfId="1040"/>
    <tableColumn id="66" xr3:uid="{EEA86246-DA5A-4AD9-A72E-2E5A028CEC4D}" name="TRB%op" dataDxfId="1039"/>
    <tableColumn id="67" xr3:uid="{8FC4F0D4-84A7-4511-8F1F-1890F4FD8C46}" name="Possop" dataDxfId="1038"/>
    <tableColumn id="68" xr3:uid="{BC570DE7-7444-49AA-89A0-F10C7D9EFA7E}" name="AST%op" dataDxfId="1037"/>
    <tableColumn id="69" xr3:uid="{8BC27CE5-8C0A-4C33-B0D0-AA5B3590914E}" name="FTFGA%op" dataDxfId="1036"/>
    <tableColumn id="70" xr3:uid="{B0D65584-B2F1-4E98-AA1A-89CE2D13E7FC}" name="TOV%op" dataDxfId="1035"/>
    <tableColumn id="71" xr3:uid="{F4FD8544-5F90-4944-ADD6-2A376B8A92C9}" name="ORtgop" dataDxfId="1034"/>
    <tableColumn id="72" xr3:uid="{4BA36863-BFBA-4810-9812-8292EC06B7DF}" name="DRtgop" dataDxfId="1033"/>
    <tableColumn id="73" xr3:uid="{878FC98C-EAD5-4C0A-ABBE-4BCC5A5B77CD}" name="Q1H" dataDxfId="1032"/>
    <tableColumn id="74" xr3:uid="{95E28953-6170-4906-8824-30FD71CF519E}" name="Q2H" dataDxfId="1031"/>
    <tableColumn id="75" xr3:uid="{E2CF7300-B8C7-4485-BC84-D2670F828623}" name="Q3H" dataDxfId="1030"/>
    <tableColumn id="76" xr3:uid="{A2E3AB84-2595-45FA-B5AB-D32A351B5263}" name="Q4H" dataDxfId="1029"/>
    <tableColumn id="77" xr3:uid="{F20C8E0E-1538-435F-A5D0-BB5FC0495690}" name="Q1A" dataDxfId="1028"/>
    <tableColumn id="78" xr3:uid="{73CA9AFC-9839-4300-9729-8077C6061685}" name="Q2A" dataDxfId="1027"/>
    <tableColumn id="79" xr3:uid="{F3AE8191-E1CD-4303-9475-D4E59AFC2487}" name="Q3A" dataDxfId="1026"/>
    <tableColumn id="80" xr3:uid="{7A6AAC05-85DA-4379-AC05-7ED3840C11C7}" name="Q4A" dataDxfId="1025"/>
    <tableColumn id="81" xr3:uid="{F46C92F0-335F-427E-B42D-6D09EF7023B0}" name="FhalfH" dataDxfId="1024"/>
    <tableColumn id="82" xr3:uid="{7C55777F-7090-40F0-AB29-5973CC8C4EC5}" name="ShalfH" dataDxfId="1023"/>
    <tableColumn id="83" xr3:uid="{A82BA680-9E8C-4CC8-9EA5-9FFAE011F475}" name="FhalfA" dataDxfId="1022"/>
    <tableColumn id="84" xr3:uid="{49E55176-0521-43D3-A914-0D05919622E7}" name="ShalfA" dataDxfId="1021"/>
    <tableColumn id="85" xr3:uid="{C4AC0A18-E29A-4C2C-9B04-B4B766BD2CCE}" name="win" dataDxfId="1020"/>
    <tableColumn id="86" xr3:uid="{EDA94C36-27A0-4EF0-838D-CC61DC101E46}" name="lose" dataDxfId="1019"/>
    <tableColumn id="87" xr3:uid="{BDE53E78-D4CF-4C40-A7F1-DC24C581A851}" name="foraH" dataDxfId="1018"/>
    <tableColumn id="88" xr3:uid="{B1FD1FF0-24FA-4E99-8BD0-F7AAFC831D31}" name="foraA" dataDxfId="1017"/>
    <tableColumn id="89" xr3:uid="{B2ABD7FB-F602-41A4-9F2D-84A666EB48E6}" name="total" dataDxfId="1016"/>
    <tableColumn id="90" xr3:uid="{B08716E5-4F7B-40E7-B8C6-43AEFC9AB8F8}" name="link" dataDxfId="1015"/>
    <tableColumn id="91" xr3:uid="{0BFA627C-561E-4268-86D0-F77D87B62E32}" name="abbr" dataDxfId="1014">
      <calculatedColumnFormula>VLOOKUP(subotica[[#This Row],[Away_team]],all[[Full name]:[Abbr]],3,FALSE)</calculatedColumnFormula>
    </tableColumn>
    <tableColumn id="92" xr3:uid="{1B206633-DED7-4DB2-9CD9-23C6940ADBB8}" name="BetH" dataDxfId="1013">
      <calculatedColumnFormula>IF(OR(subotica[[#This Row],[Result]]="w",subotica[[#This Row],[Result]]="dw"),subotica[[#This Row],[win]]-1,-1)</calculatedColumnFormula>
    </tableColumn>
    <tableColumn id="93" xr3:uid="{AB08515F-CFEB-4278-B396-060B9181C9D9}" name="BetA" dataDxfId="1012">
      <calculatedColumnFormula>IF(OR(subotica[[#This Row],[Result]]="L",subotica[[#This Row],[Result]]="dl"),subotica[[#This Row],[lose]]-1,-1)</calculatedColumnFormula>
    </tableColumn>
    <tableColumn id="94" xr3:uid="{813C3FEF-20FF-48D2-BDAE-E26A639D04D6}" name="Tover" dataDxfId="1011">
      <calculatedColumnFormula>IF(OR((subotica[[#This Row],[Home_scored]]+subotica[[#This Row],[Away_scored]])&gt;subotica[[#This Row],[total]],OR(subotica[[#This Row],[Result]]="dw",subotica[[#This Row],[Result]]="dl")),1,0)</calculatedColumnFormula>
    </tableColumn>
    <tableColumn id="95" xr3:uid="{FC7A3539-A490-4521-9F75-8600514E5921}" name="Deviation" dataDxfId="1010">
      <calculatedColumnFormula>ABS((subotica[[#This Row],[Home_scored]]+subotica[[#This Row],[Away_scored]])-subotica[[#This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split" displayName="split" ref="A3:CQ4" totalsRowShown="0" headerRowDxfId="1009" dataDxfId="1008">
  <autoFilter ref="A3:CQ4" xr:uid="{6F44C236-BD30-49C1-AC80-B66D4596B51B}"/>
  <tableColumns count="95">
    <tableColumn id="1" xr3:uid="{73608A97-6895-4A48-B26C-A960B473D991}" name="Tournament" dataDxfId="1007"/>
    <tableColumn id="2" xr3:uid="{B76C582E-15F7-49EE-8E52-B55E78E9D623}" name="Home_team" dataDxfId="1006"/>
    <tableColumn id="3" xr3:uid="{EF4D7A85-F236-4B0C-BE92-93883491F7D9}" name="Stage" dataDxfId="1005"/>
    <tableColumn id="4" xr3:uid="{E3E7584D-18AD-42AB-9133-681C28CC87AF}" name="Date" dataDxfId="1004"/>
    <tableColumn id="5" xr3:uid="{99CA0AC5-AB69-4CBC-8CC6-E2B924EE1D2A}" name="Location" dataDxfId="1003"/>
    <tableColumn id="6" xr3:uid="{D2651BCF-7CB7-4352-8B39-0385605BA597}" name="Away_team" dataDxfId="1002"/>
    <tableColumn id="7" xr3:uid="{65793FE4-6E0B-4F0B-9B81-8A1A5A4FA5ED}" name="Result" dataDxfId="1001"/>
    <tableColumn id="8" xr3:uid="{CAFB4B3D-E3AC-4C12-8BBE-F5116CF6CC03}" name="Home_scored" dataDxfId="1000"/>
    <tableColumn id="9" xr3:uid="{1A1D33C0-AF37-44D7-8944-0843ABB734BE}" name="Away_scored" dataDxfId="999"/>
    <tableColumn id="10" xr3:uid="{7F201200-CAF7-4AA0-B18E-7E66C3038361}" name="FGM" dataDxfId="998"/>
    <tableColumn id="11" xr3:uid="{104A279F-2ED2-4A9F-A2D6-2E9F47656A9B}" name="FGA" dataDxfId="997"/>
    <tableColumn id="12" xr3:uid="{22D90321-19D5-4D38-B5AF-8B1FF20B4F52}" name="FGp" dataDxfId="996"/>
    <tableColumn id="13" xr3:uid="{961DB935-D7C3-44A0-B970-7C6A4D5267B8}" name="P2M" dataDxfId="995"/>
    <tableColumn id="14" xr3:uid="{5D76E295-6E4A-4420-9907-99F5BB991F29}" name="P2A" dataDxfId="994"/>
    <tableColumn id="15" xr3:uid="{72CAB2D7-4C00-4DB0-9939-2622623E7F9A}" name="P2p" dataDxfId="993"/>
    <tableColumn id="16" xr3:uid="{54510001-6CB2-4FB0-8730-23DA1B614748}" name="P3M" dataDxfId="992"/>
    <tableColumn id="17" xr3:uid="{EF17EAA9-2A52-4BEF-88D3-DAF7C0651804}" name="P3A" dataDxfId="991"/>
    <tableColumn id="18" xr3:uid="{A9BE977E-FB90-4C7F-BB12-8E769077F7DB}" name="P3p" dataDxfId="990"/>
    <tableColumn id="19" xr3:uid="{6CA8F79F-EBD8-47DF-8213-E6A1B7A6CDCA}" name="FTM" dataDxfId="989"/>
    <tableColumn id="20" xr3:uid="{5E86A390-8433-429E-8456-34BB2AC88392}" name="FTA" dataDxfId="988"/>
    <tableColumn id="21" xr3:uid="{F7705396-559B-47A0-BF3E-E60C106FC291}" name="FTp" dataDxfId="987"/>
    <tableColumn id="22" xr3:uid="{2C5EC37F-9C40-4F4D-9719-E3110B813581}" name="ORB" dataDxfId="986"/>
    <tableColumn id="23" xr3:uid="{D7F50601-FDAD-48B9-AE94-3CDB4EC785C3}" name="DRB" dataDxfId="985"/>
    <tableColumn id="24" xr3:uid="{80CA13FA-8AD6-43BA-A0FA-597A59EE54A8}" name="TRB" dataDxfId="984"/>
    <tableColumn id="25" xr3:uid="{68E8DD22-62BD-4F85-B943-8AEB722897EE}" name="AST" dataDxfId="983"/>
    <tableColumn id="26" xr3:uid="{339434EE-CA34-42BB-B1AF-73D5096E7486}" name="STL" dataDxfId="982"/>
    <tableColumn id="27" xr3:uid="{D233446E-2593-4645-B09E-ADE1D260E8FF}" name="BLK" dataDxfId="981"/>
    <tableColumn id="28" xr3:uid="{0344D89F-96E6-4964-AE74-304D010E771F}" name="TOV" dataDxfId="980"/>
    <tableColumn id="29" xr3:uid="{839C5D68-98DE-41FA-8636-3415298DE34A}" name="PF" dataDxfId="979"/>
    <tableColumn id="30" xr3:uid="{FA6F53CD-D4B2-4A90-AF32-69E50210E126}" name="FGMop" dataDxfId="978"/>
    <tableColumn id="31" xr3:uid="{C61817B8-B434-4ACE-8C3A-4C445EB842DA}" name="FGAop" dataDxfId="977"/>
    <tableColumn id="32" xr3:uid="{798C19EB-AF75-47E5-A914-997E0364B29C}" name="FGpop" dataDxfId="976"/>
    <tableColumn id="33" xr3:uid="{DCF9B71C-B379-4556-A065-439AA9094401}" name="P2Mop" dataDxfId="975"/>
    <tableColumn id="34" xr3:uid="{12800690-8D04-438E-92D8-1D32AB666683}" name="P2Aop" dataDxfId="974"/>
    <tableColumn id="35" xr3:uid="{85B8E1B5-51EC-485E-BB7C-90E0C6B7074E}" name="P2pop" dataDxfId="973"/>
    <tableColumn id="36" xr3:uid="{2678A699-F4AD-489F-B02C-353BF31879AD}" name="P3Mop" dataDxfId="972"/>
    <tableColumn id="37" xr3:uid="{30B4CD0D-AD30-4FF3-8171-24BE2FBC81B6}" name="P3Aop" dataDxfId="971"/>
    <tableColumn id="38" xr3:uid="{DB6803EF-EB12-4885-B671-4270409237AB}" name="P3pop" dataDxfId="970"/>
    <tableColumn id="39" xr3:uid="{BD5A3EF1-02DC-46A4-AB5A-9A7E6D0F1C4F}" name="FTMop" dataDxfId="969"/>
    <tableColumn id="40" xr3:uid="{94DECA48-D714-42E9-82FA-D46A5F7CC4CE}" name="FTAop" dataDxfId="968"/>
    <tableColumn id="41" xr3:uid="{D2DD023E-0BBF-45F1-B695-15868A1104FA}" name="FTpop" dataDxfId="967"/>
    <tableColumn id="42" xr3:uid="{98C150CA-8F3E-440F-87B2-86E032CDA5D1}" name="ORBop" dataDxfId="966"/>
    <tableColumn id="43" xr3:uid="{03D9F3E2-55CD-4278-8021-342B0AD5A3EB}" name="DRBop" dataDxfId="965"/>
    <tableColumn id="44" xr3:uid="{39FD96D8-DA51-4237-9796-CA856E2E04DD}" name="TRBop" dataDxfId="964"/>
    <tableColumn id="45" xr3:uid="{1A449135-06BE-4037-BD65-4845EDFBE8A8}" name="ASTop" dataDxfId="963"/>
    <tableColumn id="46" xr3:uid="{AEE47D97-38DE-413B-B53F-DA26D46A9996}" name="STLop" dataDxfId="962"/>
    <tableColumn id="47" xr3:uid="{B57954B1-7271-4B3F-969C-E7D1B7166B29}" name="BLKop" dataDxfId="961"/>
    <tableColumn id="48" xr3:uid="{33B47D33-603F-450C-A429-600737BDD092}" name="TOVop" dataDxfId="960"/>
    <tableColumn id="49" xr3:uid="{48582C44-21A4-4500-BCA8-EC31B031CFD5}" name="PFop" dataDxfId="959"/>
    <tableColumn id="50" xr3:uid="{E57C369A-A249-464C-8173-10766A9FE51F}" name="TS%" dataDxfId="958"/>
    <tableColumn id="51" xr3:uid="{E6D49663-200E-40A4-A61F-BC576B241735}" name="eFG%" dataDxfId="957"/>
    <tableColumn id="52" xr3:uid="{41EB9FBF-ED66-480A-9F2E-0F748F6654DD}" name="ORB%" dataDxfId="956"/>
    <tableColumn id="53" xr3:uid="{C52C9B66-B7E3-4496-8C82-9424D2E949FB}" name="DRB%" dataDxfId="955"/>
    <tableColumn id="54" xr3:uid="{45F24EE0-BC71-4EE3-B97F-6CD23E978FFE}" name="TRB%" dataDxfId="954"/>
    <tableColumn id="55" xr3:uid="{BDC89185-0100-44B1-92AA-2E4C3FCDDCF6}" name="Poss" dataDxfId="953"/>
    <tableColumn id="56" xr3:uid="{D8C364D9-308F-4274-8261-FDCB524186DD}" name="AST%" dataDxfId="952"/>
    <tableColumn id="57" xr3:uid="{FCD56C8E-D324-47F7-ABB1-7A5FEE472F90}" name="FTFGA%" dataDxfId="951"/>
    <tableColumn id="58" xr3:uid="{2D62A99D-AD77-4108-8F7E-3B95AF7A767F}" name="TOV%" dataDxfId="950"/>
    <tableColumn id="59" xr3:uid="{A877DCCB-E876-4178-AF39-D7D3E77454E6}" name="ORtg" dataDxfId="949"/>
    <tableColumn id="60" xr3:uid="{B8A6052E-6A3F-4979-9766-2F4FB47AD7D3}" name="DRtg" dataDxfId="948"/>
    <tableColumn id="61" xr3:uid="{DEBAC463-536D-4BED-ADAB-469E2FD49648}" name="Pace" dataDxfId="947"/>
    <tableColumn id="62" xr3:uid="{561E8EF4-846B-4542-8901-5CF73C4FE758}" name="TS%op" dataDxfId="946"/>
    <tableColumn id="63" xr3:uid="{C2FFB9D9-1248-47D8-8DEB-1D372D8FE235}" name="eFG%op" dataDxfId="945"/>
    <tableColumn id="64" xr3:uid="{ED6FE255-C6CA-4867-B305-4AE8CBB511EF}" name="ORB%op" dataDxfId="944"/>
    <tableColumn id="65" xr3:uid="{48EFF1D6-2748-404B-A316-7BDA7073E51F}" name="DRB%op" dataDxfId="943"/>
    <tableColumn id="66" xr3:uid="{4A6DC3A8-F69B-4F99-8A14-3FE29300CB6B}" name="TRB%op" dataDxfId="942"/>
    <tableColumn id="67" xr3:uid="{5EA3E1C1-52C5-4940-AEF4-9335867A21FD}" name="Possop" dataDxfId="941"/>
    <tableColumn id="68" xr3:uid="{B6FFEA94-CDD3-44D3-9441-8F78E7ED1211}" name="AST%op" dataDxfId="940"/>
    <tableColumn id="69" xr3:uid="{1B30C297-6A5D-4EF3-9E62-37DE2C44D76C}" name="FTFGA%op" dataDxfId="939"/>
    <tableColumn id="70" xr3:uid="{FFBD50D3-B7B7-4ED6-9058-FE16930C92FE}" name="TOV%op" dataDxfId="938"/>
    <tableColumn id="71" xr3:uid="{EA478DE6-7205-4002-8487-1D132182FC27}" name="ORtgop" dataDxfId="937"/>
    <tableColumn id="72" xr3:uid="{321117CC-3F44-4409-8C79-8F23252256C1}" name="DRtgop" dataDxfId="936"/>
    <tableColumn id="73" xr3:uid="{9D8F11CB-81A0-42F4-8E85-9F55D31982FB}" name="Q1H" dataDxfId="935"/>
    <tableColumn id="74" xr3:uid="{3ACA86B0-6A56-41D8-95FF-EC74646B7048}" name="Q2H" dataDxfId="934"/>
    <tableColumn id="75" xr3:uid="{60E7C99D-EB22-4741-A86E-ED1080A943B2}" name="Q3H" dataDxfId="933"/>
    <tableColumn id="76" xr3:uid="{8BE4A93F-4C3E-4A98-9C11-200ADBFAFE8F}" name="Q4H" dataDxfId="932"/>
    <tableColumn id="77" xr3:uid="{D58A736C-E989-420B-AE0F-C8373837244E}" name="Q1A" dataDxfId="931"/>
    <tableColumn id="78" xr3:uid="{3CC90B40-0440-46B9-8E88-1A8439B29C3C}" name="Q2A" dataDxfId="930"/>
    <tableColumn id="79" xr3:uid="{87F48655-C903-4062-B9F0-CF70AD38FDFC}" name="Q3A" dataDxfId="929"/>
    <tableColumn id="80" xr3:uid="{C8B8D14E-F5B1-4901-B6D9-349DC5A0E5DF}" name="Q4A" dataDxfId="928"/>
    <tableColumn id="81" xr3:uid="{CEC91DD4-4579-4D5F-BA9F-92D3047BAF1F}" name="FhalfH" dataDxfId="927"/>
    <tableColumn id="82" xr3:uid="{BDDF3BE6-8BED-46D6-BF34-DF4A9BEA7BD1}" name="ShalfH" dataDxfId="926"/>
    <tableColumn id="83" xr3:uid="{9866D870-2060-4B2D-8557-6F1E738AF2FE}" name="FhalfA" dataDxfId="925"/>
    <tableColumn id="84" xr3:uid="{DFDD7B49-D534-4016-AD4D-44540FFDCF34}" name="ShalfA" dataDxfId="924"/>
    <tableColumn id="85" xr3:uid="{130A1E9A-12E8-47BD-8CD3-E88BDC12E326}" name="win" dataDxfId="923"/>
    <tableColumn id="86" xr3:uid="{D5076D14-E6FA-42B3-B5AA-6D161C7D3CD6}" name="lose" dataDxfId="922"/>
    <tableColumn id="87" xr3:uid="{60A5A230-5DA1-4067-A5A2-18CF47F007F9}" name="foraH" dataDxfId="921"/>
    <tableColumn id="88" xr3:uid="{9F8134B0-E2D9-4D23-8331-59669A3E5614}" name="foraA" dataDxfId="920"/>
    <tableColumn id="89" xr3:uid="{E9526F2A-0F5B-47B6-B918-504FF7C7D825}" name="total" dataDxfId="919"/>
    <tableColumn id="90" xr3:uid="{D1C176DE-9E99-481C-95E7-CF6CD5C73FB5}" name="link" dataDxfId="918"/>
    <tableColumn id="91" xr3:uid="{CD974426-8364-4A23-8EEB-F8806B30C197}" name="abbr" dataDxfId="917">
      <calculatedColumnFormula>VLOOKUP(split[[#This Row],[Away_team]],all[[Full name]:[Abbr]],3,FALSE)</calculatedColumnFormula>
    </tableColumn>
    <tableColumn id="92" xr3:uid="{062E5742-F0C6-4192-ABBC-C4EFA60230F1}" name="BetH" dataDxfId="916">
      <calculatedColumnFormula>IF(OR(split[[#This Row],[Result]]="w",split[[#This Row],[Result]]="dw"),split[[#This Row],[win]]-1,-1)</calculatedColumnFormula>
    </tableColumn>
    <tableColumn id="93" xr3:uid="{776EC51F-7781-4D8E-9DC6-D5C492217990}" name="BetA" dataDxfId="915">
      <calculatedColumnFormula>IF(OR(split[[#This Row],[Result]]="L",split[[#This Row],[Result]]="dl"),split[[#This Row],[lose]]-1,-1)</calculatedColumnFormula>
    </tableColumn>
    <tableColumn id="94" xr3:uid="{035B05BB-76D7-4F98-8C77-C0210D6F7C9D}" name="Tover" dataDxfId="914">
      <calculatedColumnFormula>IF(OR((split[[#This Row],[Home_scored]]+split[[#This Row],[Away_scored]])&gt;split[[#This Row],[total]],OR(split[[#This Row],[Result]]="dw",split[[#This Row],[Result]]="dl")),1,0)</calculatedColumnFormula>
    </tableColumn>
    <tableColumn id="95" xr3:uid="{D5A888FD-8FA2-4ACA-BA8C-39E7BB6A5E85}" name="Deviation" dataDxfId="913">
      <calculatedColumnFormula>ABS((split[[#This Row],[Home_scored]]+split[[#This Row],[Away_scored]])-split[[#This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tudentski" displayName="studentski" ref="A3:CQ4" totalsRowShown="0" headerRowDxfId="912" dataDxfId="911">
  <autoFilter ref="A3:CQ4" xr:uid="{6F44C236-BD30-49C1-AC80-B66D4596B51B}"/>
  <tableColumns count="95">
    <tableColumn id="1" xr3:uid="{DB76B5BE-B2B3-4A1E-AA98-F3E6C6D19898}" name="Tournament" dataDxfId="910"/>
    <tableColumn id="2" xr3:uid="{C408F08C-FD0A-4661-9E1D-99C9BA267CF1}" name="Home_team" dataDxfId="909"/>
    <tableColumn id="3" xr3:uid="{D8335140-C8CB-4E93-B3F4-FD3618434709}" name="Stage" dataDxfId="908"/>
    <tableColumn id="4" xr3:uid="{57E4FE5B-D5CE-4E39-9C6E-02CA0353CCE6}" name="Date" dataDxfId="907"/>
    <tableColumn id="5" xr3:uid="{B7A67C45-2F80-499E-81C2-7D37A64AC572}" name="Location" dataDxfId="906"/>
    <tableColumn id="6" xr3:uid="{493B335B-ADE4-4D5D-9160-C5F026FE36DB}" name="Away_team" dataDxfId="905"/>
    <tableColumn id="7" xr3:uid="{FFA74842-F5A3-410B-907A-3FFC483D7F2F}" name="Result" dataDxfId="904"/>
    <tableColumn id="8" xr3:uid="{0323EE80-E6CB-4AF1-8E93-A3FCEC5CDDB6}" name="Home_scored" dataDxfId="903"/>
    <tableColumn id="9" xr3:uid="{DD53D14D-8887-420A-8A1A-259EB078AD1A}" name="Away_scored" dataDxfId="902"/>
    <tableColumn id="10" xr3:uid="{5333A77D-56BC-4F86-A73B-AC2D19235820}" name="FGM" dataDxfId="901"/>
    <tableColumn id="11" xr3:uid="{00D8DCBA-0561-44F5-832D-8FBD0BC02E16}" name="FGA" dataDxfId="900"/>
    <tableColumn id="12" xr3:uid="{978133FC-A705-4272-AC8A-4A21A5E79952}" name="FGp" dataDxfId="899"/>
    <tableColumn id="13" xr3:uid="{F4F8F71F-11CE-4077-AE4A-E507A7F67D2E}" name="P2M" dataDxfId="898"/>
    <tableColumn id="14" xr3:uid="{41B38508-98E7-45E8-9737-56DF8A0545C1}" name="P2A" dataDxfId="897"/>
    <tableColumn id="15" xr3:uid="{4D27799A-EFF2-455B-9C4A-FFDC0C6AA361}" name="P2p" dataDxfId="896"/>
    <tableColumn id="16" xr3:uid="{5A31B43D-C147-4352-BCAB-54EB9BC184F8}" name="P3M" dataDxfId="895"/>
    <tableColumn id="17" xr3:uid="{622C9C4C-A4D8-4573-81D9-51D348A34416}" name="P3A" dataDxfId="894"/>
    <tableColumn id="18" xr3:uid="{C5202423-BC52-4F49-B5D9-FED2F509B4C9}" name="P3p" dataDxfId="893"/>
    <tableColumn id="19" xr3:uid="{D380CCCA-27DD-4B83-BD55-87F28F4C2BCB}" name="FTM" dataDxfId="892"/>
    <tableColumn id="20" xr3:uid="{9986B151-C2C6-4FCC-83C1-59C0D7112DD0}" name="FTA" dataDxfId="891"/>
    <tableColumn id="21" xr3:uid="{21FC3770-B5CF-4C3E-9FB3-9963099BE0A8}" name="FTp" dataDxfId="890"/>
    <tableColumn id="22" xr3:uid="{0DA37E67-F088-4166-B9F6-15306BADA378}" name="ORB" dataDxfId="889"/>
    <tableColumn id="23" xr3:uid="{1AEEE548-A390-43D1-967B-33152DB493D1}" name="DRB" dataDxfId="888"/>
    <tableColumn id="24" xr3:uid="{8FCAAEB9-9CFE-4CB9-9153-308E25A70C38}" name="TRB" dataDxfId="887"/>
    <tableColumn id="25" xr3:uid="{4F2A2C88-AAD8-44FB-AA8D-B4154D01831C}" name="AST" dataDxfId="886"/>
    <tableColumn id="26" xr3:uid="{66576A9B-B0F5-4D0F-A1BB-5C3715385888}" name="STL" dataDxfId="885"/>
    <tableColumn id="27" xr3:uid="{10DAB8C2-FF0F-492A-A9F2-D651F9177ACB}" name="BLK" dataDxfId="884"/>
    <tableColumn id="28" xr3:uid="{435FF686-232F-4EA9-B140-29DFB0DCF528}" name="TOV" dataDxfId="883"/>
    <tableColumn id="29" xr3:uid="{27E0FA48-F77A-443E-8F83-24CCF419F35B}" name="PF" dataDxfId="882"/>
    <tableColumn id="30" xr3:uid="{57885D00-7996-47B5-84D3-043BB40527E2}" name="FGMop" dataDxfId="881"/>
    <tableColumn id="31" xr3:uid="{BCCFDB90-150D-44F4-AEFD-136857004E46}" name="FGAop" dataDxfId="880"/>
    <tableColumn id="32" xr3:uid="{EC5CFCCE-CE8E-4D33-9DC7-0D8C51980956}" name="FGpop" dataDxfId="879"/>
    <tableColumn id="33" xr3:uid="{1A01022A-0644-403F-9435-481541D89C50}" name="P2Mop" dataDxfId="878"/>
    <tableColumn id="34" xr3:uid="{5C5C5AC4-8026-4E68-AB85-2D8C9DDBBCF7}" name="P2Aop" dataDxfId="877"/>
    <tableColumn id="35" xr3:uid="{5BFE1661-EAA8-4259-88F0-781E45087267}" name="P2pop" dataDxfId="876"/>
    <tableColumn id="36" xr3:uid="{C74E1C57-A849-4BEF-9ACD-A2D90AB9126E}" name="P3Mop" dataDxfId="875"/>
    <tableColumn id="37" xr3:uid="{FBDF24A0-4A2E-40B3-9829-E0792724677B}" name="P3Aop" dataDxfId="874"/>
    <tableColumn id="38" xr3:uid="{5EF1216E-7B4B-4443-AA67-7B16943307F6}" name="P3pop" dataDxfId="873"/>
    <tableColumn id="39" xr3:uid="{1A834F7B-3AF6-4A37-9BE6-D243EBE32011}" name="FTMop" dataDxfId="872"/>
    <tableColumn id="40" xr3:uid="{6A2994A5-A3AE-40F2-8036-160F8464F8A3}" name="FTAop" dataDxfId="871"/>
    <tableColumn id="41" xr3:uid="{860E30F8-F898-44AD-814B-51537378BAE6}" name="FTpop" dataDxfId="870"/>
    <tableColumn id="42" xr3:uid="{2C7A9EE9-B4FF-456D-A883-ECDB847BB036}" name="ORBop" dataDxfId="869"/>
    <tableColumn id="43" xr3:uid="{08D806A0-5D15-4EB5-BEA7-B94E0EF99A27}" name="DRBop" dataDxfId="868"/>
    <tableColumn id="44" xr3:uid="{89175B02-B87B-4176-A0F6-DB5AD7317309}" name="TRBop" dataDxfId="867"/>
    <tableColumn id="45" xr3:uid="{0CB61172-6E68-474E-976A-D17204125157}" name="ASTop" dataDxfId="866"/>
    <tableColumn id="46" xr3:uid="{57142DBA-A456-4DB3-9F69-516D4D5DB655}" name="STLop" dataDxfId="865"/>
    <tableColumn id="47" xr3:uid="{2B298B4E-24D7-4F79-8110-9F258E59B631}" name="BLKop" dataDxfId="864"/>
    <tableColumn id="48" xr3:uid="{16D3E648-2195-4E4D-B021-5EF582F0C78B}" name="TOVop" dataDxfId="863"/>
    <tableColumn id="49" xr3:uid="{BA5BF349-E4E5-4D67-973F-A4C3704DAAEF}" name="PFop" dataDxfId="862"/>
    <tableColumn id="50" xr3:uid="{B6E85B70-70DD-4D5C-B5C4-C556025D14F3}" name="TS%" dataDxfId="861"/>
    <tableColumn id="51" xr3:uid="{D337711A-D64F-41A3-9243-40E540BB20A5}" name="eFG%" dataDxfId="860"/>
    <tableColumn id="52" xr3:uid="{FF230F15-D658-482D-B23A-E0F2523EB588}" name="ORB%" dataDxfId="859"/>
    <tableColumn id="53" xr3:uid="{1EC374D6-E890-495D-A1E4-D43EEB5073E0}" name="DRB%" dataDxfId="858"/>
    <tableColumn id="54" xr3:uid="{4594CDEE-CD91-4859-887B-080ED092155D}" name="TRB%" dataDxfId="857"/>
    <tableColumn id="55" xr3:uid="{F361D5AE-33E1-47EC-AB6F-CDF2211CBAB4}" name="Poss" dataDxfId="856"/>
    <tableColumn id="56" xr3:uid="{A39386A6-67DF-4120-8F58-42B8A4C095FC}" name="AST%" dataDxfId="855"/>
    <tableColumn id="57" xr3:uid="{AEDBC5EC-DD24-4E26-8BD0-D6DF9BAC6AF3}" name="FTFGA%" dataDxfId="854"/>
    <tableColumn id="58" xr3:uid="{C61D968C-0515-49ED-85DD-84B86C9CE418}" name="TOV%" dataDxfId="853"/>
    <tableColumn id="59" xr3:uid="{565CBA24-0B00-4EBA-9C9E-B60D73EB885B}" name="ORtg" dataDxfId="852"/>
    <tableColumn id="60" xr3:uid="{474AB14A-54F8-4347-A079-7C32DBAC2A8A}" name="DRtg" dataDxfId="851"/>
    <tableColumn id="61" xr3:uid="{41E02F05-A0EE-4628-A082-7CB4D2433049}" name="Pace" dataDxfId="850"/>
    <tableColumn id="62" xr3:uid="{0DF79491-5572-4CE3-AC5F-C0C15FA12CC6}" name="TS%op" dataDxfId="849"/>
    <tableColumn id="63" xr3:uid="{C223AE32-9250-4510-A981-CA4B986847A5}" name="eFG%op" dataDxfId="848"/>
    <tableColumn id="64" xr3:uid="{C91CCBA2-511A-4244-B4FE-1C0E6E7D0B67}" name="ORB%op" dataDxfId="847"/>
    <tableColumn id="65" xr3:uid="{F06B2061-5B59-4651-BA55-37680BB891A8}" name="DRB%op" dataDxfId="846"/>
    <tableColumn id="66" xr3:uid="{6C977B8D-5F3E-4BA7-BF09-2D0BBBBF7266}" name="TRB%op" dataDxfId="845"/>
    <tableColumn id="67" xr3:uid="{000BCDFD-8353-42C4-A793-7C674F02A5AC}" name="Possop" dataDxfId="844"/>
    <tableColumn id="68" xr3:uid="{1C7A5488-8B88-4F5E-B6D0-18ECF5D4755B}" name="AST%op" dataDxfId="843"/>
    <tableColumn id="69" xr3:uid="{9FC7393D-7C76-4F39-93E7-1D3A627117F3}" name="FTFGA%op" dataDxfId="842"/>
    <tableColumn id="70" xr3:uid="{96B5DBC6-9C35-40D5-8F83-EF787530BD23}" name="TOV%op" dataDxfId="841"/>
    <tableColumn id="71" xr3:uid="{1EBC489F-1F4D-4846-B0D6-FBA65894693A}" name="ORtgop" dataDxfId="840"/>
    <tableColumn id="72" xr3:uid="{98C705E8-C893-4CFA-9ED8-71A1F96BABB9}" name="DRtgop" dataDxfId="839"/>
    <tableColumn id="73" xr3:uid="{E34BC45A-F815-421E-9B0F-2653C6426EC2}" name="Q1H" dataDxfId="838"/>
    <tableColumn id="74" xr3:uid="{42364CA5-940E-4299-A0FF-EAD8FBD2769E}" name="Q2H" dataDxfId="837"/>
    <tableColumn id="75" xr3:uid="{A9275125-B585-47F6-B79C-D84DB96CFA39}" name="Q3H" dataDxfId="836"/>
    <tableColumn id="76" xr3:uid="{C8C78C68-C6AE-480C-A67A-462B791F26FC}" name="Q4H" dataDxfId="835"/>
    <tableColumn id="77" xr3:uid="{FED23F29-6A2A-4087-AB58-8B9D586B4820}" name="Q1A" dataDxfId="834"/>
    <tableColumn id="78" xr3:uid="{3825066E-41BE-43CD-8900-87696178B12F}" name="Q2A" dataDxfId="833"/>
    <tableColumn id="79" xr3:uid="{E14D27AE-9E06-4931-9A35-701E0479B877}" name="Q3A" dataDxfId="832"/>
    <tableColumn id="80" xr3:uid="{09F91C65-9ECE-43D1-8D04-26C742F402E3}" name="Q4A" dataDxfId="831"/>
    <tableColumn id="81" xr3:uid="{FEE3289D-F450-4282-8E16-BF5B1D4D436D}" name="FhalfH" dataDxfId="830"/>
    <tableColumn id="82" xr3:uid="{A59A8227-7AD6-47A5-9436-6E5B8533C5C5}" name="ShalfH" dataDxfId="829"/>
    <tableColumn id="83" xr3:uid="{E6EAC3DD-CE88-4B34-9CB4-BEE2D6701A6D}" name="FhalfA" dataDxfId="828"/>
    <tableColumn id="84" xr3:uid="{40C7F669-74C2-4DA2-8DE7-AEF94AFEEFE7}" name="ShalfA" dataDxfId="827"/>
    <tableColumn id="85" xr3:uid="{52BCBF83-1C1C-4022-8F01-C7B04CECC905}" name="win" dataDxfId="826"/>
    <tableColumn id="86" xr3:uid="{4FE7AC42-0D66-44BC-AB60-A57FED5689F8}" name="lose" dataDxfId="825"/>
    <tableColumn id="87" xr3:uid="{80E14BAA-302B-43E7-A3C9-27D8AFF2279C}" name="foraH" dataDxfId="824"/>
    <tableColumn id="88" xr3:uid="{91FD2E00-95A2-4E50-BF0C-593F8CD9AD5F}" name="foraA" dataDxfId="823"/>
    <tableColumn id="89" xr3:uid="{A8ABD48C-36FB-4C46-9786-75C6DBAF535E}" name="total" dataDxfId="822"/>
    <tableColumn id="90" xr3:uid="{BC56832A-6AB9-4408-82B8-671D9C71F26E}" name="link" dataDxfId="821"/>
    <tableColumn id="91" xr3:uid="{20B1BEAB-2E93-4FD6-BB8B-CB729159A596}" name="abbr" dataDxfId="820">
      <calculatedColumnFormula>VLOOKUP(studentski[[#This Row],[Away_team]],all[[Full name]:[Abbr]],3,FALSE)</calculatedColumnFormula>
    </tableColumn>
    <tableColumn id="92" xr3:uid="{DC6E52C5-C646-4EA7-A6C3-60DFBE666DB3}" name="BetH" dataDxfId="819">
      <calculatedColumnFormula>IF(OR(studentski[[#This Row],[Result]]="w",studentski[[#This Row],[Result]]="dw"),studentski[[#This Row],[win]]-1,-1)</calculatedColumnFormula>
    </tableColumn>
    <tableColumn id="93" xr3:uid="{E73722BB-404F-4886-9A7A-5DEF3CB43B1E}" name="BetA" dataDxfId="818">
      <calculatedColumnFormula>IF(OR(studentski[[#This Row],[Result]]="L",studentski[[#This Row],[Result]]="dl"),studentski[[#This Row],[lose]]-1,-1)</calculatedColumnFormula>
    </tableColumn>
    <tableColumn id="94" xr3:uid="{927A4AAE-0158-4375-9118-3C61192D0865}" name="Tover" dataDxfId="817">
      <calculatedColumnFormula>IF(OR((studentski[[#This Row],[Home_scored]]+studentski[[#This Row],[Away_scored]])&gt;studentski[[#This Row],[total]],OR(studentski[[#This Row],[Result]]="dw",studentski[[#This Row],[Result]]="dl")),1,0)</calculatedColumnFormula>
    </tableColumn>
    <tableColumn id="95" xr3:uid="{21A444BB-6162-412A-BF3A-DD6CCE88986E}" name="Deviation" dataDxfId="816">
      <calculatedColumnFormula>ABS((studentski[[#This Row],[Home_scored]]+studentski[[#This Row],[Away_scored]])-studentski[[#This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vienna" displayName="vienna" ref="A3:CQ4" totalsRowShown="0" headerRowDxfId="815" dataDxfId="814">
  <autoFilter ref="A3:CQ4" xr:uid="{6F44C236-BD30-49C1-AC80-B66D4596B51B}"/>
  <tableColumns count="95">
    <tableColumn id="1" xr3:uid="{99B11DD1-D576-49B5-9D5E-79367AEE8F95}" name="Tournament" dataDxfId="813"/>
    <tableColumn id="2" xr3:uid="{82675E34-E280-466F-BE63-BB82AE2EAD12}" name="Home_team" dataDxfId="812"/>
    <tableColumn id="3" xr3:uid="{5E038097-140A-4C37-A961-2314239C91D8}" name="Stage" dataDxfId="811"/>
    <tableColumn id="4" xr3:uid="{65149409-51C3-4AD1-92A4-3720EE486BED}" name="Date" dataDxfId="810"/>
    <tableColumn id="5" xr3:uid="{D906EA49-D8FE-434C-AD87-A32575D985A2}" name="Location" dataDxfId="809"/>
    <tableColumn id="6" xr3:uid="{F47C4139-3172-4C1D-BA9E-C0D8A946D5BF}" name="Away_team" dataDxfId="808"/>
    <tableColumn id="7" xr3:uid="{DEA66539-A031-4BE8-90DB-DCDADF486D9B}" name="Result" dataDxfId="807"/>
    <tableColumn id="8" xr3:uid="{397D4551-30E0-42C5-AF41-E8D9EE6059A8}" name="Home_scored" dataDxfId="806"/>
    <tableColumn id="9" xr3:uid="{6830E30F-5A05-4C27-942A-409AF3D494D8}" name="Away_scored" dataDxfId="805"/>
    <tableColumn id="10" xr3:uid="{962D5A7C-1E98-4EEF-B4BA-A6C91A382BCC}" name="FGM" dataDxfId="804"/>
    <tableColumn id="11" xr3:uid="{1AF7D851-0942-42B8-837D-09D858511462}" name="FGA" dataDxfId="803"/>
    <tableColumn id="12" xr3:uid="{513A50B1-784E-4D69-A84E-775F8664FD7F}" name="FGp" dataDxfId="802"/>
    <tableColumn id="13" xr3:uid="{8D4C6B77-8ED0-4744-895D-2300F189ACEA}" name="P2M" dataDxfId="801"/>
    <tableColumn id="14" xr3:uid="{8D082F4D-1F8E-4458-AB05-CF5ABD5DC8EE}" name="P2A" dataDxfId="800"/>
    <tableColumn id="15" xr3:uid="{95D3E93E-A20C-4213-8416-402C6302D841}" name="P2p" dataDxfId="799"/>
    <tableColumn id="16" xr3:uid="{AB2099E1-1A5C-45F3-93E7-51ECCDE7B9CB}" name="P3M" dataDxfId="798"/>
    <tableColumn id="17" xr3:uid="{7899DDC7-85FD-4B3D-B5B9-50FAFA3B6BFE}" name="P3A" dataDxfId="797"/>
    <tableColumn id="18" xr3:uid="{11BF99F1-1FF4-4FFE-A731-3E57AEAD1926}" name="P3p" dataDxfId="796"/>
    <tableColumn id="19" xr3:uid="{A538BC56-CF7A-41B7-99E8-7AEE233BA68F}" name="FTM" dataDxfId="795"/>
    <tableColumn id="20" xr3:uid="{47C64C5F-98DF-4564-AD49-3FED4B87CEB5}" name="FTA" dataDxfId="794"/>
    <tableColumn id="21" xr3:uid="{B7F73B09-2534-48E3-A269-19D55541F197}" name="FTp" dataDxfId="793"/>
    <tableColumn id="22" xr3:uid="{E038E925-B29E-41C4-9F18-D1DE141B596B}" name="ORB" dataDxfId="792"/>
    <tableColumn id="23" xr3:uid="{BFDEA4B0-7CD6-4C16-BAA5-601E0BB9D532}" name="DRB" dataDxfId="791"/>
    <tableColumn id="24" xr3:uid="{BD5B1231-8B80-4F08-BD71-B90144D0F826}" name="TRB" dataDxfId="790"/>
    <tableColumn id="25" xr3:uid="{1E068EED-9065-4FBC-9898-711796183A56}" name="AST" dataDxfId="789"/>
    <tableColumn id="26" xr3:uid="{891B40BA-70A7-4B47-992F-FE5A1C645CAA}" name="STL" dataDxfId="788"/>
    <tableColumn id="27" xr3:uid="{378A11F7-5745-4C3F-B84F-52627DBF69EC}" name="BLK" dataDxfId="787"/>
    <tableColumn id="28" xr3:uid="{7674F280-2CC0-49FA-A009-8763DEAC2175}" name="TOV" dataDxfId="786"/>
    <tableColumn id="29" xr3:uid="{443687E8-A7DA-460C-A037-1C5AC65A15AD}" name="PF" dataDxfId="785"/>
    <tableColumn id="30" xr3:uid="{89C6D6CD-F411-418E-8F8B-F30C9CD47CDC}" name="FGMop" dataDxfId="784"/>
    <tableColumn id="31" xr3:uid="{DD8CBF57-D9C6-492D-913A-3FF45CC98971}" name="FGAop" dataDxfId="783"/>
    <tableColumn id="32" xr3:uid="{074E7E73-AC1D-44C6-B6D6-9AE9907AFFCD}" name="FGpop" dataDxfId="782"/>
    <tableColumn id="33" xr3:uid="{D6F85499-2E24-481D-8E96-14FB7F98DAD8}" name="P2Mop" dataDxfId="781"/>
    <tableColumn id="34" xr3:uid="{DB4C569E-1D16-4BFF-92B0-ECBADE1F996C}" name="P2Aop" dataDxfId="780"/>
    <tableColumn id="35" xr3:uid="{D9003570-9886-4CF1-8F93-4C95594C67A9}" name="P2pop" dataDxfId="779"/>
    <tableColumn id="36" xr3:uid="{E6FAB4D8-4E55-4D02-AC40-1EDA5F73FF28}" name="P3Mop" dataDxfId="778"/>
    <tableColumn id="37" xr3:uid="{DCF7C7D3-28E6-4041-9744-8BC37D721CEA}" name="P3Aop" dataDxfId="777"/>
    <tableColumn id="38" xr3:uid="{7543E7F3-EA67-4F18-8AC2-C6188B54E495}" name="P3pop" dataDxfId="776"/>
    <tableColumn id="39" xr3:uid="{361AFFFA-56FF-4C18-8164-F41A457F90D4}" name="FTMop" dataDxfId="775"/>
    <tableColumn id="40" xr3:uid="{4AB460D7-0FFB-458A-ADB4-30BD0302F767}" name="FTAop" dataDxfId="774"/>
    <tableColumn id="41" xr3:uid="{29C79573-9C65-48D6-AE0E-2A74F577649A}" name="FTpop" dataDxfId="773"/>
    <tableColumn id="42" xr3:uid="{63482541-59DC-4E28-A0BC-35360FE42419}" name="ORBop" dataDxfId="772"/>
    <tableColumn id="43" xr3:uid="{2C133E07-EF4D-435B-8EE9-73F48378350E}" name="DRBop" dataDxfId="771"/>
    <tableColumn id="44" xr3:uid="{BAB032F3-4A8A-499C-AD91-86C650F2A5B3}" name="TRBop" dataDxfId="770"/>
    <tableColumn id="45" xr3:uid="{20677307-D0B6-4919-ACAB-0E4DA12B166C}" name="ASTop" dataDxfId="769"/>
    <tableColumn id="46" xr3:uid="{86551394-4D69-4E9E-8480-4442804E77F5}" name="STLop" dataDxfId="768"/>
    <tableColumn id="47" xr3:uid="{3244AC80-3CAF-4EFE-98F1-82888BA7B09A}" name="BLKop" dataDxfId="767"/>
    <tableColumn id="48" xr3:uid="{82320E3B-0EA1-4A14-A1F4-02E9B188302A}" name="TOVop" dataDxfId="766"/>
    <tableColumn id="49" xr3:uid="{48627E6C-8F94-480D-ABAB-70B57FD5CDA1}" name="PFop" dataDxfId="765"/>
    <tableColumn id="50" xr3:uid="{93082A3C-AC32-4C12-82D6-DD31E5EFBAFE}" name="TS%" dataDxfId="764"/>
    <tableColumn id="51" xr3:uid="{A07754C7-3945-437D-B414-757A14CE98DE}" name="eFG%" dataDxfId="763"/>
    <tableColumn id="52" xr3:uid="{D0D45959-6934-4089-BFD4-DA287FC8837A}" name="ORB%" dataDxfId="762"/>
    <tableColumn id="53" xr3:uid="{6600A474-CA41-4137-B9CF-EB61EB75C067}" name="DRB%" dataDxfId="761"/>
    <tableColumn id="54" xr3:uid="{0CCD6697-7C48-4122-AE8C-00FE9FEF783A}" name="TRB%" dataDxfId="760"/>
    <tableColumn id="55" xr3:uid="{8646AC85-DFF4-4051-B259-9C45D82305DA}" name="Poss" dataDxfId="759"/>
    <tableColumn id="56" xr3:uid="{12A42AED-AFEA-4D31-8FC2-9B7029427B0C}" name="AST%" dataDxfId="758"/>
    <tableColumn id="57" xr3:uid="{ADE4FC42-3EF8-4035-AD3E-86B930CA4828}" name="FTFGA%" dataDxfId="757"/>
    <tableColumn id="58" xr3:uid="{8D28081D-8BC5-4F69-9711-CDBF9A5287D7}" name="TOV%" dataDxfId="756"/>
    <tableColumn id="59" xr3:uid="{8F1EC830-55A4-4FC1-94CD-2D94DDE60430}" name="ORtg" dataDxfId="755"/>
    <tableColumn id="60" xr3:uid="{9ACE489F-0D2A-4A88-93B5-2C360912F958}" name="DRtg" dataDxfId="754"/>
    <tableColumn id="61" xr3:uid="{4DBC1860-1414-4820-AA03-A26C3325C85F}" name="Pace" dataDxfId="753"/>
    <tableColumn id="62" xr3:uid="{EA35DF33-FB29-4D49-ABC2-6B3B7F6FC6BD}" name="TS%op" dataDxfId="752"/>
    <tableColumn id="63" xr3:uid="{23BC1FFB-95A7-4280-8872-EA00931FA155}" name="eFG%op" dataDxfId="751"/>
    <tableColumn id="64" xr3:uid="{24DEF467-0F32-4E3B-B8F5-FB63393A02FD}" name="ORB%op" dataDxfId="750"/>
    <tableColumn id="65" xr3:uid="{50DCBB88-A987-4F32-BDF1-45586D8F78AC}" name="DRB%op" dataDxfId="749"/>
    <tableColumn id="66" xr3:uid="{09DA9B01-9A52-44F9-BF4F-D9D7BCB9A858}" name="TRB%op" dataDxfId="748"/>
    <tableColumn id="67" xr3:uid="{AEB8FAAD-DCB6-4505-8C45-73BFB8209176}" name="Possop" dataDxfId="747"/>
    <tableColumn id="68" xr3:uid="{41A0C6AD-33B1-4FDD-8B44-CA79129363FD}" name="AST%op" dataDxfId="746"/>
    <tableColumn id="69" xr3:uid="{781A3359-2E46-46EA-A87D-FFACC2B2CB47}" name="FTFGA%op" dataDxfId="745"/>
    <tableColumn id="70" xr3:uid="{6C8F4482-9A58-439F-9D03-5166A7AD05AE}" name="TOV%op" dataDxfId="744"/>
    <tableColumn id="71" xr3:uid="{8B758417-3587-4723-8332-16AB40C23F31}" name="ORtgop" dataDxfId="743"/>
    <tableColumn id="72" xr3:uid="{71BC8EA8-0B8C-4959-9CD3-18C58CAC612B}" name="DRtgop" dataDxfId="742"/>
    <tableColumn id="73" xr3:uid="{BBE412D8-F532-40A3-B5B3-CBDFA2765C86}" name="Q1H" dataDxfId="741"/>
    <tableColumn id="74" xr3:uid="{FBC41DF4-1515-40D3-90BE-93BCB4202F87}" name="Q2H" dataDxfId="740"/>
    <tableColumn id="75" xr3:uid="{9113E327-6C79-4CD5-B126-8EFC2F06EC4A}" name="Q3H" dataDxfId="739"/>
    <tableColumn id="76" xr3:uid="{6E8C31F3-FE97-4DCA-97CB-4570361D8436}" name="Q4H" dataDxfId="738"/>
    <tableColumn id="77" xr3:uid="{A2B52157-A01D-4001-94EF-4041C4AD53C4}" name="Q1A" dataDxfId="737"/>
    <tableColumn id="78" xr3:uid="{D859E5ED-8816-4C95-BD1C-BE6FEAEB8743}" name="Q2A" dataDxfId="736"/>
    <tableColumn id="79" xr3:uid="{CECDB2A2-C1E4-443C-8D7D-405B5EA9E23F}" name="Q3A" dataDxfId="735"/>
    <tableColumn id="80" xr3:uid="{ED3E44B0-E204-4348-BCEC-EC504F2BBA28}" name="Q4A" dataDxfId="734"/>
    <tableColumn id="81" xr3:uid="{7FB4EE91-116B-48D8-B669-21331AA9FBC3}" name="FhalfH" dataDxfId="733"/>
    <tableColumn id="82" xr3:uid="{91BCB355-90AC-4E61-968D-B949F795ABD3}" name="ShalfH" dataDxfId="732"/>
    <tableColumn id="83" xr3:uid="{D1210453-BEF7-4E64-A867-4D015EAB87F4}" name="FhalfA" dataDxfId="731"/>
    <tableColumn id="84" xr3:uid="{27262A0B-2A2E-4AF6-9FD5-2A84FC28B5A8}" name="ShalfA" dataDxfId="730"/>
    <tableColumn id="85" xr3:uid="{ED90B755-C882-4096-A595-67A90B4A49D2}" name="win" dataDxfId="729"/>
    <tableColumn id="86" xr3:uid="{2A37745F-034D-41F4-9327-9E0E37F99387}" name="lose" dataDxfId="728"/>
    <tableColumn id="87" xr3:uid="{3CCB88BD-B400-49EB-8782-7FFC745E4066}" name="foraH" dataDxfId="727"/>
    <tableColumn id="88" xr3:uid="{2F840EC5-62BD-4F5A-AFD8-5D0D6245A450}" name="foraA" dataDxfId="726"/>
    <tableColumn id="89" xr3:uid="{1773BEAC-46FB-40D2-B5D0-FD8712EF6FA2}" name="total" dataDxfId="725"/>
    <tableColumn id="90" xr3:uid="{438D25DA-8B08-4A51-A03D-08C10129A67A}" name="link" dataDxfId="724"/>
    <tableColumn id="91" xr3:uid="{A3640270-112C-4155-8170-7A70DD1A712A}" name="abbr" dataDxfId="723">
      <calculatedColumnFormula>VLOOKUP(vienna[[#This Row],[Away_team]],all[[Full name]:[Abbr]],3,FALSE)</calculatedColumnFormula>
    </tableColumn>
    <tableColumn id="92" xr3:uid="{006BC2BF-39D0-4CE2-B7AF-D0B785CD71B7}" name="BetH" dataDxfId="722">
      <calculatedColumnFormula>IF(OR(vienna[[#This Row],[Result]]="w",vienna[[#This Row],[Result]]="dw"),vienna[[#This Row],[win]]-1,-1)</calculatedColumnFormula>
    </tableColumn>
    <tableColumn id="93" xr3:uid="{7C71360F-3D1E-466E-9158-7111D28601ED}" name="BetA" dataDxfId="721">
      <calculatedColumnFormula>IF(OR(vienna[[#This Row],[Result]]="L",vienna[[#This Row],[Result]]="dl"),vienna[[#This Row],[lose]]-1,-1)</calculatedColumnFormula>
    </tableColumn>
    <tableColumn id="94" xr3:uid="{BFAFF917-8AC0-447F-BFA3-A6327F33EF79}" name="Tover" dataDxfId="720">
      <calculatedColumnFormula>IF(OR((vienna[[#This Row],[Home_scored]]+vienna[[#This Row],[Away_scored]])&gt;vienna[[#This Row],[total]],OR(vienna[[#This Row],[Result]]="dw",vienna[[#This Row],[Result]]="dl")),1,0)</calculatedColumnFormula>
    </tableColumn>
    <tableColumn id="95" xr3:uid="{842306CE-8F3F-4B25-A4CD-CC483A9793D3}" name="Deviation" dataDxfId="719">
      <calculatedColumnFormula>ABS((vienna[[#This Row],[Home_scored]]+vienna[[#This Row],[Away_scored]])-vienna[[#This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zadar" displayName="zadar" ref="A3:CQ4" totalsRowShown="0" headerRowDxfId="718" dataDxfId="717">
  <autoFilter ref="A3:CQ4" xr:uid="{6F44C236-BD30-49C1-AC80-B66D4596B51B}"/>
  <tableColumns count="95">
    <tableColumn id="1" xr3:uid="{D24CA871-B938-49C0-A11B-6074E8A55914}" name="Tournament" dataDxfId="716"/>
    <tableColumn id="2" xr3:uid="{37EE011D-2CD8-467A-84F0-435B017A81FE}" name="Home_team" dataDxfId="715"/>
    <tableColumn id="3" xr3:uid="{BC62096D-1403-4557-BFB9-64203792EB40}" name="Stage" dataDxfId="714"/>
    <tableColumn id="4" xr3:uid="{C2FEDB79-0DF2-464C-973B-24147DAA3CB0}" name="Date" dataDxfId="713"/>
    <tableColumn id="5" xr3:uid="{1927963F-2332-4C6D-AAE5-6AB9A602FC81}" name="Location" dataDxfId="712"/>
    <tableColumn id="6" xr3:uid="{1F203773-8211-4CEF-8631-797283E0825C}" name="Away_team" dataDxfId="711"/>
    <tableColumn id="7" xr3:uid="{878684F4-0D49-4269-96CF-F8C5DAC1B51A}" name="Result" dataDxfId="710"/>
    <tableColumn id="8" xr3:uid="{220196A2-3832-412E-9E9D-9FC7AB29B04A}" name="Home_scored" dataDxfId="709"/>
    <tableColumn id="9" xr3:uid="{B59E59A5-7774-4359-9B68-F9CE07543048}" name="Away_scored" dataDxfId="708"/>
    <tableColumn id="10" xr3:uid="{E6809E36-9D95-4C33-BB37-EA3DA40BD958}" name="FGM" dataDxfId="707"/>
    <tableColumn id="11" xr3:uid="{EBB53C9B-7F7E-41DA-8CD1-D474B2426345}" name="FGA" dataDxfId="706"/>
    <tableColumn id="12" xr3:uid="{2215DB19-FC17-4C12-B323-EEFE69944847}" name="FGp" dataDxfId="705"/>
    <tableColumn id="13" xr3:uid="{D506A18F-AFCD-474B-83E8-0657E994644E}" name="P2M" dataDxfId="704"/>
    <tableColumn id="14" xr3:uid="{EB94BEB7-6908-467E-8F29-73B9D8A2E2A2}" name="P2A" dataDxfId="703"/>
    <tableColumn id="15" xr3:uid="{224FA2F5-2EB1-4AD0-B02C-FED284B8252D}" name="P2p" dataDxfId="702"/>
    <tableColumn id="16" xr3:uid="{DC42E12A-2695-43E7-84B5-E15205B96D60}" name="P3M" dataDxfId="701"/>
    <tableColumn id="17" xr3:uid="{78E2926D-5679-4E63-A620-CF0A839E44B7}" name="P3A" dataDxfId="700"/>
    <tableColumn id="18" xr3:uid="{891FC93E-5B48-4C71-932B-A222C02FEA9A}" name="P3p" dataDxfId="699"/>
    <tableColumn id="19" xr3:uid="{FD580907-3DA5-4A03-892D-FD9D8CA70F7F}" name="FTM" dataDxfId="698"/>
    <tableColumn id="20" xr3:uid="{C02A11D3-8C0D-4480-A0A7-0BCCE94F85B6}" name="FTA" dataDxfId="697"/>
    <tableColumn id="21" xr3:uid="{7720C612-A13B-4364-93D2-F4F34A6524EC}" name="FTp" dataDxfId="696"/>
    <tableColumn id="22" xr3:uid="{1C786A8A-E4B6-4871-9A47-CCA1676BB00F}" name="ORB" dataDxfId="695"/>
    <tableColumn id="23" xr3:uid="{58A7D3B5-D643-43DD-82BF-4B709D0F964E}" name="DRB" dataDxfId="694"/>
    <tableColumn id="24" xr3:uid="{800BD278-3E8F-465C-A227-E60A2D419A03}" name="TRB" dataDxfId="693"/>
    <tableColumn id="25" xr3:uid="{F8B0ED7A-E208-46C1-8C5A-896271A5656A}" name="AST" dataDxfId="692"/>
    <tableColumn id="26" xr3:uid="{2C0216B1-C3DD-4120-B980-8076BBA75120}" name="STL" dataDxfId="691"/>
    <tableColumn id="27" xr3:uid="{E709F5D8-DCAF-4A15-8CEB-7D0009283572}" name="BLK" dataDxfId="690"/>
    <tableColumn id="28" xr3:uid="{4946C026-F3ED-4D49-A9DC-3E42A0A7B2B1}" name="TOV" dataDxfId="689"/>
    <tableColumn id="29" xr3:uid="{F759DE38-82C7-4281-B469-D16EFA1C50E5}" name="PF" dataDxfId="688"/>
    <tableColumn id="30" xr3:uid="{109625EF-98D5-4EFD-9142-D757C2F61983}" name="FGMop" dataDxfId="687"/>
    <tableColumn id="31" xr3:uid="{CA60F486-6CBF-4C24-95E3-18C63756F1FB}" name="FGAop" dataDxfId="686"/>
    <tableColumn id="32" xr3:uid="{518A0FAC-7926-4236-863E-86052AF805D3}" name="FGpop" dataDxfId="685"/>
    <tableColumn id="33" xr3:uid="{F1806FDC-90F0-4821-9274-3D51C737BDC7}" name="P2Mop" dataDxfId="684"/>
    <tableColumn id="34" xr3:uid="{60ED0AD8-C33B-4647-96A5-F93EDF0A5788}" name="P2Aop" dataDxfId="683"/>
    <tableColumn id="35" xr3:uid="{7430D85D-55B0-4D55-B02E-DE7637B7075B}" name="P2pop" dataDxfId="682"/>
    <tableColumn id="36" xr3:uid="{3BFE170F-7B3B-4844-902E-A1C15E298749}" name="P3Mop" dataDxfId="681"/>
    <tableColumn id="37" xr3:uid="{B87AB334-4E77-43A5-94D5-9C41FE935979}" name="P3Aop" dataDxfId="680"/>
    <tableColumn id="38" xr3:uid="{A9C8B7EC-24C0-44E6-B13B-6A716CEFB331}" name="P3pop" dataDxfId="679"/>
    <tableColumn id="39" xr3:uid="{8A6A3CCA-6E9B-4978-89A2-BE2AB98F7763}" name="FTMop" dataDxfId="678"/>
    <tableColumn id="40" xr3:uid="{6991EB13-CC73-4216-9B8C-F87B541A8445}" name="FTAop" dataDxfId="677"/>
    <tableColumn id="41" xr3:uid="{E89598B1-F748-47DF-8AC5-1444421C417E}" name="FTpop" dataDxfId="676"/>
    <tableColumn id="42" xr3:uid="{96FE5DF9-604C-43F7-BACA-008431D3ABE6}" name="ORBop" dataDxfId="675"/>
    <tableColumn id="43" xr3:uid="{E5DDE179-2AF4-48A8-BFDD-938E0CE95578}" name="DRBop" dataDxfId="674"/>
    <tableColumn id="44" xr3:uid="{3615E0C0-F68A-4F93-9582-B8691612431B}" name="TRBop" dataDxfId="673"/>
    <tableColumn id="45" xr3:uid="{F4EB7810-5BF3-44F9-8C51-E6E2112EEC6A}" name="ASTop" dataDxfId="672"/>
    <tableColumn id="46" xr3:uid="{F94C9013-ED24-4758-91AC-EA51876F407B}" name="STLop" dataDxfId="671"/>
    <tableColumn id="47" xr3:uid="{EE1F69FB-1863-4E6C-870C-4BBC7BD37216}" name="BLKop" dataDxfId="670"/>
    <tableColumn id="48" xr3:uid="{C059D881-42D9-4054-964C-4103349FB37C}" name="TOVop" dataDxfId="669"/>
    <tableColumn id="49" xr3:uid="{E8BE81AF-0E5F-4600-A597-53E4D7AD00E8}" name="PFop" dataDxfId="668"/>
    <tableColumn id="50" xr3:uid="{E8654CB6-EB63-499B-83F1-52CC87926A57}" name="TS%" dataDxfId="667"/>
    <tableColumn id="51" xr3:uid="{FF4BE6D9-D6A5-4D35-92B9-ECC82EAD05F4}" name="eFG%" dataDxfId="666"/>
    <tableColumn id="52" xr3:uid="{83454F16-AB46-4D36-8987-CADAD5461749}" name="ORB%" dataDxfId="665"/>
    <tableColumn id="53" xr3:uid="{0B239C27-D456-4D45-A010-155BCFB79B6F}" name="DRB%" dataDxfId="664"/>
    <tableColumn id="54" xr3:uid="{387D9E8F-F5E7-4B8F-953E-D5DFFD6A85C7}" name="TRB%" dataDxfId="663"/>
    <tableColumn id="55" xr3:uid="{1287F732-AC8E-4E89-9EB8-64B3AA9D4CE0}" name="Poss" dataDxfId="662"/>
    <tableColumn id="56" xr3:uid="{CAEB03B2-C455-4BCA-B7D4-472FE667E5E6}" name="AST%" dataDxfId="661"/>
    <tableColumn id="57" xr3:uid="{FC84E9E6-4EF4-46AE-8B3E-07726A7E961C}" name="FTFGA%" dataDxfId="660"/>
    <tableColumn id="58" xr3:uid="{F01C4596-D9EC-4123-BDA3-46365A163ED8}" name="TOV%" dataDxfId="659"/>
    <tableColumn id="59" xr3:uid="{205690B0-3C0D-4C02-B98F-55947F0BD3C9}" name="ORtg" dataDxfId="658"/>
    <tableColumn id="60" xr3:uid="{E880D4AF-7B10-442C-A3A4-80DBF0C10D92}" name="DRtg" dataDxfId="657"/>
    <tableColumn id="61" xr3:uid="{3553E31D-153E-43DD-924B-07D6DDC144D7}" name="Pace" dataDxfId="656"/>
    <tableColumn id="62" xr3:uid="{757846E8-A9FA-4AD7-9C73-DE043274BAD2}" name="TS%op" dataDxfId="655"/>
    <tableColumn id="63" xr3:uid="{C40CBC6F-9DEA-4914-B8C4-C423F122B4C8}" name="eFG%op" dataDxfId="654"/>
    <tableColumn id="64" xr3:uid="{C69CD640-288D-4ABE-94FA-B04FEA7EE9A7}" name="ORB%op" dataDxfId="653"/>
    <tableColumn id="65" xr3:uid="{557E25F7-26F1-4657-A209-498674563641}" name="DRB%op" dataDxfId="652"/>
    <tableColumn id="66" xr3:uid="{438F1A17-710D-45C1-8310-256776166393}" name="TRB%op" dataDxfId="651"/>
    <tableColumn id="67" xr3:uid="{E0C52BC5-4F04-49D8-80D9-67C4EB0D1748}" name="Possop" dataDxfId="650"/>
    <tableColumn id="68" xr3:uid="{59CB072F-A7B4-4CA4-8386-938B25DA286E}" name="AST%op" dataDxfId="649"/>
    <tableColumn id="69" xr3:uid="{059C379F-3F64-4FFA-800E-7476B7E7E871}" name="FTFGA%op" dataDxfId="648"/>
    <tableColumn id="70" xr3:uid="{6FCB8E1D-9407-4DA7-B755-5781F5E35858}" name="TOV%op" dataDxfId="647"/>
    <tableColumn id="71" xr3:uid="{795775F9-2189-4E25-8663-1C86B315F024}" name="ORtgop" dataDxfId="646"/>
    <tableColumn id="72" xr3:uid="{A47FAC52-1BC0-4BFA-9B0F-3E77F4ABCD69}" name="DRtgop" dataDxfId="645"/>
    <tableColumn id="73" xr3:uid="{404A631F-093F-4EE0-BC80-AE8CD22935AE}" name="Q1H" dataDxfId="644"/>
    <tableColumn id="74" xr3:uid="{7812A647-2701-4C76-BFA2-54A4726D5169}" name="Q2H" dataDxfId="643"/>
    <tableColumn id="75" xr3:uid="{40174906-B1BB-4AB2-8344-06D71E1A3CF5}" name="Q3H" dataDxfId="642"/>
    <tableColumn id="76" xr3:uid="{001B9409-A253-4D03-BB03-2E2808847C92}" name="Q4H" dataDxfId="641"/>
    <tableColumn id="77" xr3:uid="{1694BCD8-FF26-42D3-80B7-CEFAE8CB98C4}" name="Q1A" dataDxfId="640"/>
    <tableColumn id="78" xr3:uid="{0D4A54EC-0B4E-4CA3-ACBC-46588C1BB957}" name="Q2A" dataDxfId="639"/>
    <tableColumn id="79" xr3:uid="{4B6C8329-29B4-43EF-9B5A-E120BB65954B}" name="Q3A" dataDxfId="638"/>
    <tableColumn id="80" xr3:uid="{A3A0CB6F-BA54-4CD5-BA95-140390F9F06E}" name="Q4A" dataDxfId="637"/>
    <tableColumn id="81" xr3:uid="{A6C833AC-D70B-445F-A207-6292786DC850}" name="FhalfH" dataDxfId="636"/>
    <tableColumn id="82" xr3:uid="{F150E321-4EFA-46A1-9B03-25E5D4EB165E}" name="ShalfH" dataDxfId="635"/>
    <tableColumn id="83" xr3:uid="{02801CA6-7607-4F17-ADB9-541946F34971}" name="FhalfA" dataDxfId="634"/>
    <tableColumn id="84" xr3:uid="{C48133DE-0455-4495-B593-88C5702A2A11}" name="ShalfA" dataDxfId="633"/>
    <tableColumn id="85" xr3:uid="{157963A8-B676-4170-8BCC-9A2E9BEE6D45}" name="win" dataDxfId="632"/>
    <tableColumn id="86" xr3:uid="{4F2A6E7E-1966-4CB1-AD1D-F5219AFDA691}" name="lose" dataDxfId="631"/>
    <tableColumn id="87" xr3:uid="{9B91808E-C9B0-41AB-9BCD-2E65BFF61ED5}" name="foraH" dataDxfId="630"/>
    <tableColumn id="88" xr3:uid="{A763DE03-61BC-47E9-810A-570F31BFEA7F}" name="foraA" dataDxfId="629"/>
    <tableColumn id="89" xr3:uid="{B31AB5C2-9104-44DD-A10B-AC03478DB179}" name="total" dataDxfId="628"/>
    <tableColumn id="90" xr3:uid="{7F03000A-DE61-4ABD-BACA-5D1211C36911}" name="link" dataDxfId="627"/>
    <tableColumn id="91" xr3:uid="{1972E820-70F0-4CA8-85B5-517285100918}" name="abbr" dataDxfId="626">
      <calculatedColumnFormula>VLOOKUP(zadar[[#This Row],[Away_team]],all[[Full name]:[Abbr]],3,FALSE)</calculatedColumnFormula>
    </tableColumn>
    <tableColumn id="92" xr3:uid="{9FDC52F7-20FF-46BA-B66A-D51DA471498B}" name="BetH" dataDxfId="625">
      <calculatedColumnFormula>IF(OR(zadar[[#This Row],[Result]]="w",zadar[[#This Row],[Result]]="dw"),zadar[[#This Row],[win]]-1,-1)</calculatedColumnFormula>
    </tableColumn>
    <tableColumn id="93" xr3:uid="{53C6153F-8DCD-4D52-86A7-516D95943F6B}" name="BetA" dataDxfId="624">
      <calculatedColumnFormula>IF(OR(zadar[[#This Row],[Result]]="L",zadar[[#This Row],[Result]]="dl"),zadar[[#This Row],[lose]]-1,-1)</calculatedColumnFormula>
    </tableColumn>
    <tableColumn id="94" xr3:uid="{B8B71C51-F32A-4EE7-B4E9-A16E328AE7F9}" name="Tover" dataDxfId="623">
      <calculatedColumnFormula>IF(OR((zadar[[#This Row],[Home_scored]]+zadar[[#This Row],[Away_scored]])&gt;zadar[[#This Row],[total]],OR(zadar[[#This Row],[Result]]="dw",zadar[[#This Row],[Result]]="dl")),1,0)</calculatedColumnFormula>
    </tableColumn>
    <tableColumn id="95" xr3:uid="{15FCE0C0-1394-41B9-A1C3-2EF831870240}" name="Deviation" dataDxfId="622">
      <calculatedColumnFormula>ABS((zadar[[#This Row],[Home_scored]]+zadar[[#This Row],[Away_scored]])-zadar[[#This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21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20">
      <calculatedColumnFormula>last5[[#This Row],[Q1H]]+last5[[#This Row],[Q1A]]</calculatedColumnFormula>
    </tableColumn>
    <tableColumn id="93" xr3:uid="{0390BED2-8AB9-438C-BFC7-81C9BD40A3DF}" name="Q2T" dataDxfId="619">
      <calculatedColumnFormula>last5[[#This Row],[Q2H]]+last5[[#This Row],[Q2A]]</calculatedColumnFormula>
    </tableColumn>
    <tableColumn id="94" xr3:uid="{CA7C0AD5-52F8-4C19-B286-CB9AEF5E2CFC}" name="Q3T" dataDxfId="618">
      <calculatedColumnFormula>last5[[#This Row],[Q3H]]+last5[[#This Row],[Q3A]]</calculatedColumnFormula>
    </tableColumn>
    <tableColumn id="95" xr3:uid="{594C7C0C-D0CE-4FD7-9F9A-FE0E16504F42}" name="Q4T" dataDxfId="617">
      <calculatedColumnFormula>last5[[#This Row],[Q4H]]+last5[[#This Row],[Q4A]]</calculatedColumnFormula>
    </tableColumn>
    <tableColumn id="96" xr3:uid="{50A4566C-DBC2-4A9D-9A9A-9FC4AE06932A}" name="FHT" dataDxfId="616">
      <calculatedColumnFormula>last5[[#This Row],[FhalfH]]+last5[[#This Row],[FhalfA]]</calculatedColumnFormula>
    </tableColumn>
    <tableColumn id="97" xr3:uid="{AC8EF431-7F81-47D4-B0C3-7B8C6AAD4FB4}" name="SHT" dataDxfId="615">
      <calculatedColumnFormula>last5[[#This Row],[ShalfH]]+last5[[#This Row],[ShalfA]]</calculatedColumnFormula>
    </tableColumn>
    <tableColumn id="98" xr3:uid="{AE12D122-4B89-4AFA-B47C-A5927315DF6E}" name="BetH" dataDxfId="614">
      <calculatedColumnFormula>INDEX(INDIRECT($B$33 &amp; "[BetH]"), ROWS(INDIRECT(B33 &amp; "[BetH]")) - 4 + 1)</calculatedColumnFormula>
    </tableColumn>
    <tableColumn id="99" xr3:uid="{9E036D34-8515-4A2D-90AD-A267A9E9B64A}" name="BetA" dataDxfId="613"/>
    <tableColumn id="100" xr3:uid="{EDAE6B13-7D83-476E-9763-153DCB33A8F8}" name="Tover" dataDxfId="612"/>
    <tableColumn id="101" xr3:uid="{4C2E33E3-183E-441E-884A-B4CF41F88DD3}" name="Deviation" dataDxfId="6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uducnost" displayName="buducnost" ref="A3:CQ4" totalsRowShown="0" headerRowDxfId="2270" dataDxfId="2269">
  <autoFilter ref="A3:CQ4" xr:uid="{6F44C236-BD30-49C1-AC80-B66D4596B51B}"/>
  <tableColumns count="95">
    <tableColumn id="1" xr3:uid="{DA6C0C6B-2118-4D8A-A4BB-1F8C02E47049}" name="Tournament" dataDxfId="2268"/>
    <tableColumn id="2" xr3:uid="{139C2562-BE5B-4803-99D5-3238D84A4795}" name="Home_team" dataDxfId="2267"/>
    <tableColumn id="3" xr3:uid="{8823D064-B48B-48AB-B943-0284D62CBB95}" name="Stage" dataDxfId="2266"/>
    <tableColumn id="4" xr3:uid="{EE968E37-68D5-441B-AE2A-555A51BDB8BC}" name="Date" dataDxfId="2265"/>
    <tableColumn id="5" xr3:uid="{14FBE7C5-526A-41AC-B9A4-78384261C623}" name="Location" dataDxfId="2264"/>
    <tableColumn id="6" xr3:uid="{F973FE76-20D6-4EE8-82FE-0A06E61890A9}" name="Away_team" dataDxfId="2263"/>
    <tableColumn id="7" xr3:uid="{ACC3CE0A-BBB9-49B2-9F44-A92FC0AEF8D7}" name="Result" dataDxfId="2262"/>
    <tableColumn id="8" xr3:uid="{9DB93AF5-49FF-4F67-96A5-6FD39F726474}" name="Home_scored" dataDxfId="2261"/>
    <tableColumn id="9" xr3:uid="{57E45823-992A-4A19-8573-EBF6C77A6D31}" name="Away_scored" dataDxfId="2260"/>
    <tableColumn id="10" xr3:uid="{642FD8BD-4ACD-4368-99A3-85FDD7DBE3B9}" name="FGM" dataDxfId="2259"/>
    <tableColumn id="11" xr3:uid="{DD82DA77-D95C-46A4-9669-497CA33AC6F7}" name="FGA" dataDxfId="2258"/>
    <tableColumn id="12" xr3:uid="{05C9F0A3-42B6-4550-8195-B64DF5517AA9}" name="FGp" dataDxfId="2257"/>
    <tableColumn id="13" xr3:uid="{2AE56269-C81D-4ACD-AAED-C31B64AAAC0D}" name="P2M" dataDxfId="2256"/>
    <tableColumn id="14" xr3:uid="{85B789DD-1B6C-4F87-8751-BE1907CBC747}" name="P2A" dataDxfId="2255"/>
    <tableColumn id="15" xr3:uid="{4826AD9A-D3C7-43CA-8C81-13807D7DBED3}" name="P2p" dataDxfId="2254"/>
    <tableColumn id="16" xr3:uid="{5FA9A235-F24A-47D9-983D-348176E7FABA}" name="P3M" dataDxfId="2253"/>
    <tableColumn id="17" xr3:uid="{11B73EDF-A13E-4F30-81D7-AB7D3286E232}" name="P3A" dataDxfId="2252"/>
    <tableColumn id="18" xr3:uid="{C7490A19-3AE2-49C1-A39D-9A28C4A192A5}" name="P3p" dataDxfId="2251"/>
    <tableColumn id="19" xr3:uid="{79BC8E01-4F38-4A9A-B15A-8794900B56F5}" name="FTM" dataDxfId="2250"/>
    <tableColumn id="20" xr3:uid="{4333538F-89B1-42AB-99C1-A60221D8C60C}" name="FTA" dataDxfId="2249"/>
    <tableColumn id="21" xr3:uid="{90950C67-FA04-40A8-8749-AAE01ED2E5D9}" name="FTp" dataDxfId="2248"/>
    <tableColumn id="22" xr3:uid="{BB7640FC-08B1-48C4-A717-B47262764690}" name="ORB" dataDxfId="2247"/>
    <tableColumn id="23" xr3:uid="{8163E651-46B6-45F4-AFBE-7C457AB7AD14}" name="DRB" dataDxfId="2246"/>
    <tableColumn id="24" xr3:uid="{D548CC6C-FD46-4C2B-A9B9-FE17E5D0D966}" name="TRB" dataDxfId="2245"/>
    <tableColumn id="25" xr3:uid="{82B9D13F-780A-4F5D-B011-06A03BA3E0E2}" name="AST" dataDxfId="2244"/>
    <tableColumn id="26" xr3:uid="{C192316F-1DB0-4B44-BF2D-FD0895F48D63}" name="STL" dataDxfId="2243"/>
    <tableColumn id="27" xr3:uid="{6067966A-77A0-40FA-A3B4-E2C069A063B8}" name="BLK" dataDxfId="2242"/>
    <tableColumn id="28" xr3:uid="{7593D149-0B49-4048-B5FD-9FB319745E41}" name="TOV" dataDxfId="2241"/>
    <tableColumn id="29" xr3:uid="{A29C6DEA-9E9F-4E8E-86C7-E2F944487794}" name="PF" dataDxfId="2240"/>
    <tableColumn id="30" xr3:uid="{9AE733FC-C7F1-44AF-BEDA-02D2EA2A3E85}" name="FGMop" dataDxfId="2239"/>
    <tableColumn id="31" xr3:uid="{FE35160B-D662-461E-9E56-A2F6F2827DA1}" name="FGAop" dataDxfId="2238"/>
    <tableColumn id="32" xr3:uid="{2BCA5FB9-6B08-4674-8BCE-1F4002AA0D40}" name="FGpop" dataDxfId="2237"/>
    <tableColumn id="33" xr3:uid="{A4488046-89F2-4E85-849F-7EA3E5871B72}" name="P2Mop" dataDxfId="2236"/>
    <tableColumn id="34" xr3:uid="{7AA28D37-0B5A-40FA-B052-30918C21E4CC}" name="P2Aop" dataDxfId="2235"/>
    <tableColumn id="35" xr3:uid="{A8F4AE71-D2D3-401A-84A8-7FA2B69B3486}" name="P2pop" dataDxfId="2234"/>
    <tableColumn id="36" xr3:uid="{E742C2BD-8762-4101-8FDE-EE30B785CD09}" name="P3Mop" dataDxfId="2233"/>
    <tableColumn id="37" xr3:uid="{AD96E1FF-5D1D-446A-83E3-51DB6466ED8A}" name="P3Aop" dataDxfId="2232"/>
    <tableColumn id="38" xr3:uid="{12A757E4-1743-4BF8-A22B-C4CEDBE97FC2}" name="P3pop" dataDxfId="2231"/>
    <tableColumn id="39" xr3:uid="{F197C0D1-652C-4FC3-AB63-5043D5982415}" name="FTMop" dataDxfId="2230"/>
    <tableColumn id="40" xr3:uid="{82539C91-65A8-4B09-890E-90869908E17C}" name="FTAop" dataDxfId="2229"/>
    <tableColumn id="41" xr3:uid="{BF749861-0EDD-4FDE-9CE6-A62F3C609752}" name="FTpop" dataDxfId="2228"/>
    <tableColumn id="42" xr3:uid="{B6F38401-D0BE-4E28-A93A-EEA751609EC5}" name="ORBop" dataDxfId="2227"/>
    <tableColumn id="43" xr3:uid="{B33DED22-11B0-40D3-9A73-82221A53305F}" name="DRBop" dataDxfId="2226"/>
    <tableColumn id="44" xr3:uid="{AE99BF38-15B6-400D-A355-6F2E14992DE3}" name="TRBop" dataDxfId="2225"/>
    <tableColumn id="45" xr3:uid="{02A2E216-D694-471F-9E69-CB2654F696BF}" name="ASTop" dataDxfId="2224"/>
    <tableColumn id="46" xr3:uid="{338F7B9F-4F78-48DA-BABD-731B8127E1EE}" name="STLop" dataDxfId="2223"/>
    <tableColumn id="47" xr3:uid="{8C79F38B-B2E5-4D1C-A9B4-404307EA907C}" name="BLKop" dataDxfId="2222"/>
    <tableColumn id="48" xr3:uid="{25AF4D76-DEA7-4DDF-96AC-0556FD7FB374}" name="TOVop" dataDxfId="2221"/>
    <tableColumn id="49" xr3:uid="{D273F771-25C2-403D-93F2-B2BDDD65C052}" name="PFop" dataDxfId="2220"/>
    <tableColumn id="50" xr3:uid="{60DB1EA1-CB93-49D4-BDC2-6A6EFC70F094}" name="TS%" dataDxfId="2219"/>
    <tableColumn id="51" xr3:uid="{6C47FD97-BE07-4841-A16A-EF9874D14ADC}" name="eFG%" dataDxfId="2218"/>
    <tableColumn id="52" xr3:uid="{F05519EB-D9CD-480F-87F4-D76F84A292D6}" name="ORB%" dataDxfId="2217"/>
    <tableColumn id="53" xr3:uid="{46DE1697-9AB0-4C6D-9EEC-3D677BEC812B}" name="DRB%" dataDxfId="2216"/>
    <tableColumn id="54" xr3:uid="{C5D821B5-C81B-49A6-93F2-D2085F6737DD}" name="TRB%" dataDxfId="2215"/>
    <tableColumn id="55" xr3:uid="{0B2BD2EC-4BA6-4AE9-ABC7-FFB7D9D0C513}" name="Poss" dataDxfId="2214"/>
    <tableColumn id="56" xr3:uid="{F77BFB90-25D8-432D-B03E-68B77EBF77E0}" name="AST%" dataDxfId="2213"/>
    <tableColumn id="57" xr3:uid="{290E5B01-7D26-4690-A333-0454FC617029}" name="FTFGA%" dataDxfId="2212"/>
    <tableColumn id="58" xr3:uid="{9FD908BF-8A4B-41F4-87C3-A292838AC05F}" name="TOV%" dataDxfId="2211"/>
    <tableColumn id="59" xr3:uid="{8C984A2E-F041-4B47-8486-E4116CDFFAA6}" name="ORtg" dataDxfId="2210"/>
    <tableColumn id="60" xr3:uid="{55FE00EE-62A9-4414-B11D-4A38BE803100}" name="DRtg" dataDxfId="2209"/>
    <tableColumn id="61" xr3:uid="{FC2E3A29-6A9B-46A1-9946-6E68369B4C3C}" name="Pace" dataDxfId="2208"/>
    <tableColumn id="62" xr3:uid="{53DC89CE-0ECE-4A40-94FF-ACC2DADBC18F}" name="TS%op" dataDxfId="2207"/>
    <tableColumn id="63" xr3:uid="{3C97BA86-8CDC-4845-9FA5-D7ED9CDC0D55}" name="eFG%op" dataDxfId="2206"/>
    <tableColumn id="64" xr3:uid="{9338E255-C083-4F16-9F42-A0EB8B5B6F99}" name="ORB%op" dataDxfId="2205"/>
    <tableColumn id="65" xr3:uid="{42D9317D-8C76-4361-901E-E62F09547C0B}" name="DRB%op" dataDxfId="2204"/>
    <tableColumn id="66" xr3:uid="{4A056D0A-4183-4F51-B5B8-14351567723F}" name="TRB%op" dataDxfId="2203"/>
    <tableColumn id="67" xr3:uid="{07D386BB-E85C-4E75-B786-771398C07410}" name="Possop" dataDxfId="2202"/>
    <tableColumn id="68" xr3:uid="{2338BCF3-2902-4748-B563-3D77A70E87EE}" name="AST%op" dataDxfId="2201"/>
    <tableColumn id="69" xr3:uid="{CC22F9BE-F36B-4DEB-A452-C61692D7BDCC}" name="FTFGA%op" dataDxfId="2200"/>
    <tableColumn id="70" xr3:uid="{8119A308-3DFA-41C1-9B17-F1F3AFFEEF40}" name="TOV%op" dataDxfId="2199"/>
    <tableColumn id="71" xr3:uid="{D16F3D35-1D86-42E0-9FF7-8EA3EAAF475A}" name="ORtgop" dataDxfId="2198"/>
    <tableColumn id="72" xr3:uid="{FC5D39FE-4F02-4523-91CE-971A095B8A3E}" name="DRtgop" dataDxfId="2197"/>
    <tableColumn id="73" xr3:uid="{237D44F9-6BDA-46E7-ABAB-F966A1C5E127}" name="Q1H" dataDxfId="2196"/>
    <tableColumn id="74" xr3:uid="{65B4E403-B87B-493B-A9FE-10C7EE8D6020}" name="Q2H" dataDxfId="2195"/>
    <tableColumn id="75" xr3:uid="{CADCAD0A-9133-431C-918C-44223F972455}" name="Q3H" dataDxfId="2194"/>
    <tableColumn id="76" xr3:uid="{1E03D2AC-3FD9-45FB-B489-1A53359EB038}" name="Q4H" dataDxfId="2193"/>
    <tableColumn id="77" xr3:uid="{5D7D0FDA-6D20-42BA-96DF-20B47EA88BCC}" name="Q1A" dataDxfId="2192"/>
    <tableColumn id="78" xr3:uid="{8E39C8F7-7AD4-410D-A9AC-68A4323961E6}" name="Q2A" dataDxfId="2191"/>
    <tableColumn id="79" xr3:uid="{0515B3A7-A6C0-456D-8D6F-372A38B177B9}" name="Q3A" dataDxfId="2190"/>
    <tableColumn id="80" xr3:uid="{AB908AAB-7E62-40B0-B2C1-9EFB7B6F019A}" name="Q4A" dataDxfId="2189"/>
    <tableColumn id="81" xr3:uid="{F66D4941-57AC-4047-BBC6-50B8508673C5}" name="FhalfH" dataDxfId="2188"/>
    <tableColumn id="82" xr3:uid="{BB73D57D-40D4-4C37-9410-77B28E0027D8}" name="ShalfH" dataDxfId="2187"/>
    <tableColumn id="83" xr3:uid="{B96749BD-3727-486D-BF31-C2B304941C26}" name="FhalfA" dataDxfId="2186"/>
    <tableColumn id="84" xr3:uid="{761C2E40-F1E6-4528-B9E2-49E5F17A0350}" name="ShalfA" dataDxfId="2185"/>
    <tableColumn id="85" xr3:uid="{2C10F358-EF9F-4520-B0C9-B8B903861AAC}" name="win" dataDxfId="2184"/>
    <tableColumn id="86" xr3:uid="{5133A6E8-3227-4CE4-BE02-95ACC13BA4CD}" name="lose" dataDxfId="2183"/>
    <tableColumn id="87" xr3:uid="{75008A1C-F648-4B94-97B1-DC144F140295}" name="foraH" dataDxfId="2182"/>
    <tableColumn id="88" xr3:uid="{6BA619A7-FA52-48B3-B078-F7E744F322CE}" name="foraA" dataDxfId="2181"/>
    <tableColumn id="89" xr3:uid="{53EA895D-6A5F-4F50-9FE6-3DEBDDF63007}" name="total" dataDxfId="2180"/>
    <tableColumn id="90" xr3:uid="{2C2DFF5D-8BD0-4F72-8080-5A1AFDD568EA}" name="link" dataDxfId="2179"/>
    <tableColumn id="91" xr3:uid="{FA331CD6-60FB-42EF-B5C9-FCF0D15B116F}" name="abbr" dataDxfId="2178">
      <calculatedColumnFormula>VLOOKUP(buducnost[[#This Row],[Away_team]],all[[Full name]:[Abbr]],3,FALSE)</calculatedColumnFormula>
    </tableColumn>
    <tableColumn id="92" xr3:uid="{B0566107-A93C-4A36-9921-9BC0A7ECF0A1}" name="BetH" dataDxfId="2177">
      <calculatedColumnFormula>IF(OR(buducnost[[#This Row],[Result]]="w",buducnost[[#This Row],[Result]]="dw"),buducnost[[#This Row],[win]]-1,-1)</calculatedColumnFormula>
    </tableColumn>
    <tableColumn id="93" xr3:uid="{36165F31-143D-4A0E-8F60-CE1BB691046B}" name="BetA" dataDxfId="2176">
      <calculatedColumnFormula>IF(OR(buducnost[[#This Row],[Result]]="L",buducnost[[#This Row],[Result]]="dl"),buducnost[[#This Row],[lose]]-1,-1)</calculatedColumnFormula>
    </tableColumn>
    <tableColumn id="96" xr3:uid="{18610690-C509-4596-B286-F47C0210E353}" name="Tover" dataDxfId="2175">
      <calculatedColumnFormula>IF(OR((buducnost[[#This Row],[Home_scored]]+buducnost[[#This Row],[Away_scored]])&gt;buducnost[[#This Row],[total]],OR(buducnost[[#This Row],[Result]]="dw",buducnost[[#This Row],[Result]]="dl")),1,0)</calculatedColumnFormula>
    </tableColumn>
    <tableColumn id="97" xr3:uid="{6A69FBBF-7623-4045-9DBC-D2DF2BD2BD05}" name="Deviation" dataDxfId="2174">
      <calculatedColumnFormula>ABS((buducnost[[#This Row],[Home_scored]]+buducnost[[#This Row],[Away_scored]])-buducnost[[#This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10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09">
      <calculatedColumnFormula>last5[[#This Row],[Q1H]]+last5[[#This Row],[Q1A]]</calculatedColumnFormula>
    </tableColumn>
    <tableColumn id="93" xr3:uid="{7E0157C0-C308-46E0-8890-20815C90CF70}" name="Q2T" dataDxfId="608">
      <calculatedColumnFormula>last5[[#This Row],[Q2H]]+last5[[#This Row],[Q2A]]</calculatedColumnFormula>
    </tableColumn>
    <tableColumn id="94" xr3:uid="{6983E675-943F-448A-AE6D-22B2D6872D75}" name="Q3T" dataDxfId="607">
      <calculatedColumnFormula>last5[[#This Row],[Q3H]]+last5[[#This Row],[Q3A]]</calculatedColumnFormula>
    </tableColumn>
    <tableColumn id="95" xr3:uid="{9A5B0813-FDE6-4ECF-8695-6D01B69A841F}" name="Q4T" dataDxfId="606">
      <calculatedColumnFormula>last5[[#This Row],[Q4H]]+last5[[#This Row],[Q4A]]</calculatedColumnFormula>
    </tableColumn>
    <tableColumn id="96" xr3:uid="{284F008A-E999-4C55-BB1A-B58ED81FFB83}" name="FHT" dataDxfId="605">
      <calculatedColumnFormula>last5[[#This Row],[FhalfH]]+last5[[#This Row],[FhalfA]]</calculatedColumnFormula>
    </tableColumn>
    <tableColumn id="97" xr3:uid="{DFE02FCF-1FC0-4EBD-B27A-C7B3D8BAE9D9}" name="SHT" dataDxfId="604">
      <calculatedColumnFormula>last5[[#This Row],[ShalfH]]+last5[[#This Row],[ShalfA]]</calculatedColumnFormula>
    </tableColumn>
    <tableColumn id="98" xr3:uid="{7A2DFBA2-147F-4C24-84C0-A2DFE2C0AD77}" name="BetH" dataDxfId="603"/>
    <tableColumn id="99" xr3:uid="{3868A370-AB23-451E-9A5A-4846F357DAD6}" name="BetA" dataDxfId="602"/>
    <tableColumn id="100" xr3:uid="{16F828EE-8BF2-422E-BC9F-56084D823C98}" name="Tover" dataDxfId="601"/>
    <tableColumn id="101" xr3:uid="{99E2CCC2-8C98-4E86-B67F-BCBE8F93BCF9}" name="Deviation" dataDxfId="600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9" totalsRowShown="0">
  <autoFilter ref="A1:GD19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99"/>
    <tableColumn id="3" xr3:uid="{637E8063-1E91-4858-BE12-1A5D199D850C}" name="PM_Rg" dataDxfId="598">
      <calculatedColumnFormula>_xlfn.RANK.EQ(all[[#This Row],[PM]],all[PM])</calculatedColumnFormula>
    </tableColumn>
    <tableColumn id="4" xr3:uid="{E9EDB681-A1F3-4714-9518-E4ACD9EC6C2D}" name="PC" dataDxfId="597"/>
    <tableColumn id="5" xr3:uid="{ED078C4B-FB36-48D0-A495-2478BCD07310}" name="PC_Rg" dataDxfId="596">
      <calculatedColumnFormula>_xlfn.RANK.EQ(all[[#This Row],[PC]],all[PC],1)</calculatedColumnFormula>
    </tableColumn>
    <tableColumn id="6" xr3:uid="{F85DA58B-D818-49E9-AE3C-2504428F6489}" name="FGA" dataDxfId="595"/>
    <tableColumn id="7" xr3:uid="{6ABEE0EE-B00B-4525-A4C8-DDD32A4E10BA}" name="FGA_Rg" dataDxfId="594">
      <calculatedColumnFormula>_xlfn.RANK.EQ(all[[#This Row],[FGA]],all[FGA])</calculatedColumnFormula>
    </tableColumn>
    <tableColumn id="8" xr3:uid="{DA61FA36-3EB5-4BDA-976B-0610F8310E13}" name="FGM" dataDxfId="593"/>
    <tableColumn id="9" xr3:uid="{F3EB13E6-A203-4FD0-8FC2-24D53A9FE11D}" name="FGM_Rg" dataDxfId="592">
      <calculatedColumnFormula>_xlfn.RANK.EQ(all[[#This Row],[FGM]],all[FGM])</calculatedColumnFormula>
    </tableColumn>
    <tableColumn id="10" xr3:uid="{49B650F9-16CB-44D4-910E-061DB38AFF9D}" name="FGp" dataDxfId="591"/>
    <tableColumn id="11" xr3:uid="{D42D114C-8C6D-4ACC-9163-FB8201D79DA8}" name="FGp_Rg" dataDxfId="590">
      <calculatedColumnFormula>_xlfn.RANK.EQ(all[[#This Row],[FGp]],all[FGp])</calculatedColumnFormula>
    </tableColumn>
    <tableColumn id="12" xr3:uid="{EAAA957C-4016-47CE-8B75-C6A2B1E65DEB}" name="P2M" dataDxfId="589"/>
    <tableColumn id="13" xr3:uid="{82FDE3EE-5527-464C-A7A5-8BE034052AA5}" name="P2M_Rg" dataDxfId="588">
      <calculatedColumnFormula>_xlfn.RANK.EQ(all[[#This Row],[P2M]],all[P2M])</calculatedColumnFormula>
    </tableColumn>
    <tableColumn id="14" xr3:uid="{0CB7F1DB-B00E-4A38-9E57-27AD2592D6C7}" name="P2A" dataDxfId="587"/>
    <tableColumn id="15" xr3:uid="{4CB64AD5-C436-4414-BF0F-D8D8F05E771A}" name="P2A_Rg" dataDxfId="586">
      <calculatedColumnFormula>_xlfn.RANK.EQ(all[[#This Row],[P2A]],all[P2A])</calculatedColumnFormula>
    </tableColumn>
    <tableColumn id="16" xr3:uid="{65703E13-9D4A-4FE5-957B-05A5D11B45CE}" name="P2p" dataDxfId="585"/>
    <tableColumn id="17" xr3:uid="{8087DA35-0A6B-491E-848A-4193CF47541E}" name="P2p_Rg" dataDxfId="584">
      <calculatedColumnFormula>_xlfn.RANK.EQ(all[[#This Row],[P2p]],all[P2p])</calculatedColumnFormula>
    </tableColumn>
    <tableColumn id="18" xr3:uid="{CECD6CC4-6EB1-43D6-8060-BF4338E8A284}" name="P3M" dataDxfId="583"/>
    <tableColumn id="19" xr3:uid="{3EF88BC1-7947-4C14-9CD8-DAB8D54D9D6C}" name="P3M_Rg" dataDxfId="582">
      <calculatedColumnFormula>_xlfn.RANK.EQ(all[[#This Row],[P3M]],all[P3M])</calculatedColumnFormula>
    </tableColumn>
    <tableColumn id="20" xr3:uid="{32B5EF17-8C37-4021-8AA8-C182694F691B}" name="P3A" dataDxfId="581"/>
    <tableColumn id="21" xr3:uid="{497C93C9-B31D-40E3-A93F-B62986D7CEF2}" name="P3A_Rg" dataDxfId="580">
      <calculatedColumnFormula>_xlfn.RANK.EQ(all[[#This Row],[P3A]],all[P3A])</calculatedColumnFormula>
    </tableColumn>
    <tableColumn id="22" xr3:uid="{2B5ADD87-3E3B-4325-842C-FBE3FB2E46FC}" name="P3p" dataDxfId="579"/>
    <tableColumn id="23" xr3:uid="{9A501106-7277-4215-AF3D-45AC1179FB0E}" name="P3p_Rg" dataDxfId="578">
      <calculatedColumnFormula>_xlfn.RANK.EQ(all[[#This Row],[P3p]],all[P3p])</calculatedColumnFormula>
    </tableColumn>
    <tableColumn id="24" xr3:uid="{887E4781-932A-4635-9444-C6BDC7A2B9DA}" name="FTM" dataDxfId="577"/>
    <tableColumn id="25" xr3:uid="{5B9C410B-5956-4649-AB95-3EDF65BE2247}" name="FTM_Rg" dataDxfId="576">
      <calculatedColumnFormula>_xlfn.RANK.EQ(all[[#This Row],[FTM]],all[FTM])</calculatedColumnFormula>
    </tableColumn>
    <tableColumn id="26" xr3:uid="{D29CED6B-63FA-4385-B58F-8C3F9EE51BCE}" name="FTA" dataDxfId="575"/>
    <tableColumn id="27" xr3:uid="{0A91695A-71E3-4570-AFFC-12305F6847E8}" name="FTA_Rg" dataDxfId="574">
      <calculatedColumnFormula>_xlfn.RANK.EQ(all[[#This Row],[FTA]],all[FTA])</calculatedColumnFormula>
    </tableColumn>
    <tableColumn id="28" xr3:uid="{26D8A4A8-511F-485A-BB44-25F24F0CB485}" name="FTp" dataDxfId="573"/>
    <tableColumn id="29" xr3:uid="{8353F83F-A08E-44A6-A2E9-6E5AB82AB294}" name="FTp_Rg" dataDxfId="572">
      <calculatedColumnFormula>_xlfn.RANK.EQ(all[[#This Row],[FTp]],all[FTp])</calculatedColumnFormula>
    </tableColumn>
    <tableColumn id="30" xr3:uid="{322CD2C6-EAA3-4393-9727-F351C54C3F35}" name="ORB" dataDxfId="571"/>
    <tableColumn id="31" xr3:uid="{7EFB68C7-3C4D-4721-8566-70A99BD0E190}" name="ORB_Rg" dataDxfId="570">
      <calculatedColumnFormula>_xlfn.RANK.EQ(all[[#This Row],[ORB]],all[ORB])</calculatedColumnFormula>
    </tableColumn>
    <tableColumn id="32" xr3:uid="{21B76BD7-0AFB-4F43-981E-AE1B7CD243F3}" name="DRB" dataDxfId="569"/>
    <tableColumn id="33" xr3:uid="{BF84B144-5D1B-4DCE-88AC-4873655F0834}" name="DRB_Rg" dataDxfId="568">
      <calculatedColumnFormula>_xlfn.RANK.EQ(all[[#This Row],[DRB]],all[DRB])</calculatedColumnFormula>
    </tableColumn>
    <tableColumn id="34" xr3:uid="{A2CAE6C1-7FDF-436D-A431-7DE3C720ED7D}" name="TRB" dataDxfId="567"/>
    <tableColumn id="35" xr3:uid="{4F187AD6-4BEC-4F46-A940-FBCEA78B7090}" name="TRB_Rg" dataDxfId="566">
      <calculatedColumnFormula>_xlfn.RANK.EQ(all[[#This Row],[TRB]],all[TRB])</calculatedColumnFormula>
    </tableColumn>
    <tableColumn id="36" xr3:uid="{E0752381-31B6-4F00-92BF-5153F779F0AF}" name="AST" dataDxfId="565"/>
    <tableColumn id="37" xr3:uid="{B81E1657-847C-4BD3-B932-3587B3849E4C}" name="AST_Rg" dataDxfId="564">
      <calculatedColumnFormula>_xlfn.RANK.EQ(all[[#This Row],[AST]],all[AST])</calculatedColumnFormula>
    </tableColumn>
    <tableColumn id="38" xr3:uid="{06188B2D-49D1-47F9-AA7D-D3B52DB4EE4B}" name="STL" dataDxfId="563"/>
    <tableColumn id="39" xr3:uid="{6A0819AC-0DFA-4D03-AFED-054AF2FB4391}" name="STL_Rg" dataDxfId="562">
      <calculatedColumnFormula>_xlfn.RANK.EQ(all[[#This Row],[STL]],all[STL])</calculatedColumnFormula>
    </tableColumn>
    <tableColumn id="40" xr3:uid="{D300B8FC-94B1-48C8-8019-C324EEA8F826}" name="BLK" dataDxfId="561"/>
    <tableColumn id="41" xr3:uid="{F7AF0486-F415-4F53-8B7D-64350A6ABD1C}" name="BLK_Rg" dataDxfId="560">
      <calculatedColumnFormula>_xlfn.RANK.EQ(all[[#This Row],[BLK]],all[BLK])</calculatedColumnFormula>
    </tableColumn>
    <tableColumn id="42" xr3:uid="{7D73D15F-764F-42B2-B858-103FC5A3899A}" name="TOV" dataDxfId="559"/>
    <tableColumn id="43" xr3:uid="{4FFC6D3D-9FAD-49B3-AD04-2291C1EF7589}" name="TOV_Rg" dataDxfId="558">
      <calculatedColumnFormula>_xlfn.RANK.EQ(all[[#This Row],[TOV]],all[TOV],1)</calculatedColumnFormula>
    </tableColumn>
    <tableColumn id="44" xr3:uid="{BF108947-9CB1-44D9-94AF-9FCA62ED7714}" name="PF" dataDxfId="557"/>
    <tableColumn id="45" xr3:uid="{DF52C0E4-FB72-4182-B0CC-169B5EC714B4}" name="PF_Rg" dataDxfId="556">
      <calculatedColumnFormula>_xlfn.RANK.EQ(all[[#This Row],[PF]],all[PF],1)</calculatedColumnFormula>
    </tableColumn>
    <tableColumn id="46" xr3:uid="{6D15E734-64A5-4164-B729-2675865AAAEB}" name="FGA opp" dataDxfId="555"/>
    <tableColumn id="47" xr3:uid="{96BD3FF8-AA31-4F68-A418-C8ED65FAC881}" name="FGA opp_Rg" dataDxfId="554">
      <calculatedColumnFormula>_xlfn.RANK.EQ(all[[#This Row],[FGA opp]],all[FGA opp],1)</calculatedColumnFormula>
    </tableColumn>
    <tableColumn id="48" xr3:uid="{C21AB7F8-980B-499E-8723-0CD223E52A45}" name="FGM opp" dataDxfId="553"/>
    <tableColumn id="49" xr3:uid="{7FE3DEAA-0370-4E8F-BD55-BF27E4F19CD0}" name="FGM opp_Rg" dataDxfId="552">
      <calculatedColumnFormula>_xlfn.RANK.EQ(all[[#This Row],[FGM opp]],all[FGM opp],1)</calculatedColumnFormula>
    </tableColumn>
    <tableColumn id="50" xr3:uid="{6032FE00-3164-46C1-BD8C-0B42745F685D}" name="FGp opp" dataDxfId="551"/>
    <tableColumn id="51" xr3:uid="{D445A89F-1CE1-4135-BB64-A8D6DCD89EE1}" name="FGp opp_Rg" dataDxfId="550">
      <calculatedColumnFormula>_xlfn.RANK.EQ(all[[#This Row],[FGp opp]],all[FGp opp],1)</calculatedColumnFormula>
    </tableColumn>
    <tableColumn id="52" xr3:uid="{8B207D80-A5DC-4008-86B6-4C2C8A7FDFDD}" name="P2M opp" dataDxfId="549"/>
    <tableColumn id="53" xr3:uid="{390B9413-BAE4-4A76-A2BC-3B62FF5E4098}" name="P2M opp_Rg" dataDxfId="548">
      <calculatedColumnFormula>_xlfn.RANK.EQ(all[[#This Row],[P2M opp]],all[P2M opp],1)</calculatedColumnFormula>
    </tableColumn>
    <tableColumn id="54" xr3:uid="{AFFCA542-0945-4E23-A4DE-8A0BC44DFD18}" name="P2A opp" dataDxfId="547"/>
    <tableColumn id="55" xr3:uid="{BA2585D6-050C-4A32-BDFB-A16690F04404}" name="P2A opp_Rg" dataDxfId="546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45">
      <calculatedColumnFormula>_xlfn.RANK.EQ(all[[#This Row],[P2p opp]],all[P2p opp],1)</calculatedColumnFormula>
    </tableColumn>
    <tableColumn id="58" xr3:uid="{E5F01226-C677-43A7-9FFB-1A29E4D73F66}" name="P3M opp" dataDxfId="544"/>
    <tableColumn id="59" xr3:uid="{EFFE656A-25F0-4F28-803E-8DA9900DBA55}" name="P3M opp_Rg" dataDxfId="543">
      <calculatedColumnFormula>_xlfn.RANK.EQ(all[[#This Row],[P3M opp]],all[P3M opp],1)</calculatedColumnFormula>
    </tableColumn>
    <tableColumn id="60" xr3:uid="{A6B49F57-B79B-4345-877B-E844A5BC2C61}" name="P3A opp" dataDxfId="542"/>
    <tableColumn id="61" xr3:uid="{FCC7B49A-E249-4629-AF47-0DC84809D121}" name="P3A opp_Rg" dataDxfId="541">
      <calculatedColumnFormula>_xlfn.RANK.EQ(all[[#This Row],[P3A opp]],all[P3A opp],1)</calculatedColumnFormula>
    </tableColumn>
    <tableColumn id="62" xr3:uid="{28E95049-31D0-4EF8-A9F1-7015B3308885}" name="P3p opp" dataDxfId="540"/>
    <tableColumn id="63" xr3:uid="{0BAC2CDC-5121-43DA-B019-927779746F0F}" name="P3p opp_Rg" dataDxfId="539">
      <calculatedColumnFormula>_xlfn.RANK.EQ(all[[#This Row],[P3p opp]],all[P3p opp],1)</calculatedColumnFormula>
    </tableColumn>
    <tableColumn id="64" xr3:uid="{9C1EFDB9-2183-4567-946F-920210AFBDB8}" name="FTM opp" dataDxfId="538"/>
    <tableColumn id="65" xr3:uid="{DAC180E7-0E5F-474B-9C40-B1EC4221A03B}" name="FTM opp_Rg" dataDxfId="537">
      <calculatedColumnFormula>_xlfn.RANK.EQ(all[[#This Row],[FTM opp]],all[FTM opp],1)</calculatedColumnFormula>
    </tableColumn>
    <tableColumn id="66" xr3:uid="{69DFB30B-7AA1-43FF-A725-36F31C71782F}" name="FTA opp" dataDxfId="536"/>
    <tableColumn id="67" xr3:uid="{3A9285C5-7157-4652-BEA7-5E4B7874772F}" name="FTA opp_Rg" dataDxfId="535">
      <calculatedColumnFormula>_xlfn.RANK.EQ(all[[#This Row],[FTA opp]],all[FTA opp],1)</calculatedColumnFormula>
    </tableColumn>
    <tableColumn id="68" xr3:uid="{EB3A55CE-4DE8-46D7-8FB4-C4CB6AC49EE6}" name="FTp opp" dataDxfId="534"/>
    <tableColumn id="69" xr3:uid="{7BEF3E71-B0A2-4B26-A582-7389ECDAF2DB}" name="FTp opp_Rg" dataDxfId="533">
      <calculatedColumnFormula>_xlfn.RANK.EQ(all[[#This Row],[FTp opp]],all[FTp opp],1)</calculatedColumnFormula>
    </tableColumn>
    <tableColumn id="70" xr3:uid="{AA493B9D-6741-401F-B23F-965FEF4FE844}" name="ORB opp" dataDxfId="532"/>
    <tableColumn id="71" xr3:uid="{524D8922-263D-46FB-A162-8AEC2761D383}" name="ORB opp_Rg" dataDxfId="531">
      <calculatedColumnFormula>_xlfn.RANK.EQ(all[[#This Row],[ORB opp]],all[ORB opp],1)</calculatedColumnFormula>
    </tableColumn>
    <tableColumn id="72" xr3:uid="{23A47BF1-BC93-4826-98E0-1BDF968F1057}" name="DRB opp" dataDxfId="530"/>
    <tableColumn id="73" xr3:uid="{2D0B1C5C-7F4A-4596-A93A-25013C98700B}" name="DRB opp_Rg" dataDxfId="529">
      <calculatedColumnFormula>_xlfn.RANK.EQ(all[[#This Row],[DRB opp]],all[DRB opp],1)</calculatedColumnFormula>
    </tableColumn>
    <tableColumn id="74" xr3:uid="{7D41337D-8B37-4903-93E4-AD7F3D9027BB}" name="TRB opp" dataDxfId="528"/>
    <tableColumn id="75" xr3:uid="{DA0B3F9A-0765-4CCE-8FED-A2375020F014}" name="TRB opp_Rg" dataDxfId="527">
      <calculatedColumnFormula>_xlfn.RANK.EQ(all[[#This Row],[TRB opp]],all[TRB opp],1)</calculatedColumnFormula>
    </tableColumn>
    <tableColumn id="76" xr3:uid="{A02D8A47-2E44-4827-A88B-12817A742D2D}" name="AST opp" dataDxfId="526"/>
    <tableColumn id="77" xr3:uid="{14DF4587-06D5-42BF-A2C0-5630647CA070}" name="AST opp_Rg" dataDxfId="525">
      <calculatedColumnFormula>_xlfn.RANK.EQ(all[[#This Row],[AST opp]],all[AST opp],1)</calculatedColumnFormula>
    </tableColumn>
    <tableColumn id="78" xr3:uid="{3F8B1B8C-57A7-424F-8AA0-FB7904664B33}" name="STL opp" dataDxfId="524"/>
    <tableColumn id="79" xr3:uid="{EF5925DC-1D36-4FCD-BF2B-4AA3D787798A}" name="STL opp_Rg" dataDxfId="523">
      <calculatedColumnFormula>_xlfn.RANK.EQ(all[[#This Row],[STL opp]],all[STL opp],1)</calculatedColumnFormula>
    </tableColumn>
    <tableColumn id="80" xr3:uid="{6270612F-65BB-464E-85C6-BD34100D2ECB}" name="BLK opp" dataDxfId="522"/>
    <tableColumn id="81" xr3:uid="{29092519-F4D8-4CB8-9524-BC091D76C3B9}" name="BLK opp_Rg" dataDxfId="521">
      <calculatedColumnFormula>_xlfn.RANK.EQ(all[[#This Row],[BLK opp]],all[BLK opp],1)</calculatedColumnFormula>
    </tableColumn>
    <tableColumn id="82" xr3:uid="{90F1124D-503C-4FF6-9B82-E5B9AE7667B0}" name="TOV opp" dataDxfId="520"/>
    <tableColumn id="83" xr3:uid="{F3BFE370-A683-4AF4-ADFA-F26408AD999B}" name="TOV opp_Rg" dataDxfId="519">
      <calculatedColumnFormula>_xlfn.RANK.EQ(all[[#This Row],[TOV opp]],all[TOV opp])</calculatedColumnFormula>
    </tableColumn>
    <tableColumn id="84" xr3:uid="{8FACD267-E09A-44FA-82F9-70251302C25E}" name="PF opp" dataDxfId="518"/>
    <tableColumn id="85" xr3:uid="{74C12BB0-9AD3-4E47-BD40-0CE4A3938B8E}" name="PF opp_Rg" dataDxfId="517">
      <calculatedColumnFormula>_xlfn.RANK.EQ(all[[#This Row],[PF opp]],all[PF opp])</calculatedColumnFormula>
    </tableColumn>
    <tableColumn id="86" xr3:uid="{167F57D5-0E0F-4D55-9796-A8747C67EEED}" name="TSp" dataDxfId="516"/>
    <tableColumn id="87" xr3:uid="{BCB61807-65A6-408E-801D-E75C93A9A11F}" name="TSp_Rg" dataDxfId="515">
      <calculatedColumnFormula>_xlfn.RANK.EQ(all[[#This Row],[TSp]],all[TSp])</calculatedColumnFormula>
    </tableColumn>
    <tableColumn id="88" xr3:uid="{257F1400-F01D-45E4-9389-CBCF0D48595A}" name="eFGp" dataDxfId="514"/>
    <tableColumn id="89" xr3:uid="{0EA4013F-9A5B-4561-9925-03FD5113F7E1}" name="eFGp_Rg" dataDxfId="513">
      <calculatedColumnFormula>_xlfn.RANK.EQ(all[[#This Row],[eFGp]],all[eFGp])</calculatedColumnFormula>
    </tableColumn>
    <tableColumn id="90" xr3:uid="{D605E915-148E-4E3A-A045-AE861460A6D3}" name="ORBp" dataDxfId="512"/>
    <tableColumn id="91" xr3:uid="{C0F355EE-36A6-4B74-BD5D-CBFCA224AED4}" name="ORBp_Rg" dataDxfId="511">
      <calculatedColumnFormula>_xlfn.RANK.EQ(all[[#This Row],[ORBp]],all[ORBp])</calculatedColumnFormula>
    </tableColumn>
    <tableColumn id="92" xr3:uid="{B4048E7C-DFAA-4BCA-8C5F-90B3A9430FC7}" name="DRBp" dataDxfId="510"/>
    <tableColumn id="93" xr3:uid="{0F769110-D6A0-4AEB-993F-112BEDA9855D}" name="DRBp_Rg" dataDxfId="509">
      <calculatedColumnFormula>_xlfn.RANK.EQ(all[[#This Row],[DRBp]],all[DRBp])</calculatedColumnFormula>
    </tableColumn>
    <tableColumn id="94" xr3:uid="{BA9D4579-42AA-454D-B10A-1821E04C96FE}" name="TRBp" dataDxfId="508"/>
    <tableColumn id="95" xr3:uid="{9CF21B64-3F40-4677-8F49-28A32A3B8E74}" name="TRBp_Rg" dataDxfId="507">
      <calculatedColumnFormula>_xlfn.RANK.EQ(all[[#This Row],[TRBp]],all[TRBp])</calculatedColumnFormula>
    </tableColumn>
    <tableColumn id="96" xr3:uid="{A54081F2-997A-4BAB-9740-002B3036FDE4}" name="Poss" dataDxfId="506"/>
    <tableColumn id="97" xr3:uid="{1AF2CD29-294A-48DA-A011-826FDA268AF3}" name="Poss_Rg" dataDxfId="505">
      <calculatedColumnFormula>_xlfn.RANK.EQ(all[[#This Row],[Poss]],all[Poss])</calculatedColumnFormula>
    </tableColumn>
    <tableColumn id="98" xr3:uid="{C6CB394A-70BA-43DD-A84F-CAA3B7F9F303}" name="ASTp" dataDxfId="504"/>
    <tableColumn id="99" xr3:uid="{AD9C1292-D8AA-4C8E-9127-25ED1749519B}" name="ASTp_Rg" dataDxfId="503">
      <calculatedColumnFormula>_xlfn.RANK.EQ(all[[#This Row],[ASTp]],all[ASTp])</calculatedColumnFormula>
    </tableColumn>
    <tableColumn id="100" xr3:uid="{55C3053E-0A6C-47F7-AAA7-0F62BF71F9FD}" name="FTFGAp" dataDxfId="502"/>
    <tableColumn id="101" xr3:uid="{6AE6A926-D304-4D34-8326-96D07805E65D}" name="FTFGAp_Rg" dataDxfId="501">
      <calculatedColumnFormula>_xlfn.RANK.EQ(all[[#This Row],[FTFGAp]],all[FTFGAp])</calculatedColumnFormula>
    </tableColumn>
    <tableColumn id="102" xr3:uid="{445AC573-D15C-42EF-AFA6-E63BA3305BE1}" name="TOVp" dataDxfId="500"/>
    <tableColumn id="103" xr3:uid="{0FF76E82-70BD-4360-9564-6C712F5478D7}" name="TOVp_Rg" dataDxfId="499">
      <calculatedColumnFormula>_xlfn.RANK.EQ(all[[#This Row],[TOVp]],all[TOVp],1)</calculatedColumnFormula>
    </tableColumn>
    <tableColumn id="104" xr3:uid="{E11CE410-E0F9-4148-A13C-2DC0B5FB9948}" name="ORtg" dataDxfId="498"/>
    <tableColumn id="105" xr3:uid="{31417C36-26AA-40D5-96C8-A366D074559C}" name="Ortg_Rg" dataDxfId="497">
      <calculatedColumnFormula>_xlfn.RANK.EQ(all[[#This Row],[ORtg]],all[ORtg])</calculatedColumnFormula>
    </tableColumn>
    <tableColumn id="106" xr3:uid="{56A90FE5-DC95-45E0-8B01-83402601E710}" name="DRtg" dataDxfId="496"/>
    <tableColumn id="107" xr3:uid="{14B48294-AA6E-425D-A6E7-615F4D969BF8}" name="Drtg_Rg" dataDxfId="495">
      <calculatedColumnFormula>_xlfn.RANK.EQ(all[[#This Row],[DRtg]],all[DRtg],1)</calculatedColumnFormula>
    </tableColumn>
    <tableColumn id="108" xr3:uid="{15A49244-6987-46FA-A5B3-FDFD98C194EF}" name="Pace" dataDxfId="494"/>
    <tableColumn id="109" xr3:uid="{E782E9D1-B8CC-4391-B2EC-30D093FE5D90}" name="Pace_Rg" dataDxfId="493">
      <calculatedColumnFormula>_xlfn.RANK.EQ(all[[#This Row],[Pace]],all[Pace])</calculatedColumnFormula>
    </tableColumn>
    <tableColumn id="110" xr3:uid="{3393BB03-73CF-488F-8296-DF4D91FA2004}" name="TSp opp" dataDxfId="492"/>
    <tableColumn id="111" xr3:uid="{3B67A1BA-EC6A-4241-BA43-642022A99052}" name="TSp_Rg opp" dataDxfId="491">
      <calculatedColumnFormula>_xlfn.RANK.EQ(all[[#This Row],[TSp opp]],all[TSp opp],1)</calculatedColumnFormula>
    </tableColumn>
    <tableColumn id="112" xr3:uid="{17F5B44B-C43C-44C5-B278-931BC88F8309}" name="eFGp opp" dataDxfId="490"/>
    <tableColumn id="113" xr3:uid="{9B04B1CB-94E3-4908-8A42-1C1FA8D0ED43}" name="eFGp_Rg opp" dataDxfId="489">
      <calculatedColumnFormula>_xlfn.RANK.EQ(all[[#This Row],[eFGp opp]],all[eFGp opp],1)</calculatedColumnFormula>
    </tableColumn>
    <tableColumn id="114" xr3:uid="{1DC64564-BBD7-470E-B45B-A5F884F3BD87}" name="ORBp opp" dataDxfId="488"/>
    <tableColumn id="115" xr3:uid="{C6803751-234D-48C7-BE61-079D976CE3BF}" name="ORBp_Rg opp" dataDxfId="487">
      <calculatedColumnFormula>_xlfn.RANK.EQ(all[[#This Row],[ORBp opp]],all[ORBp opp],1)</calculatedColumnFormula>
    </tableColumn>
    <tableColumn id="116" xr3:uid="{C1C6409A-2EB1-4AA9-8336-6025365CF4D1}" name="DRBp opp" dataDxfId="486"/>
    <tableColumn id="117" xr3:uid="{0E84FB0E-16C7-4EB7-9521-FF6D8CF25608}" name="DRBp_Rg opp" dataDxfId="485">
      <calculatedColumnFormula>_xlfn.RANK.EQ(all[[#This Row],[DRBp opp]],all[DRBp opp],1)</calculatedColumnFormula>
    </tableColumn>
    <tableColumn id="118" xr3:uid="{F616B92A-ADA9-4EFB-B6C4-2825173F3665}" name="TRBp opp" dataDxfId="484"/>
    <tableColumn id="119" xr3:uid="{D6D3ABCC-1D43-4746-AE4C-B99DD1C77AF1}" name="TRBp_Rg opp" dataDxfId="483">
      <calculatedColumnFormula>_xlfn.RANK.EQ(all[[#This Row],[TRBp opp]],all[TRBp opp],1)</calculatedColumnFormula>
    </tableColumn>
    <tableColumn id="120" xr3:uid="{47BFDE31-FECF-40DB-A46A-B08ADCA94355}" name="Poss opp" dataDxfId="482"/>
    <tableColumn id="121" xr3:uid="{A9FEC2A5-AE84-47BB-9260-90349FDF7BE8}" name="Poss_Rg opp" dataDxfId="481">
      <calculatedColumnFormula>_xlfn.RANK.EQ(all[[#This Row],[Poss opp]],all[Poss opp],1)</calculatedColumnFormula>
    </tableColumn>
    <tableColumn id="122" xr3:uid="{6A050B40-8D37-4570-BE26-03E93AE0BFA0}" name="ASTp opp" dataDxfId="480"/>
    <tableColumn id="123" xr3:uid="{8E4072CF-0966-4443-B3CF-8E32484D5938}" name="ASTp_Rg opp" dataDxfId="479">
      <calculatedColumnFormula>_xlfn.RANK.EQ(all[[#This Row],[ASTp opp]],all[ASTp opp],1)</calculatedColumnFormula>
    </tableColumn>
    <tableColumn id="124" xr3:uid="{7EBC3F1C-BA73-4BD0-80BB-5681521E3458}" name="FTFGAp opp" dataDxfId="478"/>
    <tableColumn id="125" xr3:uid="{B9F439F8-3613-44CC-ACBD-73C5487AED77}" name="FTFGAp_Rg opp" dataDxfId="477">
      <calculatedColumnFormula>_xlfn.RANK.EQ(all[[#This Row],[FTFGAp opp]],all[FTFGAp opp],1)</calculatedColumnFormula>
    </tableColumn>
    <tableColumn id="126" xr3:uid="{78AB903A-6E8A-48A5-B8C1-3DE222C659F2}" name="TOVp opp" dataDxfId="476"/>
    <tableColumn id="127" xr3:uid="{149A77F0-30FA-49C5-B55F-86BDBA505080}" name="TOVp_Rg opp" dataDxfId="475">
      <calculatedColumnFormula>_xlfn.RANK.EQ(all[[#This Row],[TOVp opp]],all[TOVp opp])</calculatedColumnFormula>
    </tableColumn>
    <tableColumn id="128" xr3:uid="{D88C90E3-56E0-480D-B559-A552CB657AE8}" name="ORtg opp" dataDxfId="474"/>
    <tableColumn id="129" xr3:uid="{023606EB-B487-416A-A213-8DEFA81D84EC}" name="Ortg_Rg opp" dataDxfId="473">
      <calculatedColumnFormula>_xlfn.RANK.EQ(all[[#This Row],[ORtg opp]],all[ORtg opp],1)</calculatedColumnFormula>
    </tableColumn>
    <tableColumn id="130" xr3:uid="{D6B396AD-6E54-4209-BD90-E31A7B134D17}" name="DRtg opp" dataDxfId="472"/>
    <tableColumn id="131" xr3:uid="{828DECEB-7C30-4EAA-B6DB-8BF3BF109E34}" name="Drtg_Rg opp" dataDxfId="471">
      <calculatedColumnFormula>_xlfn.RANK.EQ(all[[#This Row],[DRtg opp]],all[DRtg opp])</calculatedColumnFormula>
    </tableColumn>
    <tableColumn id="132" xr3:uid="{98619E15-8B72-4EA1-AD1E-DB2628609DA2}" name="Q1H" dataDxfId="470"/>
    <tableColumn id="133" xr3:uid="{63370689-7907-4883-984F-2EB585278C03}" name="Q1H_Rg" dataDxfId="469">
      <calculatedColumnFormula>_xlfn.RANK.EQ(all[[#This Row],[Q1H]],all[Q1H])</calculatedColumnFormula>
    </tableColumn>
    <tableColumn id="134" xr3:uid="{84EAF5A0-9E16-4195-B09A-086E18984C88}" name="Q2H" dataDxfId="468"/>
    <tableColumn id="135" xr3:uid="{A36B439E-45C6-4B3A-B9A8-55ABA6636383}" name="Q2H_Rg" dataDxfId="467">
      <calculatedColumnFormula>_xlfn.RANK.EQ(all[[#This Row],[Q2H]],all[Q2H])</calculatedColumnFormula>
    </tableColumn>
    <tableColumn id="136" xr3:uid="{A3917B90-8136-4586-ABBD-305DDE3089CA}" name="Q3H" dataDxfId="466"/>
    <tableColumn id="137" xr3:uid="{997E4FDF-A784-46CB-9855-717D5357ADAD}" name="Q3H_Rg" dataDxfId="465">
      <calculatedColumnFormula>_xlfn.RANK.EQ(all[[#This Row],[Q3H]],all[Q3H])</calculatedColumnFormula>
    </tableColumn>
    <tableColumn id="138" xr3:uid="{4334902F-0563-4E13-8FD3-E9136A878EAA}" name="Q4H" dataDxfId="464"/>
    <tableColumn id="139" xr3:uid="{B49D3043-6FDF-4C87-9B57-7068729BBAD3}" name="Q4H_Rg" dataDxfId="463">
      <calculatedColumnFormula>_xlfn.RANK.EQ(all[[#This Row],[Q4H]],all[Q4H])</calculatedColumnFormula>
    </tableColumn>
    <tableColumn id="140" xr3:uid="{D50D80B5-9400-4A09-837A-ED965F093F20}" name="Q1A" dataDxfId="462"/>
    <tableColumn id="141" xr3:uid="{A0B9F4B4-3B1F-4397-9C33-754E83871208}" name="Q1A_Rg" dataDxfId="461">
      <calculatedColumnFormula>_xlfn.RANK.EQ(all[[#This Row],[Q1A]],all[Q1A],1)</calculatedColumnFormula>
    </tableColumn>
    <tableColumn id="142" xr3:uid="{04882668-BDF5-4D98-9F79-EAEB0BC6BE9C}" name="Q2A" dataDxfId="460"/>
    <tableColumn id="143" xr3:uid="{32623012-46FE-49FC-A5D4-442DF97398B0}" name="Q2A_Rg" dataDxfId="459">
      <calculatedColumnFormula>_xlfn.RANK.EQ(all[[#This Row],[Q2A]],all[Q2A],1)</calculatedColumnFormula>
    </tableColumn>
    <tableColumn id="144" xr3:uid="{216994B5-6862-4EDF-8D9B-B9D0DEBDCE93}" name="Q3A" dataDxfId="458"/>
    <tableColumn id="145" xr3:uid="{B71C2C6E-4780-43DF-B855-B78F507740F5}" name="Q3A_Rg" dataDxfId="457">
      <calculatedColumnFormula>_xlfn.RANK.EQ(all[[#This Row],[Q3A]],all[Q3A],1)</calculatedColumnFormula>
    </tableColumn>
    <tableColumn id="146" xr3:uid="{6A85107E-9C39-4ED4-90BD-69F43FE0B8F9}" name="Q4A" dataDxfId="456"/>
    <tableColumn id="147" xr3:uid="{6F1F8D5B-0A21-4783-AEB7-9397F71E491B}" name="Q4A_Rg" dataDxfId="455">
      <calculatedColumnFormula>_xlfn.RANK.EQ(all[[#This Row],[Q4A]],all[Q4A],1)</calculatedColumnFormula>
    </tableColumn>
    <tableColumn id="148" xr3:uid="{0B243D34-9837-442A-9C1B-09432E97168B}" name="FHH" dataDxfId="454"/>
    <tableColumn id="149" xr3:uid="{A88EA100-A07B-4872-AA47-576163E07FF4}" name="FHH_Rg" dataDxfId="453">
      <calculatedColumnFormula>_xlfn.RANK.EQ(all[[#This Row],[FHH]],all[FHH])</calculatedColumnFormula>
    </tableColumn>
    <tableColumn id="150" xr3:uid="{49183011-610C-408C-9E08-1DD04AEB7B59}" name="FHA" dataDxfId="452"/>
    <tableColumn id="151" xr3:uid="{C5440865-E368-4EFC-9023-4A227CA869A1}" name="FHA_Rg" dataDxfId="451">
      <calculatedColumnFormula>_xlfn.RANK.EQ(all[[#This Row],[FHA]],all[FHA],1)</calculatedColumnFormula>
    </tableColumn>
    <tableColumn id="152" xr3:uid="{78DFE7E7-E4F2-4DC8-8B1C-E07F731AED55}" name="SHH" dataDxfId="450"/>
    <tableColumn id="153" xr3:uid="{215D69C6-C7DB-4D94-B9B0-6C75C990FE98}" name="SHH_Rg" dataDxfId="449">
      <calculatedColumnFormula>_xlfn.RANK.EQ(all[[#This Row],[SHH]],all[SHH])</calculatedColumnFormula>
    </tableColumn>
    <tableColumn id="154" xr3:uid="{D0E1BB5E-0003-4CC0-A767-7CCC9BFD8C9E}" name="SHA" dataDxfId="448"/>
    <tableColumn id="155" xr3:uid="{4BBDF1E5-8B9C-42BB-9D98-A38C5A889125}" name="SHA_Rg" dataDxfId="447">
      <calculatedColumnFormula>_xlfn.RANK.EQ(all[[#This Row],[SHA]],all[SHA],1)</calculatedColumnFormula>
    </tableColumn>
    <tableColumn id="156" xr3:uid="{0BE42281-D49E-4AA9-9283-B39036AC5ADE}" name="PM MID" dataDxfId="446"/>
    <tableColumn id="157" xr3:uid="{BD5B6F69-8A6A-4DA2-8FAB-2B6F82531AAF}" name="PC MID" dataDxfId="445"/>
    <tableColumn id="158" xr3:uid="{83FF39C9-DBED-4FAC-A4A9-6F442F7BA89C}" name="Wins" dataDxfId="444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43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42">
      <calculatedColumnFormula>all[[#This Row],[Wins]]/(all[[#This Row],[Wins]]+all[[#This Row],[Losses]])</calculatedColumnFormula>
    </tableColumn>
    <tableColumn id="164" xr3:uid="{4097ED39-74AA-4DA1-961F-D99DEDBFFF27}" name="Place" dataDxfId="441">
      <calculatedColumnFormula>_xlfn.RANK.EQ(all[[#This Row],[rating]],all[rating])</calculatedColumnFormula>
    </tableColumn>
    <tableColumn id="165" xr3:uid="{747A0B6C-0B2D-40DB-969A-FAA07AFA9B70}" name="AVG_RT" dataDxfId="440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39">
      <calculatedColumnFormula>all[[#This Row],[Q1H]]+all[[#This Row],[Q1A]]</calculatedColumnFormula>
    </tableColumn>
    <tableColumn id="168" xr3:uid="{39EBCF87-3449-4C95-97F1-DE74B123290A}" name="Q1t_Rg" dataDxfId="438">
      <calculatedColumnFormula>_xlfn.RANK.EQ(all[[#This Row],[Q1T]],all[Q1T])</calculatedColumnFormula>
    </tableColumn>
    <tableColumn id="169" xr3:uid="{A2732357-741E-44D0-A642-6F96B89F5B9B}" name="Q2T" dataDxfId="437">
      <calculatedColumnFormula>all[[#This Row],[Q2H]]+all[[#This Row],[Q2A]]</calculatedColumnFormula>
    </tableColumn>
    <tableColumn id="176" xr3:uid="{68195C26-37CB-411F-8101-59DF6B89FAB7}" name="Q2t_Rg" dataDxfId="436">
      <calculatedColumnFormula>_xlfn.RANK.EQ(all[[#This Row],[Q2T]],all[Q2T])</calculatedColumnFormula>
    </tableColumn>
    <tableColumn id="170" xr3:uid="{BEDCBF70-6C93-45B4-9474-5886394568FB}" name="Q3T" dataDxfId="435">
      <calculatedColumnFormula>all[[#This Row],[Q3H]]+all[[#This Row],[Q3A]]</calculatedColumnFormula>
    </tableColumn>
    <tableColumn id="177" xr3:uid="{DC587908-3228-45C1-A586-F8B5521B79AC}" name="Q3t_Rg" dataDxfId="434">
      <calculatedColumnFormula>_xlfn.RANK.EQ(all[[#This Row],[Q3T]],all[Q3T])</calculatedColumnFormula>
    </tableColumn>
    <tableColumn id="171" xr3:uid="{9663D979-27A2-47F5-827D-4137A0DFDD41}" name="Q4T" dataDxfId="433">
      <calculatedColumnFormula>all[[#This Row],[Q4H]]+all[[#This Row],[Q4A]]</calculatedColumnFormula>
    </tableColumn>
    <tableColumn id="178" xr3:uid="{482DDBF8-CA97-4BFF-BDF3-759F586A6C82}" name="Q4t_Rg" dataDxfId="432">
      <calculatedColumnFormula>_xlfn.RANK.EQ(all[[#This Row],[Q4T]],all[Q4T])</calculatedColumnFormula>
    </tableColumn>
    <tableColumn id="172" xr3:uid="{B33059E9-FC2A-4DE3-B125-3F9D09E4A88B}" name="FHT" dataDxfId="431">
      <calculatedColumnFormula>all[[#This Row],[FHH]]+all[[#This Row],[FHA]]</calculatedColumnFormula>
    </tableColumn>
    <tableColumn id="179" xr3:uid="{CE554991-773E-43D4-BF80-77ECAE16806A}" name="FHT_Rg" dataDxfId="430">
      <calculatedColumnFormula>_xlfn.RANK.EQ(all[[#This Row],[FHT]],all[FHT])</calculatedColumnFormula>
    </tableColumn>
    <tableColumn id="173" xr3:uid="{590D0E23-0BF2-4934-B2AB-A4FDD3BB8815}" name="SHT" dataDxfId="429">
      <calculatedColumnFormula>all[[#This Row],[SHH]]+all[[#This Row],[SHA]]</calculatedColumnFormula>
    </tableColumn>
    <tableColumn id="180" xr3:uid="{C104A1B0-C613-4673-BB25-7D0F145C7C98}" name="SHT_Rg" dataDxfId="428">
      <calculatedColumnFormula>_xlfn.RANK.EQ(all[[#This Row],[SHT]],all[SHT])</calculatedColumnFormula>
    </tableColumn>
    <tableColumn id="174" xr3:uid="{C53D43F5-ABB1-409B-943A-8FDAB273047D}" name="BetH" dataDxfId="427">
      <calculatedColumnFormula>SUM(INDIRECT(all[[#This Row],[Table name]]&amp;"[BetH]"))</calculatedColumnFormula>
    </tableColumn>
    <tableColumn id="181" xr3:uid="{40239053-B4F8-44B2-8A71-4AECDA7E8EA7}" name="BetH_Rg" dataDxfId="426">
      <calculatedColumnFormula>_xlfn.RANK.EQ(all[[#This Row],[BetH]],all[BetH])</calculatedColumnFormula>
    </tableColumn>
    <tableColumn id="175" xr3:uid="{39A20190-1850-4B23-868F-FB5FBE2BE09E}" name="BetA" dataDxfId="425">
      <calculatedColumnFormula>SUM(INDIRECT(all[[#This Row],[Table name]]&amp;"[BetA]"))</calculatedColumnFormula>
    </tableColumn>
    <tableColumn id="182" xr3:uid="{168DD3A4-CBB9-4218-BC2D-24BAE08263A1}" name="BetA_Rg" dataDxfId="424">
      <calculatedColumnFormula>_xlfn.RANK.EQ(all[[#This Row],[BetA]],all[BetA])</calculatedColumnFormula>
    </tableColumn>
    <tableColumn id="185" xr3:uid="{F0AA399F-AEB1-4DB2-8EBF-98D01B576871}" name="Tover" dataDxfId="423">
      <calculatedColumnFormula>SUM(INDIRECT(all[[#This Row],[Table name]]&amp;"[Tover]"))</calculatedColumnFormula>
    </tableColumn>
    <tableColumn id="187" xr3:uid="{2CC72BC3-401C-4228-9CB2-F2C2AAB6CEC0}" name="Tover_Rg" dataDxfId="422">
      <calculatedColumnFormula>_xlfn.RANK.EQ(all[[#This Row],[Tover]],all[Tover])</calculatedColumnFormula>
    </tableColumn>
    <tableColumn id="186" xr3:uid="{CB96BBAC-2C4F-4B30-BA0F-58491A5722BA}" name="Deviation" dataDxfId="421">
      <calculatedColumnFormula>AVERAGE(INDIRECT(all[[#This Row],[Table name]]&amp;"[Deviation]"))</calculatedColumnFormula>
    </tableColumn>
    <tableColumn id="188" xr3:uid="{975B22D8-5B48-4AD7-97A6-46E014BE0D46}" name="Dev_Rg" dataDxfId="420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A08A5D9-9CFF-44D2-9D41-93A2492E9083}" name="west" displayName="west" ref="P22:V31" totalsRowShown="0">
  <autoFilter ref="P22:V31" xr:uid="{AA08A5D9-9CFF-44D2-9D41-93A2492E9083}"/>
  <tableColumns count="7">
    <tableColumn id="1" xr3:uid="{11EE1966-7795-4B94-86AF-2BD99C38FBB4}" name="Team"/>
    <tableColumn id="2" xr3:uid="{31359F51-B3F7-4D59-A398-1B96A083F2C1}" name="Full name"/>
    <tableColumn id="3" xr3:uid="{2221823A-DBFD-4F1F-A40C-F1E5D8E6F757}" name="Table name"/>
    <tableColumn id="4" xr3:uid="{ED9682AD-BF76-4254-B7A6-B328CB8B3F78}" name="Wins" dataDxfId="419">
      <calculatedColumnFormula>COUNTIF(INDIRECT(west[[#This Row],[Table name]]&amp;"[result]"),"w")+ COUNTIF(INDIRECT(west[[#This Row],[Table name]]&amp;"[result]"),"dw")</calculatedColumnFormula>
    </tableColumn>
    <tableColumn id="5" xr3:uid="{C07366A4-3C89-4255-A484-5D4031799AB2}" name="Losses" dataDxfId="418">
      <calculatedColumnFormula>COUNTIF(INDIRECT(west[[#This Row],[Table name]]&amp;"[result]"),"l")+ COUNTIF(INDIRECT(west[[#This Row],[Table name]]&amp;"[result]"),"dl")</calculatedColumnFormula>
    </tableColumn>
    <tableColumn id="6" xr3:uid="{130129D6-1251-4D26-92C0-B1C04FCC1CA7}" name="rating" dataDxfId="417">
      <calculatedColumnFormula>west[[#This Row],[Wins]]/(west[[#This Row],[Wins]]+west[[#This Row],[Losses]])</calculatedColumnFormula>
    </tableColumn>
    <tableColumn id="7" xr3:uid="{4E2CD471-807C-4296-BB0F-275870092231}" name="place" dataDxfId="416">
      <calculatedColumnFormula>_xlfn.RANK.EQ(west[[#This Row],[rating]],west[rating])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E3FB18D-57C1-409B-978F-7B034A316151}" name="east" displayName="east" ref="A22:G31" totalsRowShown="0">
  <autoFilter ref="A22:G31" xr:uid="{0E3FB18D-57C1-409B-978F-7B034A316151}"/>
  <tableColumns count="7">
    <tableColumn id="1" xr3:uid="{02979221-20EE-4CCA-B299-8C317CA2CA85}" name="Team"/>
    <tableColumn id="2" xr3:uid="{462834BD-C289-46D8-A01D-1059E8E523B0}" name="Full name"/>
    <tableColumn id="3" xr3:uid="{DC44C3DB-932D-4FDE-AD9C-95251F20E17E}" name="Table name"/>
    <tableColumn id="4" xr3:uid="{58A4D7E6-37A4-46F3-B01C-F17A9E3BF7A9}" name="Wins" dataDxfId="415">
      <calculatedColumnFormula>COUNTIF(INDIRECT(east[[#This Row],[Table name]]&amp;"[result]"),"w")+ COUNTIF(INDIRECT(east[[#This Row],[Table name]]&amp;"[result]"),"dw")</calculatedColumnFormula>
    </tableColumn>
    <tableColumn id="5" xr3:uid="{BF197F78-471F-4354-B75F-EAF908B483CE}" name="Losses" dataDxfId="414">
      <calculatedColumnFormula>COUNTIF(INDIRECT(east[[#This Row],[Table name]]&amp;"[result]"),"l")+ COUNTIF(INDIRECT(east[[#This Row],[Table name]]&amp;"[result]"),"dl")</calculatedColumnFormula>
    </tableColumn>
    <tableColumn id="6" xr3:uid="{A279D4F0-F669-430E-B7D7-C0A920500779}" name="rating" dataDxfId="413">
      <calculatedColumnFormula>east[[#This Row],[Wins]]/(east[[#This Row],[Wins]]+east[[#This Row],[Losses]])</calculatedColumnFormula>
    </tableColumn>
    <tableColumn id="7" xr3:uid="{8EFC5099-A8C2-48F0-8DE4-B16E5DA6F124}" name="place" dataDxfId="412">
      <calculatedColumnFormula>_xlfn.RANK.EQ(east[[#This Row],[rating]],east[rating])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edevita" displayName="cedevita" ref="A3:CQ4" totalsRowShown="0" headerRowDxfId="2173" dataDxfId="2172">
  <autoFilter ref="A3:CQ4" xr:uid="{6F44C236-BD30-49C1-AC80-B66D4596B51B}"/>
  <tableColumns count="95">
    <tableColumn id="1" xr3:uid="{8A638653-6E9D-4274-977B-19A5215FDAD9}" name="Tournament" dataDxfId="2171"/>
    <tableColumn id="2" xr3:uid="{A5A67DD8-D84A-4B2E-BF4B-43F349F41FBF}" name="Home_team" dataDxfId="2170"/>
    <tableColumn id="3" xr3:uid="{0B3234EC-D844-48DC-A34E-9D007749420A}" name="Stage" dataDxfId="2169"/>
    <tableColumn id="4" xr3:uid="{563655E1-46AF-44FB-84D2-EFADAD213667}" name="Date" dataDxfId="2168"/>
    <tableColumn id="5" xr3:uid="{EA107A34-7C3C-4E94-85F2-7917387F76BE}" name="Location" dataDxfId="2167"/>
    <tableColumn id="6" xr3:uid="{41DF131E-73D8-4E32-887C-474D9AA0F1E2}" name="Away_team" dataDxfId="2166"/>
    <tableColumn id="7" xr3:uid="{F9F8981F-77B8-47F5-BF1F-D954007F8AAD}" name="Result" dataDxfId="2165"/>
    <tableColumn id="8" xr3:uid="{069AE107-7A35-45FC-A5A0-96A0B8BF75D2}" name="Home_scored" dataDxfId="2164"/>
    <tableColumn id="9" xr3:uid="{4317D2D9-BFAE-48CA-BC93-3A111BE4F2D3}" name="Away_scored" dataDxfId="2163"/>
    <tableColumn id="10" xr3:uid="{D13D9FF6-6BC7-4C67-965E-381588366E66}" name="FGM" dataDxfId="2162"/>
    <tableColumn id="11" xr3:uid="{416F628F-251F-403B-843C-45B502019C13}" name="FGA" dataDxfId="2161"/>
    <tableColumn id="12" xr3:uid="{6C871F78-28F7-4485-B11C-592F3EC0B7C7}" name="FGp" dataDxfId="2160"/>
    <tableColumn id="13" xr3:uid="{B24500AB-7316-4FEC-9207-2F61A6169812}" name="P2M" dataDxfId="2159"/>
    <tableColumn id="14" xr3:uid="{31EB0C9C-9BF0-4DEB-93E8-09D54564CA8D}" name="P2A" dataDxfId="2158"/>
    <tableColumn id="15" xr3:uid="{31A86568-360A-405C-88D8-2FA28598789E}" name="P2p" dataDxfId="2157"/>
    <tableColumn id="16" xr3:uid="{30A0235B-D31E-414E-AE29-08159880251B}" name="P3M" dataDxfId="2156"/>
    <tableColumn id="17" xr3:uid="{73D50736-81B8-4309-AF9A-33E3B1A82AFA}" name="P3A" dataDxfId="2155"/>
    <tableColumn id="18" xr3:uid="{16C25FBC-F090-4AEF-879F-BE84278227AB}" name="P3p" dataDxfId="2154"/>
    <tableColumn id="19" xr3:uid="{15AB3E5E-E3B9-45B6-A3D3-F7FF9E8FCE79}" name="FTM" dataDxfId="2153"/>
    <tableColumn id="20" xr3:uid="{602716D4-0095-4D83-886C-C48E23350677}" name="FTA" dataDxfId="2152"/>
    <tableColumn id="21" xr3:uid="{6474F4DD-2BC9-428C-8688-93F423AEC6B9}" name="FTp" dataDxfId="2151"/>
    <tableColumn id="22" xr3:uid="{7D91A428-8EBA-46F6-A61C-F8C8F29575C4}" name="ORB" dataDxfId="2150"/>
    <tableColumn id="23" xr3:uid="{3B09D909-443F-4848-ABCA-CE6C8D2D2732}" name="DRB" dataDxfId="2149"/>
    <tableColumn id="24" xr3:uid="{5615CA5F-0ED0-4258-9F3A-C92E48D040A6}" name="TRB" dataDxfId="2148"/>
    <tableColumn id="25" xr3:uid="{BAC8CBCE-BDE0-40D8-A0AE-31C7E00B3B8D}" name="AST" dataDxfId="2147"/>
    <tableColumn id="26" xr3:uid="{C0B9CD1D-0212-434F-B6DE-CE4A9EE5C576}" name="STL" dataDxfId="2146"/>
    <tableColumn id="27" xr3:uid="{E4611AF6-6204-4FEF-B5FF-E7F28EE220A6}" name="BLK" dataDxfId="2145"/>
    <tableColumn id="28" xr3:uid="{86E9AACF-7A59-421E-BE97-7BAC320A6D45}" name="TOV" dataDxfId="2144"/>
    <tableColumn id="29" xr3:uid="{52C5545A-AF62-45FE-8731-F3B52BF2FB4A}" name="PF" dataDxfId="2143"/>
    <tableColumn id="30" xr3:uid="{BD9401B7-BC8F-4928-AA5F-D61021894BB9}" name="FGMop" dataDxfId="2142"/>
    <tableColumn id="31" xr3:uid="{E4A09537-B698-4415-A7CC-119A1807281A}" name="FGAop" dataDxfId="2141"/>
    <tableColumn id="32" xr3:uid="{7177DD53-DCC0-4CA7-AE64-A25AE7FA445E}" name="FGpop" dataDxfId="2140"/>
    <tableColumn id="33" xr3:uid="{A30BBD9D-73C3-4D1B-B11C-DC41B557F4FB}" name="P2Mop" dataDxfId="2139"/>
    <tableColumn id="34" xr3:uid="{3BA99159-72A4-4438-A82B-F9C66F19AF77}" name="P2Aop" dataDxfId="2138"/>
    <tableColumn id="35" xr3:uid="{732A7007-6DF0-4B1F-9977-A14B6130AACB}" name="P2pop" dataDxfId="2137"/>
    <tableColumn id="36" xr3:uid="{778AB03A-C73B-4D77-94EE-174C408A8AB5}" name="P3Mop" dataDxfId="2136"/>
    <tableColumn id="37" xr3:uid="{96D77630-6DB7-49F7-804C-F05C20BF6167}" name="P3Aop" dataDxfId="2135"/>
    <tableColumn id="38" xr3:uid="{AF37BF71-D0D9-47D9-BF0B-EC96EB6BF445}" name="P3pop" dataDxfId="2134"/>
    <tableColumn id="39" xr3:uid="{2F56607F-00EC-45B2-885A-ECE0F147883B}" name="FTMop" dataDxfId="2133"/>
    <tableColumn id="40" xr3:uid="{9769CB84-86C7-4D11-A836-FCABDA03776B}" name="FTAop" dataDxfId="2132"/>
    <tableColumn id="41" xr3:uid="{030F5995-198E-4410-AE5A-69AF9C0E9B3D}" name="FTpop" dataDxfId="2131"/>
    <tableColumn id="42" xr3:uid="{7354B311-A5D3-4FF8-82C7-F5A004393907}" name="ORBop" dataDxfId="2130"/>
    <tableColumn id="43" xr3:uid="{DDBC82CF-8891-42D0-83B9-42F5CC53E3A9}" name="DRBop" dataDxfId="2129"/>
    <tableColumn id="44" xr3:uid="{8E198CD2-64F8-4650-A298-32D22EE7211D}" name="TRBop" dataDxfId="2128"/>
    <tableColumn id="45" xr3:uid="{F1B008F5-4F3C-4B0B-8685-80D8D8088824}" name="ASTop" dataDxfId="2127"/>
    <tableColumn id="46" xr3:uid="{B34781DD-183A-48DB-9CA5-C763B246C091}" name="STLop" dataDxfId="2126"/>
    <tableColumn id="47" xr3:uid="{35628E09-7267-40E3-97C9-601D46806F30}" name="BLKop" dataDxfId="2125"/>
    <tableColumn id="48" xr3:uid="{349A79B7-E61A-42DE-B4E1-F5F5728F0A6E}" name="TOVop" dataDxfId="2124"/>
    <tableColumn id="49" xr3:uid="{D3FB071F-EDCA-489C-9BEB-B81054CDFFB6}" name="PFop" dataDxfId="2123"/>
    <tableColumn id="50" xr3:uid="{C303EE3C-E5FE-4307-844D-E1E48ACD5DBB}" name="TS%" dataDxfId="2122"/>
    <tableColumn id="51" xr3:uid="{541897D2-FC66-4484-848E-6D0C2501123B}" name="eFG%" dataDxfId="2121"/>
    <tableColumn id="52" xr3:uid="{2B82789C-5DC3-4C08-AFCD-ADBD26247A1A}" name="ORB%" dataDxfId="2120"/>
    <tableColumn id="53" xr3:uid="{B2C429C0-BA5B-4089-88F2-32CBE1558650}" name="DRB%" dataDxfId="2119"/>
    <tableColumn id="54" xr3:uid="{74D1EC60-0FB5-46D8-B236-E36FFCEFCCB9}" name="TRB%" dataDxfId="2118"/>
    <tableColumn id="55" xr3:uid="{B6DCF2E6-77D8-449E-80D8-029514152C06}" name="Poss" dataDxfId="2117"/>
    <tableColumn id="56" xr3:uid="{812B333C-0BE9-4EB4-BC99-F2D7BAF72CB7}" name="AST%" dataDxfId="2116"/>
    <tableColumn id="57" xr3:uid="{321577EF-ABD4-4775-9FED-06F700F73192}" name="FTFGA%" dataDxfId="2115"/>
    <tableColumn id="58" xr3:uid="{31EC4B2B-D26B-4105-922F-3161A0BBE665}" name="TOV%" dataDxfId="2114"/>
    <tableColumn id="59" xr3:uid="{E59B758F-30E7-4761-B2E2-3E070D4ED18D}" name="ORtg" dataDxfId="2113"/>
    <tableColumn id="60" xr3:uid="{DC85B72A-0F4A-47C6-B5EC-196168D3E1F1}" name="DRtg" dataDxfId="2112"/>
    <tableColumn id="61" xr3:uid="{2D95F210-76B3-4048-92DA-0389B1F8291F}" name="Pace" dataDxfId="2111"/>
    <tableColumn id="62" xr3:uid="{93D4B0AC-5168-438F-B722-32029C687A65}" name="TS%op" dataDxfId="2110"/>
    <tableColumn id="63" xr3:uid="{3B368B59-9CE7-4431-B827-72D59E3E2DF4}" name="eFG%op" dataDxfId="2109"/>
    <tableColumn id="64" xr3:uid="{2A71658C-064A-4DBE-98D1-A49C2FE9A777}" name="ORB%op" dataDxfId="2108"/>
    <tableColumn id="65" xr3:uid="{3B1ECE5F-FFAF-4DE9-A366-005B472FC271}" name="DRB%op" dataDxfId="2107"/>
    <tableColumn id="66" xr3:uid="{9A5E7154-92A3-4412-B3A4-4ED4CB53EA47}" name="TRB%op" dataDxfId="2106"/>
    <tableColumn id="67" xr3:uid="{BEA881B0-B222-4C36-95BE-1D900B90D9EF}" name="Possop" dataDxfId="2105"/>
    <tableColumn id="68" xr3:uid="{C0210F8E-59E1-4C24-A959-7A1CB06F9EDC}" name="AST%op" dataDxfId="2104"/>
    <tableColumn id="69" xr3:uid="{6BE23769-EF99-4727-A86C-8C4236732A8A}" name="FTFGA%op" dataDxfId="2103"/>
    <tableColumn id="70" xr3:uid="{C574247A-DE35-4D17-9C27-1897C3178F37}" name="TOV%op" dataDxfId="2102"/>
    <tableColumn id="71" xr3:uid="{8E913BFF-B31A-4271-86A3-EBDED3BB3C17}" name="ORtgop" dataDxfId="2101"/>
    <tableColumn id="72" xr3:uid="{665B1600-7975-43C7-AFF0-06067CAD9599}" name="DRtgop" dataDxfId="2100"/>
    <tableColumn id="73" xr3:uid="{033165B4-06BA-44D7-B6C9-E0613EC9A77E}" name="Q1H" dataDxfId="2099"/>
    <tableColumn id="74" xr3:uid="{C356A964-D1A5-4355-AD3E-043E99B71F3D}" name="Q2H" dataDxfId="2098"/>
    <tableColumn id="75" xr3:uid="{41BC86FB-60EA-4B6F-A308-A6C7BE32F550}" name="Q3H" dataDxfId="2097"/>
    <tableColumn id="76" xr3:uid="{9B7DEACA-4369-40CE-96C9-A090F2D281DC}" name="Q4H" dataDxfId="2096"/>
    <tableColumn id="77" xr3:uid="{4E83B523-EC8D-4797-B993-8957F7EF4CEA}" name="Q1A" dataDxfId="2095"/>
    <tableColumn id="78" xr3:uid="{63953C03-4D15-4639-81A9-48D14D9EAF56}" name="Q2A" dataDxfId="2094"/>
    <tableColumn id="79" xr3:uid="{D34DC744-344C-4C94-9C48-0400106E13D5}" name="Q3A" dataDxfId="2093"/>
    <tableColumn id="80" xr3:uid="{61EA443A-DBF4-448D-BB4C-C82CB3EB621A}" name="Q4A" dataDxfId="2092"/>
    <tableColumn id="81" xr3:uid="{F4CAF728-9440-4807-83C4-0FDD43D84E57}" name="FhalfH" dataDxfId="2091"/>
    <tableColumn id="82" xr3:uid="{973934AF-9286-4ECC-9F33-DB8111E854C1}" name="ShalfH" dataDxfId="2090"/>
    <tableColumn id="83" xr3:uid="{41B40FE6-D005-4A6F-964C-0DF1067DA89C}" name="FhalfA" dataDxfId="2089"/>
    <tableColumn id="84" xr3:uid="{D38F3FA7-B775-423B-A689-A34FF42BFE4F}" name="ShalfA" dataDxfId="2088"/>
    <tableColumn id="85" xr3:uid="{10A4EEF0-FEE6-4515-971E-EDC6626E1E64}" name="win" dataDxfId="2087"/>
    <tableColumn id="86" xr3:uid="{9B04C358-F55B-4593-BE48-847714B8F0D4}" name="lose" dataDxfId="2086"/>
    <tableColumn id="87" xr3:uid="{A85FC694-06EB-43BF-B3A6-F1B249CD60E7}" name="foraH" dataDxfId="2085"/>
    <tableColumn id="88" xr3:uid="{17A6BB99-B614-49D0-93DF-D4CF4B928583}" name="foraA" dataDxfId="2084"/>
    <tableColumn id="89" xr3:uid="{81B74CC1-C956-4F8C-B2E5-4C7284863ED2}" name="total" dataDxfId="2083"/>
    <tableColumn id="90" xr3:uid="{4FC130F2-B1A6-4525-849D-F1A4F5A755BD}" name="link" dataDxfId="2082"/>
    <tableColumn id="91" xr3:uid="{2635C5A2-6236-4305-B7D0-3597F1B02ABC}" name="abbr" dataDxfId="2081">
      <calculatedColumnFormula>VLOOKUP(cedevita[[#This Row],[Away_team]],all[[Full name]:[Abbr]],3,FALSE)</calculatedColumnFormula>
    </tableColumn>
    <tableColumn id="92" xr3:uid="{667FAE05-DA65-4F51-88EB-2AF29A71011A}" name="BetH" dataDxfId="2080">
      <calculatedColumnFormula>IF(OR(cedevita[[#This Row],[Result]]="w",cedevita[[#This Row],[Result]]="dw"),cedevita[[#This Row],[win]]-1,-1)</calculatedColumnFormula>
    </tableColumn>
    <tableColumn id="93" xr3:uid="{A43C9B42-D7DA-4669-99E8-72EB34778A34}" name="BetA" dataDxfId="2079">
      <calculatedColumnFormula>IF(OR(cedevita[[#This Row],[Result]]="L",cedevita[[#This Row],[Result]]="dl"),cedevita[[#This Row],[lose]]-1,-1)</calculatedColumnFormula>
    </tableColumn>
    <tableColumn id="94" xr3:uid="{CB50D084-3195-4750-815B-2E8405AE9255}" name="Tover" dataDxfId="2078">
      <calculatedColumnFormula>IF(OR((cedevita[[#This Row],[Home_scored]]+cedevita[[#This Row],[Away_scored]])&gt;cedevita[[#This Row],[total]],OR(cedevita[[#This Row],[Result]]="dw",cedevita[[#This Row],[Result]]="dl")),1,0)</calculatedColumnFormula>
    </tableColumn>
    <tableColumn id="95" xr3:uid="{78793F55-3060-40C1-9A5E-AF22980D6F15}" name="Deviation" dataDxfId="2077">
      <calculatedColumnFormula>ABS((cedevita[[#This Row],[Home_scored]]+cedevita[[#This Row],[Away_scored]])-cedevita[[#This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cluj" displayName="cluj" ref="A3:CQ4" totalsRowShown="0" headerRowDxfId="2076" dataDxfId="2075">
  <autoFilter ref="A3:CQ4" xr:uid="{6F44C236-BD30-49C1-AC80-B66D4596B51B}"/>
  <tableColumns count="95">
    <tableColumn id="1" xr3:uid="{FD42E972-5151-4CC8-8E40-D0E665B442E7}" name="Tournament" dataDxfId="2074"/>
    <tableColumn id="2" xr3:uid="{980AC105-D141-4642-8869-17ABDF154049}" name="Home_team" dataDxfId="2073"/>
    <tableColumn id="3" xr3:uid="{7DED929D-56E2-4678-B336-F3B4A541432B}" name="Stage" dataDxfId="2072"/>
    <tableColumn id="4" xr3:uid="{3E6A8DF7-BECF-4630-9000-E53CBC36CEE5}" name="Date" dataDxfId="2071"/>
    <tableColumn id="5" xr3:uid="{7BACA131-89EC-4468-ABB6-5D66CD52BF76}" name="Location" dataDxfId="2070"/>
    <tableColumn id="6" xr3:uid="{A40C93AE-B5DC-4B3E-9675-207350EB9A61}" name="Away_team" dataDxfId="2069"/>
    <tableColumn id="7" xr3:uid="{3EBF51A3-E59D-4C59-8FD3-0EBE8B42380F}" name="Result" dataDxfId="2068"/>
    <tableColumn id="8" xr3:uid="{F975F09E-AFDB-4183-B6F7-B41800D4E908}" name="Home_scored" dataDxfId="2067"/>
    <tableColumn id="9" xr3:uid="{53E240F7-FFD2-471D-8F31-A4D1120572F7}" name="Away_scored" dataDxfId="2066"/>
    <tableColumn id="10" xr3:uid="{052E697A-6302-411E-B658-9AB0EDEA74FE}" name="FGM" dataDxfId="2065"/>
    <tableColumn id="11" xr3:uid="{2957DB54-134D-40ED-93F7-ABB76F774F34}" name="FGA" dataDxfId="2064"/>
    <tableColumn id="12" xr3:uid="{1F7515E0-49F7-4727-898C-6FF3415D6B45}" name="FGp" dataDxfId="2063"/>
    <tableColumn id="13" xr3:uid="{5BB5F87B-9750-445C-B130-32074C54C96B}" name="P2M" dataDxfId="2062"/>
    <tableColumn id="14" xr3:uid="{E588E61A-53DF-473B-B88A-4B9F70157744}" name="P2A" dataDxfId="2061"/>
    <tableColumn id="15" xr3:uid="{5207AC9D-EC70-47DD-8CC4-121DBF639519}" name="P2p" dataDxfId="2060"/>
    <tableColumn id="16" xr3:uid="{C6FCA934-57FB-49A6-ADEB-A28B0FA03C4A}" name="P3M" dataDxfId="2059"/>
    <tableColumn id="17" xr3:uid="{AD1B7CE4-E957-4A3C-90B1-9A3952DE7243}" name="P3A" dataDxfId="2058"/>
    <tableColumn id="18" xr3:uid="{44E5B075-E33E-4CFE-99C4-8FD09B8F8325}" name="P3p" dataDxfId="2057"/>
    <tableColumn id="19" xr3:uid="{7D96BA6D-2A5F-4E0D-825A-36FFAFF4EA13}" name="FTM" dataDxfId="2056"/>
    <tableColumn id="20" xr3:uid="{5454CE5D-8DB7-4777-A573-1CF2B6ECFA5B}" name="FTA" dataDxfId="2055"/>
    <tableColumn id="21" xr3:uid="{F3048308-0939-4099-AA84-820881DD8FEB}" name="FTp" dataDxfId="2054"/>
    <tableColumn id="22" xr3:uid="{E2F98FC5-3F67-493D-8089-06D15CF44FCF}" name="ORB" dataDxfId="2053"/>
    <tableColumn id="23" xr3:uid="{E2093F4A-0E05-482D-874E-9C34C6F78289}" name="DRB" dataDxfId="2052"/>
    <tableColumn id="24" xr3:uid="{4B9C8731-1DAD-4C10-8E40-D080EC1FFABD}" name="TRB" dataDxfId="2051"/>
    <tableColumn id="25" xr3:uid="{AD3A67A8-0184-49FE-9CDA-9CCD3837C681}" name="AST" dataDxfId="2050"/>
    <tableColumn id="26" xr3:uid="{9740E799-2016-41B1-80C5-D31303C17E31}" name="STL" dataDxfId="2049"/>
    <tableColumn id="27" xr3:uid="{6AC93779-168B-493F-8D01-F5EEC50B3900}" name="BLK" dataDxfId="2048"/>
    <tableColumn id="28" xr3:uid="{F9D59456-162A-40FF-B2CB-0179EA9BCCDB}" name="TOV" dataDxfId="2047"/>
    <tableColumn id="29" xr3:uid="{84618E80-490A-4725-8065-4B89FDEBE70B}" name="PF" dataDxfId="2046"/>
    <tableColumn id="30" xr3:uid="{63764B31-F388-41E0-9E80-95D80844648E}" name="FGMop" dataDxfId="2045"/>
    <tableColumn id="31" xr3:uid="{1AA99E8D-3B50-4B1D-BC63-C3826D3A4209}" name="FGAop" dataDxfId="2044"/>
    <tableColumn id="32" xr3:uid="{18327E87-F6BB-45CE-B45A-D11218AFD669}" name="FGpop" dataDxfId="2043"/>
    <tableColumn id="33" xr3:uid="{4D2D5408-442F-43E5-8956-C5E6DFFA1DF8}" name="P2Mop" dataDxfId="2042"/>
    <tableColumn id="34" xr3:uid="{D2435F43-6551-4CB6-8DC1-5ED955024811}" name="P2Aop" dataDxfId="2041"/>
    <tableColumn id="35" xr3:uid="{19E17F4F-8CCA-4072-8205-A45ADAC85350}" name="P2pop" dataDxfId="2040"/>
    <tableColumn id="36" xr3:uid="{445BBA15-9D9C-41F5-9BA5-C9944304325F}" name="P3Mop" dataDxfId="2039"/>
    <tableColumn id="37" xr3:uid="{C27AB73B-B82B-4C45-A929-C05F61A6E446}" name="P3Aop" dataDxfId="2038"/>
    <tableColumn id="38" xr3:uid="{EB11672D-750E-4E6B-9668-A2D935CB6975}" name="P3pop" dataDxfId="2037"/>
    <tableColumn id="39" xr3:uid="{FFC3C630-D657-4FF7-9EBB-8EC07812A67F}" name="FTMop" dataDxfId="2036"/>
    <tableColumn id="40" xr3:uid="{CFC9BC13-3D2E-4B09-AF4E-EE181A9F920D}" name="FTAop" dataDxfId="2035"/>
    <tableColumn id="41" xr3:uid="{C8C2A358-B39B-4256-9EB2-C922F23C3D43}" name="FTpop" dataDxfId="2034"/>
    <tableColumn id="42" xr3:uid="{306C1DD6-1C0D-4701-AF6C-B51C06AE3025}" name="ORBop" dataDxfId="2033"/>
    <tableColumn id="43" xr3:uid="{92CB9726-3649-4E3A-B2B2-898E18E1A4D8}" name="DRBop" dataDxfId="2032"/>
    <tableColumn id="44" xr3:uid="{6A69245A-E71E-4AF1-8346-251621FFFCB1}" name="TRBop" dataDxfId="2031"/>
    <tableColumn id="45" xr3:uid="{93FA2E67-2855-4952-8DA4-53FCA756760B}" name="ASTop" dataDxfId="2030"/>
    <tableColumn id="46" xr3:uid="{3C473669-9DA9-4F79-B043-291EA138EEBD}" name="STLop" dataDxfId="2029"/>
    <tableColumn id="47" xr3:uid="{41462922-F06C-4A05-B072-68C846936AE6}" name="BLKop" dataDxfId="2028"/>
    <tableColumn id="48" xr3:uid="{8293D30A-80D7-4615-A443-A0BC62894BEA}" name="TOVop" dataDxfId="2027"/>
    <tableColumn id="49" xr3:uid="{B3E1D5FB-3DF2-474B-9666-B349A9D29DA6}" name="PFop" dataDxfId="2026"/>
    <tableColumn id="50" xr3:uid="{26002CEC-11A3-4DF9-902E-11E6B5A2BE4A}" name="TS%" dataDxfId="2025"/>
    <tableColumn id="51" xr3:uid="{15F090DB-5B01-403A-B114-60334E0916E3}" name="eFG%" dataDxfId="2024"/>
    <tableColumn id="52" xr3:uid="{B5A42EAD-CB53-4B2A-860D-01701CAB58B4}" name="ORB%" dataDxfId="2023"/>
    <tableColumn id="53" xr3:uid="{D7B77314-0906-41A1-A276-CF67A379D7BC}" name="DRB%" dataDxfId="2022"/>
    <tableColumn id="54" xr3:uid="{8046D54A-25D7-4355-9F90-75D8F6A776EB}" name="TRB%" dataDxfId="2021"/>
    <tableColumn id="55" xr3:uid="{677DEA5E-2048-4249-9BDF-7AB9B76FFD1E}" name="Poss" dataDxfId="2020"/>
    <tableColumn id="56" xr3:uid="{355477AB-4C18-4AF1-BF6C-D9CC3B7E2956}" name="AST%" dataDxfId="2019"/>
    <tableColumn id="57" xr3:uid="{1858461E-8E70-4C81-A3A8-1252DCDDCF72}" name="FTFGA%" dataDxfId="2018"/>
    <tableColumn id="58" xr3:uid="{A59326F0-E50F-4B45-A120-515F572AF2C6}" name="TOV%" dataDxfId="2017"/>
    <tableColumn id="59" xr3:uid="{3B3C9394-BE19-4A91-A93F-38DA42C6BCA2}" name="ORtg" dataDxfId="2016"/>
    <tableColumn id="60" xr3:uid="{A0198E4F-73AF-451B-AEEF-A4AD0EDB7421}" name="DRtg" dataDxfId="2015"/>
    <tableColumn id="61" xr3:uid="{71BFE09A-9CB5-4D30-963B-38B751A4E786}" name="Pace" dataDxfId="2014"/>
    <tableColumn id="62" xr3:uid="{EB37802E-09EF-4B31-BF29-4688A414928A}" name="TS%op" dataDxfId="2013"/>
    <tableColumn id="63" xr3:uid="{A780631C-7220-4967-809E-0BD9DADD3F12}" name="eFG%op" dataDxfId="2012"/>
    <tableColumn id="64" xr3:uid="{F98B56BF-67C5-47E7-8533-2435174022A1}" name="ORB%op" dataDxfId="2011"/>
    <tableColumn id="65" xr3:uid="{C3CB4574-CEDF-438A-9860-DD2A9DD2EB97}" name="DRB%op" dataDxfId="2010"/>
    <tableColumn id="66" xr3:uid="{5F60298B-92CC-40AD-A0ED-7716C1F8ED92}" name="TRB%op" dataDxfId="2009"/>
    <tableColumn id="67" xr3:uid="{C06A567B-CCFA-4916-BB73-723023F830DA}" name="Possop" dataDxfId="2008"/>
    <tableColumn id="68" xr3:uid="{AB5245D7-8A7E-497D-95B3-E1E1D830770E}" name="AST%op" dataDxfId="2007"/>
    <tableColumn id="69" xr3:uid="{11284DF6-AE4E-4733-9221-DD87B91D0873}" name="FTFGA%op" dataDxfId="2006"/>
    <tableColumn id="70" xr3:uid="{4DD7E632-D11B-4C16-ACCA-31FCBB2689E0}" name="TOV%op" dataDxfId="2005"/>
    <tableColumn id="71" xr3:uid="{93D1EDC5-17E5-4E7A-AE0E-80EF88013D91}" name="ORtgop" dataDxfId="2004"/>
    <tableColumn id="72" xr3:uid="{1A48DE5B-FAA6-42C9-B037-D3AAEB6B93D3}" name="DRtgop" dataDxfId="2003"/>
    <tableColumn id="73" xr3:uid="{B2AFFE95-AA23-4613-9ED8-856E62331747}" name="Q1H" dataDxfId="2002"/>
    <tableColumn id="74" xr3:uid="{A958E402-61B9-4904-923D-1B23461BBDBA}" name="Q2H" dataDxfId="2001"/>
    <tableColumn id="75" xr3:uid="{2AD07893-C669-4FB9-B280-23E64A8C158C}" name="Q3H" dataDxfId="2000"/>
    <tableColumn id="76" xr3:uid="{4B562EF8-17A4-45FF-8B76-E2FA4D7ECEA0}" name="Q4H" dataDxfId="1999"/>
    <tableColumn id="77" xr3:uid="{6E77B073-277B-48F0-8E5A-4B293EBCF2FC}" name="Q1A" dataDxfId="1998"/>
    <tableColumn id="78" xr3:uid="{71E57DA6-4A75-411A-A04B-A28634D9FC86}" name="Q2A" dataDxfId="1997"/>
    <tableColumn id="79" xr3:uid="{ADFCA89B-853B-4CCE-A79F-B22E26776D66}" name="Q3A" dataDxfId="1996"/>
    <tableColumn id="80" xr3:uid="{5AE56A45-E2C4-4FE6-A3E5-EF1AD5F9AFA5}" name="Q4A" dataDxfId="1995"/>
    <tableColumn id="81" xr3:uid="{F58D2665-CCBA-4C8D-9375-31F52B98D22D}" name="FhalfH" dataDxfId="1994"/>
    <tableColumn id="82" xr3:uid="{E3DA974F-861C-41DF-9836-730C03A7342A}" name="ShalfH" dataDxfId="1993"/>
    <tableColumn id="83" xr3:uid="{C960B688-7C60-41BE-A407-4323AA18B4B9}" name="FhalfA" dataDxfId="1992"/>
    <tableColumn id="84" xr3:uid="{2926553C-BFFC-42F5-AD11-E7269EB19C52}" name="ShalfA" dataDxfId="1991"/>
    <tableColumn id="85" xr3:uid="{35EA4765-AADA-4501-AF3E-886BA94F0D6F}" name="win" dataDxfId="1990"/>
    <tableColumn id="86" xr3:uid="{B2A330F2-266A-463A-B109-D060A72B9D16}" name="lose" dataDxfId="1989"/>
    <tableColumn id="87" xr3:uid="{82B26055-4781-4DE8-BA2A-8FCAFD8A5656}" name="foraH" dataDxfId="1988"/>
    <tableColumn id="88" xr3:uid="{0FBE7ADC-437D-40A4-B858-A49D5D91AB18}" name="foraA" dataDxfId="1987"/>
    <tableColumn id="89" xr3:uid="{02418FA4-30D2-43EB-A6E3-09A9E5C5BAE3}" name="total" dataDxfId="1986"/>
    <tableColumn id="90" xr3:uid="{23D13843-DBE7-4546-B7E9-493583192E31}" name="link" dataDxfId="1985"/>
    <tableColumn id="91" xr3:uid="{C17A2111-33B4-4827-878B-B97E768E3A91}" name="abbr" dataDxfId="1984">
      <calculatedColumnFormula>VLOOKUP(cluj[[#This Row],[Away_team]],all[[Full name]:[Abbr]],3,FALSE)</calculatedColumnFormula>
    </tableColumn>
    <tableColumn id="92" xr3:uid="{6DB4874D-F19F-4B43-9244-155621A59680}" name="BetH" dataDxfId="1983">
      <calculatedColumnFormula>IF(OR(cluj[[#This Row],[Result]]="w",cluj[[#This Row],[Result]]="dw"),cluj[[#This Row],[win]]-1,-1)</calculatedColumnFormula>
    </tableColumn>
    <tableColumn id="93" xr3:uid="{61D4C73F-C693-4F4B-84A0-0230918134E9}" name="BetA" dataDxfId="1982">
      <calculatedColumnFormula>IF(OR(cluj[[#This Row],[Result]]="L",cluj[[#This Row],[Result]]="dl"),cluj[[#This Row],[lose]]-1,-1)</calculatedColumnFormula>
    </tableColumn>
    <tableColumn id="94" xr3:uid="{6127D7D9-0B3B-45CD-A0FA-6DE3D9D68A0A}" name="Tover" dataDxfId="1981">
      <calculatedColumnFormula>IF(OR((cluj[[#This Row],[Home_scored]]+cluj[[#This Row],[Away_scored]])&gt;cluj[[#This Row],[total]],OR(cluj[[#This Row],[Result]]="dw",cluj[[#This Row],[Result]]="dl")),1,0)</calculatedColumnFormula>
    </tableColumn>
    <tableColumn id="95" xr3:uid="{0916ADD7-1794-4C38-9240-D91FCD073924}" name="Deviation" dataDxfId="1980">
      <calculatedColumnFormula>ABS((cluj[[#This Row],[Home_scored]]+cluj[[#This Row],[Away_scored]])-cluj[[#This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crvena" displayName="crvena" ref="A3:CQ4" totalsRowShown="0" headerRowDxfId="1979" dataDxfId="1978">
  <autoFilter ref="A3:CQ4" xr:uid="{6F44C236-BD30-49C1-AC80-B66D4596B51B}"/>
  <tableColumns count="95">
    <tableColumn id="1" xr3:uid="{A9666696-5FB6-4012-9778-6048F1C41FF2}" name="Tournament" dataDxfId="1977"/>
    <tableColumn id="2" xr3:uid="{850ABF8D-262A-442F-88CE-B5202DF669C6}" name="Home_team" dataDxfId="1976"/>
    <tableColumn id="3" xr3:uid="{E313B4C4-0E17-419E-A7FD-3B1B71176C1B}" name="Stage" dataDxfId="1975"/>
    <tableColumn id="4" xr3:uid="{038099DE-8BD2-435A-A903-14B34BEED341}" name="Date" dataDxfId="1974"/>
    <tableColumn id="5" xr3:uid="{7FE238AD-4625-4A98-AA43-2D65A1C0BFC9}" name="Location" dataDxfId="1973"/>
    <tableColumn id="6" xr3:uid="{83E8F41A-B7C3-4FBB-A360-272A9B188514}" name="Away_team" dataDxfId="1972"/>
    <tableColumn id="7" xr3:uid="{88595278-CC61-4204-94D2-D20C4F2FB266}" name="Result" dataDxfId="1971"/>
    <tableColumn id="8" xr3:uid="{BC326C8E-CDAC-4140-B1AF-58ED8C423B0F}" name="Home_scored" dataDxfId="1970"/>
    <tableColumn id="9" xr3:uid="{6914BEDC-7253-40FC-A540-270D27BE0ADF}" name="Away_scored" dataDxfId="1969"/>
    <tableColumn id="10" xr3:uid="{BAEA188E-E761-478E-AC9F-18819C9D4EE3}" name="FGM" dataDxfId="1968"/>
    <tableColumn id="11" xr3:uid="{32D9D50F-85AF-4D36-B42B-285E604B62B0}" name="FGA" dataDxfId="1967"/>
    <tableColumn id="12" xr3:uid="{9E5CE140-0211-4A40-9FDB-1951AA3405F3}" name="FGp" dataDxfId="1966"/>
    <tableColumn id="13" xr3:uid="{F3362D2D-F1F7-4686-BD53-317430F6F1B1}" name="P2M" dataDxfId="1965"/>
    <tableColumn id="14" xr3:uid="{2F467642-86F0-40A0-96F9-633F4F528DDD}" name="P2A" dataDxfId="1964"/>
    <tableColumn id="15" xr3:uid="{86A7A5E9-BB02-40E8-990E-2B461769A998}" name="P2p" dataDxfId="1963"/>
    <tableColumn id="16" xr3:uid="{895CE35D-E789-4F6A-9B27-664017A03FBA}" name="P3M" dataDxfId="1962"/>
    <tableColumn id="17" xr3:uid="{8F6308CE-7B78-4EC5-AD09-A69A9D283BB6}" name="P3A" dataDxfId="1961"/>
    <tableColumn id="18" xr3:uid="{B655D876-7C88-40F0-AFA0-C034E5A7CEBC}" name="P3p" dataDxfId="1960"/>
    <tableColumn id="19" xr3:uid="{09A0C87A-4C83-4853-9FE1-3B917B050394}" name="FTM" dataDxfId="1959"/>
    <tableColumn id="20" xr3:uid="{C25D67F4-CE3F-4531-B21C-93CB084256E3}" name="FTA" dataDxfId="1958"/>
    <tableColumn id="21" xr3:uid="{FDF814CE-217C-4A55-9AB1-464FDB1D0D4F}" name="FTp" dataDxfId="1957"/>
    <tableColumn id="22" xr3:uid="{CA92D63C-9CB9-4ED0-8C52-44412B48226B}" name="ORB" dataDxfId="1956"/>
    <tableColumn id="23" xr3:uid="{67B2A644-9F13-4B9D-B7F5-26AC9971B367}" name="DRB" dataDxfId="1955"/>
    <tableColumn id="24" xr3:uid="{E21636AB-E644-420D-9E8D-6355F3D94A49}" name="TRB" dataDxfId="1954"/>
    <tableColumn id="25" xr3:uid="{47050935-32A0-4B0F-8E35-33F9B3278956}" name="AST" dataDxfId="1953"/>
    <tableColumn id="26" xr3:uid="{B5594F8D-0AEF-4ED7-B288-56CE4D62AC58}" name="STL" dataDxfId="1952"/>
    <tableColumn id="27" xr3:uid="{58CD76FE-A546-4AA5-8182-8B18595C2AF6}" name="BLK" dataDxfId="1951"/>
    <tableColumn id="28" xr3:uid="{A7CDC75C-54D2-4EEB-B34F-2D967B0559FE}" name="TOV" dataDxfId="1950"/>
    <tableColumn id="29" xr3:uid="{599029EC-113D-4FC9-A66C-C5D610C22DAD}" name="PF" dataDxfId="1949"/>
    <tableColumn id="30" xr3:uid="{0BC6D9DC-0E59-4E59-B1D8-E1544F078C6A}" name="FGMop" dataDxfId="1948"/>
    <tableColumn id="31" xr3:uid="{A3E09706-CC96-4539-9A24-4A5883FF70A1}" name="FGAop" dataDxfId="1947"/>
    <tableColumn id="32" xr3:uid="{713726F7-C788-434D-91F9-86E40DB5FF77}" name="FGpop" dataDxfId="1946"/>
    <tableColumn id="33" xr3:uid="{384563DD-4A45-4579-B209-7B4D6898ACD8}" name="P2Mop" dataDxfId="1945"/>
    <tableColumn id="34" xr3:uid="{7E241A4B-9DAA-4AB3-8E51-5624ACC4F07E}" name="P2Aop" dataDxfId="1944"/>
    <tableColumn id="35" xr3:uid="{3073BE69-75CA-46FC-863C-904D2966F01D}" name="P2pop" dataDxfId="1943"/>
    <tableColumn id="36" xr3:uid="{67366E17-DC28-4D2B-94EC-767E0BD0223D}" name="P3Mop" dataDxfId="1942"/>
    <tableColumn id="37" xr3:uid="{35B071E9-58FE-4853-81F3-90E5576F1DD7}" name="P3Aop" dataDxfId="1941"/>
    <tableColumn id="38" xr3:uid="{3EEC1022-6F30-4D46-8161-C599F3AFC6E4}" name="P3pop" dataDxfId="1940"/>
    <tableColumn id="39" xr3:uid="{88A65EC5-511C-4065-81B6-FC8B069D7F21}" name="FTMop" dataDxfId="1939"/>
    <tableColumn id="40" xr3:uid="{093B0DEF-2F20-4FFB-B21A-71A21845AA9C}" name="FTAop" dataDxfId="1938"/>
    <tableColumn id="41" xr3:uid="{01A5722A-C96E-4A8A-BAE0-DA431A7DE679}" name="FTpop" dataDxfId="1937"/>
    <tableColumn id="42" xr3:uid="{404B79E6-836C-4E83-988B-95F51579308E}" name="ORBop" dataDxfId="1936"/>
    <tableColumn id="43" xr3:uid="{31573E02-663A-41F6-82A4-58219CCA610E}" name="DRBop" dataDxfId="1935"/>
    <tableColumn id="44" xr3:uid="{E940A84F-E90F-4F00-9C04-3D709868836B}" name="TRBop" dataDxfId="1934"/>
    <tableColumn id="45" xr3:uid="{65FDCDBF-44D8-438D-84ED-C3FBFCBFA3AF}" name="ASTop" dataDxfId="1933"/>
    <tableColumn id="46" xr3:uid="{9EBE6A3F-F8A7-47B6-9333-74D9F2498EB8}" name="STLop" dataDxfId="1932"/>
    <tableColumn id="47" xr3:uid="{10516FF2-98F5-4376-9A51-12B85776EBDC}" name="BLKop" dataDxfId="1931"/>
    <tableColumn id="48" xr3:uid="{6E9EDC75-DFC3-4EB4-87FE-8088CF1E724B}" name="TOVop" dataDxfId="1930"/>
    <tableColumn id="49" xr3:uid="{2EBE7537-ADC3-4030-95A3-628E0AE13BFF}" name="PFop" dataDxfId="1929"/>
    <tableColumn id="50" xr3:uid="{4D414F7C-F646-4A45-AC41-B8A623DAFCB6}" name="TS%" dataDxfId="1928"/>
    <tableColumn id="51" xr3:uid="{753F50FC-C3A6-4380-80F7-E9E3FD2FDF58}" name="eFG%" dataDxfId="1927"/>
    <tableColumn id="52" xr3:uid="{97D837B7-017F-47A2-A447-749187B6CDD4}" name="ORB%" dataDxfId="1926"/>
    <tableColumn id="53" xr3:uid="{B78665C2-1F49-4C08-B55C-1008DB355A4B}" name="DRB%" dataDxfId="1925"/>
    <tableColumn id="54" xr3:uid="{41B44B7C-154D-461C-900D-568D7E908508}" name="TRB%" dataDxfId="1924"/>
    <tableColumn id="55" xr3:uid="{052E6B0B-4313-4733-8EDD-BFE99540EC7C}" name="Poss" dataDxfId="1923"/>
    <tableColumn id="56" xr3:uid="{348296F6-42EC-4F9B-8FDD-4E3F553DA64E}" name="AST%" dataDxfId="1922"/>
    <tableColumn id="57" xr3:uid="{EE68B34B-145A-499F-8118-C3B0CC4DCE15}" name="FTFGA%" dataDxfId="1921"/>
    <tableColumn id="58" xr3:uid="{9453DEBA-954B-413C-A378-0B07693CE98E}" name="TOV%" dataDxfId="1920"/>
    <tableColumn id="59" xr3:uid="{DD3097CD-4A14-4131-AF22-A80B15B0E25D}" name="ORtg" dataDxfId="1919"/>
    <tableColumn id="60" xr3:uid="{D80F0BA3-210C-42B5-8965-511B62E4CB9F}" name="DRtg" dataDxfId="1918"/>
    <tableColumn id="61" xr3:uid="{45AD3B57-E54D-40E8-AA34-F75E10C754F2}" name="Pace" dataDxfId="1917"/>
    <tableColumn id="62" xr3:uid="{382E491A-D86D-41F8-BB70-528F70545BA1}" name="TS%op" dataDxfId="1916"/>
    <tableColumn id="63" xr3:uid="{C47F3E21-B367-4ADB-8149-79D43623942C}" name="eFG%op" dataDxfId="1915"/>
    <tableColumn id="64" xr3:uid="{D1D91295-1BA8-43FE-ACE8-52790F4A04EE}" name="ORB%op" dataDxfId="1914"/>
    <tableColumn id="65" xr3:uid="{0D4CC9EC-7854-400D-9B0F-7CD4CCB51B2F}" name="DRB%op" dataDxfId="1913"/>
    <tableColumn id="66" xr3:uid="{FDC2BE38-CA11-4733-9770-0ABA82A9372E}" name="TRB%op" dataDxfId="1912"/>
    <tableColumn id="67" xr3:uid="{8089F5C2-00EC-4B49-A987-C6C73DC05CA7}" name="Possop" dataDxfId="1911"/>
    <tableColumn id="68" xr3:uid="{535F0984-2D9D-4361-8141-65CF70FA4EBA}" name="AST%op" dataDxfId="1910"/>
    <tableColumn id="69" xr3:uid="{426520B5-2DE5-49B7-AFBD-6BBFBA1ECFE6}" name="FTFGA%op" dataDxfId="1909"/>
    <tableColumn id="70" xr3:uid="{F0519CD4-A448-4581-A77D-0E8A8EAE7198}" name="TOV%op" dataDxfId="1908"/>
    <tableColumn id="71" xr3:uid="{D8845AEB-4E62-4DD5-AE96-C925F01AE6BF}" name="ORtgop" dataDxfId="1907"/>
    <tableColumn id="72" xr3:uid="{A4798FFC-241B-4611-B01D-3D2610B68D8A}" name="DRtgop" dataDxfId="1906"/>
    <tableColumn id="73" xr3:uid="{373E1DA1-E17D-4A61-B30D-4D886E7B9B6F}" name="Q1H" dataDxfId="1905"/>
    <tableColumn id="74" xr3:uid="{86535D67-D40E-405E-B9B0-076918028A86}" name="Q2H" dataDxfId="1904"/>
    <tableColumn id="75" xr3:uid="{FA46A9E5-FC38-4C6A-9599-1C8AFE667F7C}" name="Q3H" dataDxfId="1903"/>
    <tableColumn id="76" xr3:uid="{461001B1-D924-40CF-8ACF-F38487664023}" name="Q4H" dataDxfId="1902"/>
    <tableColumn id="77" xr3:uid="{35079BCA-A3F7-423E-9692-B91770704E53}" name="Q1A" dataDxfId="1901"/>
    <tableColumn id="78" xr3:uid="{E6CE5035-D8C4-4D9B-9200-251C861351DC}" name="Q2A" dataDxfId="1900"/>
    <tableColumn id="79" xr3:uid="{13AE432C-0443-457F-87AF-A6751AF0074B}" name="Q3A" dataDxfId="1899"/>
    <tableColumn id="80" xr3:uid="{7867B05F-9A59-4D1F-9F85-712E1119CD4C}" name="Q4A" dataDxfId="1898"/>
    <tableColumn id="81" xr3:uid="{4093FE35-AA88-4A2A-87AC-ECFE053E0197}" name="FhalfH" dataDxfId="1897"/>
    <tableColumn id="82" xr3:uid="{9A52D94C-5A18-4A33-9167-34E327A0903E}" name="ShalfH" dataDxfId="1896"/>
    <tableColumn id="83" xr3:uid="{64BC91D9-7252-46DA-9C29-FDE90498DB7B}" name="FhalfA" dataDxfId="1895"/>
    <tableColumn id="84" xr3:uid="{4B3582AF-9D88-42D5-8312-5CE457ECEE78}" name="ShalfA" dataDxfId="1894"/>
    <tableColumn id="85" xr3:uid="{C5E4D7B4-2CB1-4795-83FF-9A7AE53777CC}" name="win" dataDxfId="1893"/>
    <tableColumn id="86" xr3:uid="{A320EDDB-2598-4666-BB27-8B21C7D844B2}" name="lose" dataDxfId="1892"/>
    <tableColumn id="87" xr3:uid="{B241550A-48C9-4F66-8E4C-016C97FAB640}" name="foraH" dataDxfId="1891"/>
    <tableColumn id="88" xr3:uid="{BF68C014-58BE-4902-B1B4-989C9BB202B0}" name="foraA" dataDxfId="1890"/>
    <tableColumn id="89" xr3:uid="{2AAA0EF7-89E2-4AA8-A18F-5C63909EE15E}" name="total" dataDxfId="1889"/>
    <tableColumn id="90" xr3:uid="{852EB882-28E2-44EB-A9C8-79983FEABCC7}" name="link" dataDxfId="1888"/>
    <tableColumn id="91" xr3:uid="{333C49E3-6280-4376-BA34-5F02B98A4FDB}" name="abbr" dataDxfId="1887">
      <calculatedColumnFormula>VLOOKUP(crvena[[#This Row],[Away_team]],all[[Full name]:[Abbr]],3,FALSE)</calculatedColumnFormula>
    </tableColumn>
    <tableColumn id="92" xr3:uid="{CDEC74C5-9AEF-4BD6-A031-DCD20F896B71}" name="BetH" dataDxfId="1886">
      <calculatedColumnFormula>IF(OR(crvena[[#This Row],[Result]]="w",crvena[[#This Row],[Result]]="dw"),crvena[[#This Row],[win]]-1,-1)</calculatedColumnFormula>
    </tableColumn>
    <tableColumn id="93" xr3:uid="{9E698DC8-350C-472B-B557-FB44F590C59D}" name="BetA" dataDxfId="1885">
      <calculatedColumnFormula>IF(OR(crvena[[#This Row],[Result]]="L",crvena[[#This Row],[Result]]="dl"),crvena[[#This Row],[lose]]-1,-1)</calculatedColumnFormula>
    </tableColumn>
    <tableColumn id="94" xr3:uid="{D2049BAF-87C1-4CD4-8455-BC6EBCE9F7C0}" name="Tover" dataDxfId="1884">
      <calculatedColumnFormula>IF(OR((crvena[[#This Row],[Home_scored]]+crvena[[#This Row],[Away_scored]])&gt;crvena[[#This Row],[total]],OR(crvena[[#This Row],[Result]]="dw",crvena[[#This Row],[Result]]="dl")),1,0)</calculatedColumnFormula>
    </tableColumn>
    <tableColumn id="95" xr3:uid="{7B1B3AB4-C609-415F-9430-BD6620FA0846}" name="Deviation" dataDxfId="1883">
      <calculatedColumnFormula>ABS((crvena[[#This Row],[Home_scored]]+crvena[[#This Row],[Away_scored]])-crvena[[#This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dubai" displayName="dubai" ref="A3:CQ4" totalsRowShown="0" headerRowDxfId="1882" dataDxfId="1881">
  <autoFilter ref="A3:CQ4" xr:uid="{6F44C236-BD30-49C1-AC80-B66D4596B51B}"/>
  <tableColumns count="95">
    <tableColumn id="1" xr3:uid="{73D123E4-1FE8-4E3A-806C-51D1C5F45D22}" name="Tournament" dataDxfId="1880"/>
    <tableColumn id="2" xr3:uid="{825C9E1D-997B-463B-91CA-9F0357FFE64F}" name="Home_team" dataDxfId="1879"/>
    <tableColumn id="3" xr3:uid="{BF9AF354-DD01-4EDF-B06E-AA20BD306D84}" name="Stage" dataDxfId="1878"/>
    <tableColumn id="4" xr3:uid="{B18B4263-E9CA-46AD-BA27-D98F253C8C83}" name="Date" dataDxfId="1877"/>
    <tableColumn id="5" xr3:uid="{9A9A0BD3-5E82-4227-8E1D-BB3500675B89}" name="Location" dataDxfId="1876"/>
    <tableColumn id="6" xr3:uid="{FF1BC2B6-F626-4311-B64C-83E47BA2999E}" name="Away_team" dataDxfId="1875"/>
    <tableColumn id="7" xr3:uid="{0F6BEC69-B9CA-45F8-AF36-07645A7E6CD7}" name="Result" dataDxfId="1874"/>
    <tableColumn id="8" xr3:uid="{1D6E2530-B07E-40CF-804C-F8102FBE5A94}" name="Home_scored" dataDxfId="1873"/>
    <tableColumn id="9" xr3:uid="{C82B87C8-6150-4817-B1EA-C715A3418A15}" name="Away_scored" dataDxfId="1872"/>
    <tableColumn id="10" xr3:uid="{A2AC2D7C-99EF-4359-82E8-89B1A48AC9BA}" name="FGM" dataDxfId="1871"/>
    <tableColumn id="11" xr3:uid="{0A20631E-5645-4B62-99FA-A325A6DFAD0A}" name="FGA" dataDxfId="1870"/>
    <tableColumn id="12" xr3:uid="{CBA54BAF-E127-407E-A606-268202151D03}" name="FGp" dataDxfId="1869"/>
    <tableColumn id="13" xr3:uid="{CCAEABAF-6478-459C-9664-CE71ED0693D2}" name="P2M" dataDxfId="1868"/>
    <tableColumn id="14" xr3:uid="{D262DB42-6D5D-4868-80A3-288E3E07CC3A}" name="P2A" dataDxfId="1867"/>
    <tableColumn id="15" xr3:uid="{9A4A63BA-9544-456D-BDB4-C56768C381A2}" name="P2p" dataDxfId="1866"/>
    <tableColumn id="16" xr3:uid="{2BC78A55-AB09-4364-B3F6-31FBCB2C1044}" name="P3M" dataDxfId="1865"/>
    <tableColumn id="17" xr3:uid="{625CDDD6-1E0E-4358-B836-03CDB06A1A07}" name="P3A" dataDxfId="1864"/>
    <tableColumn id="18" xr3:uid="{7CC4F35E-3C86-4208-91F6-8883418FB572}" name="P3p" dataDxfId="1863"/>
    <tableColumn id="19" xr3:uid="{A534D253-B836-463B-B7E4-8B8A4737DD4E}" name="FTM" dataDxfId="1862"/>
    <tableColumn id="20" xr3:uid="{0985D771-D450-4AF7-A0C8-B4BDFC44D14B}" name="FTA" dataDxfId="1861"/>
    <tableColumn id="21" xr3:uid="{D8DBC72F-DB86-4012-A996-FD10FF29740D}" name="FTp" dataDxfId="1860"/>
    <tableColumn id="22" xr3:uid="{736B4E36-F304-4B58-8708-A7D17D839E13}" name="ORB" dataDxfId="1859"/>
    <tableColumn id="23" xr3:uid="{7A51AA5A-281C-457F-8034-C342255118A2}" name="DRB" dataDxfId="1858"/>
    <tableColumn id="24" xr3:uid="{2A3375F5-D1D1-41E1-9D03-7C2706E6E782}" name="TRB" dataDxfId="1857"/>
    <tableColumn id="25" xr3:uid="{592B459D-0AA3-4299-B334-845011408284}" name="AST" dataDxfId="1856"/>
    <tableColumn id="26" xr3:uid="{20023406-B966-40B2-A9E1-6C734A94959E}" name="STL" dataDxfId="1855"/>
    <tableColumn id="27" xr3:uid="{06F9D3D1-7EFD-45D0-B0D0-75475685F16B}" name="BLK" dataDxfId="1854"/>
    <tableColumn id="28" xr3:uid="{DAB6DC4E-4FE9-4E50-87EA-BA0649A1AD49}" name="TOV" dataDxfId="1853"/>
    <tableColumn id="29" xr3:uid="{DBDF4A4B-FFDF-4E8D-8883-1F0856899EC2}" name="PF" dataDxfId="1852"/>
    <tableColumn id="30" xr3:uid="{3ECCA01F-8698-4236-BA25-6862B7CA8058}" name="FGMop" dataDxfId="1851"/>
    <tableColumn id="31" xr3:uid="{8953E084-3D16-437D-A00C-792597016D2C}" name="FGAop" dataDxfId="1850"/>
    <tableColumn id="32" xr3:uid="{B3BFEC50-CBDE-4300-A0B4-B2E9259B800B}" name="FGpop" dataDxfId="1849"/>
    <tableColumn id="33" xr3:uid="{A72BE95C-9BCE-485D-9527-5D5C26510339}" name="P2Mop" dataDxfId="1848"/>
    <tableColumn id="34" xr3:uid="{C2C81404-F1E0-4A34-ACDA-7F012ED1FF91}" name="P2Aop" dataDxfId="1847"/>
    <tableColumn id="35" xr3:uid="{FAAC63A5-39D1-4699-B79F-2A59EC46DD8F}" name="P2pop" dataDxfId="1846"/>
    <tableColumn id="36" xr3:uid="{2F8E2EEC-BEA6-4627-9A7B-ABF786ADD05B}" name="P3Mop" dataDxfId="1845"/>
    <tableColumn id="37" xr3:uid="{D20749AA-6434-4700-B6DF-84C10CA3B920}" name="P3Aop" dataDxfId="1844"/>
    <tableColumn id="38" xr3:uid="{5096B644-625B-4350-ADAE-2BF83054AD20}" name="P3pop" dataDxfId="1843"/>
    <tableColumn id="39" xr3:uid="{8FFFAAD3-D42B-4C11-AA25-D2BD691A61C5}" name="FTMop" dataDxfId="1842"/>
    <tableColumn id="40" xr3:uid="{59E0C7BA-7F4A-41B1-86AC-BE20163913B5}" name="FTAop" dataDxfId="1841"/>
    <tableColumn id="41" xr3:uid="{BF1361A0-B641-47AE-9AC0-D0919FDDD12B}" name="FTpop" dataDxfId="1840"/>
    <tableColumn id="42" xr3:uid="{5872DB62-827A-4A8D-972B-7C26864CB157}" name="ORBop" dataDxfId="1839"/>
    <tableColumn id="43" xr3:uid="{2C057D9D-C2AA-43B2-9BFD-B4B546C424EB}" name="DRBop" dataDxfId="1838"/>
    <tableColumn id="44" xr3:uid="{4C199DE8-D5F8-4D51-9554-48BEAF75DF8C}" name="TRBop" dataDxfId="1837"/>
    <tableColumn id="45" xr3:uid="{3F7A0F04-E680-4E20-AE7B-633B6442C9E9}" name="ASTop" dataDxfId="1836"/>
    <tableColumn id="46" xr3:uid="{639847B4-A849-4BCE-BB5B-1595391E5E65}" name="STLop" dataDxfId="1835"/>
    <tableColumn id="47" xr3:uid="{269D8283-839A-4570-BC62-9EF93700D6A6}" name="BLKop" dataDxfId="1834"/>
    <tableColumn id="48" xr3:uid="{8D24E6CA-97B1-4428-B9AD-058334F34A9E}" name="TOVop" dataDxfId="1833"/>
    <tableColumn id="49" xr3:uid="{6AF246C6-257C-4024-A08E-C14E90CCCECF}" name="PFop" dataDxfId="1832"/>
    <tableColumn id="50" xr3:uid="{F03FD6A0-0197-442D-893C-0D4BF2C10678}" name="TS%" dataDxfId="1831"/>
    <tableColumn id="51" xr3:uid="{C2D5D7BE-9024-431F-BA6F-9B5AD38D0C75}" name="eFG%" dataDxfId="1830"/>
    <tableColumn id="52" xr3:uid="{6768C6D0-7FD5-4E18-8700-769EA7390B0A}" name="ORB%" dataDxfId="1829"/>
    <tableColumn id="53" xr3:uid="{B22B0641-F1F9-44CC-B331-B5C1C3B0EFCA}" name="DRB%" dataDxfId="1828"/>
    <tableColumn id="54" xr3:uid="{7B3D7324-6945-4B32-A3BF-D659AD6CFCEA}" name="TRB%" dataDxfId="1827"/>
    <tableColumn id="55" xr3:uid="{AF682AE8-743A-4C3D-94FB-42BCD8F13981}" name="Poss" dataDxfId="1826"/>
    <tableColumn id="56" xr3:uid="{C5F4D924-7330-4C61-B42F-631877D28A50}" name="AST%" dataDxfId="1825"/>
    <tableColumn id="57" xr3:uid="{B99158C3-B6F8-4863-90C0-E9EBDEED84DD}" name="FTFGA%" dataDxfId="1824"/>
    <tableColumn id="58" xr3:uid="{143C1A7C-B772-4FC4-B450-DD0DC2C00574}" name="TOV%" dataDxfId="1823"/>
    <tableColumn id="59" xr3:uid="{A1FBA1C9-4580-4B5B-998E-06897728F028}" name="ORtg" dataDxfId="1822"/>
    <tableColumn id="60" xr3:uid="{0336D4E9-C92B-4DEC-8A5C-F5FF16C09695}" name="DRtg" dataDxfId="1821"/>
    <tableColumn id="61" xr3:uid="{D8FED64A-64E0-4C0D-AFE4-5AE4E91A3184}" name="Pace" dataDxfId="1820"/>
    <tableColumn id="62" xr3:uid="{DF80F93C-D73B-4F25-B424-260EC0D9866D}" name="TS%op" dataDxfId="1819"/>
    <tableColumn id="63" xr3:uid="{F3979029-3E64-4C55-93A9-DEDD0832091C}" name="eFG%op" dataDxfId="1818"/>
    <tableColumn id="64" xr3:uid="{5969CB9D-6EC7-4747-9AC2-C34873C1E9B8}" name="ORB%op" dataDxfId="1817"/>
    <tableColumn id="65" xr3:uid="{F8A91364-D130-4B88-80F7-15FAF7468A9C}" name="DRB%op" dataDxfId="1816"/>
    <tableColumn id="66" xr3:uid="{5C6B606A-A023-40E9-9013-F887E5FB6A42}" name="TRB%op" dataDxfId="1815"/>
    <tableColumn id="67" xr3:uid="{F11BABA9-B9C6-4ECB-84C5-3AFEB9E14E21}" name="Possop" dataDxfId="1814"/>
    <tableColumn id="68" xr3:uid="{9E5FAD29-13C5-4775-BA04-9723739E5CD8}" name="AST%op" dataDxfId="1813"/>
    <tableColumn id="69" xr3:uid="{961EA95E-FAB5-486A-9E6A-C3CF83E26F4B}" name="FTFGA%op" dataDxfId="1812"/>
    <tableColumn id="70" xr3:uid="{8E402F83-306B-42DB-9C79-F4DBEE75C73F}" name="TOV%op" dataDxfId="1811"/>
    <tableColumn id="71" xr3:uid="{942311B6-5865-4628-A11B-F48C4BE10786}" name="ORtgop" dataDxfId="1810"/>
    <tableColumn id="72" xr3:uid="{0E1563B2-C6AF-48DB-B370-B1AFD34D918B}" name="DRtgop" dataDxfId="1809"/>
    <tableColumn id="73" xr3:uid="{837CEE3D-3E4D-42BA-87A9-317D80A64EEF}" name="Q1H" dataDxfId="1808"/>
    <tableColumn id="74" xr3:uid="{078074E9-4FC7-4824-BE7E-00B24CFC407A}" name="Q2H" dataDxfId="1807"/>
    <tableColumn id="75" xr3:uid="{169E7291-6503-4EAF-A6C5-B5688B66A292}" name="Q3H" dataDxfId="1806"/>
    <tableColumn id="76" xr3:uid="{7C3D0028-F112-4940-A16A-FEBB5EDE5E23}" name="Q4H" dataDxfId="1805"/>
    <tableColumn id="77" xr3:uid="{261BF41B-C4E6-45CC-BE2D-DB24A1425EE0}" name="Q1A" dataDxfId="1804"/>
    <tableColumn id="78" xr3:uid="{3C32BB71-E669-466C-B9F4-5592DAAA3DA1}" name="Q2A" dataDxfId="1803"/>
    <tableColumn id="79" xr3:uid="{2320FBA5-AF80-48CA-99BA-2C1ACD2413D6}" name="Q3A" dataDxfId="1802"/>
    <tableColumn id="80" xr3:uid="{AF0AB988-0FBF-4419-81FF-BF6CA31A403A}" name="Q4A" dataDxfId="1801"/>
    <tableColumn id="81" xr3:uid="{09B380A1-177A-41D6-A282-FC38D6761662}" name="FhalfH" dataDxfId="1800"/>
    <tableColumn id="82" xr3:uid="{49CA883B-95A0-4DBC-B71B-EE09E29661E8}" name="ShalfH" dataDxfId="1799"/>
    <tableColumn id="83" xr3:uid="{63BEC799-0B0C-4402-9D0C-64A72A22EF96}" name="FhalfA" dataDxfId="1798"/>
    <tableColumn id="84" xr3:uid="{0634558E-9D47-43FE-9C2B-33F6BAD19029}" name="ShalfA" dataDxfId="1797"/>
    <tableColumn id="85" xr3:uid="{C1418323-6C64-471C-AF8B-7A7EE47D2931}" name="win" dataDxfId="1796"/>
    <tableColumn id="86" xr3:uid="{F9BED4FA-86AB-4B15-9C6D-33922A20318B}" name="lose" dataDxfId="1795"/>
    <tableColumn id="87" xr3:uid="{3B1112A4-B725-4158-B911-BC5E7FD29F5E}" name="foraH" dataDxfId="1794"/>
    <tableColumn id="88" xr3:uid="{4B4E4540-727A-4E80-A7C1-9A9EBE79E8CA}" name="foraA" dataDxfId="1793"/>
    <tableColumn id="89" xr3:uid="{30962E41-17ED-436C-8129-142DEEC3715D}" name="total" dataDxfId="1792"/>
    <tableColumn id="90" xr3:uid="{47066658-3187-4928-826D-9F7D0C239D38}" name="link" dataDxfId="1791"/>
    <tableColumn id="91" xr3:uid="{EB7D3593-4B8F-404E-8E34-8D9A07882EFD}" name="abbr" dataDxfId="1790">
      <calculatedColumnFormula>VLOOKUP(dubai[[#This Row],[Away_team]],all[[Full name]:[Abbr]],3,FALSE)</calculatedColumnFormula>
    </tableColumn>
    <tableColumn id="92" xr3:uid="{5A69D9F8-58F2-4804-829D-5A06B46B8EAE}" name="BetH" dataDxfId="1789">
      <calculatedColumnFormula>IF(OR(dubai[[#This Row],[Result]]="w",dubai[[#This Row],[Result]]="dw"),dubai[[#This Row],[win]]-1,-1)</calculatedColumnFormula>
    </tableColumn>
    <tableColumn id="93" xr3:uid="{E690383D-F265-4030-99D8-1F2485D05981}" name="BetA" dataDxfId="1788">
      <calculatedColumnFormula>IF(OR(dubai[[#This Row],[Result]]="L",dubai[[#This Row],[Result]]="dl"),dubai[[#This Row],[lose]]-1,-1)</calculatedColumnFormula>
    </tableColumn>
    <tableColumn id="94" xr3:uid="{F8E31C79-6A98-4502-A903-532824C02C43}" name="Tover" dataDxfId="1787">
      <calculatedColumnFormula>IF(OR((dubai[[#This Row],[Home_scored]]+dubai[[#This Row],[Away_scored]])&gt;dubai[[#This Row],[total]],OR(dubai[[#This Row],[Result]]="dw",dubai[[#This Row],[Result]]="dl")),1,0)</calculatedColumnFormula>
    </tableColumn>
    <tableColumn id="95" xr3:uid="{0B07678F-076A-47B9-BADE-E44E3602A296}" name="Deviation" dataDxfId="1786">
      <calculatedColumnFormula>ABS((dubai[[#This Row],[Home_scored]]+dubai[[#This Row],[Away_scored]])-dubai[[#This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beograd" displayName="beograd" ref="A3:CQ4" totalsRowShown="0" headerRowDxfId="1785" dataDxfId="1784">
  <autoFilter ref="A3:CQ4" xr:uid="{6F44C236-BD30-49C1-AC80-B66D4596B51B}"/>
  <tableColumns count="95">
    <tableColumn id="1" xr3:uid="{A6C02E3A-79D6-4FD2-ACD5-B6495AFB986C}" name="Tournament" dataDxfId="1783"/>
    <tableColumn id="2" xr3:uid="{3B26D374-F707-4A2A-A79A-E082CE0C8963}" name="Home_team" dataDxfId="1782"/>
    <tableColumn id="3" xr3:uid="{F9066BB9-A73F-4F4E-871D-3519B0C67747}" name="Stage" dataDxfId="1781"/>
    <tableColumn id="4" xr3:uid="{9F93525D-184B-4D1F-A168-F6904F315532}" name="Date" dataDxfId="1780"/>
    <tableColumn id="5" xr3:uid="{668864B9-35CB-472B-AC39-7C0A085B3742}" name="Location" dataDxfId="1779"/>
    <tableColumn id="6" xr3:uid="{AC3C9276-D40C-4953-A2A9-C2572458151E}" name="Away_team" dataDxfId="1778"/>
    <tableColumn id="7" xr3:uid="{4B16DCAE-E88D-4343-A113-3C997ED622C3}" name="Result" dataDxfId="1777"/>
    <tableColumn id="8" xr3:uid="{75C6D14B-6939-40E2-A196-884AD01FDCAD}" name="Home_scored" dataDxfId="1776"/>
    <tableColumn id="9" xr3:uid="{E1C9F749-5BAB-4105-9B9B-2C7D669231C7}" name="Away_scored" dataDxfId="1775"/>
    <tableColumn id="10" xr3:uid="{9EF809E5-EEAA-4D50-845F-DC052E283E14}" name="FGM" dataDxfId="1774"/>
    <tableColumn id="11" xr3:uid="{7CBACAFF-9A8A-4808-89FC-01366F198738}" name="FGA" dataDxfId="1773"/>
    <tableColumn id="12" xr3:uid="{52FBF4D2-1E1B-459A-9652-41D3213A67CA}" name="FGp" dataDxfId="1772"/>
    <tableColumn id="13" xr3:uid="{29E7E38E-6206-406A-8018-D50966068C9F}" name="P2M" dataDxfId="1771"/>
    <tableColumn id="14" xr3:uid="{18F28A1C-272A-41BB-8F58-C79ECC1EAF3F}" name="P2A" dataDxfId="1770"/>
    <tableColumn id="15" xr3:uid="{BF7704EA-8430-4597-A48A-B7FD8B27C06A}" name="P2p" dataDxfId="1769"/>
    <tableColumn id="16" xr3:uid="{9D10D8A8-5531-45D1-A819-0C9C98F38AC4}" name="P3M" dataDxfId="1768"/>
    <tableColumn id="17" xr3:uid="{BA63A80C-A5E5-46C6-A8FD-38CB60FC4326}" name="P3A" dataDxfId="1767"/>
    <tableColumn id="18" xr3:uid="{6652C30D-982B-4182-BDF4-D900FCC10F53}" name="P3p" dataDxfId="1766"/>
    <tableColumn id="19" xr3:uid="{9B8C98E5-D6E4-4A8A-8577-EDB6A847DFAE}" name="FTM" dataDxfId="1765"/>
    <tableColumn id="20" xr3:uid="{9FB96DAD-EE76-436D-9237-64CA312DC510}" name="FTA" dataDxfId="1764"/>
    <tableColumn id="21" xr3:uid="{E7FDFA7D-CCAA-4161-B0A9-6AED64C46F43}" name="FTp" dataDxfId="1763"/>
    <tableColumn id="22" xr3:uid="{9E8FBFB3-87BE-4F17-AAA1-6230C1584E5B}" name="ORB" dataDxfId="1762"/>
    <tableColumn id="23" xr3:uid="{28AFDD82-577C-4CFA-A50F-DEE468ACF6B1}" name="DRB" dataDxfId="1761"/>
    <tableColumn id="24" xr3:uid="{9C26102C-39A0-4189-9A65-DD26DE8DEED1}" name="TRB" dataDxfId="1760"/>
    <tableColumn id="25" xr3:uid="{F360F5FD-9B4B-4DD3-961E-311C004B423B}" name="AST" dataDxfId="1759"/>
    <tableColumn id="26" xr3:uid="{B3E3516D-6685-4FE6-ACFD-751CA377C4DE}" name="STL" dataDxfId="1758"/>
    <tableColumn id="27" xr3:uid="{DA2FDEBA-8C0E-4C00-BA90-43031A2981BD}" name="BLK" dataDxfId="1757"/>
    <tableColumn id="28" xr3:uid="{F7B90A5A-AD78-4FE3-AAEA-3F7AA5605A91}" name="TOV" dataDxfId="1756"/>
    <tableColumn id="29" xr3:uid="{3BB3BBA8-08C7-4962-9D6D-875693D1EECB}" name="PF" dataDxfId="1755"/>
    <tableColumn id="30" xr3:uid="{C4DF987B-6D6A-4346-81F0-110B096E1CC9}" name="FGMop" dataDxfId="1754"/>
    <tableColumn id="31" xr3:uid="{E986ACFA-3034-4053-B40E-95BC6366F289}" name="FGAop" dataDxfId="1753"/>
    <tableColumn id="32" xr3:uid="{CCACA1BE-B410-40F5-A086-D4C097826272}" name="FGpop" dataDxfId="1752"/>
    <tableColumn id="33" xr3:uid="{F02208BD-0309-495A-B784-1E0D5D3F3E78}" name="P2Mop" dataDxfId="1751"/>
    <tableColumn id="34" xr3:uid="{1E5FAC5F-D1F4-4FCA-BCD9-68094C6DDA6B}" name="P2Aop" dataDxfId="1750"/>
    <tableColumn id="35" xr3:uid="{1D4F851F-5DCB-41BF-B4DA-8C0E80AB9FA7}" name="P2pop" dataDxfId="1749"/>
    <tableColumn id="36" xr3:uid="{3F9F79D4-A6A7-481C-9DF0-2CFF23965A38}" name="P3Mop" dataDxfId="1748"/>
    <tableColumn id="37" xr3:uid="{F9CFBD3D-C2FA-4517-8E11-89D3C12A38EF}" name="P3Aop" dataDxfId="1747"/>
    <tableColumn id="38" xr3:uid="{232F1507-0C4A-4937-85C4-34001D8EBBFA}" name="P3pop" dataDxfId="1746"/>
    <tableColumn id="39" xr3:uid="{BBB25E00-25FE-4D65-AD6D-B8B661455B61}" name="FTMop" dataDxfId="1745"/>
    <tableColumn id="40" xr3:uid="{8AA465FC-4EBF-48DD-AC38-F90AD8BBDE57}" name="FTAop" dataDxfId="1744"/>
    <tableColumn id="41" xr3:uid="{97AB7445-DAE8-4110-B8E9-42EEBD4C4DC0}" name="FTpop" dataDxfId="1743"/>
    <tableColumn id="42" xr3:uid="{3650A531-E2D0-492D-84E7-CD72EA21357A}" name="ORBop" dataDxfId="1742"/>
    <tableColumn id="43" xr3:uid="{233E5A23-69A2-43E5-9B45-7C12FA23DDAC}" name="DRBop" dataDxfId="1741"/>
    <tableColumn id="44" xr3:uid="{BDFE00E2-B5BD-4DB6-8527-B68AA14BBE31}" name="TRBop" dataDxfId="1740"/>
    <tableColumn id="45" xr3:uid="{2DEA4D12-614C-4152-94E2-5B0AC3EE7435}" name="ASTop" dataDxfId="1739"/>
    <tableColumn id="46" xr3:uid="{1E409CC0-DED3-44A1-AA0B-15A3A2819EB7}" name="STLop" dataDxfId="1738"/>
    <tableColumn id="47" xr3:uid="{8AB2B17A-13DF-48D3-AC0E-21A2ED050A35}" name="BLKop" dataDxfId="1737"/>
    <tableColumn id="48" xr3:uid="{1C0E2238-53C3-4222-A872-F75CAE1C5320}" name="TOVop" dataDxfId="1736"/>
    <tableColumn id="49" xr3:uid="{E6B93F78-A092-4F9B-A16B-3141C674337B}" name="PFop" dataDxfId="1735"/>
    <tableColumn id="50" xr3:uid="{BE0FBF58-5507-426C-AFC6-9B23D13F2E07}" name="TS%" dataDxfId="1734"/>
    <tableColumn id="51" xr3:uid="{24136762-83DD-4351-9577-780550BD85BF}" name="eFG%" dataDxfId="1733"/>
    <tableColumn id="52" xr3:uid="{0A08FDA5-183B-4D42-8AA3-0056672FFED8}" name="ORB%" dataDxfId="1732"/>
    <tableColumn id="53" xr3:uid="{10F04071-4F98-4E26-89E2-8EA945825DEC}" name="DRB%" dataDxfId="1731"/>
    <tableColumn id="54" xr3:uid="{EEAB0E4F-C83B-4F10-9C7E-979330171081}" name="TRB%" dataDxfId="1730"/>
    <tableColumn id="55" xr3:uid="{7D51FFBC-F93E-4674-9B25-BBF23BD70812}" name="Poss" dataDxfId="1729"/>
    <tableColumn id="56" xr3:uid="{783B1A13-FB84-49A8-AFAA-1E6988E04272}" name="AST%" dataDxfId="1728"/>
    <tableColumn id="57" xr3:uid="{BD4F69C6-AF7C-41AD-A33F-79A3BC157EFE}" name="FTFGA%" dataDxfId="1727"/>
    <tableColumn id="58" xr3:uid="{528ABE17-9C1C-46B4-9262-801C8631983B}" name="TOV%" dataDxfId="1726"/>
    <tableColumn id="59" xr3:uid="{B360793F-962B-41B8-BCD2-4EC7025B8BB9}" name="ORtg" dataDxfId="1725"/>
    <tableColumn id="60" xr3:uid="{10E9E2B0-6992-4C95-AFDB-11D22EC41B77}" name="DRtg" dataDxfId="1724"/>
    <tableColumn id="61" xr3:uid="{824E069E-D4C7-4BB1-AF1C-31673B27AA0B}" name="Pace" dataDxfId="1723"/>
    <tableColumn id="62" xr3:uid="{A6BD2AAE-CA4F-4706-8990-F6823CD7AE25}" name="TS%op" dataDxfId="1722"/>
    <tableColumn id="63" xr3:uid="{CD4755EE-B533-4716-AC32-71894C4B0E6C}" name="eFG%op" dataDxfId="1721"/>
    <tableColumn id="64" xr3:uid="{418740F4-E969-45E8-BC24-3FB833EC141C}" name="ORB%op" dataDxfId="1720"/>
    <tableColumn id="65" xr3:uid="{EA070BFF-CEE9-425E-A4A6-7BAF05C4FCDF}" name="DRB%op" dataDxfId="1719"/>
    <tableColumn id="66" xr3:uid="{45B765C4-70B9-4C2C-8C15-BBD40979ED4B}" name="TRB%op" dataDxfId="1718"/>
    <tableColumn id="67" xr3:uid="{8D70E441-CE67-480E-B23F-177A8B93FF20}" name="Possop" dataDxfId="1717"/>
    <tableColumn id="68" xr3:uid="{F11DD89B-A7D3-4924-BD3D-E07B6C7727C8}" name="AST%op" dataDxfId="1716"/>
    <tableColumn id="69" xr3:uid="{7D6EE76D-0672-49BA-8EB9-D46D4D9CDBAD}" name="FTFGA%op" dataDxfId="1715"/>
    <tableColumn id="70" xr3:uid="{EC72F13A-EA27-4613-84D2-5C08FFD37A39}" name="TOV%op" dataDxfId="1714"/>
    <tableColumn id="71" xr3:uid="{E3F48CBC-0CF0-465A-8BFE-993E17843FD4}" name="ORtgop" dataDxfId="1713"/>
    <tableColumn id="72" xr3:uid="{03295828-42EA-49E6-B4D6-7F8A43E80D7E}" name="DRtgop" dataDxfId="1712"/>
    <tableColumn id="73" xr3:uid="{5572C200-B523-4E96-9ECB-00B75E1E7652}" name="Q1H" dataDxfId="1711"/>
    <tableColumn id="74" xr3:uid="{5A3F6424-C7E9-4A84-8F25-322A3E4C302E}" name="Q2H" dataDxfId="1710"/>
    <tableColumn id="75" xr3:uid="{D3E675CF-3E75-4A2B-AD70-6C4A2F07914A}" name="Q3H" dataDxfId="1709"/>
    <tableColumn id="76" xr3:uid="{E7BA444B-1499-4CFA-AE76-3A071ACE7532}" name="Q4H" dataDxfId="1708"/>
    <tableColumn id="77" xr3:uid="{39B7B1E7-294B-4BFA-BF4C-FF3C6FB9A876}" name="Q1A" dataDxfId="1707"/>
    <tableColumn id="78" xr3:uid="{86AA3E59-2780-4C5D-85BA-89812A1B500E}" name="Q2A" dataDxfId="1706"/>
    <tableColumn id="79" xr3:uid="{09A231FA-D31D-4C3D-8507-76F96AC8E914}" name="Q3A" dataDxfId="1705"/>
    <tableColumn id="80" xr3:uid="{35131DE9-70B3-497A-9B93-E11932B496DF}" name="Q4A" dataDxfId="1704"/>
    <tableColumn id="81" xr3:uid="{810A655A-EE81-4E0B-9950-863FE083586E}" name="FhalfH" dataDxfId="1703"/>
    <tableColumn id="82" xr3:uid="{F7582731-E2FA-46E3-B385-0AE8294C1133}" name="ShalfH" dataDxfId="1702"/>
    <tableColumn id="83" xr3:uid="{95E40912-6469-4397-B5F4-8ED091785E5D}" name="FhalfA" dataDxfId="1701"/>
    <tableColumn id="84" xr3:uid="{F8598BBF-7F1D-416E-BADA-D2D0141249B7}" name="ShalfA" dataDxfId="1700"/>
    <tableColumn id="85" xr3:uid="{E490C57A-6E21-47A4-BA00-37BE1AF53D44}" name="win" dataDxfId="1699"/>
    <tableColumn id="86" xr3:uid="{D9C53F77-FCBE-41C5-8B0A-7399B772EF79}" name="lose" dataDxfId="1698"/>
    <tableColumn id="87" xr3:uid="{5F429DB0-979D-47A0-863D-854ECDD38FC7}" name="foraH" dataDxfId="1697"/>
    <tableColumn id="88" xr3:uid="{12AD18D7-E626-4CBD-9DB8-4DF216CA9DAF}" name="foraA" dataDxfId="1696"/>
    <tableColumn id="89" xr3:uid="{209259B1-497D-4440-8605-2691CA4B862C}" name="total" dataDxfId="1695"/>
    <tableColumn id="90" xr3:uid="{285E0D63-1853-4274-ADED-2973B9D84CA5}" name="link" dataDxfId="1694"/>
    <tableColumn id="91" xr3:uid="{172811E7-3F53-4FFF-B438-4FCAC3889AC7}" name="abbr" dataDxfId="1693">
      <calculatedColumnFormula>VLOOKUP(beograd[[#This Row],[Away_team]],all[[Full name]:[Abbr]],3,FALSE)</calculatedColumnFormula>
    </tableColumn>
    <tableColumn id="92" xr3:uid="{5CB62267-27B6-4B4A-B057-8029A469F379}" name="BetH" dataDxfId="1692">
      <calculatedColumnFormula>IF(OR(beograd[[#This Row],[Result]]="w",beograd[[#This Row],[Result]]="dw"),beograd[[#This Row],[win]]-1,-1)</calculatedColumnFormula>
    </tableColumn>
    <tableColumn id="93" xr3:uid="{8704E1EB-569A-4A16-B92D-890BECC258E0}" name="BetA" dataDxfId="1691">
      <calculatedColumnFormula>IF(OR(beograd[[#This Row],[Result]]="L",beograd[[#This Row],[Result]]="dl"),beograd[[#This Row],[lose]]-1,-1)</calculatedColumnFormula>
    </tableColumn>
    <tableColumn id="94" xr3:uid="{E739B470-4594-4B06-9260-C77277DBB378}" name="Tover" dataDxfId="1690">
      <calculatedColumnFormula>IF(OR((beograd[[#This Row],[Home_scored]]+beograd[[#This Row],[Away_scored]])&gt;beograd[[#This Row],[total]],OR(beograd[[#This Row],[Result]]="dw",beograd[[#This Row],[Result]]="dl")),1,0)</calculatedColumnFormula>
    </tableColumn>
    <tableColumn id="95" xr3:uid="{4D75F3F3-DFAA-4661-A981-7AC88A568AC9}" name="Deviation" dataDxfId="1689">
      <calculatedColumnFormula>ABS((beograd[[#This Row],[Home_scored]]+beograd[[#This Row],[Away_scored]])-beograd[[#This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igokea" displayName="igokea" ref="A3:CQ4" totalsRowShown="0" headerRowDxfId="1688" dataDxfId="1687">
  <autoFilter ref="A3:CQ4" xr:uid="{6F44C236-BD30-49C1-AC80-B66D4596B51B}"/>
  <tableColumns count="95">
    <tableColumn id="1" xr3:uid="{A9D594A6-174D-4747-80DA-5B6013DAE81E}" name="Tournament" dataDxfId="1686"/>
    <tableColumn id="2" xr3:uid="{454E6CBB-807F-4427-9C1D-AD82B675D201}" name="Home_team" dataDxfId="1685"/>
    <tableColumn id="3" xr3:uid="{1F739374-76D5-497F-9774-C9253D9F8048}" name="Stage" dataDxfId="1684"/>
    <tableColumn id="4" xr3:uid="{33B7A542-C14B-4254-831F-99D78F39860B}" name="Date" dataDxfId="1683"/>
    <tableColumn id="5" xr3:uid="{485D9D5A-EC40-464D-BFCC-63C23A15DD55}" name="Location" dataDxfId="1682"/>
    <tableColumn id="6" xr3:uid="{2F67085E-C0DB-49C8-A3D8-4FD3A9726C78}" name="Away_team" dataDxfId="1681"/>
    <tableColumn id="7" xr3:uid="{290D0032-604E-4E2C-BAB4-CA36123337E0}" name="Result" dataDxfId="1680"/>
    <tableColumn id="8" xr3:uid="{F79C1841-9F41-4521-BD30-EEA5DDAF9E6D}" name="Home_scored" dataDxfId="1679"/>
    <tableColumn id="9" xr3:uid="{A7DFE2FE-EEB2-4AEC-B200-4E7EA3388FF2}" name="Away_scored" dataDxfId="1678"/>
    <tableColumn id="10" xr3:uid="{2496A484-3DD7-471A-9119-EB77781FA075}" name="FGM" dataDxfId="1677"/>
    <tableColumn id="11" xr3:uid="{99F4F545-9C42-4DE7-AAFF-03C50B2F4C10}" name="FGA" dataDxfId="1676"/>
    <tableColumn id="12" xr3:uid="{8275C23C-CE84-4AC2-9CBD-D1A7C6BD104F}" name="FGp" dataDxfId="1675"/>
    <tableColumn id="13" xr3:uid="{22F65756-3069-4691-893A-FF1F0DDC11E3}" name="P2M" dataDxfId="1674"/>
    <tableColumn id="14" xr3:uid="{0D7C6921-8677-46C4-ADFC-B438E0AA0A0B}" name="P2A" dataDxfId="1673"/>
    <tableColumn id="15" xr3:uid="{2BE7F9EC-798D-49DF-9C92-4F977E8743DD}" name="P2p" dataDxfId="1672"/>
    <tableColumn id="16" xr3:uid="{4FE67E29-FF4C-4B7A-A108-E17CD2E08C77}" name="P3M" dataDxfId="1671"/>
    <tableColumn id="17" xr3:uid="{42E709B2-C554-4435-BBB2-8501CB3AD1EE}" name="P3A" dataDxfId="1670"/>
    <tableColumn id="18" xr3:uid="{3FE29C18-8122-4C08-A9E7-A702EE13BD94}" name="P3p" dataDxfId="1669"/>
    <tableColumn id="19" xr3:uid="{60A343DA-C09E-4410-B79D-E46D7424AC8A}" name="FTM" dataDxfId="1668"/>
    <tableColumn id="20" xr3:uid="{00FB94FE-E7F7-4AE0-AF50-3AD8FB1CB5C0}" name="FTA" dataDxfId="1667"/>
    <tableColumn id="21" xr3:uid="{0D78E34F-E389-47C2-AE06-B7096277613E}" name="FTp" dataDxfId="1666"/>
    <tableColumn id="22" xr3:uid="{4B960CBF-0694-4BE9-9AD5-F858560DA49E}" name="ORB" dataDxfId="1665"/>
    <tableColumn id="23" xr3:uid="{7669A984-1C0C-4052-810E-629C6A264544}" name="DRB" dataDxfId="1664"/>
    <tableColumn id="24" xr3:uid="{91BBDCC1-5304-4A6D-B51C-18B11BFDA852}" name="TRB" dataDxfId="1663"/>
    <tableColumn id="25" xr3:uid="{A60FDEFC-008A-4AF5-8E3B-DDE1C0C6EC8C}" name="AST" dataDxfId="1662"/>
    <tableColumn id="26" xr3:uid="{9DCE2101-2C6B-4DB7-B221-1C71D2D21BB9}" name="STL" dataDxfId="1661"/>
    <tableColumn id="27" xr3:uid="{264AAC70-C094-4D59-BC87-AEEF6D144D21}" name="BLK" dataDxfId="1660"/>
    <tableColumn id="28" xr3:uid="{A3DCA016-77A5-4F4B-BA83-62565C6DDDDB}" name="TOV" dataDxfId="1659"/>
    <tableColumn id="29" xr3:uid="{DCC9E876-1DAE-4968-B979-1BDDC8A2A59A}" name="PF" dataDxfId="1658"/>
    <tableColumn id="30" xr3:uid="{912A5C99-DE23-4E68-88FB-7148A8C1B30D}" name="FGMop" dataDxfId="1657"/>
    <tableColumn id="31" xr3:uid="{95E1C0A9-6B91-479B-926A-E976B6AD6E7A}" name="FGAop" dataDxfId="1656"/>
    <tableColumn id="32" xr3:uid="{6E7ABF97-D383-4FAE-A3B4-A50BB96ECFFE}" name="FGpop" dataDxfId="1655"/>
    <tableColumn id="33" xr3:uid="{714399B7-384A-4A34-AF00-F224ACD7AAA0}" name="P2Mop" dataDxfId="1654"/>
    <tableColumn id="34" xr3:uid="{9C4D6EB6-1803-4C48-94CA-711DF6B30381}" name="P2Aop" dataDxfId="1653"/>
    <tableColumn id="35" xr3:uid="{5BC015EC-EA46-4BB7-8A1E-53D0DB566191}" name="P2pop" dataDxfId="1652"/>
    <tableColumn id="36" xr3:uid="{98221E26-8C15-40CC-B4E4-A35D0404897E}" name="P3Mop" dataDxfId="1651"/>
    <tableColumn id="37" xr3:uid="{70E1CB98-5B26-42C8-9D72-93C01F188FE5}" name="P3Aop" dataDxfId="1650"/>
    <tableColumn id="38" xr3:uid="{F7C19EC7-7807-4C20-998D-81407652E357}" name="P3pop" dataDxfId="1649"/>
    <tableColumn id="39" xr3:uid="{9ECA332A-2D2B-4553-A4F6-AC9E3BCAB529}" name="FTMop" dataDxfId="1648"/>
    <tableColumn id="40" xr3:uid="{50CDCAD5-6514-4717-B85A-3A18AD04B522}" name="FTAop" dataDxfId="1647"/>
    <tableColumn id="41" xr3:uid="{B3AD7F80-95BC-444F-95ED-CE1B24B61430}" name="FTpop" dataDxfId="1646"/>
    <tableColumn id="42" xr3:uid="{E32692FA-9460-4843-92FC-C1331FA8EED9}" name="ORBop" dataDxfId="1645"/>
    <tableColumn id="43" xr3:uid="{9120CC82-CE54-4014-A220-A5B81F9EF5EB}" name="DRBop" dataDxfId="1644"/>
    <tableColumn id="44" xr3:uid="{11FFD314-4757-41E8-B422-7E02ACCF4B41}" name="TRBop" dataDxfId="1643"/>
    <tableColumn id="45" xr3:uid="{0027D5E6-F7AA-4AC3-ABEE-47BC6AD8A0E2}" name="ASTop" dataDxfId="1642"/>
    <tableColumn id="46" xr3:uid="{B2121AC6-FC1F-48C4-955A-A9C92C8D56B4}" name="STLop" dataDxfId="1641"/>
    <tableColumn id="47" xr3:uid="{A6399686-E624-4998-9E2B-C472D4DF30DB}" name="BLKop" dataDxfId="1640"/>
    <tableColumn id="48" xr3:uid="{1FAA5DE2-CA11-46DB-989B-D7952D08B717}" name="TOVop" dataDxfId="1639"/>
    <tableColumn id="49" xr3:uid="{0502CE1E-3AE3-44EF-AB4E-D4F4B378309C}" name="PFop" dataDxfId="1638"/>
    <tableColumn id="50" xr3:uid="{C088DE60-FAD4-46DF-93FD-78B16196AA4F}" name="TS%" dataDxfId="1637"/>
    <tableColumn id="51" xr3:uid="{CF11427E-D044-4CDA-9C0E-6FEA261D0EF5}" name="eFG%" dataDxfId="1636"/>
    <tableColumn id="52" xr3:uid="{2BEDB233-8A6A-442D-8276-E0EEDCF0ACE4}" name="ORB%" dataDxfId="1635"/>
    <tableColumn id="53" xr3:uid="{05FE3978-EB50-4965-8ADC-B181A18B6B2E}" name="DRB%" dataDxfId="1634"/>
    <tableColumn id="54" xr3:uid="{6FAFD34D-7DDC-4234-91BA-EBC7CFAF2B3C}" name="TRB%" dataDxfId="1633"/>
    <tableColumn id="55" xr3:uid="{70B8980D-1DBA-4CE1-80A7-61239E693ADC}" name="Poss" dataDxfId="1632"/>
    <tableColumn id="56" xr3:uid="{6C2C4C82-30B5-4DF3-9BF1-B50D8111F7DC}" name="AST%" dataDxfId="1631"/>
    <tableColumn id="57" xr3:uid="{2D8756F3-601B-47A8-8786-9B401C7DF405}" name="FTFGA%" dataDxfId="1630"/>
    <tableColumn id="58" xr3:uid="{BBDDE6AA-1572-4D87-931B-F5968367C33B}" name="TOV%" dataDxfId="1629"/>
    <tableColumn id="59" xr3:uid="{71D6B85B-FE85-49D7-84A1-9EB782D46D34}" name="ORtg" dataDxfId="1628"/>
    <tableColumn id="60" xr3:uid="{4EFAE3E8-A158-4E07-A187-97C036095B43}" name="DRtg" dataDxfId="1627"/>
    <tableColumn id="61" xr3:uid="{C80CD20C-0C19-4EED-80FC-5B5D63F342D2}" name="Pace" dataDxfId="1626"/>
    <tableColumn id="62" xr3:uid="{AFD2C580-B9E4-46F8-88AA-9EFBA732A091}" name="TS%op" dataDxfId="1625"/>
    <tableColumn id="63" xr3:uid="{5484D320-5FD5-4A8B-B8D2-EEF1DD69E3BF}" name="eFG%op" dataDxfId="1624"/>
    <tableColumn id="64" xr3:uid="{860CA2D9-AB12-4429-9D6E-5023EF303664}" name="ORB%op" dataDxfId="1623"/>
    <tableColumn id="65" xr3:uid="{E0B62507-3F8F-42EE-BF75-85C71D30F479}" name="DRB%op" dataDxfId="1622"/>
    <tableColumn id="66" xr3:uid="{B7AB582B-C1E7-4C73-898B-AA238DDD1A22}" name="TRB%op" dataDxfId="1621"/>
    <tableColumn id="67" xr3:uid="{E6D4C8C0-EA38-4863-B25E-5C545D6DB95A}" name="Possop" dataDxfId="1620"/>
    <tableColumn id="68" xr3:uid="{52D9B494-4A86-4331-BDA4-FC9358A1E608}" name="AST%op" dataDxfId="1619"/>
    <tableColumn id="69" xr3:uid="{19126018-808F-422F-8AE8-C33E8E07C098}" name="FTFGA%op" dataDxfId="1618"/>
    <tableColumn id="70" xr3:uid="{5A8E033F-C355-4197-BBC6-CEA0CB79A856}" name="TOV%op" dataDxfId="1617"/>
    <tableColumn id="71" xr3:uid="{7C881A73-DC2E-42DD-A926-642DE7237320}" name="ORtgop" dataDxfId="1616"/>
    <tableColumn id="72" xr3:uid="{820384AE-B9DB-45AB-9DFF-C3CDAD5FAA75}" name="DRtgop" dataDxfId="1615"/>
    <tableColumn id="73" xr3:uid="{9A5CD670-1997-4C04-A9DF-2CDCFBFA8140}" name="Q1H" dataDxfId="1614"/>
    <tableColumn id="74" xr3:uid="{6137B8C3-5932-4B42-825D-CDBA3A060774}" name="Q2H" dataDxfId="1613"/>
    <tableColumn id="75" xr3:uid="{C29CB634-DAD0-4FED-B854-47F5E359A349}" name="Q3H" dataDxfId="1612"/>
    <tableColumn id="76" xr3:uid="{C0D849A5-A4A0-44B2-B5A4-13DDFF04DFBD}" name="Q4H" dataDxfId="1611"/>
    <tableColumn id="77" xr3:uid="{26B0F1BA-F1F3-402C-8726-384D47DDCC8A}" name="Q1A" dataDxfId="1610"/>
    <tableColumn id="78" xr3:uid="{DA47B56A-CEDC-42EA-98CD-E5EAED215A91}" name="Q2A" dataDxfId="1609"/>
    <tableColumn id="79" xr3:uid="{1D685E3A-7B26-4971-84EB-DB92D52351E3}" name="Q3A" dataDxfId="1608"/>
    <tableColumn id="80" xr3:uid="{7328BF4F-281B-49CB-B8D3-15092BBFA859}" name="Q4A" dataDxfId="1607"/>
    <tableColumn id="81" xr3:uid="{ED4744ED-2017-44F3-90D2-696366264D71}" name="FhalfH" dataDxfId="1606"/>
    <tableColumn id="82" xr3:uid="{D153F449-1D37-4439-B2CC-CBD9512C0C43}" name="ShalfH" dataDxfId="1605"/>
    <tableColumn id="83" xr3:uid="{F2D2CB8D-986E-4848-8C9C-6ED3DE173AB0}" name="FhalfA" dataDxfId="1604"/>
    <tableColumn id="84" xr3:uid="{DB9307FF-A307-45A2-BD46-7D8EBEC99FCA}" name="ShalfA" dataDxfId="1603"/>
    <tableColumn id="85" xr3:uid="{A0AFABC4-4C26-4049-AB37-8432182C384A}" name="win" dataDxfId="1602"/>
    <tableColumn id="86" xr3:uid="{5455618D-E364-45A1-BFA8-9ED2D389C142}" name="lose" dataDxfId="1601"/>
    <tableColumn id="87" xr3:uid="{A40BA837-D3E6-451F-AA19-E528060300C8}" name="foraH" dataDxfId="1600"/>
    <tableColumn id="88" xr3:uid="{3B05598D-96F9-4315-9503-E9BB28C05D31}" name="foraA" dataDxfId="1599"/>
    <tableColumn id="89" xr3:uid="{D1B382E1-60EF-4AD8-BB44-696D78533F56}" name="total" dataDxfId="1598"/>
    <tableColumn id="90" xr3:uid="{8B3B92C7-187A-4DF6-99AF-EDBF7442C338}" name="link" dataDxfId="1597"/>
    <tableColumn id="91" xr3:uid="{21B1CD6E-728F-427B-B742-857AF6764AEA}" name="abbr" dataDxfId="1596">
      <calculatedColumnFormula>VLOOKUP(igokea[[#This Row],[Away_team]],all[[Full name]:[Abbr]],3,FALSE)</calculatedColumnFormula>
    </tableColumn>
    <tableColumn id="92" xr3:uid="{14EC0CDF-5576-4059-BC83-6533978B40D1}" name="BetH" dataDxfId="1595">
      <calculatedColumnFormula>IF(OR(igokea[[#This Row],[Result]]="w",igokea[[#This Row],[Result]]="dw"),igokea[[#This Row],[win]]-1,-1)</calculatedColumnFormula>
    </tableColumn>
    <tableColumn id="93" xr3:uid="{E571727B-4728-4F7C-B09A-2E761371048F}" name="BetA" dataDxfId="1594">
      <calculatedColumnFormula>IF(OR(igokea[[#This Row],[Result]]="L",igokea[[#This Row],[Result]]="dl"),igokea[[#This Row],[lose]]-1,-1)</calculatedColumnFormula>
    </tableColumn>
    <tableColumn id="94" xr3:uid="{B97FC801-8887-4BCC-8AAF-388E648CF55F}" name="Tover" dataDxfId="1593">
      <calculatedColumnFormula>IF(OR((igokea[[#This Row],[Home_scored]]+igokea[[#This Row],[Away_scored]])&gt;igokea[[#This Row],[total]],OR(igokea[[#This Row],[Result]]="dw",igokea[[#This Row],[Result]]="dl")),1,0)</calculatedColumnFormula>
    </tableColumn>
    <tableColumn id="95" xr3:uid="{A49C30D9-561F-4401-860A-F4F4A3D05312}" name="Deviation" dataDxfId="1592">
      <calculatedColumnFormula>ABS((igokea[[#This Row],[Home_scored]]+igokea[[#This Row],[Away_scored]])-igokea[[#This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ilirija" displayName="ilirija" ref="A3:CQ4" totalsRowShown="0" headerRowDxfId="1591" dataDxfId="1590">
  <autoFilter ref="A3:CQ4" xr:uid="{6F44C236-BD30-49C1-AC80-B66D4596B51B}"/>
  <tableColumns count="95">
    <tableColumn id="1" xr3:uid="{739096EF-D9BA-4FED-B30B-BBA1DEFC883C}" name="Tournament" dataDxfId="1589"/>
    <tableColumn id="2" xr3:uid="{DE7653E4-7A70-4AA6-880A-A3BC92071008}" name="Home_team" dataDxfId="1588"/>
    <tableColumn id="3" xr3:uid="{F1E07C4F-A57C-4C24-BCB4-975E8F93AE08}" name="Stage" dataDxfId="1587"/>
    <tableColumn id="4" xr3:uid="{6688C4BA-F410-4B81-AF90-00454C85B4E6}" name="Date" dataDxfId="1586"/>
    <tableColumn id="5" xr3:uid="{9D34870C-A0CB-4605-BC99-2B23E7F6BD1B}" name="Location" dataDxfId="1585"/>
    <tableColumn id="6" xr3:uid="{F2FAD378-4AFD-4C12-881F-D3F71659B7D1}" name="Away_team" dataDxfId="1584"/>
    <tableColumn id="7" xr3:uid="{D3B2CB08-062B-4C74-ABB6-763B52457AC7}" name="Result" dataDxfId="1583"/>
    <tableColumn id="8" xr3:uid="{9509A7BD-5E9D-41E4-8C6D-05B9E7C5180D}" name="Home_scored" dataDxfId="1582"/>
    <tableColumn id="9" xr3:uid="{3F02D0CE-AB5A-41E9-B64F-C264A85A2964}" name="Away_scored" dataDxfId="1581"/>
    <tableColumn id="10" xr3:uid="{3482CE8C-F2D3-4581-8734-B40D3C799FCC}" name="FGM" dataDxfId="1580"/>
    <tableColumn id="11" xr3:uid="{833F98F2-9546-4D21-8F87-BB55AF16C0B7}" name="FGA" dataDxfId="1579"/>
    <tableColumn id="12" xr3:uid="{2D696FA5-A18C-4196-BEA6-A73A5E5A9891}" name="FGp" dataDxfId="1578"/>
    <tableColumn id="13" xr3:uid="{0FF4422D-21E4-4CF8-AE68-590939C2DCD0}" name="P2M" dataDxfId="1577"/>
    <tableColumn id="14" xr3:uid="{3B85651E-5DD4-4B45-8F2A-742D926304FA}" name="P2A" dataDxfId="1576"/>
    <tableColumn id="15" xr3:uid="{68216409-3034-4337-82D5-0CA157B2EF51}" name="P2p" dataDxfId="1575"/>
    <tableColumn id="16" xr3:uid="{A19A14A0-444C-404D-B309-6744C677E8C4}" name="P3M" dataDxfId="1574"/>
    <tableColumn id="17" xr3:uid="{7889B245-9ABD-4076-A026-7EDEAC70BE52}" name="P3A" dataDxfId="1573"/>
    <tableColumn id="18" xr3:uid="{B7F3E3CC-473C-47A4-B763-2952B879794B}" name="P3p" dataDxfId="1572"/>
    <tableColumn id="19" xr3:uid="{EC894F28-A314-4F19-8423-BF2E783F3F18}" name="FTM" dataDxfId="1571"/>
    <tableColumn id="20" xr3:uid="{FCC98E77-B0A1-4051-B9DA-69290C2EF860}" name="FTA" dataDxfId="1570"/>
    <tableColumn id="21" xr3:uid="{6C7664F9-44BA-4B3A-9A92-82EAC0B7F30B}" name="FTp" dataDxfId="1569"/>
    <tableColumn id="22" xr3:uid="{090F40AE-486E-4CCE-A6C0-C885D6E264A7}" name="ORB" dataDxfId="1568"/>
    <tableColumn id="23" xr3:uid="{C9D5F222-CC0B-4F27-A8FE-BDB01A055D43}" name="DRB" dataDxfId="1567"/>
    <tableColumn id="24" xr3:uid="{96D0893B-752F-4490-97AA-DEDE44ABAE04}" name="TRB" dataDxfId="1566"/>
    <tableColumn id="25" xr3:uid="{F5C06311-9569-4549-ACA8-B0D3022701F4}" name="AST" dataDxfId="1565"/>
    <tableColumn id="26" xr3:uid="{FA3A1FE9-F762-4F3C-9266-8F09C7D38DCC}" name="STL" dataDxfId="1564"/>
    <tableColumn id="27" xr3:uid="{DBBB7290-86C6-4723-AA74-E9963650080A}" name="BLK" dataDxfId="1563"/>
    <tableColumn id="28" xr3:uid="{AD76FC97-B007-4347-83BF-957D6C41BC0C}" name="TOV" dataDxfId="1562"/>
    <tableColumn id="29" xr3:uid="{76E730AE-29A3-43DA-9CE4-EB5CA396891D}" name="PF" dataDxfId="1561"/>
    <tableColumn id="30" xr3:uid="{557ACB81-5AB3-493B-A909-0119A8A32A54}" name="FGMop" dataDxfId="1560"/>
    <tableColumn id="31" xr3:uid="{574EE2A2-3883-4482-A899-FF3519248CB7}" name="FGAop" dataDxfId="1559"/>
    <tableColumn id="32" xr3:uid="{D5F29CC2-DD97-4622-90F5-AAC04092C780}" name="FGpop" dataDxfId="1558"/>
    <tableColumn id="33" xr3:uid="{3CDA8F44-0761-4C91-89E5-EEC5E5B38DB7}" name="P2Mop" dataDxfId="1557"/>
    <tableColumn id="34" xr3:uid="{598388E2-3A38-4342-8233-CFE19E902693}" name="P2Aop" dataDxfId="1556"/>
    <tableColumn id="35" xr3:uid="{AA063745-4500-4A9D-BF88-ECB12594186E}" name="P2pop" dataDxfId="1555"/>
    <tableColumn id="36" xr3:uid="{4CCD0561-FD23-4A7D-9C58-09BE99B9571A}" name="P3Mop" dataDxfId="1554"/>
    <tableColumn id="37" xr3:uid="{7076F77A-0391-4166-89D8-BFF39B770584}" name="P3Aop" dataDxfId="1553"/>
    <tableColumn id="38" xr3:uid="{14D87155-2C58-45EB-8BD5-0055C7494AAB}" name="P3pop" dataDxfId="1552"/>
    <tableColumn id="39" xr3:uid="{AB42AEC0-7D75-4D14-88E8-8B2ED34DFFBB}" name="FTMop" dataDxfId="1551"/>
    <tableColumn id="40" xr3:uid="{5CBE4284-D4AC-44F7-AF3F-E477D1D8C86C}" name="FTAop" dataDxfId="1550"/>
    <tableColumn id="41" xr3:uid="{768C450A-0BF1-456B-9478-3A9B5174ABB6}" name="FTpop" dataDxfId="1549"/>
    <tableColumn id="42" xr3:uid="{79DAA05B-4CD1-4AD9-8C27-9E6E1A46A7C7}" name="ORBop" dataDxfId="1548"/>
    <tableColumn id="43" xr3:uid="{2863251D-7A9E-4BFE-9800-0670C85CCC76}" name="DRBop" dataDxfId="1547"/>
    <tableColumn id="44" xr3:uid="{14047A0D-FFF4-4871-A8A0-1C032DA5A4EA}" name="TRBop" dataDxfId="1546"/>
    <tableColumn id="45" xr3:uid="{5F224026-1706-40E0-8B26-0A21160D354A}" name="ASTop" dataDxfId="1545"/>
    <tableColumn id="46" xr3:uid="{2B79C122-DC3F-4CDC-830D-21A5BFD350ED}" name="STLop" dataDxfId="1544"/>
    <tableColumn id="47" xr3:uid="{46164E34-C734-4CF0-B1BE-9557D9CC6CE1}" name="BLKop" dataDxfId="1543"/>
    <tableColumn id="48" xr3:uid="{E57262FD-E114-40B4-AA9C-14EAA7B141F0}" name="TOVop" dataDxfId="1542"/>
    <tableColumn id="49" xr3:uid="{690A686C-ADFE-4143-8681-DB76A5A2BF1D}" name="PFop" dataDxfId="1541"/>
    <tableColumn id="50" xr3:uid="{88FA0CC3-4730-47A1-B585-D3C6D3066D1C}" name="TS%" dataDxfId="1540"/>
    <tableColumn id="51" xr3:uid="{839CA26E-FD84-4F01-8029-AF23BBDCBB9C}" name="eFG%" dataDxfId="1539"/>
    <tableColumn id="52" xr3:uid="{18FC497D-B1E2-4EE9-9CE0-1CD762E9A402}" name="ORB%" dataDxfId="1538"/>
    <tableColumn id="53" xr3:uid="{EED1A9A5-0BAB-48C8-B89D-06BBB1E771C6}" name="DRB%" dataDxfId="1537"/>
    <tableColumn id="54" xr3:uid="{C3AFAC06-9738-47AB-A419-478223D596CF}" name="TRB%" dataDxfId="1536"/>
    <tableColumn id="55" xr3:uid="{EFEA7D9B-896B-4E87-A62D-6D9990CC0958}" name="Poss" dataDxfId="1535"/>
    <tableColumn id="56" xr3:uid="{46BD1836-0716-4851-872F-4ABA6900F483}" name="AST%" dataDxfId="1534"/>
    <tableColumn id="57" xr3:uid="{F05AA18A-2C10-440B-825C-813BFBD92842}" name="FTFGA%" dataDxfId="1533"/>
    <tableColumn id="58" xr3:uid="{858EC780-5CE0-47C3-A5A5-066F9EE4F04B}" name="TOV%" dataDxfId="1532"/>
    <tableColumn id="59" xr3:uid="{B3CA3A05-AB6F-4E90-9897-F4606A3334AA}" name="ORtg" dataDxfId="1531"/>
    <tableColumn id="60" xr3:uid="{50BB27D8-F07D-40F5-BD58-96A757ABF29E}" name="DRtg" dataDxfId="1530"/>
    <tableColumn id="61" xr3:uid="{0BED8138-C6AF-4FC2-9335-B66B938E2D2D}" name="Pace" dataDxfId="1529"/>
    <tableColumn id="62" xr3:uid="{9B35D068-25EF-47DE-9FE2-A55E883F8965}" name="TS%op" dataDxfId="1528"/>
    <tableColumn id="63" xr3:uid="{C6EAAAD2-AF7B-4513-88FA-FFA6F0EE9FE1}" name="eFG%op" dataDxfId="1527"/>
    <tableColumn id="64" xr3:uid="{AD5AE30A-444B-4923-A014-FD1FFACDB56B}" name="ORB%op" dataDxfId="1526"/>
    <tableColumn id="65" xr3:uid="{A46C71FA-4CA6-47B3-A284-62C6410FB078}" name="DRB%op" dataDxfId="1525"/>
    <tableColumn id="66" xr3:uid="{FF272D96-A683-4636-B743-9A24019CE96C}" name="TRB%op" dataDxfId="1524"/>
    <tableColumn id="67" xr3:uid="{6522A1BC-FFAB-4471-9B05-1136B6535A94}" name="Possop" dataDxfId="1523"/>
    <tableColumn id="68" xr3:uid="{AED5DF9E-8C19-4175-8DA5-577C1E2FC294}" name="AST%op" dataDxfId="1522"/>
    <tableColumn id="69" xr3:uid="{3BB91302-A8ED-455E-BEA9-AD50D66BC397}" name="FTFGA%op" dataDxfId="1521"/>
    <tableColumn id="70" xr3:uid="{1E074E34-3DFF-4451-821D-D61ABCB30972}" name="TOV%op" dataDxfId="1520"/>
    <tableColumn id="71" xr3:uid="{A435008E-6905-45F3-8605-0006B031DC48}" name="ORtgop" dataDxfId="1519"/>
    <tableColumn id="72" xr3:uid="{9BFF34E8-250B-4E96-9B9D-8292AFA2C872}" name="DRtgop" dataDxfId="1518"/>
    <tableColumn id="73" xr3:uid="{91641B62-9BEB-4F4C-BD65-C775E9F53ABE}" name="Q1H" dataDxfId="1517"/>
    <tableColumn id="74" xr3:uid="{40F85300-DD85-4118-9C6F-BBB7926DFCC7}" name="Q2H" dataDxfId="1516"/>
    <tableColumn id="75" xr3:uid="{5240ADBB-09BC-4700-9471-ECB67ADA5EA9}" name="Q3H" dataDxfId="1515"/>
    <tableColumn id="76" xr3:uid="{CC5DC130-DB7C-4DA4-9D46-C79AFD7690C4}" name="Q4H" dataDxfId="1514"/>
    <tableColumn id="77" xr3:uid="{0E25CDF3-FC77-495B-BF22-1B7E75E207B0}" name="Q1A" dataDxfId="1513"/>
    <tableColumn id="78" xr3:uid="{DC523C6F-53FF-48AF-ADEA-2BAC303ADE34}" name="Q2A" dataDxfId="1512"/>
    <tableColumn id="79" xr3:uid="{19345E99-B211-4F1C-8D2E-F6D46FDA8A1C}" name="Q3A" dataDxfId="1511"/>
    <tableColumn id="80" xr3:uid="{30221863-AE77-43EC-8F26-70571050F4DC}" name="Q4A" dataDxfId="1510"/>
    <tableColumn id="81" xr3:uid="{6A8B306B-E50E-45ED-94BB-4370622C4973}" name="FhalfH" dataDxfId="1509"/>
    <tableColumn id="82" xr3:uid="{4AFE6E29-EA28-4F41-9410-6B08B7B546C7}" name="ShalfH" dataDxfId="1508"/>
    <tableColumn id="83" xr3:uid="{8A1FBB77-5B5B-4879-8BE8-0C39418AFE95}" name="FhalfA" dataDxfId="1507"/>
    <tableColumn id="84" xr3:uid="{FDA02DB9-3EF5-4096-B12E-03BF7D8C4149}" name="ShalfA" dataDxfId="1506"/>
    <tableColumn id="85" xr3:uid="{64292141-81FF-42AF-873C-A6501852375D}" name="win" dataDxfId="1505"/>
    <tableColumn id="86" xr3:uid="{02D1EFBC-8F11-4508-9FA3-46D2B8BC472B}" name="lose" dataDxfId="1504"/>
    <tableColumn id="87" xr3:uid="{CB58B69A-4653-4AD7-932F-2609BE927497}" name="foraH" dataDxfId="1503"/>
    <tableColumn id="88" xr3:uid="{32D3BEAB-9A94-4301-87F1-95A258309C98}" name="foraA" dataDxfId="1502"/>
    <tableColumn id="89" xr3:uid="{67D8CC3D-194E-438E-9996-4D7F15401E60}" name="total" dataDxfId="1501"/>
    <tableColumn id="90" xr3:uid="{4424A400-F9B8-432B-8B72-04513C5796D1}" name="link" dataDxfId="1500"/>
    <tableColumn id="91" xr3:uid="{F10776DD-2D2D-469F-AC32-42354D3CC13A}" name="abbr" dataDxfId="1499">
      <calculatedColumnFormula>VLOOKUP(ilirija[[#This Row],[Away_team]],all[[Full name]:[Abbr]],3,FALSE)</calculatedColumnFormula>
    </tableColumn>
    <tableColumn id="92" xr3:uid="{D51A59F0-2154-4A2E-B7AF-B6CABBF7025E}" name="BetH" dataDxfId="1498">
      <calculatedColumnFormula>IF(OR(ilirija[[#This Row],[Result]]="w",ilirija[[#This Row],[Result]]="dw"),ilirija[[#This Row],[win]]-1,-1)</calculatedColumnFormula>
    </tableColumn>
    <tableColumn id="93" xr3:uid="{9B485ADD-50DF-4554-A638-716B4B55FA4D}" name="BetA" dataDxfId="1497">
      <calculatedColumnFormula>IF(OR(ilirija[[#This Row],[Result]]="L",ilirija[[#This Row],[Result]]="dl"),ilirija[[#This Row],[lose]]-1,-1)</calculatedColumnFormula>
    </tableColumn>
    <tableColumn id="94" xr3:uid="{86C51E9B-1CDA-46C8-A5E0-BD75BC36C0F6}" name="Tover" dataDxfId="1496">
      <calculatedColumnFormula>IF(OR((ilirija[[#This Row],[Home_scored]]+ilirija[[#This Row],[Away_scored]])&gt;ilirija[[#This Row],[total]],OR(ilirija[[#This Row],[Result]]="dw",ilirija[[#This Row],[Result]]="dl")),1,0)</calculatedColumnFormula>
    </tableColumn>
    <tableColumn id="95" xr3:uid="{03426A19-113B-41B4-9BCB-F8E8B5E0D18C}" name="Deviation" dataDxfId="1495">
      <calculatedColumnFormula>ABS((ilirija[[#This Row],[Home_scored]]+ilirija[[#This Row],[Away_scored]])-ilirija[[#This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321</v>
      </c>
      <c r="B4" s="2" t="s">
        <v>302</v>
      </c>
      <c r="C4" s="3" t="s">
        <v>73</v>
      </c>
      <c r="D4" s="3">
        <v>45930</v>
      </c>
      <c r="E4" s="2" t="s">
        <v>140</v>
      </c>
      <c r="F4" s="2" t="s">
        <v>320</v>
      </c>
      <c r="G4" s="2" t="s">
        <v>75</v>
      </c>
      <c r="H4" s="2">
        <v>85</v>
      </c>
      <c r="I4" s="2">
        <v>81</v>
      </c>
      <c r="J4" s="2">
        <v>31</v>
      </c>
      <c r="K4" s="2">
        <v>57</v>
      </c>
      <c r="L4" s="2">
        <v>0.54390000000000005</v>
      </c>
      <c r="M4" s="2">
        <v>23</v>
      </c>
      <c r="N4" s="2">
        <v>38</v>
      </c>
      <c r="O4" s="2">
        <v>0.60529999999999995</v>
      </c>
      <c r="P4" s="2">
        <v>8</v>
      </c>
      <c r="Q4" s="2">
        <v>19</v>
      </c>
      <c r="R4" s="2">
        <v>0.42109999999999997</v>
      </c>
      <c r="S4" s="2">
        <v>15</v>
      </c>
      <c r="T4" s="2">
        <v>21</v>
      </c>
      <c r="U4" s="2">
        <v>0.71430000000000005</v>
      </c>
      <c r="V4" s="2">
        <v>5</v>
      </c>
      <c r="W4" s="2">
        <v>29</v>
      </c>
      <c r="X4" s="2">
        <v>34</v>
      </c>
      <c r="Y4" s="2">
        <v>15</v>
      </c>
      <c r="Z4" s="2">
        <v>4</v>
      </c>
      <c r="AA4" s="2">
        <v>1</v>
      </c>
      <c r="AB4" s="2">
        <v>15</v>
      </c>
      <c r="AC4" s="2">
        <v>21</v>
      </c>
      <c r="AD4" s="2">
        <v>29</v>
      </c>
      <c r="AE4" s="2">
        <v>67</v>
      </c>
      <c r="AF4" s="2">
        <v>0.43280000000000002</v>
      </c>
      <c r="AG4" s="2">
        <v>21</v>
      </c>
      <c r="AH4" s="2">
        <v>39</v>
      </c>
      <c r="AI4" s="2">
        <v>0.53849999999999998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25</v>
      </c>
      <c r="AO4" s="2">
        <v>0.6</v>
      </c>
      <c r="AP4" s="2">
        <v>11</v>
      </c>
      <c r="AQ4" s="2">
        <v>24</v>
      </c>
      <c r="AR4" s="2">
        <v>35</v>
      </c>
      <c r="AS4" s="2">
        <v>20</v>
      </c>
      <c r="AT4" s="2">
        <v>10</v>
      </c>
      <c r="AU4" s="2">
        <v>1</v>
      </c>
      <c r="AV4" s="2">
        <v>9</v>
      </c>
      <c r="AW4" s="2">
        <v>20</v>
      </c>
      <c r="AX4" s="2">
        <v>0.64159999999999995</v>
      </c>
      <c r="AY4" s="2">
        <v>0.61399999999999999</v>
      </c>
      <c r="AZ4" s="2">
        <v>0.1724</v>
      </c>
      <c r="BA4" s="2">
        <v>0.72499999999999998</v>
      </c>
      <c r="BB4" s="2">
        <v>0.49280000000000002</v>
      </c>
      <c r="BC4" s="4">
        <v>76.308999999999997</v>
      </c>
      <c r="BD4" s="2">
        <v>0.4839</v>
      </c>
      <c r="BE4" s="2">
        <v>0.26319999999999999</v>
      </c>
      <c r="BF4" s="2">
        <v>0.18459999999999999</v>
      </c>
      <c r="BG4" s="2">
        <v>113.7</v>
      </c>
      <c r="BH4" s="2">
        <v>108.3</v>
      </c>
      <c r="BI4" s="2">
        <v>74.765000000000001</v>
      </c>
      <c r="BJ4" s="2">
        <v>0.51919999999999999</v>
      </c>
      <c r="BK4" s="2">
        <v>0.49249999999999999</v>
      </c>
      <c r="BL4" s="2">
        <v>0.27500000000000002</v>
      </c>
      <c r="BM4" s="2">
        <v>0.8276</v>
      </c>
      <c r="BN4" s="2">
        <v>0.50719999999999998</v>
      </c>
      <c r="BO4" s="4">
        <v>73.221000000000004</v>
      </c>
      <c r="BP4" s="2">
        <v>0.68969999999999998</v>
      </c>
      <c r="BQ4" s="2">
        <v>0.22389999999999999</v>
      </c>
      <c r="BR4" s="2">
        <v>0.10340000000000001</v>
      </c>
      <c r="BS4" s="2">
        <v>108.3</v>
      </c>
      <c r="BT4" s="2">
        <v>113.7</v>
      </c>
      <c r="BU4" s="2">
        <v>20</v>
      </c>
      <c r="BV4" s="2">
        <v>29</v>
      </c>
      <c r="BW4" s="2">
        <v>21</v>
      </c>
      <c r="BX4" s="2">
        <v>15</v>
      </c>
      <c r="BY4" s="2">
        <v>27</v>
      </c>
      <c r="BZ4" s="2">
        <v>22</v>
      </c>
      <c r="CA4" s="2">
        <v>16</v>
      </c>
      <c r="CB4" s="2">
        <v>16</v>
      </c>
      <c r="CC4" s="2">
        <v>49</v>
      </c>
      <c r="CD4" s="2">
        <v>36</v>
      </c>
      <c r="CE4" s="2">
        <v>49</v>
      </c>
      <c r="CF4" s="2">
        <v>32</v>
      </c>
      <c r="CG4" s="2">
        <v>3.2</v>
      </c>
      <c r="CH4" s="2">
        <v>1.37</v>
      </c>
      <c r="CI4" s="2">
        <v>5.5</v>
      </c>
      <c r="CJ4" s="2">
        <v>-5.5</v>
      </c>
      <c r="CK4" s="2">
        <v>159.5</v>
      </c>
      <c r="CL4" s="2" t="s">
        <v>336</v>
      </c>
      <c r="CM4" s="4" t="e">
        <f>VLOOKUP(borac[[#This Row],[Away_team]],all[[Full name]:[Abbr]],3,FALSE)</f>
        <v>#N/A</v>
      </c>
      <c r="CN4" s="4">
        <f>IF(OR(borac[[#This Row],[Result]]="w",borac[[#This Row],[Result]]="dw"),borac[[#This Row],[win]]-1,-1)</f>
        <v>2.2000000000000002</v>
      </c>
      <c r="CO4" s="4">
        <f>IF(OR(borac[[#This Row],[Result]]="L",borac[[#This Row],[Result]]="dl"),borac[[#This Row],[lose]]-1,-1)</f>
        <v>-1</v>
      </c>
      <c r="CP4" s="4">
        <f>IF(OR((borac[[#This Row],[Home_scored]]+borac[[#This Row],[Away_scored]])&gt;borac[[#This Row],[total]],OR(borac[[#This Row],[Result]]="dw",borac[[#This Row],[Result]]="dl")),1,0)</f>
        <v>1</v>
      </c>
      <c r="CQ4" s="4">
        <f>ABS((borac[[#This Row],[Home_scored]]+borac[[#This Row],[Away_scored]])-borac[[#This Row],[total]])+0.5</f>
        <v>7</v>
      </c>
    </row>
  </sheetData>
  <phoneticPr fontId="11" type="noConversion"/>
  <conditionalFormatting sqref="A4">
    <cfRule type="expression" dxfId="411" priority="4">
      <formula>SUMPRODUCT(--ISERROR(B4:CL4))&gt;0</formula>
    </cfRule>
  </conditionalFormatting>
  <conditionalFormatting sqref="B4">
    <cfRule type="uniqueValues" dxfId="410" priority="431"/>
  </conditionalFormatting>
  <conditionalFormatting sqref="D4">
    <cfRule type="duplicateValues" dxfId="409" priority="432"/>
  </conditionalFormatting>
  <conditionalFormatting sqref="H4">
    <cfRule type="expression" dxfId="408" priority="6">
      <formula>H4=BU4+BV4+BW4+BX4</formula>
    </cfRule>
  </conditionalFormatting>
  <conditionalFormatting sqref="I4">
    <cfRule type="expression" dxfId="40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315</v>
      </c>
      <c r="C4" s="2" t="s">
        <v>73</v>
      </c>
      <c r="D4" s="3">
        <v>45930</v>
      </c>
      <c r="E4" s="2" t="s">
        <v>140</v>
      </c>
      <c r="F4" s="2" t="s">
        <v>314</v>
      </c>
      <c r="G4" s="2" t="s">
        <v>75</v>
      </c>
      <c r="H4" s="2">
        <v>100</v>
      </c>
      <c r="I4" s="2">
        <v>85</v>
      </c>
      <c r="J4" s="2">
        <v>34</v>
      </c>
      <c r="K4" s="2">
        <v>60</v>
      </c>
      <c r="L4" s="2">
        <v>0.56669999999999998</v>
      </c>
      <c r="M4" s="2">
        <v>27</v>
      </c>
      <c r="N4" s="2">
        <v>37</v>
      </c>
      <c r="O4" s="2">
        <v>0.72970000000000002</v>
      </c>
      <c r="P4" s="2">
        <v>7</v>
      </c>
      <c r="Q4" s="2">
        <v>23</v>
      </c>
      <c r="R4" s="2">
        <v>0.30430000000000001</v>
      </c>
      <c r="S4" s="2">
        <v>25</v>
      </c>
      <c r="T4" s="2">
        <v>28</v>
      </c>
      <c r="U4" s="2">
        <v>0.89290000000000003</v>
      </c>
      <c r="V4" s="2">
        <v>10</v>
      </c>
      <c r="W4" s="2">
        <v>30</v>
      </c>
      <c r="X4" s="2">
        <v>40</v>
      </c>
      <c r="Y4" s="2">
        <v>18</v>
      </c>
      <c r="Z4" s="2">
        <v>6</v>
      </c>
      <c r="AA4" s="2">
        <v>5</v>
      </c>
      <c r="AB4" s="2">
        <v>14</v>
      </c>
      <c r="AC4" s="2">
        <v>21</v>
      </c>
      <c r="AD4" s="2">
        <v>28</v>
      </c>
      <c r="AE4" s="2">
        <v>74</v>
      </c>
      <c r="AF4" s="2">
        <v>0.37840000000000001</v>
      </c>
      <c r="AG4" s="2">
        <v>18</v>
      </c>
      <c r="AH4" s="2">
        <v>40</v>
      </c>
      <c r="AI4" s="2">
        <v>0.45</v>
      </c>
      <c r="AJ4" s="2">
        <v>10</v>
      </c>
      <c r="AK4" s="2">
        <v>34</v>
      </c>
      <c r="AL4" s="2">
        <v>0.29409999999999997</v>
      </c>
      <c r="AM4" s="2">
        <v>19</v>
      </c>
      <c r="AN4" s="2">
        <v>28</v>
      </c>
      <c r="AO4" s="2">
        <v>0.67859999999999998</v>
      </c>
      <c r="AP4" s="2">
        <v>22</v>
      </c>
      <c r="AQ4" s="2">
        <v>16</v>
      </c>
      <c r="AR4" s="2">
        <v>38</v>
      </c>
      <c r="AS4" s="2">
        <v>15</v>
      </c>
      <c r="AT4" s="2">
        <v>7</v>
      </c>
      <c r="AU4" s="2">
        <v>1</v>
      </c>
      <c r="AV4" s="2">
        <v>13</v>
      </c>
      <c r="AW4" s="2">
        <v>26</v>
      </c>
      <c r="AX4" s="2">
        <v>0.69140000000000001</v>
      </c>
      <c r="AY4" s="2">
        <v>0.625</v>
      </c>
      <c r="AZ4" s="2">
        <v>0.3846</v>
      </c>
      <c r="BA4" s="2">
        <v>0.57689999999999997</v>
      </c>
      <c r="BB4" s="2">
        <v>0.51280000000000003</v>
      </c>
      <c r="BC4" s="4">
        <v>78.245000000000005</v>
      </c>
      <c r="BD4" s="2">
        <v>0.52939999999999998</v>
      </c>
      <c r="BE4" s="2">
        <v>0.41670000000000001</v>
      </c>
      <c r="BF4" s="2">
        <v>0.16220000000000001</v>
      </c>
      <c r="BG4" s="2">
        <v>135.19999999999999</v>
      </c>
      <c r="BH4" s="2">
        <v>114.9</v>
      </c>
      <c r="BI4" s="2">
        <v>73.974500000000006</v>
      </c>
      <c r="BJ4" s="2">
        <v>0.4924</v>
      </c>
      <c r="BK4" s="2">
        <v>0.44590000000000002</v>
      </c>
      <c r="BL4" s="2">
        <v>0.42309999999999998</v>
      </c>
      <c r="BM4" s="2">
        <v>0.61539999999999995</v>
      </c>
      <c r="BN4" s="2">
        <v>0.48720000000000002</v>
      </c>
      <c r="BO4" s="4">
        <v>69.703999999999994</v>
      </c>
      <c r="BP4" s="2">
        <v>0.53569999999999995</v>
      </c>
      <c r="BQ4" s="2">
        <v>0.25679999999999997</v>
      </c>
      <c r="BR4" s="2">
        <v>0.13089999999999999</v>
      </c>
      <c r="BS4" s="2">
        <v>114.9</v>
      </c>
      <c r="BT4" s="2">
        <v>135.19999999999999</v>
      </c>
      <c r="BU4" s="2">
        <v>32</v>
      </c>
      <c r="BV4" s="2">
        <v>21</v>
      </c>
      <c r="BW4" s="2">
        <v>21</v>
      </c>
      <c r="BX4" s="2">
        <v>26</v>
      </c>
      <c r="BY4" s="2">
        <v>26</v>
      </c>
      <c r="BZ4" s="2">
        <v>24</v>
      </c>
      <c r="CA4" s="2">
        <v>18</v>
      </c>
      <c r="CB4" s="2">
        <v>17</v>
      </c>
      <c r="CC4" s="2">
        <v>53</v>
      </c>
      <c r="CD4" s="2">
        <v>47</v>
      </c>
      <c r="CE4" s="2">
        <v>50</v>
      </c>
      <c r="CF4" s="2">
        <v>35</v>
      </c>
      <c r="CG4" s="2">
        <v>1.33</v>
      </c>
      <c r="CH4" s="2">
        <v>3.4</v>
      </c>
      <c r="CI4" s="2">
        <v>-5.5</v>
      </c>
      <c r="CJ4" s="2">
        <v>5.5</v>
      </c>
      <c r="CK4" s="2">
        <v>171.5</v>
      </c>
      <c r="CL4" s="2" t="s">
        <v>335</v>
      </c>
      <c r="CM4" s="4" t="e">
        <f>VLOOKUP(bosna[[#This Row],[Away_team]],all[[Full name]:[Abbr]],3,FALSE)</f>
        <v>#N/A</v>
      </c>
      <c r="CN4" s="4">
        <f>IF(OR(bosna[[#This Row],[Result]]="w",bosna[[#This Row],[Result]]="dw"),bosna[[#This Row],[win]]-1,-1)</f>
        <v>0.33000000000000007</v>
      </c>
      <c r="CO4" s="4">
        <f>IF(OR(bosna[[#This Row],[Result]]="L",bosna[[#This Row],[Result]]="dl"),bosna[[#This Row],[lose]]-1,-1)</f>
        <v>-1</v>
      </c>
      <c r="CP4" s="4">
        <f>IF(OR((bosna[[#This Row],[Home_scored]]+bosna[[#This Row],[Away_scored]])&gt;bosna[[#This Row],[total]],OR(bosna[[#This Row],[Result]]="dw",bosna[[#This Row],[Result]]="dl")),1,0)</f>
        <v>1</v>
      </c>
      <c r="CQ4" s="4">
        <f>ABS((bosna[[#This Row],[Home_scored]]+bosna[[#This Row],[Away_scored]])-bosna[[#This Row],[total]])+0.5</f>
        <v>14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428"/>
  </conditionalFormatting>
  <conditionalFormatting sqref="D4">
    <cfRule type="duplicateValues" dxfId="364" priority="429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316</v>
      </c>
      <c r="C4" s="3" t="s">
        <v>73</v>
      </c>
      <c r="D4" s="3">
        <v>45931</v>
      </c>
      <c r="E4" s="2" t="s">
        <v>74</v>
      </c>
      <c r="F4" s="2" t="s">
        <v>304</v>
      </c>
      <c r="G4" s="2" t="s">
        <v>75</v>
      </c>
      <c r="H4" s="2">
        <v>85</v>
      </c>
      <c r="I4" s="2">
        <v>79</v>
      </c>
      <c r="J4" s="2">
        <v>30</v>
      </c>
      <c r="K4" s="2">
        <v>60</v>
      </c>
      <c r="L4" s="2">
        <v>0.5</v>
      </c>
      <c r="M4" s="2">
        <v>20</v>
      </c>
      <c r="N4" s="2">
        <v>38</v>
      </c>
      <c r="O4" s="2">
        <v>0.52629999999999999</v>
      </c>
      <c r="P4" s="2">
        <v>10</v>
      </c>
      <c r="Q4" s="2">
        <v>22</v>
      </c>
      <c r="R4" s="2">
        <v>0.45450000000000002</v>
      </c>
      <c r="S4" s="2">
        <v>15</v>
      </c>
      <c r="T4" s="2">
        <v>16</v>
      </c>
      <c r="U4" s="2">
        <v>0.9375</v>
      </c>
      <c r="V4" s="2">
        <v>6</v>
      </c>
      <c r="W4" s="2">
        <v>29</v>
      </c>
      <c r="X4" s="2">
        <v>35</v>
      </c>
      <c r="Y4" s="2">
        <v>19</v>
      </c>
      <c r="Z4" s="2">
        <v>5</v>
      </c>
      <c r="AA4" s="2">
        <v>1</v>
      </c>
      <c r="AB4" s="2">
        <v>14</v>
      </c>
      <c r="AC4" s="2">
        <v>20</v>
      </c>
      <c r="AD4" s="2">
        <v>29</v>
      </c>
      <c r="AE4" s="2">
        <v>58</v>
      </c>
      <c r="AF4" s="2">
        <v>0.5</v>
      </c>
      <c r="AG4" s="2">
        <v>20</v>
      </c>
      <c r="AH4" s="2">
        <v>26</v>
      </c>
      <c r="AI4" s="2">
        <v>0.76919999999999999</v>
      </c>
      <c r="AJ4" s="2">
        <v>9</v>
      </c>
      <c r="AK4" s="2">
        <v>32</v>
      </c>
      <c r="AL4" s="2">
        <v>0.28129999999999999</v>
      </c>
      <c r="AM4" s="2">
        <v>12</v>
      </c>
      <c r="AN4" s="2">
        <v>15</v>
      </c>
      <c r="AO4" s="2">
        <v>0.8</v>
      </c>
      <c r="AP4" s="2">
        <v>6</v>
      </c>
      <c r="AQ4" s="2">
        <v>23</v>
      </c>
      <c r="AR4" s="2">
        <v>29</v>
      </c>
      <c r="AS4" s="2">
        <v>18</v>
      </c>
      <c r="AT4" s="2">
        <v>10</v>
      </c>
      <c r="AU4" s="2">
        <v>3</v>
      </c>
      <c r="AV4" s="2">
        <v>12</v>
      </c>
      <c r="AW4" s="2">
        <v>23</v>
      </c>
      <c r="AX4" s="2">
        <v>0.63390000000000002</v>
      </c>
      <c r="AY4" s="2">
        <v>0.58330000000000004</v>
      </c>
      <c r="AZ4" s="2">
        <v>0.2069</v>
      </c>
      <c r="BA4" s="2">
        <v>0.8286</v>
      </c>
      <c r="BB4" s="2">
        <v>0.54690000000000005</v>
      </c>
      <c r="BC4" s="4">
        <v>74.897000000000006</v>
      </c>
      <c r="BD4" s="2">
        <v>0.63329999999999997</v>
      </c>
      <c r="BE4" s="2">
        <v>0.25</v>
      </c>
      <c r="BF4" s="2">
        <v>0.17280000000000001</v>
      </c>
      <c r="BG4" s="2">
        <v>117.7</v>
      </c>
      <c r="BH4" s="2">
        <v>109.4</v>
      </c>
      <c r="BI4" s="2">
        <v>72.238500000000002</v>
      </c>
      <c r="BJ4" s="2">
        <v>0.61150000000000004</v>
      </c>
      <c r="BK4" s="2">
        <v>0.5776</v>
      </c>
      <c r="BL4" s="2">
        <v>0.1714</v>
      </c>
      <c r="BM4" s="2">
        <v>0.79310000000000003</v>
      </c>
      <c r="BN4" s="2">
        <v>0.4531</v>
      </c>
      <c r="BO4" s="4">
        <v>69.58</v>
      </c>
      <c r="BP4" s="2">
        <v>0.62070000000000003</v>
      </c>
      <c r="BQ4" s="2">
        <v>0.2069</v>
      </c>
      <c r="BR4" s="2">
        <v>0.15670000000000001</v>
      </c>
      <c r="BS4" s="2">
        <v>109.4</v>
      </c>
      <c r="BT4" s="2">
        <v>117.7</v>
      </c>
      <c r="BU4" s="2">
        <v>22</v>
      </c>
      <c r="BV4" s="2">
        <v>13</v>
      </c>
      <c r="BW4" s="2">
        <v>20</v>
      </c>
      <c r="BX4" s="2">
        <v>30</v>
      </c>
      <c r="BY4" s="2">
        <v>19</v>
      </c>
      <c r="BZ4" s="2">
        <v>24</v>
      </c>
      <c r="CA4" s="2">
        <v>14</v>
      </c>
      <c r="CB4" s="2">
        <v>22</v>
      </c>
      <c r="CC4" s="2">
        <v>35</v>
      </c>
      <c r="CD4" s="2">
        <v>50</v>
      </c>
      <c r="CE4" s="2">
        <v>43</v>
      </c>
      <c r="CF4" s="2">
        <v>36</v>
      </c>
      <c r="CG4" s="2">
        <v>2.9</v>
      </c>
      <c r="CH4" s="2">
        <v>1.43</v>
      </c>
      <c r="CI4" s="2">
        <v>5.5</v>
      </c>
      <c r="CJ4" s="2">
        <v>-5.5</v>
      </c>
      <c r="CK4" s="2">
        <v>167.5</v>
      </c>
      <c r="CL4" s="2" t="s">
        <v>337</v>
      </c>
      <c r="CM4" s="4" t="e">
        <f>VLOOKUP(krka[[#This Row],[Away_team]],all[[Full name]:[Abbr]],3,FALSE)</f>
        <v>#N/A</v>
      </c>
      <c r="CN4" s="4">
        <f>IF(OR(krka[[#This Row],[Result]]="w",krka[[#This Row],[Result]]="dw"),krka[[#This Row],[win]]-1,-1)</f>
        <v>1.9</v>
      </c>
      <c r="CO4" s="4">
        <f>IF(OR(krka[[#This Row],[Result]]="L",krka[[#This Row],[Result]]="dl"),krka[[#This Row],[lose]]-1,-1)</f>
        <v>-1</v>
      </c>
      <c r="CP4" s="4">
        <f>IF(OR((krka[[#This Row],[Home_scored]]+krka[[#This Row],[Away_scored]])&gt;krka[[#This Row],[total]],OR(krka[[#This Row],[Result]]="dw",krka[[#This Row],[Result]]="dl")),1,0)</f>
        <v>0</v>
      </c>
      <c r="CQ4" s="4">
        <f>ABS((krka[[#This Row],[Home_scored]]+krka[[#This Row],[Away_scored]])-krka[[#This Row],[total]])+0.5</f>
        <v>4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395"/>
  </conditionalFormatting>
  <conditionalFormatting sqref="D4">
    <cfRule type="duplicateValues" dxfId="359" priority="396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328</v>
      </c>
      <c r="C4" s="2" t="s">
        <v>73</v>
      </c>
      <c r="D4" s="3">
        <v>45932</v>
      </c>
      <c r="E4" s="2" t="s">
        <v>74</v>
      </c>
      <c r="F4" s="2" t="s">
        <v>306</v>
      </c>
      <c r="G4" s="2" t="s">
        <v>139</v>
      </c>
      <c r="H4" s="2">
        <v>59</v>
      </c>
      <c r="I4" s="2">
        <v>86</v>
      </c>
      <c r="J4" s="2">
        <v>24</v>
      </c>
      <c r="K4" s="2">
        <v>65</v>
      </c>
      <c r="L4" s="2">
        <v>0.36919999999999997</v>
      </c>
      <c r="M4" s="2">
        <v>17</v>
      </c>
      <c r="N4" s="2">
        <v>42</v>
      </c>
      <c r="O4" s="2">
        <v>0.40479999999999999</v>
      </c>
      <c r="P4" s="2">
        <v>7</v>
      </c>
      <c r="Q4" s="2">
        <v>23</v>
      </c>
      <c r="R4" s="2">
        <v>0.30430000000000001</v>
      </c>
      <c r="S4" s="2">
        <v>4</v>
      </c>
      <c r="T4" s="2">
        <v>11</v>
      </c>
      <c r="U4" s="2">
        <v>0.36359999999999998</v>
      </c>
      <c r="V4" s="2">
        <v>13</v>
      </c>
      <c r="W4" s="2">
        <v>22</v>
      </c>
      <c r="X4" s="2">
        <v>35</v>
      </c>
      <c r="Y4" s="2">
        <v>11</v>
      </c>
      <c r="Z4" s="2">
        <v>7</v>
      </c>
      <c r="AA4" s="2">
        <v>3</v>
      </c>
      <c r="AB4" s="2">
        <v>15</v>
      </c>
      <c r="AC4" s="2">
        <v>23</v>
      </c>
      <c r="AD4" s="2">
        <v>31</v>
      </c>
      <c r="AE4" s="2">
        <v>61</v>
      </c>
      <c r="AF4" s="2">
        <v>0.50819999999999999</v>
      </c>
      <c r="AG4" s="2">
        <v>21</v>
      </c>
      <c r="AH4" s="2">
        <v>39</v>
      </c>
      <c r="AI4" s="2">
        <v>0.53849999999999998</v>
      </c>
      <c r="AJ4" s="2">
        <v>10</v>
      </c>
      <c r="AK4" s="2">
        <v>22</v>
      </c>
      <c r="AL4" s="2">
        <v>0.45450000000000002</v>
      </c>
      <c r="AM4" s="2">
        <v>14</v>
      </c>
      <c r="AN4" s="2">
        <v>18</v>
      </c>
      <c r="AO4" s="2">
        <v>0.77780000000000005</v>
      </c>
      <c r="AP4" s="2">
        <v>8</v>
      </c>
      <c r="AQ4" s="2">
        <v>33</v>
      </c>
      <c r="AR4" s="2">
        <v>41</v>
      </c>
      <c r="AS4" s="2">
        <v>17</v>
      </c>
      <c r="AT4" s="2">
        <v>6</v>
      </c>
      <c r="AU4" s="2">
        <v>3</v>
      </c>
      <c r="AV4" s="2">
        <v>12</v>
      </c>
      <c r="AW4" s="2">
        <v>23</v>
      </c>
      <c r="AX4" s="2">
        <v>0.4224</v>
      </c>
      <c r="AY4" s="2">
        <v>0.42309999999999998</v>
      </c>
      <c r="AZ4" s="2">
        <v>0.28260000000000002</v>
      </c>
      <c r="BA4" s="2">
        <v>0.73329999999999995</v>
      </c>
      <c r="BB4" s="2">
        <v>0.46050000000000002</v>
      </c>
      <c r="BC4" s="4">
        <v>68.105000000000004</v>
      </c>
      <c r="BD4" s="2">
        <v>0.45829999999999999</v>
      </c>
      <c r="BE4" s="2">
        <v>6.1499999999999999E-2</v>
      </c>
      <c r="BF4" s="2">
        <v>0.17680000000000001</v>
      </c>
      <c r="BG4" s="2">
        <v>83.1</v>
      </c>
      <c r="BH4" s="2">
        <v>121.1</v>
      </c>
      <c r="BI4" s="2">
        <v>71.021000000000001</v>
      </c>
      <c r="BJ4" s="2">
        <v>0.62390000000000001</v>
      </c>
      <c r="BK4" s="2">
        <v>0.59019999999999995</v>
      </c>
      <c r="BL4" s="2">
        <v>0.26669999999999999</v>
      </c>
      <c r="BM4" s="2">
        <v>0.71740000000000004</v>
      </c>
      <c r="BN4" s="2">
        <v>0.53949999999999998</v>
      </c>
      <c r="BO4" s="4">
        <v>73.936999999999998</v>
      </c>
      <c r="BP4" s="2">
        <v>0.5484</v>
      </c>
      <c r="BQ4" s="2">
        <v>0.22950000000000001</v>
      </c>
      <c r="BR4" s="2">
        <v>0.14829999999999999</v>
      </c>
      <c r="BS4" s="2">
        <v>121.1</v>
      </c>
      <c r="BT4" s="2">
        <v>83.1</v>
      </c>
      <c r="BU4" s="2">
        <v>12</v>
      </c>
      <c r="BV4" s="2">
        <v>13</v>
      </c>
      <c r="BW4" s="2">
        <v>16</v>
      </c>
      <c r="BX4" s="2">
        <v>18</v>
      </c>
      <c r="BY4" s="2">
        <v>20</v>
      </c>
      <c r="BZ4" s="2">
        <v>26</v>
      </c>
      <c r="CA4" s="2">
        <v>20</v>
      </c>
      <c r="CB4" s="2">
        <v>20</v>
      </c>
      <c r="CC4" s="2">
        <v>25</v>
      </c>
      <c r="CD4" s="2">
        <v>34</v>
      </c>
      <c r="CE4" s="2">
        <v>46</v>
      </c>
      <c r="CF4" s="2">
        <v>40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342</v>
      </c>
      <c r="CM4" s="4" t="str">
        <f>VLOOKUP(mega[[#This Row],[Away_team]],all[[Full name]:[Abbr]],3,FALSE)</f>
        <v>BUD</v>
      </c>
      <c r="CN4" s="4">
        <f>IF(OR(mega[[#This Row],[Result]]="w",mega[[#This Row],[Result]]="dw"),mega[[#This Row],[win]]-1,-1)</f>
        <v>-1</v>
      </c>
      <c r="CO4" s="4">
        <f>IF(OR(mega[[#This Row],[Result]]="L",mega[[#This Row],[Result]]="dl"),mega[[#This Row],[lose]]-1,-1)</f>
        <v>0.5</v>
      </c>
      <c r="CP4" s="4">
        <f>IF(OR((mega[[#This Row],[Home_scored]]+mega[[#This Row],[Away_scored]])&gt;mega[[#This Row],[total]],OR(mega[[#This Row],[Result]]="dw",mega[[#This Row],[Result]]="dl")),1,0)</f>
        <v>0</v>
      </c>
      <c r="CQ4" s="4">
        <f>ABS((mega[[#This Row],[Home_scored]]+mega[[#This Row],[Away_scored]])-mega[[#This Row],[total]])+0.5</f>
        <v>22</v>
      </c>
    </row>
  </sheetData>
  <conditionalFormatting sqref="A4">
    <cfRule type="expression" dxfId="356" priority="1">
      <formula>SUMPRODUCT(--ISERROR(B4:CL4))&gt;0</formula>
    </cfRule>
  </conditionalFormatting>
  <conditionalFormatting sqref="B4">
    <cfRule type="uniqueValues" dxfId="355" priority="398"/>
  </conditionalFormatting>
  <conditionalFormatting sqref="D4">
    <cfRule type="duplicateValues" dxfId="354" priority="399"/>
  </conditionalFormatting>
  <conditionalFormatting sqref="H4">
    <cfRule type="expression" dxfId="353" priority="3">
      <formula>H4=BU4+BV4+BW4+BX4</formula>
    </cfRule>
  </conditionalFormatting>
  <conditionalFormatting sqref="I4">
    <cfRule type="expression" dxfId="35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329</v>
      </c>
      <c r="C4" s="3" t="s">
        <v>73</v>
      </c>
      <c r="D4" s="3">
        <v>45931</v>
      </c>
      <c r="E4" s="2" t="s">
        <v>140</v>
      </c>
      <c r="F4" s="2" t="s">
        <v>309</v>
      </c>
      <c r="G4" s="2" t="s">
        <v>139</v>
      </c>
      <c r="H4" s="2">
        <v>69</v>
      </c>
      <c r="I4" s="2">
        <v>76</v>
      </c>
      <c r="J4" s="2">
        <v>26</v>
      </c>
      <c r="K4" s="2">
        <v>54</v>
      </c>
      <c r="L4" s="2">
        <v>0.48149999999999998</v>
      </c>
      <c r="M4" s="2">
        <v>17</v>
      </c>
      <c r="N4" s="2">
        <v>38</v>
      </c>
      <c r="O4" s="2">
        <v>0.44740000000000002</v>
      </c>
      <c r="P4" s="2">
        <v>9</v>
      </c>
      <c r="Q4" s="2">
        <v>16</v>
      </c>
      <c r="R4" s="2">
        <v>0.5625</v>
      </c>
      <c r="S4" s="2">
        <v>8</v>
      </c>
      <c r="T4" s="2">
        <v>13</v>
      </c>
      <c r="U4" s="2">
        <v>0.61539999999999995</v>
      </c>
      <c r="V4" s="2">
        <v>8</v>
      </c>
      <c r="W4" s="2">
        <v>25</v>
      </c>
      <c r="X4" s="2">
        <v>33</v>
      </c>
      <c r="Y4" s="2">
        <v>17</v>
      </c>
      <c r="Z4" s="2">
        <v>7</v>
      </c>
      <c r="AA4" s="2">
        <v>4</v>
      </c>
      <c r="AB4" s="2">
        <v>22</v>
      </c>
      <c r="AC4" s="2">
        <v>29</v>
      </c>
      <c r="AD4" s="2">
        <v>22</v>
      </c>
      <c r="AE4" s="2">
        <v>58</v>
      </c>
      <c r="AF4" s="2">
        <v>0.37930000000000003</v>
      </c>
      <c r="AG4" s="2">
        <v>16</v>
      </c>
      <c r="AH4" s="2">
        <v>37</v>
      </c>
      <c r="AI4" s="2">
        <v>0.43240000000000001</v>
      </c>
      <c r="AJ4" s="2">
        <v>6</v>
      </c>
      <c r="AK4" s="2">
        <v>21</v>
      </c>
      <c r="AL4" s="2">
        <v>0.28570000000000001</v>
      </c>
      <c r="AM4" s="2">
        <v>26</v>
      </c>
      <c r="AN4" s="2">
        <v>29</v>
      </c>
      <c r="AO4" s="2">
        <v>0.89659999999999995</v>
      </c>
      <c r="AP4" s="2">
        <v>11</v>
      </c>
      <c r="AQ4" s="2">
        <v>23</v>
      </c>
      <c r="AR4" s="2">
        <v>34</v>
      </c>
      <c r="AS4" s="2">
        <v>12</v>
      </c>
      <c r="AT4" s="2">
        <v>13</v>
      </c>
      <c r="AU4" s="2">
        <v>0</v>
      </c>
      <c r="AV4" s="2">
        <v>15</v>
      </c>
      <c r="AW4" s="2">
        <v>21</v>
      </c>
      <c r="AX4" s="2">
        <v>0.57769999999999999</v>
      </c>
      <c r="AY4" s="2">
        <v>0.56479999999999997</v>
      </c>
      <c r="AZ4" s="2">
        <v>0.2581</v>
      </c>
      <c r="BA4" s="2">
        <v>0.69440000000000002</v>
      </c>
      <c r="BB4" s="2">
        <v>0.49249999999999999</v>
      </c>
      <c r="BC4" s="4">
        <v>73.936999999999998</v>
      </c>
      <c r="BD4" s="2">
        <v>0.65380000000000005</v>
      </c>
      <c r="BE4" s="2">
        <v>0.14810000000000001</v>
      </c>
      <c r="BF4" s="2">
        <v>0.26919999999999999</v>
      </c>
      <c r="BG4" s="2">
        <v>94.5</v>
      </c>
      <c r="BH4" s="2">
        <v>104.1</v>
      </c>
      <c r="BI4" s="2">
        <v>73.037499999999994</v>
      </c>
      <c r="BJ4" s="2">
        <v>0.53700000000000003</v>
      </c>
      <c r="BK4" s="2">
        <v>0.43099999999999999</v>
      </c>
      <c r="BL4" s="2">
        <v>0.30559999999999998</v>
      </c>
      <c r="BM4" s="2">
        <v>0.7419</v>
      </c>
      <c r="BN4" s="2">
        <v>0.50749999999999995</v>
      </c>
      <c r="BO4" s="4">
        <v>72.138000000000005</v>
      </c>
      <c r="BP4" s="2">
        <v>0.54549999999999998</v>
      </c>
      <c r="BQ4" s="2">
        <v>0.44829999999999998</v>
      </c>
      <c r="BR4" s="2">
        <v>0.1749</v>
      </c>
      <c r="BS4" s="2">
        <v>104.1</v>
      </c>
      <c r="BT4" s="2">
        <v>94.5</v>
      </c>
      <c r="BU4" s="2">
        <v>18</v>
      </c>
      <c r="BV4" s="2">
        <v>9</v>
      </c>
      <c r="BW4" s="2">
        <v>22</v>
      </c>
      <c r="BX4" s="2">
        <v>20</v>
      </c>
      <c r="BY4" s="2">
        <v>29</v>
      </c>
      <c r="BZ4" s="2">
        <v>13</v>
      </c>
      <c r="CA4" s="2">
        <v>19</v>
      </c>
      <c r="CB4" s="2">
        <v>15</v>
      </c>
      <c r="CC4" s="2">
        <v>27</v>
      </c>
      <c r="CD4" s="2">
        <v>42</v>
      </c>
      <c r="CE4" s="2">
        <v>42</v>
      </c>
      <c r="CF4" s="2">
        <v>34</v>
      </c>
      <c r="CG4" s="2">
        <v>1.87</v>
      </c>
      <c r="CH4" s="2">
        <v>1.95</v>
      </c>
      <c r="CI4" s="2">
        <v>-1.5</v>
      </c>
      <c r="CJ4" s="2">
        <v>1.5</v>
      </c>
      <c r="CK4" s="2">
        <v>167.5</v>
      </c>
      <c r="CL4" s="2" t="s">
        <v>339</v>
      </c>
      <c r="CM4" s="4" t="str">
        <f>VLOOKUP(partizan[[#This Row],[Away_team]],all[[Full name]:[Abbr]],3,FALSE)</f>
        <v>CED</v>
      </c>
      <c r="CN4" s="4">
        <f>IF(OR(partizan[[#This Row],[Result]]="w",partizan[[#This Row],[Result]]="dw"),partizan[[#This Row],[win]]-1,-1)</f>
        <v>-1</v>
      </c>
      <c r="CO4" s="4">
        <f>IF(OR(partizan[[#This Row],[Result]]="L",partizan[[#This Row],[Result]]="dl"),partizan[[#This Row],[lose]]-1,-1)</f>
        <v>0.95</v>
      </c>
      <c r="CP4" s="4">
        <f>IF(OR((partizan[[#This Row],[Home_scored]]+partizan[[#This Row],[Away_scored]])&gt;partizan[[#This Row],[total]],OR(partizan[[#This Row],[Result]]="dw",partizan[[#This Row],[Result]]="dl")),1,0)</f>
        <v>0</v>
      </c>
      <c r="CQ4" s="4">
        <f>ABS((partizan[[#This Row],[Home_scored]]+partizan[[#This Row],[Away_scored]])-partizan[[#This Row],[total]])+0.5</f>
        <v>23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401"/>
  </conditionalFormatting>
  <conditionalFormatting sqref="D4">
    <cfRule type="duplicateValues" dxfId="349" priority="402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330</v>
      </c>
      <c r="C4" s="3" t="s">
        <v>73</v>
      </c>
      <c r="D4" s="3">
        <v>45930</v>
      </c>
      <c r="E4" s="2" t="s">
        <v>140</v>
      </c>
      <c r="F4" s="2" t="s">
        <v>332</v>
      </c>
      <c r="G4" s="2" t="s">
        <v>139</v>
      </c>
      <c r="H4" s="2">
        <v>85</v>
      </c>
      <c r="I4" s="2">
        <v>95</v>
      </c>
      <c r="J4" s="2">
        <v>30</v>
      </c>
      <c r="K4" s="2">
        <v>76</v>
      </c>
      <c r="L4" s="2">
        <v>0.3947</v>
      </c>
      <c r="M4" s="2">
        <v>21</v>
      </c>
      <c r="N4" s="2">
        <v>44</v>
      </c>
      <c r="O4" s="2">
        <v>0.4773</v>
      </c>
      <c r="P4" s="2">
        <v>9</v>
      </c>
      <c r="Q4" s="2">
        <v>32</v>
      </c>
      <c r="R4" s="2">
        <v>0.28129999999999999</v>
      </c>
      <c r="S4" s="2">
        <v>16</v>
      </c>
      <c r="T4" s="2">
        <v>24</v>
      </c>
      <c r="U4" s="2">
        <v>0.66669999999999996</v>
      </c>
      <c r="V4" s="2">
        <v>19</v>
      </c>
      <c r="W4" s="2">
        <v>24</v>
      </c>
      <c r="X4" s="2">
        <v>43</v>
      </c>
      <c r="Y4" s="2">
        <v>19</v>
      </c>
      <c r="Z4" s="2">
        <v>11</v>
      </c>
      <c r="AA4" s="2">
        <v>3</v>
      </c>
      <c r="AB4" s="2">
        <v>11</v>
      </c>
      <c r="AC4" s="2">
        <v>23</v>
      </c>
      <c r="AD4" s="2">
        <v>34</v>
      </c>
      <c r="AE4" s="2">
        <v>68</v>
      </c>
      <c r="AF4" s="2">
        <v>0.5</v>
      </c>
      <c r="AG4" s="2">
        <v>22</v>
      </c>
      <c r="AH4" s="2">
        <v>42</v>
      </c>
      <c r="AI4" s="2">
        <v>0.52380000000000004</v>
      </c>
      <c r="AJ4" s="2">
        <v>12</v>
      </c>
      <c r="AK4" s="2">
        <v>26</v>
      </c>
      <c r="AL4" s="2">
        <v>0.46150000000000002</v>
      </c>
      <c r="AM4" s="2">
        <v>15</v>
      </c>
      <c r="AN4" s="2">
        <v>21</v>
      </c>
      <c r="AO4" s="2">
        <v>0.71430000000000005</v>
      </c>
      <c r="AP4" s="2">
        <v>12</v>
      </c>
      <c r="AQ4" s="2">
        <v>29</v>
      </c>
      <c r="AR4" s="2">
        <v>41</v>
      </c>
      <c r="AS4" s="2">
        <v>20</v>
      </c>
      <c r="AT4" s="2">
        <v>5</v>
      </c>
      <c r="AU4" s="2">
        <v>4</v>
      </c>
      <c r="AV4" s="2">
        <v>16</v>
      </c>
      <c r="AW4" s="2">
        <v>23</v>
      </c>
      <c r="AX4" s="2">
        <v>0.49099999999999999</v>
      </c>
      <c r="AY4" s="2">
        <v>0.45390000000000003</v>
      </c>
      <c r="AZ4" s="2">
        <v>0.39579999999999999</v>
      </c>
      <c r="BA4" s="2">
        <v>0.66669999999999996</v>
      </c>
      <c r="BB4" s="2">
        <v>0.51190000000000002</v>
      </c>
      <c r="BC4" s="4">
        <v>74.852000000000004</v>
      </c>
      <c r="BD4" s="2">
        <v>0.63329999999999997</v>
      </c>
      <c r="BE4" s="2">
        <v>0.21049999999999999</v>
      </c>
      <c r="BF4" s="2">
        <v>0.1128</v>
      </c>
      <c r="BG4" s="2">
        <v>108.6</v>
      </c>
      <c r="BH4" s="2">
        <v>121.3</v>
      </c>
      <c r="BI4" s="2">
        <v>78.302000000000007</v>
      </c>
      <c r="BJ4" s="2">
        <v>0.61499999999999999</v>
      </c>
      <c r="BK4" s="2">
        <v>0.58819999999999995</v>
      </c>
      <c r="BL4" s="2">
        <v>0.33329999999999999</v>
      </c>
      <c r="BM4" s="2">
        <v>0.60419999999999996</v>
      </c>
      <c r="BN4" s="2">
        <v>0.48809999999999998</v>
      </c>
      <c r="BO4" s="4">
        <v>81.751999999999995</v>
      </c>
      <c r="BP4" s="2">
        <v>0.58819999999999995</v>
      </c>
      <c r="BQ4" s="2">
        <v>0.22059999999999999</v>
      </c>
      <c r="BR4" s="2">
        <v>0.1716</v>
      </c>
      <c r="BS4" s="2">
        <v>121.3</v>
      </c>
      <c r="BT4" s="2">
        <v>108.6</v>
      </c>
      <c r="BU4" s="2">
        <v>21</v>
      </c>
      <c r="BV4" s="2">
        <v>24</v>
      </c>
      <c r="BW4" s="2">
        <v>24</v>
      </c>
      <c r="BX4" s="2">
        <v>16</v>
      </c>
      <c r="BY4" s="2">
        <v>28</v>
      </c>
      <c r="BZ4" s="2">
        <v>19</v>
      </c>
      <c r="CA4" s="2">
        <v>23</v>
      </c>
      <c r="CB4" s="2">
        <v>25</v>
      </c>
      <c r="CC4" s="2">
        <v>45</v>
      </c>
      <c r="CD4" s="2">
        <v>40</v>
      </c>
      <c r="CE4" s="2">
        <v>47</v>
      </c>
      <c r="CF4" s="2">
        <v>48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164.5</v>
      </c>
      <c r="CL4" s="2" t="s">
        <v>334</v>
      </c>
      <c r="CM4" s="4" t="e">
        <f>VLOOKUP(subotica[[#This Row],[Away_team]],all[[Full name]:[Abbr]],3,FALSE)</f>
        <v>#N/A</v>
      </c>
      <c r="CN4" s="4">
        <f>IF(OR(subotica[[#This Row],[Result]]="w",subotica[[#This Row],[Result]]="dw"),subotica[[#This Row],[win]]-1,-1)</f>
        <v>-1</v>
      </c>
      <c r="CO4" s="4">
        <f>IF(OR(subotica[[#This Row],[Result]]="L",subotica[[#This Row],[Result]]="dl"),subotica[[#This Row],[lose]]-1,-1)</f>
        <v>1.2000000000000002</v>
      </c>
      <c r="CP4" s="4">
        <f>IF(OR((subotica[[#This Row],[Home_scored]]+subotica[[#This Row],[Away_scored]])&gt;subotica[[#This Row],[total]],OR(subotica[[#This Row],[Result]]="dw",subotica[[#This Row],[Result]]="dl")),1,0)</f>
        <v>1</v>
      </c>
      <c r="CQ4" s="4">
        <f>ABS((subotica[[#This Row],[Home_scored]]+subotica[[#This Row],[Away_scored]])-subotica[[#This Row],[total]])+0.5</f>
        <v>16</v>
      </c>
    </row>
  </sheetData>
  <conditionalFormatting sqref="A4">
    <cfRule type="expression" dxfId="346" priority="1">
      <formula>SUMPRODUCT(--ISERROR(B4:CL4))&gt;0</formula>
    </cfRule>
  </conditionalFormatting>
  <conditionalFormatting sqref="B4">
    <cfRule type="uniqueValues" dxfId="345" priority="404"/>
  </conditionalFormatting>
  <conditionalFormatting sqref="D4">
    <cfRule type="duplicateValues" dxfId="344" priority="405"/>
  </conditionalFormatting>
  <conditionalFormatting sqref="H4">
    <cfRule type="expression" dxfId="343" priority="3">
      <formula>H4=BU4+BV4+BW4+BX4</formula>
    </cfRule>
  </conditionalFormatting>
  <conditionalFormatting sqref="I4">
    <cfRule type="expression" dxfId="34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331</v>
      </c>
      <c r="C4" s="2" t="s">
        <v>73</v>
      </c>
      <c r="D4" s="3">
        <v>45931</v>
      </c>
      <c r="E4" s="2" t="s">
        <v>74</v>
      </c>
      <c r="F4" s="2" t="s">
        <v>327</v>
      </c>
      <c r="G4" s="2" t="s">
        <v>146</v>
      </c>
      <c r="H4" s="2">
        <v>77</v>
      </c>
      <c r="I4" s="2">
        <v>77</v>
      </c>
      <c r="J4" s="2">
        <v>28</v>
      </c>
      <c r="K4" s="2">
        <v>68</v>
      </c>
      <c r="L4" s="2">
        <v>0.4118</v>
      </c>
      <c r="M4" s="2">
        <v>16</v>
      </c>
      <c r="N4" s="2">
        <v>34</v>
      </c>
      <c r="O4" s="2">
        <v>0.47060000000000002</v>
      </c>
      <c r="P4" s="2">
        <v>12</v>
      </c>
      <c r="Q4" s="2">
        <v>34</v>
      </c>
      <c r="R4" s="2">
        <v>0.35289999999999999</v>
      </c>
      <c r="S4" s="2">
        <v>9</v>
      </c>
      <c r="T4" s="2">
        <v>10</v>
      </c>
      <c r="U4" s="2">
        <v>0.9</v>
      </c>
      <c r="V4" s="2">
        <v>12</v>
      </c>
      <c r="W4" s="2">
        <v>18</v>
      </c>
      <c r="X4" s="2">
        <v>30</v>
      </c>
      <c r="Y4" s="2">
        <v>16</v>
      </c>
      <c r="Z4" s="2">
        <v>7</v>
      </c>
      <c r="AA4" s="2">
        <v>0</v>
      </c>
      <c r="AB4" s="2">
        <v>11</v>
      </c>
      <c r="AC4" s="2">
        <v>18</v>
      </c>
      <c r="AD4" s="2">
        <v>30</v>
      </c>
      <c r="AE4" s="2">
        <v>56</v>
      </c>
      <c r="AF4" s="2">
        <v>0.53569999999999995</v>
      </c>
      <c r="AG4" s="2">
        <v>23</v>
      </c>
      <c r="AH4" s="2">
        <v>34</v>
      </c>
      <c r="AI4" s="2">
        <v>0.67649999999999999</v>
      </c>
      <c r="AJ4" s="2">
        <v>7</v>
      </c>
      <c r="AK4" s="2">
        <v>22</v>
      </c>
      <c r="AL4" s="2">
        <v>0.31819999999999998</v>
      </c>
      <c r="AM4" s="2">
        <v>10</v>
      </c>
      <c r="AN4" s="2">
        <v>14</v>
      </c>
      <c r="AO4" s="2">
        <v>0.71430000000000005</v>
      </c>
      <c r="AP4" s="2">
        <v>5</v>
      </c>
      <c r="AQ4" s="2">
        <v>28</v>
      </c>
      <c r="AR4" s="2">
        <v>33</v>
      </c>
      <c r="AS4" s="2">
        <v>12</v>
      </c>
      <c r="AT4" s="2">
        <v>6</v>
      </c>
      <c r="AU4" s="2">
        <v>7</v>
      </c>
      <c r="AV4" s="2">
        <v>18</v>
      </c>
      <c r="AW4" s="2">
        <v>17</v>
      </c>
      <c r="AX4" s="2">
        <v>0.53180000000000005</v>
      </c>
      <c r="AY4" s="2">
        <v>0.5</v>
      </c>
      <c r="AZ4" s="2">
        <v>0.3</v>
      </c>
      <c r="BA4" s="2">
        <v>0.78259999999999996</v>
      </c>
      <c r="BB4" s="2">
        <v>0.47620000000000001</v>
      </c>
      <c r="BC4" s="4">
        <v>65.88</v>
      </c>
      <c r="BD4" s="2">
        <v>0.57140000000000002</v>
      </c>
      <c r="BE4" s="2">
        <v>0.13239999999999999</v>
      </c>
      <c r="BF4" s="2">
        <v>0.13189999999999999</v>
      </c>
      <c r="BG4" s="2">
        <v>109</v>
      </c>
      <c r="BH4" s="2">
        <v>109</v>
      </c>
      <c r="BI4" s="2">
        <v>70.632499999999993</v>
      </c>
      <c r="BJ4" s="2">
        <v>0.61939999999999995</v>
      </c>
      <c r="BK4" s="2">
        <v>0.59819999999999995</v>
      </c>
      <c r="BL4" s="2">
        <v>0.21740000000000001</v>
      </c>
      <c r="BM4" s="2">
        <v>0.7</v>
      </c>
      <c r="BN4" s="2">
        <v>0.52380000000000004</v>
      </c>
      <c r="BO4" s="4">
        <v>75.385000000000005</v>
      </c>
      <c r="BP4" s="2">
        <v>0.4</v>
      </c>
      <c r="BQ4" s="2">
        <v>0.17860000000000001</v>
      </c>
      <c r="BR4" s="2">
        <v>0.22459999999999999</v>
      </c>
      <c r="BS4" s="2">
        <v>109</v>
      </c>
      <c r="BT4" s="2">
        <v>109</v>
      </c>
      <c r="BU4" s="2">
        <v>30</v>
      </c>
      <c r="BV4" s="2">
        <v>19</v>
      </c>
      <c r="BW4" s="2">
        <v>8</v>
      </c>
      <c r="BX4" s="2">
        <v>20</v>
      </c>
      <c r="BY4" s="2">
        <v>13</v>
      </c>
      <c r="BZ4" s="2">
        <v>32</v>
      </c>
      <c r="CA4" s="2">
        <v>21</v>
      </c>
      <c r="CB4" s="2">
        <v>11</v>
      </c>
      <c r="CC4" s="2">
        <v>49</v>
      </c>
      <c r="CD4" s="2">
        <v>28</v>
      </c>
      <c r="CE4" s="2">
        <v>45</v>
      </c>
      <c r="CF4" s="2">
        <v>32</v>
      </c>
      <c r="CG4" s="2">
        <v>1.74</v>
      </c>
      <c r="CH4" s="2">
        <v>2.15</v>
      </c>
      <c r="CI4" s="2">
        <v>-1.5</v>
      </c>
      <c r="CJ4" s="2">
        <v>1.5</v>
      </c>
      <c r="CK4" s="2">
        <v>164.5</v>
      </c>
      <c r="CL4" s="2" t="s">
        <v>340</v>
      </c>
      <c r="CM4" s="4" t="e">
        <f>VLOOKUP(split[[#This Row],[Away_team]],all[[Full name]:[Abbr]],3,FALSE)</f>
        <v>#N/A</v>
      </c>
      <c r="CN4" s="4">
        <f>IF(OR(split[[#This Row],[Result]]="w",split[[#This Row],[Result]]="dw"),split[[#This Row],[win]]-1,-1)</f>
        <v>0.74</v>
      </c>
      <c r="CO4" s="4">
        <f>IF(OR(split[[#This Row],[Result]]="L",split[[#This Row],[Result]]="dl"),split[[#This Row],[lose]]-1,-1)</f>
        <v>-1</v>
      </c>
      <c r="CP4" s="4">
        <f>IF(OR((split[[#This Row],[Home_scored]]+split[[#This Row],[Away_scored]])&gt;split[[#This Row],[total]],OR(split[[#This Row],[Result]]="dw",split[[#This Row],[Result]]="dl")),1,0)</f>
        <v>1</v>
      </c>
      <c r="CQ4" s="4">
        <f>ABS((split[[#This Row],[Home_scored]]+split[[#This Row],[Away_scored]])-split[[#This Row],[total]])+0.5</f>
        <v>11</v>
      </c>
    </row>
  </sheetData>
  <conditionalFormatting sqref="A4">
    <cfRule type="expression" dxfId="341" priority="1">
      <formula>SUMPRODUCT(--ISERROR(B4:CL4))&gt;0</formula>
    </cfRule>
  </conditionalFormatting>
  <conditionalFormatting sqref="B4">
    <cfRule type="uniqueValues" dxfId="340" priority="407"/>
  </conditionalFormatting>
  <conditionalFormatting sqref="D4">
    <cfRule type="duplicateValues" dxfId="339" priority="408"/>
  </conditionalFormatting>
  <conditionalFormatting sqref="H4">
    <cfRule type="expression" dxfId="338" priority="3">
      <formula>H4=BU4+BV4+BW4+BX4</formula>
    </cfRule>
  </conditionalFormatting>
  <conditionalFormatting sqref="I4">
    <cfRule type="expression" dxfId="33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332</v>
      </c>
      <c r="C4" s="3" t="s">
        <v>73</v>
      </c>
      <c r="D4" s="3">
        <v>45930</v>
      </c>
      <c r="E4" s="2" t="s">
        <v>74</v>
      </c>
      <c r="F4" s="2" t="s">
        <v>330</v>
      </c>
      <c r="G4" s="2" t="s">
        <v>75</v>
      </c>
      <c r="H4" s="2">
        <v>95</v>
      </c>
      <c r="I4" s="2">
        <v>85</v>
      </c>
      <c r="J4" s="2">
        <v>34</v>
      </c>
      <c r="K4" s="2">
        <v>68</v>
      </c>
      <c r="L4" s="2">
        <v>0.5</v>
      </c>
      <c r="M4" s="2">
        <v>22</v>
      </c>
      <c r="N4" s="2">
        <v>42</v>
      </c>
      <c r="O4" s="2">
        <v>0.52380000000000004</v>
      </c>
      <c r="P4" s="2">
        <v>12</v>
      </c>
      <c r="Q4" s="2">
        <v>26</v>
      </c>
      <c r="R4" s="2">
        <v>0.46150000000000002</v>
      </c>
      <c r="S4" s="2">
        <v>15</v>
      </c>
      <c r="T4" s="2">
        <v>21</v>
      </c>
      <c r="U4" s="2">
        <v>0.71430000000000005</v>
      </c>
      <c r="V4" s="2">
        <v>12</v>
      </c>
      <c r="W4" s="2">
        <v>29</v>
      </c>
      <c r="X4" s="2">
        <v>41</v>
      </c>
      <c r="Y4" s="2">
        <v>20</v>
      </c>
      <c r="Z4" s="2">
        <v>5</v>
      </c>
      <c r="AA4" s="2">
        <v>4</v>
      </c>
      <c r="AB4" s="2">
        <v>16</v>
      </c>
      <c r="AC4" s="2">
        <v>23</v>
      </c>
      <c r="AD4" s="2">
        <v>30</v>
      </c>
      <c r="AE4" s="2">
        <v>76</v>
      </c>
      <c r="AF4" s="2">
        <v>0.3947</v>
      </c>
      <c r="AG4" s="2">
        <v>21</v>
      </c>
      <c r="AH4" s="2">
        <v>44</v>
      </c>
      <c r="AI4" s="2">
        <v>0.4773</v>
      </c>
      <c r="AJ4" s="2">
        <v>9</v>
      </c>
      <c r="AK4" s="2">
        <v>32</v>
      </c>
      <c r="AL4" s="2">
        <v>0.28129999999999999</v>
      </c>
      <c r="AM4" s="2">
        <v>16</v>
      </c>
      <c r="AN4" s="2">
        <v>24</v>
      </c>
      <c r="AO4" s="2">
        <v>0.66669999999999996</v>
      </c>
      <c r="AP4" s="2">
        <v>19</v>
      </c>
      <c r="AQ4" s="2">
        <v>24</v>
      </c>
      <c r="AR4" s="2">
        <v>43</v>
      </c>
      <c r="AS4" s="2">
        <v>19</v>
      </c>
      <c r="AT4" s="2">
        <v>11</v>
      </c>
      <c r="AU4" s="2">
        <v>3</v>
      </c>
      <c r="AV4" s="2">
        <v>11</v>
      </c>
      <c r="AW4" s="2">
        <v>23</v>
      </c>
      <c r="AX4" s="2">
        <v>0.61499999999999999</v>
      </c>
      <c r="AY4" s="2">
        <v>0.58819999999999995</v>
      </c>
      <c r="AZ4" s="2">
        <v>0.33329999999999999</v>
      </c>
      <c r="BA4" s="2">
        <v>0.60419999999999996</v>
      </c>
      <c r="BB4" s="2">
        <v>0.48809999999999998</v>
      </c>
      <c r="BC4" s="4">
        <v>81.751999999999995</v>
      </c>
      <c r="BD4" s="2">
        <v>0.58819999999999995</v>
      </c>
      <c r="BE4" s="2">
        <v>0.22059999999999999</v>
      </c>
      <c r="BF4" s="2">
        <v>0.1716</v>
      </c>
      <c r="BG4" s="2">
        <v>121.3</v>
      </c>
      <c r="BH4" s="2">
        <v>108.6</v>
      </c>
      <c r="BI4" s="2">
        <v>78.302000000000007</v>
      </c>
      <c r="BJ4" s="2">
        <v>0.49099999999999999</v>
      </c>
      <c r="BK4" s="2">
        <v>0.45390000000000003</v>
      </c>
      <c r="BL4" s="2">
        <v>0.39579999999999999</v>
      </c>
      <c r="BM4" s="2">
        <v>0.66669999999999996</v>
      </c>
      <c r="BN4" s="2">
        <v>0.51190000000000002</v>
      </c>
      <c r="BO4" s="4">
        <v>74.852000000000004</v>
      </c>
      <c r="BP4" s="2">
        <v>0.63329999999999997</v>
      </c>
      <c r="BQ4" s="2">
        <v>0.21049999999999999</v>
      </c>
      <c r="BR4" s="2">
        <v>0.1128</v>
      </c>
      <c r="BS4" s="2">
        <v>108.6</v>
      </c>
      <c r="BT4" s="2">
        <v>121.3</v>
      </c>
      <c r="BU4" s="2">
        <v>28</v>
      </c>
      <c r="BV4" s="2">
        <v>19</v>
      </c>
      <c r="BW4" s="2">
        <v>23</v>
      </c>
      <c r="BX4" s="2">
        <v>25</v>
      </c>
      <c r="BY4" s="2">
        <v>21</v>
      </c>
      <c r="BZ4" s="2">
        <v>24</v>
      </c>
      <c r="CA4" s="2">
        <v>24</v>
      </c>
      <c r="CB4" s="2">
        <v>16</v>
      </c>
      <c r="CC4" s="2">
        <v>47</v>
      </c>
      <c r="CD4" s="2">
        <v>48</v>
      </c>
      <c r="CE4" s="2">
        <v>45</v>
      </c>
      <c r="CF4" s="2">
        <v>40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164.5</v>
      </c>
      <c r="CL4" s="2" t="s">
        <v>334</v>
      </c>
      <c r="CM4" s="4" t="e">
        <f>VLOOKUP(studentski[[#This Row],[Away_team]],all[[Full name]:[Abbr]],3,FALSE)</f>
        <v>#N/A</v>
      </c>
      <c r="CN4" s="4">
        <f>IF(OR(studentski[[#This Row],[Result]]="w",studentski[[#This Row],[Result]]="dw"),studentski[[#This Row],[win]]-1,-1)</f>
        <v>1.2000000000000002</v>
      </c>
      <c r="CO4" s="4">
        <f>IF(OR(studentski[[#This Row],[Result]]="L",studentski[[#This Row],[Result]]="dl"),studentski[[#This Row],[lose]]-1,-1)</f>
        <v>-1</v>
      </c>
      <c r="CP4" s="4">
        <f>IF(OR((studentski[[#This Row],[Home_scored]]+studentski[[#This Row],[Away_scored]])&gt;studentski[[#This Row],[total]],OR(studentski[[#This Row],[Result]]="dw",studentski[[#This Row],[Result]]="dl")),1,0)</f>
        <v>1</v>
      </c>
      <c r="CQ4" s="4">
        <f>ABS((studentski[[#This Row],[Home_scored]]+studentski[[#This Row],[Away_scored]])-studentski[[#This Row],[total]])+0.5</f>
        <v>16</v>
      </c>
    </row>
  </sheetData>
  <conditionalFormatting sqref="A4">
    <cfRule type="expression" dxfId="336" priority="1">
      <formula>SUMPRODUCT(--ISERROR(B4:CL4))&gt;0</formula>
    </cfRule>
  </conditionalFormatting>
  <conditionalFormatting sqref="B4">
    <cfRule type="uniqueValues" dxfId="335" priority="410"/>
  </conditionalFormatting>
  <conditionalFormatting sqref="D4">
    <cfRule type="duplicateValues" dxfId="334" priority="411"/>
  </conditionalFormatting>
  <conditionalFormatting sqref="H4">
    <cfRule type="expression" dxfId="333" priority="3">
      <formula>H4=BU4+BV4+BW4+BX4</formula>
    </cfRule>
  </conditionalFormatting>
  <conditionalFormatting sqref="I4">
    <cfRule type="expression" dxfId="33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396</v>
      </c>
      <c r="B4" s="2" t="s">
        <v>389</v>
      </c>
      <c r="C4" s="2" t="s">
        <v>73</v>
      </c>
      <c r="D4" s="3">
        <v>45933</v>
      </c>
      <c r="E4" s="2" t="s">
        <v>74</v>
      </c>
      <c r="F4" s="2" t="s">
        <v>360</v>
      </c>
      <c r="G4" s="2" t="s">
        <v>75</v>
      </c>
      <c r="H4" s="2">
        <v>85</v>
      </c>
      <c r="I4" s="2">
        <v>84</v>
      </c>
      <c r="J4" s="2">
        <v>28</v>
      </c>
      <c r="K4" s="2">
        <v>60</v>
      </c>
      <c r="L4" s="2">
        <v>0.4667</v>
      </c>
      <c r="M4" s="2">
        <v>19</v>
      </c>
      <c r="N4" s="2">
        <v>32</v>
      </c>
      <c r="O4" s="2">
        <v>0.59379999999999999</v>
      </c>
      <c r="P4" s="2">
        <v>9</v>
      </c>
      <c r="Q4" s="2">
        <v>28</v>
      </c>
      <c r="R4" s="2">
        <v>0.32140000000000002</v>
      </c>
      <c r="S4" s="2">
        <v>20</v>
      </c>
      <c r="T4" s="2">
        <v>24</v>
      </c>
      <c r="U4" s="2">
        <v>0.83330000000000004</v>
      </c>
      <c r="V4" s="2">
        <v>12</v>
      </c>
      <c r="W4" s="2">
        <v>21</v>
      </c>
      <c r="X4" s="2">
        <v>33</v>
      </c>
      <c r="Y4" s="2">
        <v>18</v>
      </c>
      <c r="Z4" s="2">
        <v>2</v>
      </c>
      <c r="AA4" s="2">
        <v>1</v>
      </c>
      <c r="AB4" s="2">
        <v>16</v>
      </c>
      <c r="AC4" s="2">
        <v>24</v>
      </c>
      <c r="AD4" s="2">
        <v>30</v>
      </c>
      <c r="AE4" s="2">
        <v>64</v>
      </c>
      <c r="AF4" s="2">
        <v>0.46879999999999999</v>
      </c>
      <c r="AG4" s="2">
        <v>19</v>
      </c>
      <c r="AH4" s="2">
        <v>32</v>
      </c>
      <c r="AI4" s="2">
        <v>0.59379999999999999</v>
      </c>
      <c r="AJ4" s="2">
        <v>11</v>
      </c>
      <c r="AK4" s="2">
        <v>32</v>
      </c>
      <c r="AL4" s="2">
        <v>0.34379999999999999</v>
      </c>
      <c r="AM4" s="2">
        <v>13</v>
      </c>
      <c r="AN4" s="2">
        <v>20</v>
      </c>
      <c r="AO4" s="2">
        <v>0.65</v>
      </c>
      <c r="AP4" s="2">
        <v>10</v>
      </c>
      <c r="AQ4" s="2">
        <v>16</v>
      </c>
      <c r="AR4" s="2">
        <v>26</v>
      </c>
      <c r="AS4" s="2">
        <v>17</v>
      </c>
      <c r="AT4" s="2">
        <v>6</v>
      </c>
      <c r="AU4" s="2">
        <v>0</v>
      </c>
      <c r="AV4" s="2">
        <v>14</v>
      </c>
      <c r="AW4" s="2">
        <v>26</v>
      </c>
      <c r="AX4" s="2">
        <v>0.60229999999999995</v>
      </c>
      <c r="AY4" s="2">
        <v>0.54169999999999996</v>
      </c>
      <c r="AZ4" s="2">
        <v>0.42859999999999998</v>
      </c>
      <c r="BA4" s="2">
        <v>0.6774</v>
      </c>
      <c r="BB4" s="2">
        <v>0.55930000000000002</v>
      </c>
      <c r="BC4" s="4">
        <v>73.149000000000001</v>
      </c>
      <c r="BD4" s="2">
        <v>0.64290000000000003</v>
      </c>
      <c r="BE4" s="2">
        <v>0.33329999999999999</v>
      </c>
      <c r="BF4" s="2">
        <v>0.18479999999999999</v>
      </c>
      <c r="BG4" s="2">
        <v>117.1</v>
      </c>
      <c r="BH4" s="2">
        <v>115.7</v>
      </c>
      <c r="BI4" s="2">
        <v>72.578500000000005</v>
      </c>
      <c r="BJ4" s="2">
        <v>0.57689999999999997</v>
      </c>
      <c r="BK4" s="2">
        <v>0.55469999999999997</v>
      </c>
      <c r="BL4" s="2">
        <v>0.3226</v>
      </c>
      <c r="BM4" s="2">
        <v>0.57140000000000002</v>
      </c>
      <c r="BN4" s="2">
        <v>0.44069999999999998</v>
      </c>
      <c r="BO4" s="4">
        <v>72.007999999999996</v>
      </c>
      <c r="BP4" s="2">
        <v>0.56669999999999998</v>
      </c>
      <c r="BQ4" s="2">
        <v>0.2031</v>
      </c>
      <c r="BR4" s="2">
        <v>0.1613</v>
      </c>
      <c r="BS4" s="2">
        <v>115.7</v>
      </c>
      <c r="BT4" s="2">
        <v>117.1</v>
      </c>
      <c r="BU4" s="2">
        <v>22</v>
      </c>
      <c r="BV4" s="2">
        <v>26</v>
      </c>
      <c r="BW4" s="2">
        <v>17</v>
      </c>
      <c r="BX4" s="2">
        <v>20</v>
      </c>
      <c r="BY4" s="2">
        <v>18</v>
      </c>
      <c r="BZ4" s="2">
        <v>19</v>
      </c>
      <c r="CA4" s="2">
        <v>33</v>
      </c>
      <c r="CB4" s="2">
        <v>14</v>
      </c>
      <c r="CC4" s="2">
        <v>48</v>
      </c>
      <c r="CD4" s="2">
        <v>37</v>
      </c>
      <c r="CE4" s="2">
        <v>37</v>
      </c>
      <c r="CF4" s="2">
        <v>47</v>
      </c>
      <c r="CG4" s="2">
        <v>2.2000000000000002</v>
      </c>
      <c r="CH4" s="2">
        <v>1.63</v>
      </c>
      <c r="CI4" s="2">
        <v>2.5</v>
      </c>
      <c r="CJ4" s="2">
        <v>-2.5</v>
      </c>
      <c r="CK4" s="2">
        <v>164.5</v>
      </c>
      <c r="CL4" s="2" t="s">
        <v>398</v>
      </c>
      <c r="CM4" s="4" t="str">
        <f>VLOOKUP(vienna[[#This Row],[Away_team]],all[[Full name]:[Abbr]],3,FALSE)</f>
        <v>ILI</v>
      </c>
      <c r="CN4" s="4">
        <f>IF(OR(vienna[[#This Row],[Result]]="w",vienna[[#This Row],[Result]]="dw"),vienna[[#This Row],[win]]-1,-1)</f>
        <v>1.2000000000000002</v>
      </c>
      <c r="CO4" s="4">
        <f>IF(OR(vienna[[#This Row],[Result]]="L",vienna[[#This Row],[Result]]="dl"),vienna[[#This Row],[lose]]-1,-1)</f>
        <v>-1</v>
      </c>
      <c r="CP4" s="4">
        <f>IF(OR((vienna[[#This Row],[Home_scored]]+vienna[[#This Row],[Away_scored]])&gt;vienna[[#This Row],[total]],OR(vienna[[#This Row],[Result]]="dw",vienna[[#This Row],[Result]]="dl")),1,0)</f>
        <v>1</v>
      </c>
      <c r="CQ4" s="4">
        <f>ABS((vienna[[#This Row],[Home_scored]]+vienna[[#This Row],[Away_scored]])-vienna[[#This Row],[total]])+0.5</f>
        <v>5</v>
      </c>
    </row>
  </sheetData>
  <conditionalFormatting sqref="A4">
    <cfRule type="expression" dxfId="331" priority="1">
      <formula>SUMPRODUCT(--ISERROR(B4:CL4))&gt;0</formula>
    </cfRule>
  </conditionalFormatting>
  <conditionalFormatting sqref="B4">
    <cfRule type="uniqueValues" dxfId="330" priority="413"/>
  </conditionalFormatting>
  <conditionalFormatting sqref="D4">
    <cfRule type="duplicateValues" dxfId="329" priority="414"/>
  </conditionalFormatting>
  <conditionalFormatting sqref="H4">
    <cfRule type="expression" dxfId="328" priority="3">
      <formula>H4=BU4+BV4+BW4+BX4</formula>
    </cfRule>
  </conditionalFormatting>
  <conditionalFormatting sqref="I4">
    <cfRule type="expression" dxfId="327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321</v>
      </c>
      <c r="B4" s="2" t="s">
        <v>318</v>
      </c>
      <c r="C4" s="2" t="s">
        <v>73</v>
      </c>
      <c r="D4" s="3">
        <v>45930</v>
      </c>
      <c r="E4" s="2" t="s">
        <v>74</v>
      </c>
      <c r="F4" s="2" t="s">
        <v>319</v>
      </c>
      <c r="G4" s="2" t="s">
        <v>139</v>
      </c>
      <c r="H4" s="2">
        <v>93</v>
      </c>
      <c r="I4" s="2">
        <v>96</v>
      </c>
      <c r="J4" s="2">
        <v>27</v>
      </c>
      <c r="K4" s="2">
        <v>58</v>
      </c>
      <c r="L4" s="2">
        <v>0.46550000000000002</v>
      </c>
      <c r="M4" s="2">
        <v>18</v>
      </c>
      <c r="N4" s="2">
        <v>29</v>
      </c>
      <c r="O4" s="2">
        <v>0.62070000000000003</v>
      </c>
      <c r="P4" s="2">
        <v>9</v>
      </c>
      <c r="Q4" s="2">
        <v>29</v>
      </c>
      <c r="R4" s="2">
        <v>0.31030000000000002</v>
      </c>
      <c r="S4" s="2">
        <v>30</v>
      </c>
      <c r="T4" s="2">
        <v>43</v>
      </c>
      <c r="U4" s="2">
        <v>0.69769999999999999</v>
      </c>
      <c r="V4" s="2">
        <v>12</v>
      </c>
      <c r="W4" s="2">
        <v>23</v>
      </c>
      <c r="X4" s="2">
        <v>35</v>
      </c>
      <c r="Y4" s="2">
        <v>19</v>
      </c>
      <c r="Z4" s="2">
        <v>12</v>
      </c>
      <c r="AA4" s="2">
        <v>5</v>
      </c>
      <c r="AB4" s="2">
        <v>14</v>
      </c>
      <c r="AC4" s="2">
        <v>21</v>
      </c>
      <c r="AD4" s="2">
        <v>33</v>
      </c>
      <c r="AE4" s="2">
        <v>69</v>
      </c>
      <c r="AF4" s="2">
        <v>0.4783</v>
      </c>
      <c r="AG4" s="2">
        <v>18</v>
      </c>
      <c r="AH4" s="2">
        <v>39</v>
      </c>
      <c r="AI4" s="2">
        <v>0.46150000000000002</v>
      </c>
      <c r="AJ4" s="2">
        <v>15</v>
      </c>
      <c r="AK4" s="2">
        <v>30</v>
      </c>
      <c r="AL4" s="2">
        <v>0.5</v>
      </c>
      <c r="AM4" s="2">
        <v>15</v>
      </c>
      <c r="AN4" s="2">
        <v>22</v>
      </c>
      <c r="AO4" s="2">
        <v>0.68179999999999996</v>
      </c>
      <c r="AP4" s="2">
        <v>16</v>
      </c>
      <c r="AQ4" s="2">
        <v>25</v>
      </c>
      <c r="AR4" s="2">
        <v>41</v>
      </c>
      <c r="AS4" s="2">
        <v>19</v>
      </c>
      <c r="AT4" s="2">
        <v>9</v>
      </c>
      <c r="AU4" s="2">
        <v>2</v>
      </c>
      <c r="AV4" s="2">
        <v>17</v>
      </c>
      <c r="AW4" s="2">
        <v>32</v>
      </c>
      <c r="AX4" s="2">
        <v>0.60450000000000004</v>
      </c>
      <c r="AY4" s="2">
        <v>0.54310000000000003</v>
      </c>
      <c r="AZ4" s="2">
        <v>0.32429999999999998</v>
      </c>
      <c r="BA4" s="2">
        <v>0.5897</v>
      </c>
      <c r="BB4" s="2">
        <v>0.46050000000000002</v>
      </c>
      <c r="BC4" s="4">
        <v>77.826999999999998</v>
      </c>
      <c r="BD4" s="2">
        <v>0.70369999999999999</v>
      </c>
      <c r="BE4" s="2">
        <v>0.51719999999999999</v>
      </c>
      <c r="BF4" s="2">
        <v>0.154</v>
      </c>
      <c r="BG4" s="2">
        <v>118</v>
      </c>
      <c r="BH4" s="2">
        <v>121.8</v>
      </c>
      <c r="BI4" s="2">
        <v>78.797499999999999</v>
      </c>
      <c r="BJ4" s="2">
        <v>0.61009999999999998</v>
      </c>
      <c r="BK4" s="2">
        <v>0.58699999999999997</v>
      </c>
      <c r="BL4" s="2">
        <v>0.4103</v>
      </c>
      <c r="BM4" s="2">
        <v>0.67569999999999997</v>
      </c>
      <c r="BN4" s="2">
        <v>0.53949999999999998</v>
      </c>
      <c r="BO4" s="4">
        <v>79.768000000000001</v>
      </c>
      <c r="BP4" s="2">
        <v>0.57579999999999998</v>
      </c>
      <c r="BQ4" s="2">
        <v>0.21740000000000001</v>
      </c>
      <c r="BR4" s="2">
        <v>0.1777</v>
      </c>
      <c r="BS4" s="2">
        <v>121.8</v>
      </c>
      <c r="BT4" s="2">
        <v>118</v>
      </c>
      <c r="BU4" s="2">
        <v>23</v>
      </c>
      <c r="BV4" s="2">
        <v>16</v>
      </c>
      <c r="BW4" s="2">
        <v>26</v>
      </c>
      <c r="BX4" s="2">
        <v>28</v>
      </c>
      <c r="BY4" s="2">
        <v>20</v>
      </c>
      <c r="BZ4" s="2">
        <v>28</v>
      </c>
      <c r="CA4" s="2">
        <v>22</v>
      </c>
      <c r="CB4" s="2">
        <v>26</v>
      </c>
      <c r="CC4" s="2">
        <v>39</v>
      </c>
      <c r="CD4" s="2">
        <v>54</v>
      </c>
      <c r="CE4" s="2">
        <v>48</v>
      </c>
      <c r="CF4" s="2">
        <v>48</v>
      </c>
      <c r="CG4" s="2">
        <v>1.5</v>
      </c>
      <c r="CH4" s="2">
        <v>2.65</v>
      </c>
      <c r="CI4" s="2">
        <v>-5.5</v>
      </c>
      <c r="CJ4" s="2">
        <v>5.5</v>
      </c>
      <c r="CK4" s="2">
        <v>163.5</v>
      </c>
      <c r="CL4" s="2" t="s">
        <v>333</v>
      </c>
      <c r="CM4" s="4" t="e">
        <f>VLOOKUP(zadar[[#This Row],[Away_team]],all[[Full name]:[Abbr]],3,FALSE)</f>
        <v>#N/A</v>
      </c>
      <c r="CN4" s="4">
        <f>IF(OR(zadar[[#This Row],[Result]]="w",zadar[[#This Row],[Result]]="dw"),zadar[[#This Row],[win]]-1,-1)</f>
        <v>-1</v>
      </c>
      <c r="CO4" s="4">
        <f>IF(OR(zadar[[#This Row],[Result]]="L",zadar[[#This Row],[Result]]="dl"),zadar[[#This Row],[lose]]-1,-1)</f>
        <v>1.65</v>
      </c>
      <c r="CP4" s="4">
        <f>IF(OR((zadar[[#This Row],[Home_scored]]+zadar[[#This Row],[Away_scored]])&gt;zadar[[#This Row],[total]],OR(zadar[[#This Row],[Result]]="dw",zadar[[#This Row],[Result]]="dl")),1,0)</f>
        <v>1</v>
      </c>
      <c r="CQ4" s="4">
        <f>ABS((zadar[[#This Row],[Home_scored]]+zadar[[#This Row],[Away_scored]])-zadar[[#This Row],[total]])+0.5</f>
        <v>26</v>
      </c>
    </row>
  </sheetData>
  <conditionalFormatting sqref="A4">
    <cfRule type="expression" dxfId="326" priority="1">
      <formula>SUMPRODUCT(--ISERROR(B4:CL4))&gt;0</formula>
    </cfRule>
  </conditionalFormatting>
  <conditionalFormatting sqref="B4">
    <cfRule type="uniqueValues" dxfId="325" priority="416"/>
  </conditionalFormatting>
  <conditionalFormatting sqref="D4">
    <cfRule type="duplicateValues" dxfId="324" priority="417"/>
  </conditionalFormatting>
  <conditionalFormatting sqref="H4">
    <cfRule type="expression" dxfId="323" priority="3">
      <formula>H4=BU4+BV4+BW4+BX4</formula>
    </cfRule>
  </conditionalFormatting>
  <conditionalFormatting sqref="I4">
    <cfRule type="expression" dxfId="322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268</v>
      </c>
      <c r="B1" t="s">
        <v>269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321</v>
      </c>
      <c r="B4" s="2" t="s">
        <v>303</v>
      </c>
      <c r="C4" s="3" t="s">
        <v>73</v>
      </c>
      <c r="D4" s="3">
        <v>45931</v>
      </c>
      <c r="E4" s="2" t="s">
        <v>140</v>
      </c>
      <c r="F4" s="2" t="s">
        <v>312</v>
      </c>
      <c r="G4" s="2" t="s">
        <v>75</v>
      </c>
      <c r="H4" s="2">
        <v>98</v>
      </c>
      <c r="I4" s="2">
        <v>90</v>
      </c>
      <c r="J4" s="2">
        <v>29</v>
      </c>
      <c r="K4" s="2">
        <v>60</v>
      </c>
      <c r="L4" s="2">
        <v>0.48330000000000001</v>
      </c>
      <c r="M4" s="2">
        <v>16</v>
      </c>
      <c r="N4" s="2">
        <v>34</v>
      </c>
      <c r="O4" s="2">
        <v>0.47060000000000002</v>
      </c>
      <c r="P4" s="2">
        <v>13</v>
      </c>
      <c r="Q4" s="2">
        <v>26</v>
      </c>
      <c r="R4" s="2">
        <v>0.5</v>
      </c>
      <c r="S4" s="2">
        <v>27</v>
      </c>
      <c r="T4" s="2">
        <v>35</v>
      </c>
      <c r="U4" s="2">
        <v>0.77139999999999997</v>
      </c>
      <c r="V4" s="2">
        <v>17</v>
      </c>
      <c r="W4" s="2">
        <v>17</v>
      </c>
      <c r="X4" s="2">
        <v>34</v>
      </c>
      <c r="Y4" s="2">
        <v>23</v>
      </c>
      <c r="Z4" s="2">
        <v>14</v>
      </c>
      <c r="AA4" s="2">
        <v>0</v>
      </c>
      <c r="AB4" s="2">
        <v>18</v>
      </c>
      <c r="AC4" s="2">
        <v>25</v>
      </c>
      <c r="AD4" s="2">
        <v>28</v>
      </c>
      <c r="AE4" s="2">
        <v>51</v>
      </c>
      <c r="AF4" s="2">
        <v>0.54900000000000004</v>
      </c>
      <c r="AG4" s="2">
        <v>20</v>
      </c>
      <c r="AH4" s="2">
        <v>28</v>
      </c>
      <c r="AI4" s="2">
        <v>0.71430000000000005</v>
      </c>
      <c r="AJ4" s="2">
        <v>8</v>
      </c>
      <c r="AK4" s="2">
        <v>23</v>
      </c>
      <c r="AL4" s="2">
        <v>0.3478</v>
      </c>
      <c r="AM4" s="2">
        <v>26</v>
      </c>
      <c r="AN4" s="2">
        <v>32</v>
      </c>
      <c r="AO4" s="2">
        <v>0.8125</v>
      </c>
      <c r="AP4" s="2">
        <v>6</v>
      </c>
      <c r="AQ4" s="2">
        <v>19</v>
      </c>
      <c r="AR4" s="2">
        <v>25</v>
      </c>
      <c r="AS4" s="2">
        <v>21</v>
      </c>
      <c r="AT4" s="2">
        <v>11</v>
      </c>
      <c r="AU4" s="2">
        <v>2</v>
      </c>
      <c r="AV4" s="2">
        <v>19</v>
      </c>
      <c r="AW4" s="2">
        <v>27</v>
      </c>
      <c r="AX4" s="2">
        <v>0.64990000000000003</v>
      </c>
      <c r="AY4" s="2">
        <v>0.5917</v>
      </c>
      <c r="AZ4" s="2">
        <v>0.47220000000000001</v>
      </c>
      <c r="BA4" s="2">
        <v>0.73909999999999998</v>
      </c>
      <c r="BB4" s="2">
        <v>0.57630000000000003</v>
      </c>
      <c r="BC4" s="4">
        <v>75.415000000000006</v>
      </c>
      <c r="BD4" s="2">
        <v>0.79310000000000003</v>
      </c>
      <c r="BE4" s="2">
        <v>0.45</v>
      </c>
      <c r="BF4" s="2">
        <v>0.19270000000000001</v>
      </c>
      <c r="BG4" s="2">
        <v>128.69999999999999</v>
      </c>
      <c r="BH4" s="2">
        <v>118.2</v>
      </c>
      <c r="BI4" s="2">
        <v>76.154499999999999</v>
      </c>
      <c r="BJ4" s="2">
        <v>0.6915</v>
      </c>
      <c r="BK4" s="2">
        <v>0.62749999999999995</v>
      </c>
      <c r="BL4" s="2">
        <v>0.26090000000000002</v>
      </c>
      <c r="BM4" s="2">
        <v>0.52780000000000005</v>
      </c>
      <c r="BN4" s="2">
        <v>0.42370000000000002</v>
      </c>
      <c r="BO4" s="4">
        <v>76.894000000000005</v>
      </c>
      <c r="BP4" s="2">
        <v>0.75</v>
      </c>
      <c r="BQ4" s="2">
        <v>0.50980000000000003</v>
      </c>
      <c r="BR4" s="2">
        <v>0.22600000000000001</v>
      </c>
      <c r="BS4" s="2">
        <v>118.2</v>
      </c>
      <c r="BT4" s="2">
        <v>128.69999999999999</v>
      </c>
      <c r="BU4" s="2">
        <v>25</v>
      </c>
      <c r="BV4" s="2">
        <v>20</v>
      </c>
      <c r="BW4" s="2">
        <v>25</v>
      </c>
      <c r="BX4" s="2">
        <v>28</v>
      </c>
      <c r="BY4" s="2">
        <v>22</v>
      </c>
      <c r="BZ4" s="2">
        <v>23</v>
      </c>
      <c r="CA4" s="2">
        <v>26</v>
      </c>
      <c r="CB4" s="2">
        <v>19</v>
      </c>
      <c r="CC4" s="2">
        <v>45</v>
      </c>
      <c r="CD4" s="2">
        <v>53</v>
      </c>
      <c r="CE4" s="2">
        <v>45</v>
      </c>
      <c r="CF4" s="2">
        <v>45</v>
      </c>
      <c r="CG4" s="2">
        <v>1.59</v>
      </c>
      <c r="CH4" s="2">
        <v>2.4500000000000002</v>
      </c>
      <c r="CI4" s="2">
        <v>-3.5</v>
      </c>
      <c r="CJ4" s="2">
        <v>3.5</v>
      </c>
      <c r="CK4" s="2">
        <v>169.5</v>
      </c>
      <c r="CL4" s="2" t="s">
        <v>338</v>
      </c>
      <c r="CM4" s="4" t="str">
        <f>VLOOKUP(buducnost[[#This Row],[Away_team]],all[[Full name]:[Abbr]],3,FALSE)</f>
        <v>CLU</v>
      </c>
      <c r="CN4" s="4">
        <f>IF(OR(buducnost[[#This Row],[Result]]="w",buducnost[[#This Row],[Result]]="dw"),buducnost[[#This Row],[win]]-1,-1)</f>
        <v>0.59000000000000008</v>
      </c>
      <c r="CO4" s="4">
        <f>IF(OR(buducnost[[#This Row],[Result]]="L",buducnost[[#This Row],[Result]]="dl"),buducnost[[#This Row],[lose]]-1,-1)</f>
        <v>-1</v>
      </c>
      <c r="CP4" s="4">
        <f>IF(OR((buducnost[[#This Row],[Home_scored]]+buducnost[[#This Row],[Away_scored]])&gt;buducnost[[#This Row],[total]],OR(buducnost[[#This Row],[Result]]="dw",buducnost[[#This Row],[Result]]="dl")),1,0)</f>
        <v>1</v>
      </c>
      <c r="CQ4" s="4">
        <f>ABS((buducnost[[#This Row],[Home_scored]]+buducnost[[#This Row],[Away_scored]])-buducnost[[#This Row],[total]])+0.5</f>
        <v>19</v>
      </c>
    </row>
  </sheetData>
  <phoneticPr fontId="11" type="noConversion"/>
  <conditionalFormatting sqref="A4">
    <cfRule type="expression" dxfId="406" priority="3">
      <formula>SUMPRODUCT(--ISERROR(B4:CL4))&gt;0</formula>
    </cfRule>
  </conditionalFormatting>
  <conditionalFormatting sqref="B4">
    <cfRule type="uniqueValues" dxfId="405" priority="440"/>
  </conditionalFormatting>
  <conditionalFormatting sqref="D4">
    <cfRule type="duplicateValues" dxfId="404" priority="441"/>
  </conditionalFormatting>
  <conditionalFormatting sqref="H4">
    <cfRule type="expression" dxfId="403" priority="5">
      <formula>H4=BU4+BV4+BW4+BX4</formula>
    </cfRule>
  </conditionalFormatting>
  <conditionalFormatting sqref="I4">
    <cfRule type="expression" dxfId="40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O1" sqref="O1:S1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324</v>
      </c>
      <c r="B1" s="25"/>
      <c r="C1" s="25"/>
      <c r="D1" s="25"/>
      <c r="E1" s="25"/>
      <c r="H1" s="20"/>
      <c r="O1" s="25" t="s">
        <v>304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300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162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163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_xlfn.RANK.EQ(G3,all[rating])&amp;"("&amp;IF(C33="east",_xlfn.RANK.EQ(G3,east[rating]),_xlfn.RANK.EQ(G3,west[rating]))&amp;")"&amp;"["&amp;INDEX(last5[Home_team],9)&amp;"]"</f>
        <v>#N/A</v>
      </c>
      <c r="H4" s="16" t="s">
        <v>301</v>
      </c>
      <c r="I4" s="15" t="e">
        <f ca="1">_xlfn.RANK.EQ(I3,all[rating])&amp;"("&amp;IF(C50="east",_xlfn.RANK.EQ(I3,east[rating]),_xlfn.RANK.EQ(I3,west[rating]))&amp;")"&amp;"["&amp;INDEX(last5away[Home_team],9)&amp;"]"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11" t="s">
        <v>325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164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167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257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270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165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258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271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166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259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272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265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273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168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260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274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169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261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275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170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262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267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263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266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171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264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297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172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298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173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299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265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294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254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282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255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256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276</v>
      </c>
      <c r="CO26" t="s">
        <v>277</v>
      </c>
      <c r="CP26" t="s">
        <v>278</v>
      </c>
      <c r="CQ26" t="s">
        <v>279</v>
      </c>
      <c r="CR26" t="s">
        <v>280</v>
      </c>
      <c r="CS26" t="s">
        <v>281</v>
      </c>
      <c r="CT26" t="s">
        <v>283</v>
      </c>
      <c r="CU26" t="s">
        <v>284</v>
      </c>
      <c r="CV26" t="s">
        <v>293</v>
      </c>
      <c r="CW26" t="s">
        <v>294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174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276</v>
      </c>
      <c r="CO43" t="s">
        <v>277</v>
      </c>
      <c r="CP43" t="s">
        <v>278</v>
      </c>
      <c r="CQ43" t="s">
        <v>279</v>
      </c>
      <c r="CR43" t="s">
        <v>280</v>
      </c>
      <c r="CS43" t="s">
        <v>281</v>
      </c>
      <c r="CT43" t="s">
        <v>283</v>
      </c>
      <c r="CU43" t="s">
        <v>284</v>
      </c>
      <c r="CV43" t="s">
        <v>293</v>
      </c>
      <c r="CW43" t="s">
        <v>294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174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1" priority="293">
      <formula>OR(INDEX(Result,5)= "L",INDEX(Result,5)= "dL")</formula>
    </cfRule>
    <cfRule type="expression" dxfId="320" priority="298">
      <formula>OR(INDEX(Result,5)= "w",INDEX(Result,5)= "dw")</formula>
    </cfRule>
  </conditionalFormatting>
  <conditionalFormatting sqref="A5">
    <cfRule type="expression" dxfId="319" priority="328">
      <formula>INDEX(total,5) &gt; INDEX(Home_scored,5) + INDEX(Away_scored,5)</formula>
    </cfRule>
    <cfRule type="expression" dxfId="318" priority="330">
      <formula>INDEX(total,5) &lt; INDEX(Home_scored,5) + INDEX(Away_scored,5)</formula>
    </cfRule>
  </conditionalFormatting>
  <conditionalFormatting sqref="A8">
    <cfRule type="expression" dxfId="317" priority="302">
      <formula>INDEX(FGA,8) &gt;INDEX(FGA_a,8)</formula>
    </cfRule>
  </conditionalFormatting>
  <conditionalFormatting sqref="A9">
    <cfRule type="expression" dxfId="312" priority="278">
      <formula>INDEX(FGM,8) &gt;INDEX(FGM_a,8)</formula>
    </cfRule>
  </conditionalFormatting>
  <conditionalFormatting sqref="A10">
    <cfRule type="expression" dxfId="309" priority="272">
      <formula>INDEX(FGp,8) &gt;INDEX(FGp_a,8)</formula>
    </cfRule>
  </conditionalFormatting>
  <conditionalFormatting sqref="A12">
    <cfRule type="expression" dxfId="306" priority="265">
      <formula>INDEX(P2A,8) &gt;INDEX(P2A_a,8)</formula>
    </cfRule>
  </conditionalFormatting>
  <conditionalFormatting sqref="A13">
    <cfRule type="expression" dxfId="303" priority="259">
      <formula>INDEX(P2M,8) &gt;INDEX(P2M_a,8)</formula>
    </cfRule>
  </conditionalFormatting>
  <conditionalFormatting sqref="A14">
    <cfRule type="expression" dxfId="300" priority="253">
      <formula>INDEX(P2p,8) &gt;INDEX(p2p_a,8)</formula>
    </cfRule>
  </conditionalFormatting>
  <conditionalFormatting sqref="A16">
    <cfRule type="expression" dxfId="297" priority="247">
      <formula>INDEX(P3A,8) &gt;INDEX(p3a_a,8)</formula>
    </cfRule>
  </conditionalFormatting>
  <conditionalFormatting sqref="A17">
    <cfRule type="expression" dxfId="294" priority="241">
      <formula>INDEX(P3M,8) &gt;INDEX(p3m_a,8)</formula>
    </cfRule>
  </conditionalFormatting>
  <conditionalFormatting sqref="A18">
    <cfRule type="expression" dxfId="291" priority="235">
      <formula>INDEX(P3p,8) &gt;INDEX(p3p_a,8)</formula>
    </cfRule>
  </conditionalFormatting>
  <conditionalFormatting sqref="A20">
    <cfRule type="expression" dxfId="288" priority="229">
      <formula>INDEX(FTA,8) &gt;INDEX(fta_a,8)</formula>
    </cfRule>
  </conditionalFormatting>
  <conditionalFormatting sqref="A21">
    <cfRule type="expression" dxfId="285" priority="223">
      <formula>INDEX(FTM,8) &gt;INDEX(ftm_a,8)</formula>
    </cfRule>
  </conditionalFormatting>
  <conditionalFormatting sqref="A22">
    <cfRule type="expression" dxfId="282" priority="217">
      <formula>INDEX(FTp,8) &gt;INDEX(ftp_a,8)</formula>
    </cfRule>
  </conditionalFormatting>
  <conditionalFormatting sqref="B2">
    <cfRule type="expression" dxfId="281" priority="292">
      <formula>OR(INDEX(Result,4)= "L",INDEX(Result,4)= "dL")</formula>
    </cfRule>
    <cfRule type="expression" dxfId="280" priority="297">
      <formula>OR(INDEX(Result,4)= "w",INDEX(Result,4)= "dw")</formula>
    </cfRule>
  </conditionalFormatting>
  <conditionalFormatting sqref="B5">
    <cfRule type="expression" dxfId="279" priority="323">
      <formula>INDEX(total,4) &lt; INDEX(Home_scored,4) + INDEX(Away_scored,4)</formula>
    </cfRule>
    <cfRule type="expression" dxfId="278" priority="327">
      <formula>INDEX(total,4) &gt; INDEX(Home_scored,4) + INDEX(Away_scored,4)</formula>
    </cfRule>
  </conditionalFormatting>
  <conditionalFormatting sqref="C2">
    <cfRule type="expression" dxfId="277" priority="291">
      <formula>OR(INDEX(Result,3)= "L",INDEX(Result,3)= "dL")</formula>
    </cfRule>
    <cfRule type="expression" dxfId="276" priority="296">
      <formula>OR(INDEX(Result,3)= "w",INDEX(Result,3)= "dw")</formula>
    </cfRule>
  </conditionalFormatting>
  <conditionalFormatting sqref="C5">
    <cfRule type="expression" dxfId="275" priority="322">
      <formula>INDEX(total,3) &lt; INDEX(Home_scored,3) + INDEX(Away_scored,3)</formula>
    </cfRule>
    <cfRule type="expression" dxfId="274" priority="326">
      <formula>INDEX(total,3) &gt; INDEX(Home_scored,3) + INDEX(Away_scored,3)</formula>
    </cfRule>
  </conditionalFormatting>
  <conditionalFormatting sqref="C8">
    <cfRule type="expression" dxfId="273" priority="300">
      <formula>INDEX(FGA_a,8) &gt;INDEX(FGA,8)</formula>
    </cfRule>
  </conditionalFormatting>
  <conditionalFormatting sqref="C9">
    <cfRule type="expression" dxfId="268" priority="277">
      <formula>INDEX(FGM_a,8) &gt;INDEX(FGM,8)</formula>
    </cfRule>
  </conditionalFormatting>
  <conditionalFormatting sqref="C10">
    <cfRule type="expression" dxfId="265" priority="271">
      <formula>INDEX(FGp_a,8) &gt;INDEX(FGp,8)</formula>
    </cfRule>
  </conditionalFormatting>
  <conditionalFormatting sqref="C12">
    <cfRule type="expression" dxfId="262" priority="264">
      <formula>INDEX(P2A_a,8) &gt;INDEX(P2A,8)</formula>
    </cfRule>
  </conditionalFormatting>
  <conditionalFormatting sqref="C13">
    <cfRule type="expression" dxfId="259" priority="258">
      <formula>INDEX(P2M_a,8) &gt;INDEX(P2M,8)</formula>
    </cfRule>
  </conditionalFormatting>
  <conditionalFormatting sqref="C14">
    <cfRule type="expression" dxfId="256" priority="252">
      <formula>INDEX(p2p_a,8) &gt;INDEX(P2p,8)</formula>
    </cfRule>
  </conditionalFormatting>
  <conditionalFormatting sqref="C16">
    <cfRule type="expression" dxfId="253" priority="246">
      <formula>INDEX(p3a_a,8) &gt;INDEX(P3A,8)</formula>
    </cfRule>
  </conditionalFormatting>
  <conditionalFormatting sqref="C17">
    <cfRule type="expression" dxfId="250" priority="240">
      <formula>INDEX(p3m_a,8) &gt;INDEX(P3M,8)</formula>
    </cfRule>
  </conditionalFormatting>
  <conditionalFormatting sqref="C18">
    <cfRule type="expression" dxfId="247" priority="234">
      <formula>INDEX(p3p_a,8) &gt;INDEX(P3p,8)</formula>
    </cfRule>
  </conditionalFormatting>
  <conditionalFormatting sqref="C20">
    <cfRule type="expression" dxfId="244" priority="228">
      <formula>INDEX(fta_a,8) &gt;INDEX(FTA,8)</formula>
    </cfRule>
  </conditionalFormatting>
  <conditionalFormatting sqref="C21">
    <cfRule type="expression" dxfId="241" priority="222">
      <formula>INDEX(ftm_a,8) &gt;INDEX(FTM,8)</formula>
    </cfRule>
  </conditionalFormatting>
  <conditionalFormatting sqref="C22">
    <cfRule type="expression" dxfId="238" priority="216">
      <formula>INDEX(ftp_a,8) &gt;INDEX(FTp,8)</formula>
    </cfRule>
  </conditionalFormatting>
  <conditionalFormatting sqref="D2">
    <cfRule type="expression" dxfId="237" priority="290">
      <formula>OR(INDEX(Result,2)= "L",INDEX(Result,2)= "dL")</formula>
    </cfRule>
    <cfRule type="expression" dxfId="236" priority="295">
      <formula>OR(INDEX(Result,2)= "w",INDEX(Result,2)= "dw")</formula>
    </cfRule>
  </conditionalFormatting>
  <conditionalFormatting sqref="D5">
    <cfRule type="expression" dxfId="235" priority="321">
      <formula>INDEX(total,2) &lt; INDEX(Home_scored,2) + INDEX(Away_scored,2)</formula>
    </cfRule>
    <cfRule type="expression" dxfId="234" priority="325">
      <formula>INDEX(total,2) &gt; INDEX(Home_scored,2) + INDEX(Away_scored,2)</formula>
    </cfRule>
  </conditionalFormatting>
  <conditionalFormatting sqref="E2">
    <cfRule type="expression" dxfId="233" priority="289">
      <formula>OR(INDEX(Result,1)= "L",INDEX(Result,1)= "dL")</formula>
    </cfRule>
    <cfRule type="expression" dxfId="232" priority="294">
      <formula>OR(INDEX(Result,1)= "w",INDEX(Result,1)= "dw")</formula>
    </cfRule>
  </conditionalFormatting>
  <conditionalFormatting sqref="E5">
    <cfRule type="expression" dxfId="231" priority="320">
      <formula>INDEX(total,1) &lt; INDEX(Home_scored,1) + INDEX(Away_scored,1)</formula>
    </cfRule>
    <cfRule type="expression" dxfId="230" priority="324">
      <formula>INDEX(total,1) &gt; INDEX(Home_scored,1) + INDEX(Away_scored,1)</formula>
    </cfRule>
  </conditionalFormatting>
  <conditionalFormatting sqref="E8">
    <cfRule type="expression" dxfId="227" priority="211">
      <formula>INDEX(TRB,8) &gt;INDEX(trb_a,8)</formula>
    </cfRule>
  </conditionalFormatting>
  <conditionalFormatting sqref="E9">
    <cfRule type="expression" dxfId="224" priority="205">
      <formula>INDEX(ORB,8) &gt;INDEX(orb_a,8)</formula>
    </cfRule>
  </conditionalFormatting>
  <conditionalFormatting sqref="E10">
    <cfRule type="expression" dxfId="221" priority="199">
      <formula>INDEX(DRB,8) &gt;INDEX(drb_a,8)</formula>
    </cfRule>
  </conditionalFormatting>
  <conditionalFormatting sqref="E12">
    <cfRule type="expression" dxfId="218" priority="193">
      <formula>INDEX(BLK,8) &gt;INDEX(blk_a,8)</formula>
    </cfRule>
  </conditionalFormatting>
  <conditionalFormatting sqref="E13">
    <cfRule type="expression" dxfId="215" priority="187">
      <formula>INDEX(AST,8) &gt;INDEX(ast_a,8)</formula>
    </cfRule>
  </conditionalFormatting>
  <conditionalFormatting sqref="E14">
    <cfRule type="expression" dxfId="212" priority="181">
      <formula>INDEX(STL,8) &gt;INDEX(stl_a,8)</formula>
    </cfRule>
  </conditionalFormatting>
  <conditionalFormatting sqref="E15">
    <cfRule type="expression" dxfId="209" priority="175">
      <formula>INDEX(tov,8) &lt;INDEX(tov_a,8)</formula>
    </cfRule>
  </conditionalFormatting>
  <conditionalFormatting sqref="E16">
    <cfRule type="expression" dxfId="206" priority="169">
      <formula>INDEX(pf,8) &lt;INDEX(pf_a,8)</formula>
    </cfRule>
  </conditionalFormatting>
  <conditionalFormatting sqref="E17">
    <cfRule type="expression" dxfId="203" priority="163">
      <formula>INDEX(poss,8) &gt;INDEX(poss_a,8)</formula>
    </cfRule>
  </conditionalFormatting>
  <conditionalFormatting sqref="E18">
    <cfRule type="expression" dxfId="200" priority="157">
      <formula>INDEX(pace,8) &gt;INDEX(pace_a,8)</formula>
    </cfRule>
  </conditionalFormatting>
  <conditionalFormatting sqref="E20">
    <cfRule type="expression" dxfId="197" priority="151">
      <formula>INDEX(trbp,8) &gt;INDEX(trbp_a,8)</formula>
    </cfRule>
  </conditionalFormatting>
  <conditionalFormatting sqref="E21">
    <cfRule type="expression" dxfId="194" priority="145">
      <formula>INDEX(astp,8) &gt;INDEX(astp_a,8)</formula>
    </cfRule>
  </conditionalFormatting>
  <conditionalFormatting sqref="E22">
    <cfRule type="expression" dxfId="191" priority="139">
      <formula>INDEX(tsp,8) &gt;INDEX(tsp_a,8)</formula>
    </cfRule>
  </conditionalFormatting>
  <conditionalFormatting sqref="G8">
    <cfRule type="expression" dxfId="188" priority="210">
      <formula>INDEX(trb_a,8) &gt;INDEX(TRB,8)</formula>
    </cfRule>
  </conditionalFormatting>
  <conditionalFormatting sqref="G9">
    <cfRule type="expression" dxfId="185" priority="204">
      <formula>INDEX(orb_a,8) &gt;INDEX(ORB,8)</formula>
    </cfRule>
  </conditionalFormatting>
  <conditionalFormatting sqref="G10">
    <cfRule type="expression" dxfId="182" priority="198">
      <formula>INDEX(drb_a,8) &gt;INDEX(DRB,8)</formula>
    </cfRule>
  </conditionalFormatting>
  <conditionalFormatting sqref="G12">
    <cfRule type="expression" dxfId="179" priority="192">
      <formula>INDEX(blk_a,8) &gt;INDEX(BLK,8)</formula>
    </cfRule>
  </conditionalFormatting>
  <conditionalFormatting sqref="G13">
    <cfRule type="expression" dxfId="176" priority="186">
      <formula>INDEX(ast_a,8) &gt;INDEX(AST,8)</formula>
    </cfRule>
  </conditionalFormatting>
  <conditionalFormatting sqref="G14">
    <cfRule type="expression" dxfId="173" priority="180">
      <formula>INDEX(stl_a,8) &gt;INDEX(STL,8)</formula>
    </cfRule>
  </conditionalFormatting>
  <conditionalFormatting sqref="G15">
    <cfRule type="expression" dxfId="170" priority="174">
      <formula>INDEX(tov,8) &gt; INDEX(tov_a,8)</formula>
    </cfRule>
  </conditionalFormatting>
  <conditionalFormatting sqref="G16">
    <cfRule type="expression" dxfId="167" priority="168">
      <formula>INDEX(pf,8) &gt;INDEX(pf_a,8)</formula>
    </cfRule>
  </conditionalFormatting>
  <conditionalFormatting sqref="G17">
    <cfRule type="expression" dxfId="164" priority="162">
      <formula>INDEX(poss,8) &lt;INDEX(poss_a,8)</formula>
    </cfRule>
  </conditionalFormatting>
  <conditionalFormatting sqref="G18">
    <cfRule type="expression" dxfId="161" priority="156">
      <formula>INDEX(pace,8) &lt;INDEX(pace_a,8)</formula>
    </cfRule>
  </conditionalFormatting>
  <conditionalFormatting sqref="G20">
    <cfRule type="expression" dxfId="158" priority="150">
      <formula>INDEX(trbp,8) &lt;INDEX(trbp_a,8)</formula>
    </cfRule>
  </conditionalFormatting>
  <conditionalFormatting sqref="G21">
    <cfRule type="expression" dxfId="155" priority="144">
      <formula>INDEX(astp,8) &lt;INDEX(astp_a,8)</formula>
    </cfRule>
  </conditionalFormatting>
  <conditionalFormatting sqref="G22">
    <cfRule type="expression" dxfId="152" priority="138">
      <formula>INDEX(tsp,8) &lt;INDEX(tsp_a,8)</formula>
    </cfRule>
  </conditionalFormatting>
  <conditionalFormatting sqref="I8">
    <cfRule type="expression" dxfId="149" priority="133">
      <formula>INDEX(efgp,8) &gt;INDEX(efgp_a,8)</formula>
    </cfRule>
  </conditionalFormatting>
  <conditionalFormatting sqref="I9">
    <cfRule type="expression" dxfId="146" priority="127">
      <formula>INDEX(tovp,8) &lt;INDEX(tovp_a,8)</formula>
    </cfRule>
  </conditionalFormatting>
  <conditionalFormatting sqref="I10">
    <cfRule type="expression" dxfId="143" priority="121">
      <formula>INDEX(orbp,8) &gt;INDEX(orbp_a,8)</formula>
    </cfRule>
  </conditionalFormatting>
  <conditionalFormatting sqref="I11">
    <cfRule type="expression" dxfId="140" priority="115">
      <formula>INDEX(ftfga,8) &gt;INDEX(ftfga_a,8)</formula>
    </cfRule>
  </conditionalFormatting>
  <conditionalFormatting sqref="I12">
    <cfRule type="expression" dxfId="137" priority="109">
      <formula>INDEX(ortg,8) &gt;INDEX(ortg_a,8)</formula>
    </cfRule>
  </conditionalFormatting>
  <conditionalFormatting sqref="I13">
    <cfRule type="expression" dxfId="134" priority="103">
      <formula>INDEX(drtg,8) &lt;INDEX(drtg_a,8)</formula>
    </cfRule>
  </conditionalFormatting>
  <conditionalFormatting sqref="I14">
    <cfRule type="expression" dxfId="131" priority="97">
      <formula>INDEX(scored,8) &gt;INDEX(scored_a,8)</formula>
    </cfRule>
  </conditionalFormatting>
  <conditionalFormatting sqref="I16">
    <cfRule type="expression" dxfId="128" priority="91">
      <formula>INDEX(efgpo,8) &lt;INDEX(efgpo_a,8)</formula>
    </cfRule>
  </conditionalFormatting>
  <conditionalFormatting sqref="I17">
    <cfRule type="expression" dxfId="125" priority="85">
      <formula>INDEX(tovpo,8) &gt;INDEX(tovpo_a,8)</formula>
    </cfRule>
  </conditionalFormatting>
  <conditionalFormatting sqref="I18">
    <cfRule type="expression" dxfId="122" priority="79">
      <formula>INDEX(orbpo,8) &lt;INDEX(orbpo_a,8)</formula>
    </cfRule>
  </conditionalFormatting>
  <conditionalFormatting sqref="I19">
    <cfRule type="expression" dxfId="119" priority="73">
      <formula>INDEX(ftfgao,8) &lt;INDEX(ftfgao_a,8)</formula>
    </cfRule>
  </conditionalFormatting>
  <conditionalFormatting sqref="I20">
    <cfRule type="expression" dxfId="116" priority="67">
      <formula>INDEX(allowed,8) &lt;INDEX(allowed_a,8)</formula>
    </cfRule>
  </conditionalFormatting>
  <conditionalFormatting sqref="K8">
    <cfRule type="expression" dxfId="113" priority="132">
      <formula>INDEX(efgp,8) &lt;INDEX(efgp_a,8)</formula>
    </cfRule>
  </conditionalFormatting>
  <conditionalFormatting sqref="K9">
    <cfRule type="expression" dxfId="110" priority="126">
      <formula>INDEX(tovp,8) &gt;INDEX(tovp_a,8)</formula>
    </cfRule>
  </conditionalFormatting>
  <conditionalFormatting sqref="K10">
    <cfRule type="expression" dxfId="107" priority="120">
      <formula>INDEX(orbp,8) &lt;INDEX(orbp_a,8)</formula>
    </cfRule>
  </conditionalFormatting>
  <conditionalFormatting sqref="K11">
    <cfRule type="expression" dxfId="104" priority="114">
      <formula>INDEX(ftfga,8) &lt;INDEX(ftfga_a,8)</formula>
    </cfRule>
  </conditionalFormatting>
  <conditionalFormatting sqref="K12">
    <cfRule type="expression" dxfId="101" priority="108">
      <formula>INDEX(ortg,8) &lt;INDEX(ortg_a,8)</formula>
    </cfRule>
  </conditionalFormatting>
  <conditionalFormatting sqref="K13">
    <cfRule type="expression" dxfId="98" priority="102">
      <formula>INDEX(drtg,8) &gt;INDEX(drtg_a,8)</formula>
    </cfRule>
  </conditionalFormatting>
  <conditionalFormatting sqref="K14">
    <cfRule type="expression" dxfId="95" priority="96">
      <formula>INDEX(scored,8) &lt;INDEX(scored_a,8)</formula>
    </cfRule>
  </conditionalFormatting>
  <conditionalFormatting sqref="K16">
    <cfRule type="expression" dxfId="92" priority="90">
      <formula>INDEX(efgpo,8) &gt;INDEX(efgpo_a,8)</formula>
    </cfRule>
  </conditionalFormatting>
  <conditionalFormatting sqref="K17">
    <cfRule type="expression" dxfId="89" priority="84">
      <formula>INDEX(tovpo,8) &lt;INDEX(tovpo_a,8)</formula>
    </cfRule>
  </conditionalFormatting>
  <conditionalFormatting sqref="K18">
    <cfRule type="expression" dxfId="86" priority="78">
      <formula>INDEX(orbpo,8) &gt;INDEX(orbpo_a,8)</formula>
    </cfRule>
  </conditionalFormatting>
  <conditionalFormatting sqref="K19">
    <cfRule type="expression" dxfId="83" priority="72">
      <formula>INDEX(ftfgao,8) &gt;INDEX(ftfgao_a,8)</formula>
    </cfRule>
  </conditionalFormatting>
  <conditionalFormatting sqref="K20">
    <cfRule type="expression" dxfId="80" priority="66">
      <formula>INDEX(allowed,8) &gt;INDEX(allowed_a,8)</formula>
    </cfRule>
  </conditionalFormatting>
  <conditionalFormatting sqref="M8">
    <cfRule type="expression" dxfId="77" priority="61">
      <formula>INDEX(Q1T,8) &gt;INDEX(q1t_a,8)</formula>
    </cfRule>
  </conditionalFormatting>
  <conditionalFormatting sqref="M9">
    <cfRule type="expression" dxfId="74" priority="55">
      <formula>INDEX(q2t,8) &gt;INDEX(q2t_a,8)</formula>
    </cfRule>
  </conditionalFormatting>
  <conditionalFormatting sqref="M10">
    <cfRule type="expression" dxfId="71" priority="48">
      <formula>INDEX(q3t,8) &gt;INDEX(q3t_a,8)</formula>
    </cfRule>
  </conditionalFormatting>
  <conditionalFormatting sqref="M11">
    <cfRule type="expression" dxfId="68" priority="47">
      <formula>INDEX(q4t,8) &gt;INDEX(q4t_a,8)</formula>
    </cfRule>
  </conditionalFormatting>
  <conditionalFormatting sqref="M12">
    <cfRule type="expression" dxfId="65" priority="46">
      <formula>INDEX(fht,8) &gt;INDEX(fht_a,8)</formula>
    </cfRule>
  </conditionalFormatting>
  <conditionalFormatting sqref="M13">
    <cfRule type="expression" dxfId="62" priority="45">
      <formula>INDEX(sht,8) &gt;INDEX(sht_a,8)</formula>
    </cfRule>
  </conditionalFormatting>
  <conditionalFormatting sqref="M16">
    <cfRule type="expression" dxfId="59" priority="24">
      <formula>INDEX(beth,8) &gt;INDEX(beth_a,8)</formula>
    </cfRule>
  </conditionalFormatting>
  <conditionalFormatting sqref="M17">
    <cfRule type="expression" dxfId="56" priority="23">
      <formula>INDEX(beta,8) &gt;INDEX(beta_a,8)</formula>
    </cfRule>
  </conditionalFormatting>
  <conditionalFormatting sqref="M18">
    <cfRule type="expression" dxfId="53" priority="22">
      <formula>INDEX(tover,8) &gt;INDEX(tover_a,8)</formula>
    </cfRule>
  </conditionalFormatting>
  <conditionalFormatting sqref="M19">
    <cfRule type="expression" dxfId="50" priority="21">
      <formula>INDEX(deviation,8) &lt;INDEX(deviation_a,8)</formula>
    </cfRule>
  </conditionalFormatting>
  <conditionalFormatting sqref="O2">
    <cfRule type="expression" dxfId="49" priority="283">
      <formula>OR(INDEX(result_a,5)= "w",INDEX(result_a,5)= "dw")</formula>
    </cfRule>
    <cfRule type="expression" dxfId="48" priority="288">
      <formula>OR(INDEX(result_a,5)= "L",INDEX(result_a,5)= "dL")</formula>
    </cfRule>
  </conditionalFormatting>
  <conditionalFormatting sqref="O5">
    <cfRule type="expression" dxfId="47" priority="316">
      <formula>INDEX(total_a,5) &gt; INDEX(Home_scored_a,5) + INDEX(Away_scored_a,5)</formula>
    </cfRule>
    <cfRule type="expression" dxfId="46" priority="317">
      <formula>INDEX(total_a,5) &lt; INDEX(Home_scored_a,5) + INDEX(Away_scored_a,5)</formula>
    </cfRule>
  </conditionalFormatting>
  <conditionalFormatting sqref="O8">
    <cfRule type="expression" dxfId="43" priority="60">
      <formula>INDEX(Q1T,8) &lt;INDEX(q1t_a,8)</formula>
    </cfRule>
  </conditionalFormatting>
  <conditionalFormatting sqref="O9">
    <cfRule type="expression" dxfId="40" priority="54">
      <formula>INDEX(q2t,8) &lt;INDEX(q2t_a,8)</formula>
    </cfRule>
  </conditionalFormatting>
  <conditionalFormatting sqref="O10">
    <cfRule type="expression" dxfId="37" priority="44">
      <formula>INDEX(q3t,8) &lt;INDEX(q3t_a,8)</formula>
    </cfRule>
  </conditionalFormatting>
  <conditionalFormatting sqref="O11">
    <cfRule type="expression" dxfId="34" priority="43">
      <formula>INDEX(q4t,8) &lt;INDEX(q4t_a,8)</formula>
    </cfRule>
  </conditionalFormatting>
  <conditionalFormatting sqref="O12">
    <cfRule type="expression" dxfId="31" priority="42">
      <formula>INDEX(fht,8) &lt;INDEX(fht_a,8)</formula>
    </cfRule>
  </conditionalFormatting>
  <conditionalFormatting sqref="O13">
    <cfRule type="expression" dxfId="28" priority="41">
      <formula>INDEX(sht,8) &lt;INDEX(sht_a,8)</formula>
    </cfRule>
  </conditionalFormatting>
  <conditionalFormatting sqref="O16">
    <cfRule type="expression" dxfId="25" priority="20">
      <formula>INDEX(beth,8) &lt;INDEX(beth_a,8)</formula>
    </cfRule>
  </conditionalFormatting>
  <conditionalFormatting sqref="O17">
    <cfRule type="expression" dxfId="22" priority="19">
      <formula>INDEX(beta,8) &lt;INDEX(beta_a,8)</formula>
    </cfRule>
  </conditionalFormatting>
  <conditionalFormatting sqref="O18">
    <cfRule type="expression" dxfId="19" priority="18">
      <formula>INDEX(tover,8) &lt;INDEX(tover_a,8)</formula>
    </cfRule>
  </conditionalFormatting>
  <conditionalFormatting sqref="O19">
    <cfRule type="expression" dxfId="16" priority="17">
      <formula>INDEX(deviation,8) &gt;INDEX(deviation_a,8)</formula>
    </cfRule>
  </conditionalFormatting>
  <conditionalFormatting sqref="P2">
    <cfRule type="expression" dxfId="15" priority="282">
      <formula>OR(INDEX(result_a,4)= "w",INDEX(result_a,4)= "dw")</formula>
    </cfRule>
    <cfRule type="expression" dxfId="14" priority="287">
      <formula>OR(INDEX(result_a,4)= "L",INDEX(result_a,4)= "dL")</formula>
    </cfRule>
  </conditionalFormatting>
  <conditionalFormatting sqref="P5">
    <cfRule type="expression" dxfId="13" priority="311">
      <formula>INDEX(total_a,4) &lt; INDEX(Home_scored_a,4) + INDEX(Away_scored_a,4)</formula>
    </cfRule>
    <cfRule type="expression" dxfId="12" priority="315">
      <formula>INDEX(total_a,4) &gt; INDEX(Home_scored_a,4) + INDEX(Away_scored_a,4)</formula>
    </cfRule>
  </conditionalFormatting>
  <conditionalFormatting sqref="Q2">
    <cfRule type="expression" dxfId="11" priority="281">
      <formula>OR(INDEX(result_a,3)= "w",INDEX(result_a,3)= "dw")</formula>
    </cfRule>
    <cfRule type="expression" dxfId="10" priority="286">
      <formula>OR(INDEX(result_a,3)= "L",INDEX(result_a,3)= "dL")</formula>
    </cfRule>
  </conditionalFormatting>
  <conditionalFormatting sqref="Q5">
    <cfRule type="expression" dxfId="9" priority="310">
      <formula>INDEX(total_a,3) &lt; INDEX(Home_scored_a,3) + INDEX(Away_scored_a,3)</formula>
    </cfRule>
    <cfRule type="expression" dxfId="8" priority="314">
      <formula>INDEX(total_a,3) &gt; INDEX(Home_scored_a,3) + INDEX(Away_scored_a,3)</formula>
    </cfRule>
  </conditionalFormatting>
  <conditionalFormatting sqref="R2">
    <cfRule type="expression" dxfId="7" priority="280">
      <formula>OR(INDEX(result_a,2)= "w",INDEX(result_a,2)= "dw")</formula>
    </cfRule>
    <cfRule type="expression" dxfId="6" priority="285">
      <formula>OR(INDEX(result_a,2)= "L",INDEX(result_a,2)= "dL")</formula>
    </cfRule>
  </conditionalFormatting>
  <conditionalFormatting sqref="R5">
    <cfRule type="expression" dxfId="5" priority="309">
      <formula>INDEX(total_a,2) &lt; INDEX(Home_scored_a,2) + INDEX(Away_scored_a,2)</formula>
    </cfRule>
    <cfRule type="expression" dxfId="4" priority="313">
      <formula>INDEX(total_a,2) &gt; INDEX(Home_scored_a,2) + INDEX(Away_scored_a,2)</formula>
    </cfRule>
  </conditionalFormatting>
  <conditionalFormatting sqref="S2">
    <cfRule type="expression" dxfId="3" priority="279">
      <formula>OR(INDEX(result_a,1)= "w",INDEX(result_a,1)= "dw")</formula>
    </cfRule>
    <cfRule type="expression" dxfId="2" priority="284">
      <formula>OR(INDEX(result_a,1)= "L",INDEX(result_a,1)= "dL")</formula>
    </cfRule>
  </conditionalFormatting>
  <conditionalFormatting sqref="S5">
    <cfRule type="expression" dxfId="1" priority="308">
      <formula>INDEX(total_a,1) &lt; INDEX(Home_scored_a,1) + INDEX(Away_scored_a,1)</formula>
    </cfRule>
    <cfRule type="expression" dxfId="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31"/>
  <sheetViews>
    <sheetView workbookViewId="0">
      <pane xSplit="1" topLeftCell="B1" activePane="topRight" state="frozen"/>
      <selection pane="topRight" activeCell="M11" sqref="M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253</v>
      </c>
      <c r="F1" t="s">
        <v>78</v>
      </c>
      <c r="G1" t="s">
        <v>175</v>
      </c>
      <c r="H1" t="s">
        <v>79</v>
      </c>
      <c r="I1" t="s">
        <v>176</v>
      </c>
      <c r="J1" t="s">
        <v>9</v>
      </c>
      <c r="K1" t="s">
        <v>177</v>
      </c>
      <c r="L1" t="s">
        <v>80</v>
      </c>
      <c r="M1" t="s">
        <v>178</v>
      </c>
      <c r="N1" t="s">
        <v>82</v>
      </c>
      <c r="O1" t="s">
        <v>179</v>
      </c>
      <c r="P1" t="s">
        <v>77</v>
      </c>
      <c r="Q1" t="s">
        <v>180</v>
      </c>
      <c r="R1" t="s">
        <v>10</v>
      </c>
      <c r="S1" t="s">
        <v>181</v>
      </c>
      <c r="T1" t="s">
        <v>81</v>
      </c>
      <c r="U1" t="s">
        <v>182</v>
      </c>
      <c r="V1" t="s">
        <v>83</v>
      </c>
      <c r="W1" t="s">
        <v>183</v>
      </c>
      <c r="X1" t="s">
        <v>11</v>
      </c>
      <c r="Y1" t="s">
        <v>184</v>
      </c>
      <c r="Z1" t="s">
        <v>84</v>
      </c>
      <c r="AA1" t="s">
        <v>185</v>
      </c>
      <c r="AB1" t="s">
        <v>86</v>
      </c>
      <c r="AC1" t="s">
        <v>186</v>
      </c>
      <c r="AD1" t="s">
        <v>12</v>
      </c>
      <c r="AE1" t="s">
        <v>187</v>
      </c>
      <c r="AF1" t="s">
        <v>85</v>
      </c>
      <c r="AG1" t="s">
        <v>188</v>
      </c>
      <c r="AH1" t="s">
        <v>13</v>
      </c>
      <c r="AI1" t="s">
        <v>189</v>
      </c>
      <c r="AJ1" t="s">
        <v>14</v>
      </c>
      <c r="AK1" t="s">
        <v>190</v>
      </c>
      <c r="AL1" t="s">
        <v>15</v>
      </c>
      <c r="AM1" t="s">
        <v>191</v>
      </c>
      <c r="AN1" t="s">
        <v>16</v>
      </c>
      <c r="AO1" t="s">
        <v>192</v>
      </c>
      <c r="AP1" t="s">
        <v>17</v>
      </c>
      <c r="AQ1" t="s">
        <v>193</v>
      </c>
      <c r="AR1" t="s">
        <v>18</v>
      </c>
      <c r="AS1" t="s">
        <v>194</v>
      </c>
      <c r="AT1" t="s">
        <v>19</v>
      </c>
      <c r="AU1" t="s">
        <v>195</v>
      </c>
      <c r="AV1" t="s">
        <v>20</v>
      </c>
      <c r="AW1" t="s">
        <v>196</v>
      </c>
      <c r="AX1" t="s">
        <v>91</v>
      </c>
      <c r="AY1" t="s">
        <v>197</v>
      </c>
      <c r="AZ1" t="s">
        <v>90</v>
      </c>
      <c r="BA1" t="s">
        <v>198</v>
      </c>
      <c r="BB1" t="s">
        <v>92</v>
      </c>
      <c r="BC1" t="s">
        <v>199</v>
      </c>
      <c r="BD1" t="s">
        <v>93</v>
      </c>
      <c r="BE1" t="s">
        <v>200</v>
      </c>
      <c r="BF1" t="s">
        <v>95</v>
      </c>
      <c r="BG1" t="s">
        <v>201</v>
      </c>
      <c r="BH1" t="s">
        <v>96</v>
      </c>
      <c r="BI1" t="s">
        <v>202</v>
      </c>
      <c r="BJ1" t="s">
        <v>99</v>
      </c>
      <c r="BK1" t="s">
        <v>203</v>
      </c>
      <c r="BL1" t="s">
        <v>100</v>
      </c>
      <c r="BM1" t="s">
        <v>204</v>
      </c>
      <c r="BN1" t="s">
        <v>101</v>
      </c>
      <c r="BO1" t="s">
        <v>205</v>
      </c>
      <c r="BP1" t="s">
        <v>102</v>
      </c>
      <c r="BQ1" t="s">
        <v>206</v>
      </c>
      <c r="BR1" t="s">
        <v>104</v>
      </c>
      <c r="BS1" t="s">
        <v>207</v>
      </c>
      <c r="BT1" t="s">
        <v>105</v>
      </c>
      <c r="BU1" t="s">
        <v>208</v>
      </c>
      <c r="BV1" t="s">
        <v>107</v>
      </c>
      <c r="BW1" t="s">
        <v>209</v>
      </c>
      <c r="BX1" t="s">
        <v>108</v>
      </c>
      <c r="BY1" t="s">
        <v>210</v>
      </c>
      <c r="BZ1" t="s">
        <v>109</v>
      </c>
      <c r="CA1" t="s">
        <v>211</v>
      </c>
      <c r="CB1" t="s">
        <v>110</v>
      </c>
      <c r="CC1" t="s">
        <v>212</v>
      </c>
      <c r="CD1" t="s">
        <v>111</v>
      </c>
      <c r="CE1" t="s">
        <v>213</v>
      </c>
      <c r="CF1" t="s">
        <v>112</v>
      </c>
      <c r="CG1" t="s">
        <v>214</v>
      </c>
      <c r="CH1" t="s">
        <v>113</v>
      </c>
      <c r="CI1" t="s">
        <v>215</v>
      </c>
      <c r="CJ1" t="s">
        <v>114</v>
      </c>
      <c r="CK1" t="s">
        <v>216</v>
      </c>
      <c r="CL1" t="s">
        <v>116</v>
      </c>
      <c r="CM1" t="s">
        <v>217</v>
      </c>
      <c r="CN1" t="s">
        <v>117</v>
      </c>
      <c r="CO1" t="s">
        <v>218</v>
      </c>
      <c r="CP1" t="s">
        <v>118</v>
      </c>
      <c r="CQ1" t="s">
        <v>219</v>
      </c>
      <c r="CR1" t="s">
        <v>119</v>
      </c>
      <c r="CS1" t="s">
        <v>220</v>
      </c>
      <c r="CT1" t="s">
        <v>120</v>
      </c>
      <c r="CU1" t="s">
        <v>221</v>
      </c>
      <c r="CV1" t="s">
        <v>37</v>
      </c>
      <c r="CW1" t="s">
        <v>222</v>
      </c>
      <c r="CX1" t="s">
        <v>121</v>
      </c>
      <c r="CY1" t="s">
        <v>223</v>
      </c>
      <c r="CZ1" t="s">
        <v>122</v>
      </c>
      <c r="DA1" t="s">
        <v>224</v>
      </c>
      <c r="DB1" t="s">
        <v>123</v>
      </c>
      <c r="DC1" t="s">
        <v>225</v>
      </c>
      <c r="DD1" t="s">
        <v>41</v>
      </c>
      <c r="DE1" t="s">
        <v>226</v>
      </c>
      <c r="DF1" t="s">
        <v>42</v>
      </c>
      <c r="DG1" t="s">
        <v>227</v>
      </c>
      <c r="DH1" t="s">
        <v>43</v>
      </c>
      <c r="DI1" t="s">
        <v>228</v>
      </c>
      <c r="DJ1" t="s">
        <v>124</v>
      </c>
      <c r="DK1" t="s">
        <v>229</v>
      </c>
      <c r="DL1" t="s">
        <v>125</v>
      </c>
      <c r="DM1" t="s">
        <v>230</v>
      </c>
      <c r="DN1" t="s">
        <v>126</v>
      </c>
      <c r="DO1" t="s">
        <v>231</v>
      </c>
      <c r="DP1" t="s">
        <v>127</v>
      </c>
      <c r="DQ1" t="s">
        <v>232</v>
      </c>
      <c r="DR1" t="s">
        <v>128</v>
      </c>
      <c r="DS1" t="s">
        <v>233</v>
      </c>
      <c r="DT1" t="s">
        <v>129</v>
      </c>
      <c r="DU1" t="s">
        <v>234</v>
      </c>
      <c r="DV1" t="s">
        <v>130</v>
      </c>
      <c r="DW1" t="s">
        <v>235</v>
      </c>
      <c r="DX1" t="s">
        <v>131</v>
      </c>
      <c r="DY1" t="s">
        <v>236</v>
      </c>
      <c r="DZ1" t="s">
        <v>132</v>
      </c>
      <c r="EA1" t="s">
        <v>237</v>
      </c>
      <c r="EB1" t="s">
        <v>133</v>
      </c>
      <c r="EC1" t="s">
        <v>238</v>
      </c>
      <c r="ED1" t="s">
        <v>134</v>
      </c>
      <c r="EE1" t="s">
        <v>239</v>
      </c>
      <c r="EF1" t="s">
        <v>55</v>
      </c>
      <c r="EG1" t="s">
        <v>240</v>
      </c>
      <c r="EH1" t="s">
        <v>56</v>
      </c>
      <c r="EI1" t="s">
        <v>241</v>
      </c>
      <c r="EJ1" t="s">
        <v>57</v>
      </c>
      <c r="EK1" t="s">
        <v>242</v>
      </c>
      <c r="EL1" t="s">
        <v>58</v>
      </c>
      <c r="EM1" t="s">
        <v>243</v>
      </c>
      <c r="EN1" t="s">
        <v>59</v>
      </c>
      <c r="EO1" t="s">
        <v>244</v>
      </c>
      <c r="EP1" t="s">
        <v>60</v>
      </c>
      <c r="EQ1" t="s">
        <v>245</v>
      </c>
      <c r="ER1" t="s">
        <v>61</v>
      </c>
      <c r="ES1" t="s">
        <v>246</v>
      </c>
      <c r="ET1" t="s">
        <v>62</v>
      </c>
      <c r="EU1" t="s">
        <v>247</v>
      </c>
      <c r="EV1" t="s">
        <v>135</v>
      </c>
      <c r="EW1" t="s">
        <v>248</v>
      </c>
      <c r="EX1" t="s">
        <v>136</v>
      </c>
      <c r="EY1" t="s">
        <v>249</v>
      </c>
      <c r="EZ1" t="s">
        <v>137</v>
      </c>
      <c r="FA1" t="s">
        <v>250</v>
      </c>
      <c r="FB1" t="s">
        <v>138</v>
      </c>
      <c r="FC1" t="s">
        <v>251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252</v>
      </c>
      <c r="FK1" t="s">
        <v>276</v>
      </c>
      <c r="FL1" t="s">
        <v>285</v>
      </c>
      <c r="FM1" t="s">
        <v>277</v>
      </c>
      <c r="FN1" t="s">
        <v>288</v>
      </c>
      <c r="FO1" t="s">
        <v>278</v>
      </c>
      <c r="FP1" t="s">
        <v>287</v>
      </c>
      <c r="FQ1" t="s">
        <v>279</v>
      </c>
      <c r="FR1" t="s">
        <v>289</v>
      </c>
      <c r="FS1" t="s">
        <v>280</v>
      </c>
      <c r="FT1" t="s">
        <v>286</v>
      </c>
      <c r="FU1" t="s">
        <v>281</v>
      </c>
      <c r="FV1" t="s">
        <v>290</v>
      </c>
      <c r="FW1" t="s">
        <v>283</v>
      </c>
      <c r="FX1" t="s">
        <v>291</v>
      </c>
      <c r="FY1" t="s">
        <v>284</v>
      </c>
      <c r="FZ1" t="s">
        <v>292</v>
      </c>
      <c r="GA1" t="s">
        <v>293</v>
      </c>
      <c r="GB1" t="s">
        <v>295</v>
      </c>
      <c r="GC1" t="s">
        <v>294</v>
      </c>
      <c r="GD1" t="s">
        <v>296</v>
      </c>
    </row>
    <row r="2" spans="1:186" x14ac:dyDescent="0.25">
      <c r="A2" s="9" t="s">
        <v>343</v>
      </c>
      <c r="B2" t="s">
        <v>343</v>
      </c>
      <c r="C2" t="s">
        <v>345</v>
      </c>
      <c r="D2" t="s">
        <v>344</v>
      </c>
      <c r="E2">
        <f>_xlfn.RANK.EQ(all[[#This Row],[AVG_RT]],all[AVG_RT],1)</f>
        <v>12</v>
      </c>
      <c r="F2" s="6">
        <f>AVERAGE(borac[Home_scored])</f>
        <v>85</v>
      </c>
      <c r="G2" s="13">
        <f>_xlfn.RANK.EQ(all[[#This Row],[PM]],all[PM])</f>
        <v>8</v>
      </c>
      <c r="H2" s="6">
        <f>AVERAGE(borac[Away_scored])</f>
        <v>81</v>
      </c>
      <c r="I2" s="13">
        <f>_xlfn.RANK.EQ(all[[#This Row],[PC]],all[PC],1)</f>
        <v>7</v>
      </c>
      <c r="J2" s="6">
        <f>AVERAGE(borac[FGA])</f>
        <v>57</v>
      </c>
      <c r="K2" s="13">
        <f>_xlfn.RANK.EQ(all[[#This Row],[FGA]],all[FGA])</f>
        <v>17</v>
      </c>
      <c r="L2" s="6">
        <f>AVERAGE(borac[FGM])</f>
        <v>31</v>
      </c>
      <c r="M2" s="13">
        <f>_xlfn.RANK.EQ(all[[#This Row],[FGM]],all[FGM])</f>
        <v>4</v>
      </c>
      <c r="N2" s="7">
        <f>AVERAGE(borac[FGp])</f>
        <v>0.54390000000000005</v>
      </c>
      <c r="O2" s="13">
        <f>_xlfn.RANK.EQ(all[[#This Row],[FGp]],all[FGp])</f>
        <v>2</v>
      </c>
      <c r="P2" s="6">
        <f>AVERAGE(borac[P2M])</f>
        <v>23</v>
      </c>
      <c r="Q2" s="13">
        <f>_xlfn.RANK.EQ(all[[#This Row],[P2M]],all[P2M])</f>
        <v>3</v>
      </c>
      <c r="R2" s="6">
        <f>AVERAGE(borac[P2A])</f>
        <v>38</v>
      </c>
      <c r="S2" s="13">
        <f>_xlfn.RANK.EQ(all[[#This Row],[P2A]],all[P2A])</f>
        <v>7</v>
      </c>
      <c r="T2" s="7">
        <f>AVERAGE(borac[P2p])</f>
        <v>0.60529999999999995</v>
      </c>
      <c r="U2" s="13">
        <f>_xlfn.RANK.EQ(all[[#This Row],[P2p]],all[P2p])</f>
        <v>4</v>
      </c>
      <c r="V2" s="6">
        <f>AVERAGE(borac[P3M])</f>
        <v>8</v>
      </c>
      <c r="W2" s="13">
        <f>_xlfn.RANK.EQ(all[[#This Row],[P3M]],all[P3M])</f>
        <v>14</v>
      </c>
      <c r="X2" s="6">
        <f>AVERAGE(borac[P3A])</f>
        <v>19</v>
      </c>
      <c r="Y2" s="13">
        <f>_xlfn.RANK.EQ(all[[#This Row],[P3A]],all[P3A])</f>
        <v>16</v>
      </c>
      <c r="Z2" s="7">
        <f>AVERAGE(borac[P3p])</f>
        <v>0.42109999999999997</v>
      </c>
      <c r="AA2" s="13">
        <f>_xlfn.RANK.EQ(all[[#This Row],[P3p]],all[P3p])</f>
        <v>6</v>
      </c>
      <c r="AB2" s="6">
        <f>AVERAGE(borac[FTM])</f>
        <v>15</v>
      </c>
      <c r="AC2" s="13">
        <f>_xlfn.RANK.EQ(all[[#This Row],[FTM]],all[FTM])</f>
        <v>10</v>
      </c>
      <c r="AD2" s="6">
        <f>AVERAGE(borac[FTA])</f>
        <v>21</v>
      </c>
      <c r="AE2" s="13">
        <f>_xlfn.RANK.EQ(all[[#This Row],[FTA]],all[FTA])</f>
        <v>10</v>
      </c>
      <c r="AF2" s="7">
        <f>AVERAGE(borac[FTp])</f>
        <v>0.71430000000000005</v>
      </c>
      <c r="AG2" s="13">
        <f>_xlfn.RANK.EQ(all[[#This Row],[FTp]],all[FTp])</f>
        <v>12</v>
      </c>
      <c r="AH2" s="6">
        <f>AVERAGE(borac[ORB])</f>
        <v>5</v>
      </c>
      <c r="AI2" s="13">
        <f>_xlfn.RANK.EQ(all[[#This Row],[ORB]],all[ORB])</f>
        <v>18</v>
      </c>
      <c r="AJ2" s="6">
        <f>AVERAGE(borac[DRB])</f>
        <v>29</v>
      </c>
      <c r="AK2" s="13">
        <f>_xlfn.RANK.EQ(all[[#This Row],[DRB]],all[DRB])</f>
        <v>4</v>
      </c>
      <c r="AL2" s="6">
        <f>AVERAGE(borac[TRB])</f>
        <v>34</v>
      </c>
      <c r="AM2" s="13">
        <f>_xlfn.RANK.EQ(all[[#This Row],[TRB]],all[TRB])</f>
        <v>9</v>
      </c>
      <c r="AN2" s="6">
        <f>AVERAGE(borac[AST])</f>
        <v>15</v>
      </c>
      <c r="AO2" s="13">
        <f>_xlfn.RANK.EQ(all[[#This Row],[AST]],all[AST])</f>
        <v>15</v>
      </c>
      <c r="AP2" s="6">
        <f>AVERAGE(borac[STL])</f>
        <v>4</v>
      </c>
      <c r="AQ2" s="13">
        <f>_xlfn.RANK.EQ(all[[#This Row],[STL]],all[STL])</f>
        <v>16</v>
      </c>
      <c r="AR2" s="6">
        <f>AVERAGE(borac[BLK])</f>
        <v>1</v>
      </c>
      <c r="AS2" s="13">
        <f>_xlfn.RANK.EQ(all[[#This Row],[BLK]],all[BLK])</f>
        <v>11</v>
      </c>
      <c r="AT2" s="6">
        <f>AVERAGE(borac[TOV])</f>
        <v>15</v>
      </c>
      <c r="AU2" s="13">
        <f>_xlfn.RANK.EQ(all[[#This Row],[TOV]],all[TOV],1)</f>
        <v>11</v>
      </c>
      <c r="AV2" s="6">
        <f>AVERAGE(borac[PF])</f>
        <v>21</v>
      </c>
      <c r="AW2" s="13">
        <f>_xlfn.RANK.EQ(all[[#This Row],[PF]],all[PF],1)</f>
        <v>4</v>
      </c>
      <c r="AX2" s="6">
        <f>AVERAGE(borac[FGAop])</f>
        <v>67</v>
      </c>
      <c r="AY2" s="13">
        <f>_xlfn.RANK.EQ(all[[#This Row],[FGA opp]],all[FGA opp],1)</f>
        <v>13</v>
      </c>
      <c r="AZ2" s="6">
        <f>AVERAGE(borac[FGMop])</f>
        <v>29</v>
      </c>
      <c r="BA2" s="13">
        <f>_xlfn.RANK.EQ(all[[#This Row],[FGM opp]],all[FGM opp],1)</f>
        <v>9</v>
      </c>
      <c r="BB2" s="7">
        <f>AVERAGE(borac[FGpop])</f>
        <v>0.43280000000000002</v>
      </c>
      <c r="BC2" s="13">
        <f>_xlfn.RANK.EQ(all[[#This Row],[FGp opp]],all[FGp opp],1)</f>
        <v>7</v>
      </c>
      <c r="BD2" s="6">
        <f>AVERAGE(borac[P2Mop])</f>
        <v>21</v>
      </c>
      <c r="BE2" s="13">
        <f>_xlfn.RANK.EQ(all[[#This Row],[P2M opp]],all[P2M opp],1)</f>
        <v>13</v>
      </c>
      <c r="BF2" s="6">
        <f>AVERAGE(borac[P2Aop])</f>
        <v>39</v>
      </c>
      <c r="BG2" s="13">
        <f>_xlfn.RANK.EQ(all[[#This Row],[P2A opp]],all[P2A opp],1)</f>
        <v>10</v>
      </c>
      <c r="BH2">
        <f>AVERAGE(borac[P2pop])</f>
        <v>0.53849999999999998</v>
      </c>
      <c r="BI2" s="13">
        <f>_xlfn.RANK.EQ(all[[#This Row],[P2p opp]],all[P2p opp],1)</f>
        <v>11</v>
      </c>
      <c r="BJ2" s="6">
        <f>AVERAGE(borac[P3Mop])</f>
        <v>8</v>
      </c>
      <c r="BK2" s="13">
        <f>_xlfn.RANK.EQ(all[[#This Row],[P3M opp]],all[P3M opp],1)</f>
        <v>6</v>
      </c>
      <c r="BL2" s="6">
        <f>AVERAGE(borac[P3Aop])</f>
        <v>28</v>
      </c>
      <c r="BM2" s="13">
        <f>_xlfn.RANK.EQ(all[[#This Row],[P3A opp]],all[P3A opp],1)</f>
        <v>12</v>
      </c>
      <c r="BN2" s="7">
        <f>AVERAGE(borac[P3pop])</f>
        <v>0.28570000000000001</v>
      </c>
      <c r="BO2" s="13">
        <f>_xlfn.RANK.EQ(all[[#This Row],[P3p opp]],all[P3p opp],1)</f>
        <v>4</v>
      </c>
      <c r="BP2" s="6">
        <f>AVERAGE(borac[FTMop])</f>
        <v>15</v>
      </c>
      <c r="BQ2" s="13">
        <f>_xlfn.RANK.EQ(all[[#This Row],[FTM opp]],all[FTM opp],1)</f>
        <v>8</v>
      </c>
      <c r="BR2" s="6">
        <f>AVERAGE(borac[FTAop])</f>
        <v>25</v>
      </c>
      <c r="BS2" s="13">
        <f>_xlfn.RANK.EQ(all[[#This Row],[FTA opp]],all[FTA opp],1)</f>
        <v>13</v>
      </c>
      <c r="BT2" s="7">
        <f>AVERAGE(borac[FTpop])</f>
        <v>0.6</v>
      </c>
      <c r="BU2" s="13">
        <f>_xlfn.RANK.EQ(all[[#This Row],[FTp opp]],all[FTp opp],1)</f>
        <v>2</v>
      </c>
      <c r="BV2" s="6">
        <f>AVERAGE(borac[ORBop])</f>
        <v>11</v>
      </c>
      <c r="BW2" s="13">
        <f>_xlfn.RANK.EQ(all[[#This Row],[ORB opp]],all[ORB opp],1)</f>
        <v>9</v>
      </c>
      <c r="BX2" s="6">
        <f>AVERAGE(borac[DRBop])</f>
        <v>24</v>
      </c>
      <c r="BY2" s="13">
        <f>_xlfn.RANK.EQ(all[[#This Row],[DRB opp]],all[DRB opp],1)</f>
        <v>10</v>
      </c>
      <c r="BZ2" s="6">
        <f>AVERAGE(borac[TRBop])</f>
        <v>35</v>
      </c>
      <c r="CA2" s="13">
        <f>_xlfn.RANK.EQ(all[[#This Row],[TRB opp]],all[TRB opp],1)</f>
        <v>10</v>
      </c>
      <c r="CB2" s="6">
        <f>AVERAGE(borac[ASTop])</f>
        <v>20</v>
      </c>
      <c r="CC2" s="13">
        <f>_xlfn.RANK.EQ(all[[#This Row],[AST opp]],all[AST opp],1)</f>
        <v>15</v>
      </c>
      <c r="CD2" s="6">
        <f>AVERAGE(borac[STLop])</f>
        <v>10</v>
      </c>
      <c r="CE2" s="13">
        <f>_xlfn.RANK.EQ(all[[#This Row],[STL opp]],all[STL opp],1)</f>
        <v>13</v>
      </c>
      <c r="CF2" s="6">
        <f>AVERAGE(borac[BLKop])</f>
        <v>1</v>
      </c>
      <c r="CG2" s="13">
        <f>_xlfn.RANK.EQ(all[[#This Row],[BLK opp]],all[BLK opp],1)</f>
        <v>3</v>
      </c>
      <c r="CH2" s="6">
        <f>AVERAGE(borac[TOVop])</f>
        <v>9</v>
      </c>
      <c r="CI2" s="13">
        <f>_xlfn.RANK.EQ(all[[#This Row],[TOV opp]],all[TOV opp])</f>
        <v>18</v>
      </c>
      <c r="CJ2" s="6">
        <f>AVERAGE(borac[PFop])</f>
        <v>20</v>
      </c>
      <c r="CK2" s="13">
        <f>_xlfn.RANK.EQ(all[[#This Row],[PF opp]],all[PF opp])</f>
        <v>16</v>
      </c>
      <c r="CL2" s="7">
        <f>AVERAGE(borac[TS%])</f>
        <v>0.64159999999999995</v>
      </c>
      <c r="CM2" s="13">
        <f>_xlfn.RANK.EQ(all[[#This Row],[TSp]],all[TSp])</f>
        <v>3</v>
      </c>
      <c r="CN2" s="7">
        <f>AVERAGE(borac[eFG%])</f>
        <v>0.61399999999999999</v>
      </c>
      <c r="CO2" s="13">
        <f>_xlfn.RANK.EQ(all[[#This Row],[eFGp]],all[eFGp])</f>
        <v>2</v>
      </c>
      <c r="CP2" s="7">
        <f>AVERAGE(borac[ORB%])</f>
        <v>0.1724</v>
      </c>
      <c r="CQ2" s="13">
        <f>_xlfn.RANK.EQ(all[[#This Row],[ORBp]],all[ORBp])</f>
        <v>17</v>
      </c>
      <c r="CR2" s="7">
        <f>AVERAGE(borac[DRB%])</f>
        <v>0.72499999999999998</v>
      </c>
      <c r="CS2" s="13">
        <f>_xlfn.RANK.EQ(all[[#This Row],[DRBp]],all[DRBp])</f>
        <v>7</v>
      </c>
      <c r="CT2" s="7">
        <f>AVERAGE(borac[TRB%])</f>
        <v>0.49280000000000002</v>
      </c>
      <c r="CU2" s="13">
        <f>_xlfn.RANK.EQ(all[[#This Row],[TRBp]],all[TRBp])</f>
        <v>10</v>
      </c>
      <c r="CV2" s="6">
        <f>AVERAGE(borac[Poss])</f>
        <v>76.308999999999997</v>
      </c>
      <c r="CW2" s="13">
        <f>_xlfn.RANK.EQ(all[[#This Row],[Poss]],all[Poss])</f>
        <v>5</v>
      </c>
      <c r="CX2" s="7">
        <f>AVERAGE(borac[AST%])</f>
        <v>0.4839</v>
      </c>
      <c r="CY2" s="13">
        <f>_xlfn.RANK.EQ(all[[#This Row],[ASTp]],all[ASTp])</f>
        <v>16</v>
      </c>
      <c r="CZ2" s="7">
        <f>AVERAGE(borac[FTFGA%])</f>
        <v>0.26319999999999999</v>
      </c>
      <c r="DA2" s="13">
        <f>_xlfn.RANK.EQ(all[[#This Row],[FTFGAp]],all[FTFGAp])</f>
        <v>8</v>
      </c>
      <c r="DB2" s="7">
        <f>AVERAGE(borac[TOV%])</f>
        <v>0.18459999999999999</v>
      </c>
      <c r="DC2" s="13">
        <f>_xlfn.RANK.EQ(all[[#This Row],[TOVp]],all[TOVp],1)</f>
        <v>14</v>
      </c>
      <c r="DD2" s="6">
        <f>AVERAGE(borac[ORtg])</f>
        <v>113.7</v>
      </c>
      <c r="DE2" s="13">
        <f>_xlfn.RANK.EQ(all[[#This Row],[ORtg]],all[ORtg])</f>
        <v>12</v>
      </c>
      <c r="DF2" s="6">
        <f>AVERAGE(borac[DRtg])</f>
        <v>108.3</v>
      </c>
      <c r="DG2" s="13">
        <f>_xlfn.RANK.EQ(all[[#This Row],[DRtg]],all[DRtg],1)</f>
        <v>5</v>
      </c>
      <c r="DH2" s="6">
        <f>AVERAGE(borac[Pace])</f>
        <v>74.765000000000001</v>
      </c>
      <c r="DI2" s="13">
        <f>_xlfn.RANK.EQ(all[[#This Row],[Pace]],all[Pace])</f>
        <v>5</v>
      </c>
      <c r="DJ2" s="7">
        <f>AVERAGE(borac[TS%op])</f>
        <v>0.51919999999999999</v>
      </c>
      <c r="DK2" s="13">
        <f>_xlfn.RANK.EQ(all[[#This Row],[TSp opp]],all[TSp opp],1)</f>
        <v>5</v>
      </c>
      <c r="DL2" s="7">
        <f>AVERAGE(borac[eFG%op])</f>
        <v>0.49249999999999999</v>
      </c>
      <c r="DM2" s="13">
        <f>_xlfn.RANK.EQ(all[[#This Row],[eFGp opp]],all[eFGp opp],1)</f>
        <v>7</v>
      </c>
      <c r="DN2" s="7">
        <f>AVERAGE(borac[ORB%op])</f>
        <v>0.27500000000000002</v>
      </c>
      <c r="DO2" s="13">
        <f>_xlfn.RANK.EQ(all[[#This Row],[ORBp opp]],all[ORBp opp],1)</f>
        <v>7</v>
      </c>
      <c r="DP2" s="7">
        <f>AVERAGE(borac[DRB%op])</f>
        <v>0.8276</v>
      </c>
      <c r="DQ2" s="13">
        <f>_xlfn.RANK.EQ(all[[#This Row],[DRBp opp]],all[DRBp opp],1)</f>
        <v>17</v>
      </c>
      <c r="DR2" s="7">
        <f>AVERAGE(borac[TRB%op])</f>
        <v>0.50719999999999998</v>
      </c>
      <c r="DS2" s="13">
        <f>_xlfn.RANK.EQ(all[[#This Row],[TRBp opp]],all[TRBp opp],1)</f>
        <v>10</v>
      </c>
      <c r="DT2" s="6">
        <f>AVERAGE(borac[Possop])</f>
        <v>73.221000000000004</v>
      </c>
      <c r="DU2" s="13">
        <f>_xlfn.RANK.EQ(all[[#This Row],[Poss opp]],all[Poss opp],1)</f>
        <v>9</v>
      </c>
      <c r="DV2" s="7">
        <f>AVERAGE(borac[AST%op])</f>
        <v>0.68969999999999998</v>
      </c>
      <c r="DW2" s="13">
        <f>_xlfn.RANK.EQ(all[[#This Row],[ASTp opp]],all[ASTp opp],1)</f>
        <v>16</v>
      </c>
      <c r="DX2" s="7">
        <f>AVERAGE(borac[FTFGA%op])</f>
        <v>0.22389999999999999</v>
      </c>
      <c r="DY2" s="13">
        <f>_xlfn.RANK.EQ(all[[#This Row],[FTFGAp opp]],all[FTFGAp opp],1)</f>
        <v>10</v>
      </c>
      <c r="DZ2" s="7">
        <f>AVERAGE(borac[TOV%op])</f>
        <v>0.10340000000000001</v>
      </c>
      <c r="EA2" s="13">
        <f>_xlfn.RANK.EQ(all[[#This Row],[TOVp opp]],all[TOVp opp])</f>
        <v>18</v>
      </c>
      <c r="EB2" s="6">
        <f>AVERAGE(borac[ORtgop])</f>
        <v>108.3</v>
      </c>
      <c r="EC2" s="13">
        <f>_xlfn.RANK.EQ(all[[#This Row],[ORtg opp]],all[ORtg opp],1)</f>
        <v>5</v>
      </c>
      <c r="ED2" s="6">
        <f>AVERAGE(borac[DRtgop])</f>
        <v>113.7</v>
      </c>
      <c r="EE2" s="13">
        <f>_xlfn.RANK.EQ(all[[#This Row],[DRtg opp]],all[DRtg opp])</f>
        <v>12</v>
      </c>
      <c r="EF2" s="6">
        <f>AVERAGE(borac[Q1H])</f>
        <v>20</v>
      </c>
      <c r="EG2" s="13">
        <f>_xlfn.RANK.EQ(all[[#This Row],[Q1H]],all[Q1H])</f>
        <v>12</v>
      </c>
      <c r="EH2" s="6">
        <f>AVERAGE(borac[Q2H])</f>
        <v>29</v>
      </c>
      <c r="EI2" s="13">
        <f>_xlfn.RANK.EQ(all[[#This Row],[Q2H]],all[Q2H])</f>
        <v>1</v>
      </c>
      <c r="EJ2" s="6">
        <f>AVERAGE(borac[Q3H])</f>
        <v>21</v>
      </c>
      <c r="EK2" s="13">
        <f>_xlfn.RANK.EQ(all[[#This Row],[Q3H]],all[Q3H])</f>
        <v>7</v>
      </c>
      <c r="EL2" s="6">
        <f>AVERAGE(borac[Q4H])</f>
        <v>15</v>
      </c>
      <c r="EM2" s="13">
        <f>_xlfn.RANK.EQ(all[[#This Row],[Q4H]],all[Q4H])</f>
        <v>16</v>
      </c>
      <c r="EN2" s="6">
        <f>AVERAGE(borac[Q1A])</f>
        <v>27</v>
      </c>
      <c r="EO2" s="13">
        <f>_xlfn.RANK.EQ(all[[#This Row],[Q1A]],all[Q1A],1)</f>
        <v>15</v>
      </c>
      <c r="EP2" s="6">
        <f>AVERAGE(borac[Q2A])</f>
        <v>22</v>
      </c>
      <c r="EQ2" s="13">
        <f>_xlfn.RANK.EQ(all[[#This Row],[Q2A]],all[Q2A],1)</f>
        <v>9</v>
      </c>
      <c r="ER2" s="6">
        <f>AVERAGE(borac[Q3A])</f>
        <v>16</v>
      </c>
      <c r="ES2" s="13">
        <f>_xlfn.RANK.EQ(all[[#This Row],[Q3A]],all[Q3A],1)</f>
        <v>3</v>
      </c>
      <c r="ET2" s="6">
        <f>AVERAGE(borac[Q4A])</f>
        <v>16</v>
      </c>
      <c r="EU2" s="13">
        <f>_xlfn.RANK.EQ(all[[#This Row],[Q4A]],all[Q4A],1)</f>
        <v>5</v>
      </c>
      <c r="EV2" s="6">
        <f>AVERAGE(borac[FhalfH])</f>
        <v>49</v>
      </c>
      <c r="EW2" s="13">
        <f>_xlfn.RANK.EQ(all[[#This Row],[FHH]],all[FHH])</f>
        <v>2</v>
      </c>
      <c r="EX2" s="5">
        <f>AVERAGE(borac[FhalfA])</f>
        <v>49</v>
      </c>
      <c r="EY2" s="13">
        <f>_xlfn.RANK.EQ(all[[#This Row],[FHA]],all[FHA],1)</f>
        <v>16</v>
      </c>
      <c r="EZ2" s="6">
        <f>AVERAGE(borac[ShalfH])</f>
        <v>36</v>
      </c>
      <c r="FA2" s="13">
        <f>_xlfn.RANK.EQ(all[[#This Row],[SHH]],all[SHH])</f>
        <v>14</v>
      </c>
      <c r="FB2" s="6">
        <f>AVERAGE(borac[ShalfA])</f>
        <v>32</v>
      </c>
      <c r="FC2" s="13">
        <f>_xlfn.RANK.EQ(all[[#This Row],[SHA]],all[SHA],1)</f>
        <v>2</v>
      </c>
      <c r="FD2" s="6" t="e">
        <f ca="1">AVERAGE(LARGE(OFFSET(borac[Home_scored],COUNTA(borac[Home_scored])-5, 0, 5, 1),2), LARGE(OFFSET(borac[Home_scored],COUNTA(borac[Home_scored])-5, 0, 5, 1),3),LARGE(OFFSET(borac[Home_scored],COUNTA(borac[Home_scored])-5, 0, 5, 1),4))</f>
        <v>#REF!</v>
      </c>
      <c r="FE2" s="6" t="e">
        <f ca="1">AVERAGE(LARGE(OFFSET(borac[Away_scored],COUNTA(borac[Away_scored])-5, 0, 5, 1),2), LARGE(OFFSET(borac[Away_scored],COUNTA(borac[Away_scored])-5, 0, 5, 1),3),LARGE(OFFSET(borac[Away_scored],COUNTA(borac[Away_scored])-5, 0, 5, 1),4))</f>
        <v>#REF!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19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9.6923076923076916</v>
      </c>
      <c r="FK2" s="6">
        <f>all[[#This Row],[Q1H]]+all[[#This Row],[Q1A]]</f>
        <v>47</v>
      </c>
      <c r="FL2" s="13">
        <f>_xlfn.RANK.EQ(all[[#This Row],[Q1T]],all[Q1T])</f>
        <v>6</v>
      </c>
      <c r="FM2" s="6">
        <f>all[[#This Row],[Q2H]]+all[[#This Row],[Q2A]]</f>
        <v>51</v>
      </c>
      <c r="FN2" s="13">
        <f>_xlfn.RANK.EQ(all[[#This Row],[Q2T]],all[Q2T])</f>
        <v>1</v>
      </c>
      <c r="FO2" s="6">
        <f>all[[#This Row],[Q3H]]+all[[#This Row],[Q3A]]</f>
        <v>37</v>
      </c>
      <c r="FP2" s="13">
        <f>_xlfn.RANK.EQ(all[[#This Row],[Q3T]],all[Q3T])</f>
        <v>12</v>
      </c>
      <c r="FQ2" s="6">
        <f>all[[#This Row],[Q4H]]+all[[#This Row],[Q4A]]</f>
        <v>31</v>
      </c>
      <c r="FR2" s="13">
        <f>_xlfn.RANK.EQ(all[[#This Row],[Q4T]],all[Q4T])</f>
        <v>16</v>
      </c>
      <c r="FS2" s="6">
        <f>all[[#This Row],[FHH]]+all[[#This Row],[FHA]]</f>
        <v>98</v>
      </c>
      <c r="FT2" s="13">
        <f>_xlfn.RANK.EQ(all[[#This Row],[FHT]],all[FHT])</f>
        <v>2</v>
      </c>
      <c r="FU2" s="6">
        <f>all[[#This Row],[SHH]]+all[[#This Row],[SHA]]</f>
        <v>68</v>
      </c>
      <c r="FV2" s="13">
        <f>_xlfn.RANK.EQ(all[[#This Row],[SHT]],all[SHT])</f>
        <v>16</v>
      </c>
      <c r="FW2" s="6">
        <f ca="1">SUM(INDIRECT(all[[#This Row],[Table name]]&amp;"[BetH]"))</f>
        <v>2.2000000000000002</v>
      </c>
      <c r="FX2" s="13">
        <f ca="1">_xlfn.RANK.EQ(all[[#This Row],[BetH]],all[BetH])</f>
        <v>1</v>
      </c>
      <c r="FY2" s="6">
        <f ca="1">SUM(INDIRECT(all[[#This Row],[Table name]]&amp;"[BetA]"))</f>
        <v>-1</v>
      </c>
      <c r="FZ2" s="13">
        <f ca="1">_xlfn.RANK.EQ(all[[#This Row],[BetA]],all[BetA])</f>
        <v>8</v>
      </c>
      <c r="GA2" s="13">
        <f ca="1">SUM(INDIRECT(all[[#This Row],[Table name]]&amp;"[Tover]"))</f>
        <v>1</v>
      </c>
      <c r="GB2" s="13">
        <f ca="1">_xlfn.RANK.EQ(all[[#This Row],[Tover]],all[Tover])</f>
        <v>1</v>
      </c>
      <c r="GC2" s="6">
        <f ca="1">AVERAGE(INDIRECT(all[[#This Row],[Table name]]&amp;"[Deviation]"))</f>
        <v>7</v>
      </c>
      <c r="GD2" s="13">
        <f ca="1">_xlfn.RANK.EQ(all[[#This Row],[Deviation]],all[Deviation],1)</f>
        <v>5</v>
      </c>
    </row>
    <row r="3" spans="1:186" x14ac:dyDescent="0.25">
      <c r="A3" s="9" t="s">
        <v>306</v>
      </c>
      <c r="B3" t="s">
        <v>306</v>
      </c>
      <c r="C3" t="s">
        <v>307</v>
      </c>
      <c r="D3" t="s">
        <v>308</v>
      </c>
      <c r="E3">
        <f>_xlfn.RANK.EQ(all[[#This Row],[AVG_RT]],all[AVG_RT],1)</f>
        <v>5</v>
      </c>
      <c r="F3" s="6">
        <f>AVERAGE(buducnost[Home_scored])</f>
        <v>98</v>
      </c>
      <c r="G3" s="13">
        <f>_xlfn.RANK.EQ(all[[#This Row],[PM]],all[PM])</f>
        <v>2</v>
      </c>
      <c r="H3" s="6">
        <f>AVERAGE(buducnost[Away_scored])</f>
        <v>90</v>
      </c>
      <c r="I3" s="13">
        <f>_xlfn.RANK.EQ(all[[#This Row],[PC]],all[PC],1)</f>
        <v>15</v>
      </c>
      <c r="J3" s="6">
        <f>AVERAGE(buducnost[FGA])</f>
        <v>60</v>
      </c>
      <c r="K3" s="13">
        <f>_xlfn.RANK.EQ(all[[#This Row],[FGA]],all[FGA])</f>
        <v>10</v>
      </c>
      <c r="L3" s="6">
        <f>AVERAGE(buducnost[FGM])</f>
        <v>29</v>
      </c>
      <c r="M3" s="13">
        <f>_xlfn.RANK.EQ(all[[#This Row],[FGM]],all[FGM])</f>
        <v>9</v>
      </c>
      <c r="N3" s="7">
        <f>AVERAGE(buducnost[FGp])</f>
        <v>0.48330000000000001</v>
      </c>
      <c r="O3" s="13">
        <f>_xlfn.RANK.EQ(all[[#This Row],[FGp]],all[FGp])</f>
        <v>8</v>
      </c>
      <c r="P3" s="6">
        <f>AVERAGE(buducnost[P2M])</f>
        <v>16</v>
      </c>
      <c r="Q3" s="13">
        <f>_xlfn.RANK.EQ(all[[#This Row],[P2M]],all[P2M])</f>
        <v>15</v>
      </c>
      <c r="R3" s="6">
        <f>AVERAGE(buducnost[P2A])</f>
        <v>34</v>
      </c>
      <c r="S3" s="13">
        <f>_xlfn.RANK.EQ(all[[#This Row],[P2A]],all[P2A])</f>
        <v>12</v>
      </c>
      <c r="T3" s="7">
        <f>AVERAGE(buducnost[P2p])</f>
        <v>0.47060000000000002</v>
      </c>
      <c r="U3" s="13">
        <f>_xlfn.RANK.EQ(all[[#This Row],[P2p]],all[P2p])</f>
        <v>13</v>
      </c>
      <c r="V3" s="6">
        <f>AVERAGE(buducnost[P3M])</f>
        <v>13</v>
      </c>
      <c r="W3" s="13">
        <f>_xlfn.RANK.EQ(all[[#This Row],[P3M]],all[P3M])</f>
        <v>1</v>
      </c>
      <c r="X3" s="6">
        <f>AVERAGE(buducnost[P3A])</f>
        <v>26</v>
      </c>
      <c r="Y3" s="13">
        <f>_xlfn.RANK.EQ(all[[#This Row],[P3A]],all[P3A])</f>
        <v>9</v>
      </c>
      <c r="Z3" s="7">
        <f>AVERAGE(buducnost[P3p])</f>
        <v>0.5</v>
      </c>
      <c r="AA3" s="13">
        <f>_xlfn.RANK.EQ(all[[#This Row],[P3p]],all[P3p])</f>
        <v>2</v>
      </c>
      <c r="AB3" s="6">
        <f>AVERAGE(buducnost[FTM])</f>
        <v>27</v>
      </c>
      <c r="AC3" s="13">
        <f>_xlfn.RANK.EQ(all[[#This Row],[FTM]],all[FTM])</f>
        <v>2</v>
      </c>
      <c r="AD3" s="6">
        <f>AVERAGE(buducnost[FTA])</f>
        <v>35</v>
      </c>
      <c r="AE3" s="13">
        <f>_xlfn.RANK.EQ(all[[#This Row],[FTA]],all[FTA])</f>
        <v>2</v>
      </c>
      <c r="AF3" s="7">
        <f>AVERAGE(buducnost[FTp])</f>
        <v>0.77139999999999997</v>
      </c>
      <c r="AG3" s="13">
        <f>_xlfn.RANK.EQ(all[[#This Row],[FTp]],all[FTp])</f>
        <v>9</v>
      </c>
      <c r="AH3" s="6">
        <f>AVERAGE(buducnost[ORB])</f>
        <v>17</v>
      </c>
      <c r="AI3" s="13">
        <f>_xlfn.RANK.EQ(all[[#This Row],[ORB]],all[ORB])</f>
        <v>4</v>
      </c>
      <c r="AJ3" s="6">
        <f>AVERAGE(buducnost[DRB])</f>
        <v>17</v>
      </c>
      <c r="AK3" s="13">
        <f>_xlfn.RANK.EQ(all[[#This Row],[DRB]],all[DRB])</f>
        <v>16</v>
      </c>
      <c r="AL3" s="6">
        <f>AVERAGE(buducnost[TRB])</f>
        <v>34</v>
      </c>
      <c r="AM3" s="13">
        <f>_xlfn.RANK.EQ(all[[#This Row],[TRB]],all[TRB])</f>
        <v>9</v>
      </c>
      <c r="AN3" s="6">
        <f>AVERAGE(buducnost[AST])</f>
        <v>23</v>
      </c>
      <c r="AO3" s="13">
        <f>_xlfn.RANK.EQ(all[[#This Row],[AST]],all[AST])</f>
        <v>2</v>
      </c>
      <c r="AP3" s="6">
        <f>AVERAGE(buducnost[STL])</f>
        <v>14</v>
      </c>
      <c r="AQ3" s="13">
        <f>_xlfn.RANK.EQ(all[[#This Row],[STL]],all[STL])</f>
        <v>1</v>
      </c>
      <c r="AR3" s="6">
        <f>AVERAGE(buducnost[BLK])</f>
        <v>0</v>
      </c>
      <c r="AS3" s="13">
        <f>_xlfn.RANK.EQ(all[[#This Row],[BLK]],all[BLK])</f>
        <v>14</v>
      </c>
      <c r="AT3" s="6">
        <f>AVERAGE(buducnost[TOV])</f>
        <v>18</v>
      </c>
      <c r="AU3" s="13">
        <f>_xlfn.RANK.EQ(all[[#This Row],[TOV]],all[TOV],1)</f>
        <v>17</v>
      </c>
      <c r="AV3" s="6">
        <f>AVERAGE(buducnost[PF])</f>
        <v>25</v>
      </c>
      <c r="AW3" s="13">
        <f>_xlfn.RANK.EQ(all[[#This Row],[PF]],all[PF],1)</f>
        <v>14</v>
      </c>
      <c r="AX3" s="6">
        <f>AVERAGE(buducnost[FGAop])</f>
        <v>51</v>
      </c>
      <c r="AY3" s="13">
        <f>_xlfn.RANK.EQ(all[[#This Row],[FGA opp]],all[FGA opp],1)</f>
        <v>1</v>
      </c>
      <c r="AZ3" s="6">
        <f>AVERAGE(buducnost[FGMop])</f>
        <v>28</v>
      </c>
      <c r="BA3" s="13">
        <f>_xlfn.RANK.EQ(all[[#This Row],[FGM opp]],all[FGM opp],1)</f>
        <v>6</v>
      </c>
      <c r="BB3" s="7">
        <f>AVERAGE(buducnost[FGpop])</f>
        <v>0.54900000000000004</v>
      </c>
      <c r="BC3" s="13">
        <f>_xlfn.RANK.EQ(all[[#This Row],[FGp opp]],all[FGp opp],1)</f>
        <v>18</v>
      </c>
      <c r="BD3" s="6">
        <f>AVERAGE(buducnost[P2Mop])</f>
        <v>20</v>
      </c>
      <c r="BE3" s="13">
        <f>_xlfn.RANK.EQ(all[[#This Row],[P2M opp]],all[P2M opp],1)</f>
        <v>10</v>
      </c>
      <c r="BF3" s="6">
        <f>AVERAGE(buducnost[P2Aop])</f>
        <v>28</v>
      </c>
      <c r="BG3" s="13">
        <f>_xlfn.RANK.EQ(all[[#This Row],[P2A opp]],all[P2A opp],1)</f>
        <v>2</v>
      </c>
      <c r="BH3">
        <f>AVERAGE(buducnost[P2pop])</f>
        <v>0.71430000000000005</v>
      </c>
      <c r="BI3" s="13">
        <f>_xlfn.RANK.EQ(all[[#This Row],[P2p opp]],all[P2p opp],1)</f>
        <v>17</v>
      </c>
      <c r="BJ3" s="6">
        <f>AVERAGE(buducnost[P3Mop])</f>
        <v>8</v>
      </c>
      <c r="BK3" s="13">
        <f>_xlfn.RANK.EQ(all[[#This Row],[P3M opp]],all[P3M opp],1)</f>
        <v>6</v>
      </c>
      <c r="BL3" s="6">
        <f>AVERAGE(buducnost[P3Aop])</f>
        <v>23</v>
      </c>
      <c r="BM3" s="13">
        <f>_xlfn.RANK.EQ(all[[#This Row],[P3A opp]],all[P3A opp],1)</f>
        <v>7</v>
      </c>
      <c r="BN3" s="7">
        <f>AVERAGE(buducnost[P3pop])</f>
        <v>0.3478</v>
      </c>
      <c r="BO3" s="13">
        <f>_xlfn.RANK.EQ(all[[#This Row],[P3p opp]],all[P3p opp],1)</f>
        <v>13</v>
      </c>
      <c r="BP3" s="6">
        <f>AVERAGE(buducnost[FTMop])</f>
        <v>26</v>
      </c>
      <c r="BQ3" s="13">
        <f>_xlfn.RANK.EQ(all[[#This Row],[FTM opp]],all[FTM opp],1)</f>
        <v>16</v>
      </c>
      <c r="BR3" s="6">
        <f>AVERAGE(buducnost[FTAop])</f>
        <v>32</v>
      </c>
      <c r="BS3" s="13">
        <f>_xlfn.RANK.EQ(all[[#This Row],[FTA opp]],all[FTA opp],1)</f>
        <v>17</v>
      </c>
      <c r="BT3" s="7">
        <f>AVERAGE(buducnost[FTpop])</f>
        <v>0.8125</v>
      </c>
      <c r="BU3" s="13">
        <f>_xlfn.RANK.EQ(all[[#This Row],[FTp opp]],all[FTp opp],1)</f>
        <v>14</v>
      </c>
      <c r="BV3" s="6">
        <f>AVERAGE(buducnost[ORBop])</f>
        <v>6</v>
      </c>
      <c r="BW3" s="13">
        <f>_xlfn.RANK.EQ(all[[#This Row],[ORB opp]],all[ORB opp],1)</f>
        <v>2</v>
      </c>
      <c r="BX3" s="6">
        <f>AVERAGE(buducnost[DRBop])</f>
        <v>19</v>
      </c>
      <c r="BY3" s="13">
        <f>_xlfn.RANK.EQ(all[[#This Row],[DRB opp]],all[DRB opp],1)</f>
        <v>4</v>
      </c>
      <c r="BZ3" s="6">
        <f>AVERAGE(buducnost[TRBop])</f>
        <v>25</v>
      </c>
      <c r="CA3" s="13">
        <f>_xlfn.RANK.EQ(all[[#This Row],[TRB opp]],all[TRB opp],1)</f>
        <v>1</v>
      </c>
      <c r="CB3" s="6">
        <f>AVERAGE(buducnost[ASTop])</f>
        <v>21</v>
      </c>
      <c r="CC3" s="13">
        <f>_xlfn.RANK.EQ(all[[#This Row],[AST opp]],all[AST opp],1)</f>
        <v>17</v>
      </c>
      <c r="CD3" s="6">
        <f>AVERAGE(buducnost[STLop])</f>
        <v>11</v>
      </c>
      <c r="CE3" s="13">
        <f>_xlfn.RANK.EQ(all[[#This Row],[STL opp]],all[STL opp],1)</f>
        <v>15</v>
      </c>
      <c r="CF3" s="6">
        <f>AVERAGE(buducnost[BLKop])</f>
        <v>2</v>
      </c>
      <c r="CG3" s="13">
        <f>_xlfn.RANK.EQ(all[[#This Row],[BLK opp]],all[BLK opp],1)</f>
        <v>7</v>
      </c>
      <c r="CH3" s="6">
        <f>AVERAGE(buducnost[TOVop])</f>
        <v>19</v>
      </c>
      <c r="CI3" s="13">
        <f>_xlfn.RANK.EQ(all[[#This Row],[TOV opp]],all[TOV opp])</f>
        <v>2</v>
      </c>
      <c r="CJ3" s="6">
        <f>AVERAGE(buducnost[PFop])</f>
        <v>27</v>
      </c>
      <c r="CK3" s="13">
        <f>_xlfn.RANK.EQ(all[[#This Row],[PF opp]],all[PF opp])</f>
        <v>4</v>
      </c>
      <c r="CL3" s="7">
        <f>AVERAGE(buducnost[TS%])</f>
        <v>0.64990000000000003</v>
      </c>
      <c r="CM3" s="13">
        <f>_xlfn.RANK.EQ(all[[#This Row],[TSp]],all[TSp])</f>
        <v>2</v>
      </c>
      <c r="CN3" s="7">
        <f>AVERAGE(buducnost[eFG%])</f>
        <v>0.5917</v>
      </c>
      <c r="CO3" s="13">
        <f>_xlfn.RANK.EQ(all[[#This Row],[eFGp]],all[eFGp])</f>
        <v>3</v>
      </c>
      <c r="CP3" s="7">
        <f>AVERAGE(buducnost[ORB%])</f>
        <v>0.47220000000000001</v>
      </c>
      <c r="CQ3" s="13">
        <f>_xlfn.RANK.EQ(all[[#This Row],[ORBp]],all[ORBp])</f>
        <v>1</v>
      </c>
      <c r="CR3" s="7">
        <f>AVERAGE(buducnost[DRB%])</f>
        <v>0.73909999999999998</v>
      </c>
      <c r="CS3" s="13">
        <f>_xlfn.RANK.EQ(all[[#This Row],[DRBp]],all[DRBp])</f>
        <v>5</v>
      </c>
      <c r="CT3" s="7">
        <f>AVERAGE(buducnost[TRB%])</f>
        <v>0.57630000000000003</v>
      </c>
      <c r="CU3" s="13">
        <f>_xlfn.RANK.EQ(all[[#This Row],[TRBp]],all[TRBp])</f>
        <v>1</v>
      </c>
      <c r="CV3" s="6">
        <f>AVERAGE(buducnost[Poss])</f>
        <v>75.415000000000006</v>
      </c>
      <c r="CW3" s="13">
        <f>_xlfn.RANK.EQ(all[[#This Row],[Poss]],all[Poss])</f>
        <v>6</v>
      </c>
      <c r="CX3" s="7">
        <f>AVERAGE(buducnost[AST%])</f>
        <v>0.79310000000000003</v>
      </c>
      <c r="CY3" s="13">
        <f>_xlfn.RANK.EQ(all[[#This Row],[ASTp]],all[ASTp])</f>
        <v>2</v>
      </c>
      <c r="CZ3" s="7">
        <f>AVERAGE(buducnost[FTFGA%])</f>
        <v>0.45</v>
      </c>
      <c r="DA3" s="13">
        <f>_xlfn.RANK.EQ(all[[#This Row],[FTFGAp]],all[FTFGAp])</f>
        <v>2</v>
      </c>
      <c r="DB3" s="7">
        <f>AVERAGE(buducnost[TOV%])</f>
        <v>0.19270000000000001</v>
      </c>
      <c r="DC3" s="13">
        <f>_xlfn.RANK.EQ(all[[#This Row],[TOVp]],all[TOVp],1)</f>
        <v>17</v>
      </c>
      <c r="DD3" s="6">
        <f>AVERAGE(buducnost[ORtg])</f>
        <v>128.69999999999999</v>
      </c>
      <c r="DE3" s="13">
        <f>_xlfn.RANK.EQ(all[[#This Row],[ORtg]],all[ORtg])</f>
        <v>2</v>
      </c>
      <c r="DF3" s="6">
        <f>AVERAGE(buducnost[DRtg])</f>
        <v>118.2</v>
      </c>
      <c r="DG3" s="13">
        <f>_xlfn.RANK.EQ(all[[#This Row],[DRtg]],all[DRtg],1)</f>
        <v>13</v>
      </c>
      <c r="DH3" s="6">
        <f>AVERAGE(buducnost[Pace])</f>
        <v>76.154499999999999</v>
      </c>
      <c r="DI3" s="13">
        <f>_xlfn.RANK.EQ(all[[#This Row],[Pace]],all[Pace])</f>
        <v>4</v>
      </c>
      <c r="DJ3" s="7">
        <f>AVERAGE(buducnost[TS%op])</f>
        <v>0.6915</v>
      </c>
      <c r="DK3" s="13">
        <f>_xlfn.RANK.EQ(all[[#This Row],[TSp opp]],all[TSp opp],1)</f>
        <v>18</v>
      </c>
      <c r="DL3" s="7">
        <f>AVERAGE(buducnost[eFG%op])</f>
        <v>0.62749999999999995</v>
      </c>
      <c r="DM3" s="13">
        <f>_xlfn.RANK.EQ(all[[#This Row],[eFGp opp]],all[eFGp opp],1)</f>
        <v>18</v>
      </c>
      <c r="DN3" s="7">
        <f>AVERAGE(buducnost[ORB%op])</f>
        <v>0.26090000000000002</v>
      </c>
      <c r="DO3" s="13">
        <f>_xlfn.RANK.EQ(all[[#This Row],[ORBp opp]],all[ORBp opp],1)</f>
        <v>5</v>
      </c>
      <c r="DP3" s="7">
        <f>AVERAGE(buducnost[DRB%op])</f>
        <v>0.52780000000000005</v>
      </c>
      <c r="DQ3" s="13">
        <f>_xlfn.RANK.EQ(all[[#This Row],[DRBp opp]],all[DRBp opp],1)</f>
        <v>1</v>
      </c>
      <c r="DR3" s="7">
        <f>AVERAGE(buducnost[TRB%op])</f>
        <v>0.42370000000000002</v>
      </c>
      <c r="DS3" s="13">
        <f>_xlfn.RANK.EQ(all[[#This Row],[TRBp opp]],all[TRBp opp],1)</f>
        <v>1</v>
      </c>
      <c r="DT3" s="6">
        <f>AVERAGE(buducnost[Possop])</f>
        <v>76.894000000000005</v>
      </c>
      <c r="DU3" s="13">
        <f>_xlfn.RANK.EQ(all[[#This Row],[Poss opp]],all[Poss opp],1)</f>
        <v>15</v>
      </c>
      <c r="DV3" s="7">
        <f>AVERAGE(buducnost[AST%op])</f>
        <v>0.75</v>
      </c>
      <c r="DW3" s="13">
        <f>_xlfn.RANK.EQ(all[[#This Row],[ASTp opp]],all[ASTp opp],1)</f>
        <v>17</v>
      </c>
      <c r="DX3" s="7">
        <f>AVERAGE(buducnost[FTFGA%op])</f>
        <v>0.50980000000000003</v>
      </c>
      <c r="DY3" s="13">
        <f>_xlfn.RANK.EQ(all[[#This Row],[FTFGAp opp]],all[FTFGAp opp],1)</f>
        <v>18</v>
      </c>
      <c r="DZ3" s="7">
        <f>AVERAGE(buducnost[TOV%op])</f>
        <v>0.22600000000000001</v>
      </c>
      <c r="EA3" s="13">
        <f>_xlfn.RANK.EQ(all[[#This Row],[TOVp opp]],all[TOVp opp])</f>
        <v>2</v>
      </c>
      <c r="EB3" s="6">
        <f>AVERAGE(buducnost[ORtgop])</f>
        <v>118.2</v>
      </c>
      <c r="EC3" s="13">
        <f>_xlfn.RANK.EQ(all[[#This Row],[ORtg opp]],all[ORtg opp],1)</f>
        <v>13</v>
      </c>
      <c r="ED3" s="6">
        <f>AVERAGE(buducnost[DRtgop])</f>
        <v>128.69999999999999</v>
      </c>
      <c r="EE3" s="13">
        <f>_xlfn.RANK.EQ(all[[#This Row],[DRtg opp]],all[DRtg opp])</f>
        <v>2</v>
      </c>
      <c r="EF3" s="6">
        <f>AVERAGE(buducnost[Q1H])</f>
        <v>25</v>
      </c>
      <c r="EG3" s="13">
        <f>_xlfn.RANK.EQ(all[[#This Row],[Q1H]],all[Q1H])</f>
        <v>6</v>
      </c>
      <c r="EH3" s="6">
        <f>AVERAGE(buducnost[Q2H])</f>
        <v>20</v>
      </c>
      <c r="EI3" s="13">
        <f>_xlfn.RANK.EQ(all[[#This Row],[Q2H]],all[Q2H])</f>
        <v>9</v>
      </c>
      <c r="EJ3" s="6">
        <f>AVERAGE(buducnost[Q3H])</f>
        <v>25</v>
      </c>
      <c r="EK3" s="13">
        <f>_xlfn.RANK.EQ(all[[#This Row],[Q3H]],all[Q3H])</f>
        <v>3</v>
      </c>
      <c r="EL3" s="6">
        <f>AVERAGE(buducnost[Q4H])</f>
        <v>28</v>
      </c>
      <c r="EM3" s="13">
        <f>_xlfn.RANK.EQ(all[[#This Row],[Q4H]],all[Q4H])</f>
        <v>2</v>
      </c>
      <c r="EN3" s="6">
        <f>AVERAGE(buducnost[Q1A])</f>
        <v>22</v>
      </c>
      <c r="EO3" s="13">
        <f>_xlfn.RANK.EQ(all[[#This Row],[Q1A]],all[Q1A],1)</f>
        <v>11</v>
      </c>
      <c r="EP3" s="6">
        <f>AVERAGE(buducnost[Q2A])</f>
        <v>23</v>
      </c>
      <c r="EQ3" s="13">
        <f>_xlfn.RANK.EQ(all[[#This Row],[Q2A]],all[Q2A],1)</f>
        <v>10</v>
      </c>
      <c r="ER3" s="6">
        <f>AVERAGE(buducnost[Q3A])</f>
        <v>26</v>
      </c>
      <c r="ES3" s="13">
        <f>_xlfn.RANK.EQ(all[[#This Row],[Q3A]],all[Q3A],1)</f>
        <v>17</v>
      </c>
      <c r="ET3" s="6">
        <f>AVERAGE(buducnost[Q4A])</f>
        <v>19</v>
      </c>
      <c r="EU3" s="13">
        <f>_xlfn.RANK.EQ(all[[#This Row],[Q4A]],all[Q4A],1)</f>
        <v>9</v>
      </c>
      <c r="EV3" s="6">
        <f>AVERAGE(buducnost[FhalfH])</f>
        <v>45</v>
      </c>
      <c r="EW3" s="13">
        <f>_xlfn.RANK.EQ(all[[#This Row],[FHH]],all[FHH])</f>
        <v>8</v>
      </c>
      <c r="EX3" s="5">
        <f>AVERAGE(buducnost[FhalfA])</f>
        <v>45</v>
      </c>
      <c r="EY3" s="13">
        <f>_xlfn.RANK.EQ(all[[#This Row],[FHA]],all[FHA],1)</f>
        <v>8</v>
      </c>
      <c r="EZ3" s="6">
        <f>AVERAGE(buducnost[ShalfH])</f>
        <v>53</v>
      </c>
      <c r="FA3" s="13">
        <f>_xlfn.RANK.EQ(all[[#This Row],[SHH]],all[SHH])</f>
        <v>2</v>
      </c>
      <c r="FB3" s="6">
        <f>AVERAGE(buducnost[ShalfA])</f>
        <v>45</v>
      </c>
      <c r="FC3" s="13">
        <f>_xlfn.RANK.EQ(all[[#This Row],[SHA]],all[SHA],1)</f>
        <v>14</v>
      </c>
      <c r="FD3" s="6" t="e">
        <f ca="1">AVERAGE(LARGE(OFFSET(buducnost[Home_scored],COUNTA(buducnost[Home_scored])-5, 0, 5, 1),2), LARGE(OFFSET(buducnost[Home_scored],COUNTA(buducnost[Home_scored])-5, 0, 5, 1),3),LARGE(OFFSET(buducnost[Home_scored],COUNTA(buducnost[Home_scored])-5, 0, 5, 1),4))</f>
        <v>#REF!</v>
      </c>
      <c r="FE3" s="6" t="e">
        <f ca="1">AVERAGE(LARGE(OFFSET(buducnost[Away_scored],COUNTA(buducnost[Away_scored])-5, 0, 5, 1),2), LARGE(OFFSET(buducnost[Away_scored],COUNTA(buducnost[Away_scored])-5, 0, 5, 1),3),LARGE(OFFSET(buducnost[Away_scored],COUNTA(buducnost[Away_scored])-5,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8.1999999999999993</v>
      </c>
      <c r="FK3" s="6">
        <f>all[[#This Row],[Q1H]]+all[[#This Row],[Q1A]]</f>
        <v>47</v>
      </c>
      <c r="FL3" s="13">
        <f>_xlfn.RANK.EQ(all[[#This Row],[Q1T]],all[Q1T])</f>
        <v>6</v>
      </c>
      <c r="FM3" s="6">
        <f>all[[#This Row],[Q2H]]+all[[#This Row],[Q2A]]</f>
        <v>43</v>
      </c>
      <c r="FN3" s="13">
        <f>_xlfn.RANK.EQ(all[[#This Row],[Q2T]],all[Q2T])</f>
        <v>9</v>
      </c>
      <c r="FO3" s="6">
        <f>all[[#This Row],[Q3H]]+all[[#This Row],[Q3A]]</f>
        <v>51</v>
      </c>
      <c r="FP3" s="13">
        <f>_xlfn.RANK.EQ(all[[#This Row],[Q3T]],all[Q3T])</f>
        <v>1</v>
      </c>
      <c r="FQ3" s="6">
        <f>all[[#This Row],[Q4H]]+all[[#This Row],[Q4A]]</f>
        <v>47</v>
      </c>
      <c r="FR3" s="13">
        <f>_xlfn.RANK.EQ(all[[#This Row],[Q4T]],all[Q4T])</f>
        <v>4</v>
      </c>
      <c r="FS3" s="6">
        <f>all[[#This Row],[FHH]]+all[[#This Row],[FHA]]</f>
        <v>90</v>
      </c>
      <c r="FT3" s="13">
        <f>_xlfn.RANK.EQ(all[[#This Row],[FHT]],all[FHT])</f>
        <v>8</v>
      </c>
      <c r="FU3" s="6">
        <f>all[[#This Row],[SHH]]+all[[#This Row],[SHA]]</f>
        <v>98</v>
      </c>
      <c r="FV3" s="13">
        <f>_xlfn.RANK.EQ(all[[#This Row],[SHT]],all[SHT])</f>
        <v>2</v>
      </c>
      <c r="FW3" s="6">
        <f ca="1">SUM(INDIRECT(all[[#This Row],[Table name]]&amp;"[BetH]"))</f>
        <v>0.59000000000000008</v>
      </c>
      <c r="FX3" s="13">
        <f ca="1">_xlfn.RANK.EQ(all[[#This Row],[BetH]],all[BetH])</f>
        <v>8</v>
      </c>
      <c r="FY3" s="6">
        <f ca="1">SUM(INDIRECT(all[[#This Row],[Table name]]&amp;"[BetA]"))</f>
        <v>-1</v>
      </c>
      <c r="FZ3" s="13">
        <f ca="1">_xlfn.RANK.EQ(all[[#This Row],[BetA]],all[BetA])</f>
        <v>8</v>
      </c>
      <c r="GA3" s="13">
        <f ca="1">SUM(INDIRECT(all[[#This Row],[Table name]]&amp;"[Tover]"))</f>
        <v>1</v>
      </c>
      <c r="GB3" s="13">
        <f ca="1">_xlfn.RANK.EQ(all[[#This Row],[Tover]],all[Tover])</f>
        <v>1</v>
      </c>
      <c r="GC3" s="6">
        <f ca="1">AVERAGE(INDIRECT(all[[#This Row],[Table name]]&amp;"[Deviation]"))</f>
        <v>19</v>
      </c>
      <c r="GD3" s="13">
        <f ca="1">_xlfn.RANK.EQ(all[[#This Row],[Deviation]],all[Deviation],1)</f>
        <v>12</v>
      </c>
    </row>
    <row r="4" spans="1:186" x14ac:dyDescent="0.25">
      <c r="A4" s="9" t="s">
        <v>322</v>
      </c>
      <c r="B4" t="s">
        <v>309</v>
      </c>
      <c r="C4" t="s">
        <v>310</v>
      </c>
      <c r="D4" t="s">
        <v>311</v>
      </c>
      <c r="E4">
        <f>_xlfn.RANK.EQ(all[[#This Row],[AVG_RT]],all[AVG_RT],1)</f>
        <v>17</v>
      </c>
      <c r="F4" s="6">
        <f>AVERAGE(cedevita[Home_scored])</f>
        <v>79</v>
      </c>
      <c r="G4" s="13">
        <f>_xlfn.RANK.EQ(all[[#This Row],[PM]],all[PM])</f>
        <v>13</v>
      </c>
      <c r="H4" s="6">
        <f>AVERAGE(cedevita[Away_scored])</f>
        <v>85</v>
      </c>
      <c r="I4" s="13">
        <f>_xlfn.RANK.EQ(all[[#This Row],[PC]],all[PC],1)</f>
        <v>9</v>
      </c>
      <c r="J4" s="6">
        <f>AVERAGE(cedevita[FGA])</f>
        <v>58</v>
      </c>
      <c r="K4" s="13">
        <f>_xlfn.RANK.EQ(all[[#This Row],[FGA]],all[FGA])</f>
        <v>14</v>
      </c>
      <c r="L4" s="6">
        <f>AVERAGE(cedevita[FGM])</f>
        <v>29</v>
      </c>
      <c r="M4" s="13">
        <f>_xlfn.RANK.EQ(all[[#This Row],[FGM]],all[FGM])</f>
        <v>9</v>
      </c>
      <c r="N4" s="7">
        <f>AVERAGE(cedevita[FGp])</f>
        <v>0.5</v>
      </c>
      <c r="O4" s="13">
        <f>_xlfn.RANK.EQ(all[[#This Row],[FGp]],all[FGp])</f>
        <v>5</v>
      </c>
      <c r="P4" s="6">
        <f>AVERAGE(cedevita[P2M])</f>
        <v>20</v>
      </c>
      <c r="Q4" s="13">
        <f>_xlfn.RANK.EQ(all[[#This Row],[P2M]],all[P2M])</f>
        <v>7</v>
      </c>
      <c r="R4" s="6">
        <f>AVERAGE(cedevita[P2A])</f>
        <v>26</v>
      </c>
      <c r="S4" s="13">
        <f>_xlfn.RANK.EQ(all[[#This Row],[P2A]],all[P2A])</f>
        <v>18</v>
      </c>
      <c r="T4" s="7">
        <f>AVERAGE(cedevita[P2p])</f>
        <v>0.76919999999999999</v>
      </c>
      <c r="U4" s="13">
        <f>_xlfn.RANK.EQ(all[[#This Row],[P2p]],all[P2p])</f>
        <v>1</v>
      </c>
      <c r="V4" s="6">
        <f>AVERAGE(cedevita[P3M])</f>
        <v>9</v>
      </c>
      <c r="W4" s="13">
        <f>_xlfn.RANK.EQ(all[[#This Row],[P3M]],all[P3M])</f>
        <v>8</v>
      </c>
      <c r="X4" s="6">
        <f>AVERAGE(cedevita[P3A])</f>
        <v>32</v>
      </c>
      <c r="Y4" s="13">
        <f>_xlfn.RANK.EQ(all[[#This Row],[P3A]],all[P3A])</f>
        <v>3</v>
      </c>
      <c r="Z4" s="7">
        <f>AVERAGE(cedevita[P3p])</f>
        <v>0.28129999999999999</v>
      </c>
      <c r="AA4" s="13">
        <f>_xlfn.RANK.EQ(all[[#This Row],[P3p]],all[P3p])</f>
        <v>17</v>
      </c>
      <c r="AB4" s="6">
        <f>AVERAGE(cedevita[FTM])</f>
        <v>12</v>
      </c>
      <c r="AC4" s="13">
        <f>_xlfn.RANK.EQ(all[[#This Row],[FTM]],all[FTM])</f>
        <v>15</v>
      </c>
      <c r="AD4" s="6">
        <f>AVERAGE(cedevita[FTA])</f>
        <v>15</v>
      </c>
      <c r="AE4" s="13">
        <f>_xlfn.RANK.EQ(all[[#This Row],[FTA]],all[FTA])</f>
        <v>15</v>
      </c>
      <c r="AF4" s="7">
        <f>AVERAGE(cedevita[FTp])</f>
        <v>0.8</v>
      </c>
      <c r="AG4" s="13">
        <f>_xlfn.RANK.EQ(all[[#This Row],[FTp]],all[FTp])</f>
        <v>6</v>
      </c>
      <c r="AH4" s="6">
        <f>AVERAGE(cedevita[ORB])</f>
        <v>6</v>
      </c>
      <c r="AI4" s="13">
        <f>_xlfn.RANK.EQ(all[[#This Row],[ORB]],all[ORB])</f>
        <v>16</v>
      </c>
      <c r="AJ4" s="6">
        <f>AVERAGE(cedevita[DRB])</f>
        <v>23</v>
      </c>
      <c r="AK4" s="13">
        <f>_xlfn.RANK.EQ(all[[#This Row],[DRB]],all[DRB])</f>
        <v>9</v>
      </c>
      <c r="AL4" s="6">
        <f>AVERAGE(cedevita[TRB])</f>
        <v>29</v>
      </c>
      <c r="AM4" s="13">
        <f>_xlfn.RANK.EQ(all[[#This Row],[TRB]],all[TRB])</f>
        <v>17</v>
      </c>
      <c r="AN4" s="6">
        <f>AVERAGE(cedevita[AST])</f>
        <v>18</v>
      </c>
      <c r="AO4" s="13">
        <f>_xlfn.RANK.EQ(all[[#This Row],[AST]],all[AST])</f>
        <v>7</v>
      </c>
      <c r="AP4" s="6">
        <f>AVERAGE(cedevita[STL])</f>
        <v>10</v>
      </c>
      <c r="AQ4" s="13">
        <f>_xlfn.RANK.EQ(all[[#This Row],[STL]],all[STL])</f>
        <v>7</v>
      </c>
      <c r="AR4" s="6">
        <f>AVERAGE(cedevita[BLK])</f>
        <v>3</v>
      </c>
      <c r="AS4" s="13">
        <f>_xlfn.RANK.EQ(all[[#This Row],[BLK]],all[BLK])</f>
        <v>5</v>
      </c>
      <c r="AT4" s="6">
        <f>AVERAGE(cedevita[TOV])</f>
        <v>12</v>
      </c>
      <c r="AU4" s="13">
        <f>_xlfn.RANK.EQ(all[[#This Row],[TOV]],all[TOV],1)</f>
        <v>3</v>
      </c>
      <c r="AV4" s="6">
        <f>AVERAGE(cedevita[PF])</f>
        <v>23</v>
      </c>
      <c r="AW4" s="13">
        <f>_xlfn.RANK.EQ(all[[#This Row],[PF]],all[PF],1)</f>
        <v>8</v>
      </c>
      <c r="AX4" s="6">
        <f>AVERAGE(cedevita[FGAop])</f>
        <v>60</v>
      </c>
      <c r="AY4" s="13">
        <f>_xlfn.RANK.EQ(all[[#This Row],[FGA opp]],all[FGA opp],1)</f>
        <v>6</v>
      </c>
      <c r="AZ4" s="6">
        <f>AVERAGE(cedevita[FGMop])</f>
        <v>30</v>
      </c>
      <c r="BA4" s="13">
        <f>_xlfn.RANK.EQ(all[[#This Row],[FGM opp]],all[FGM opp],1)</f>
        <v>11</v>
      </c>
      <c r="BB4" s="7">
        <f>AVERAGE(cedevita[FGpop])</f>
        <v>0.5</v>
      </c>
      <c r="BC4" s="13">
        <f>_xlfn.RANK.EQ(all[[#This Row],[FGp opp]],all[FGp opp],1)</f>
        <v>12</v>
      </c>
      <c r="BD4" s="6">
        <f>AVERAGE(cedevita[P2Mop])</f>
        <v>20</v>
      </c>
      <c r="BE4" s="13">
        <f>_xlfn.RANK.EQ(all[[#This Row],[P2M opp]],all[P2M opp],1)</f>
        <v>10</v>
      </c>
      <c r="BF4" s="6">
        <f>AVERAGE(cedevita[P2Aop])</f>
        <v>38</v>
      </c>
      <c r="BG4" s="13">
        <f>_xlfn.RANK.EQ(all[[#This Row],[P2A opp]],all[P2A opp],1)</f>
        <v>8</v>
      </c>
      <c r="BH4">
        <f>AVERAGE(cedevita[P2pop])</f>
        <v>0.52629999999999999</v>
      </c>
      <c r="BI4" s="13">
        <f>_xlfn.RANK.EQ(all[[#This Row],[P2p opp]],all[P2p opp],1)</f>
        <v>10</v>
      </c>
      <c r="BJ4" s="6">
        <f>AVERAGE(cedevita[P3Mop])</f>
        <v>10</v>
      </c>
      <c r="BK4" s="13">
        <f>_xlfn.RANK.EQ(all[[#This Row],[P3M opp]],all[P3M opp],1)</f>
        <v>13</v>
      </c>
      <c r="BL4" s="6">
        <f>AVERAGE(cedevita[P3Aop])</f>
        <v>22</v>
      </c>
      <c r="BM4" s="13">
        <f>_xlfn.RANK.EQ(all[[#This Row],[P3A opp]],all[P3A opp],1)</f>
        <v>4</v>
      </c>
      <c r="BN4" s="7">
        <f>AVERAGE(cedevita[P3pop])</f>
        <v>0.45450000000000002</v>
      </c>
      <c r="BO4" s="13">
        <f>_xlfn.RANK.EQ(all[[#This Row],[P3p opp]],all[P3p opp],1)</f>
        <v>14</v>
      </c>
      <c r="BP4" s="6">
        <f>AVERAGE(cedevita[FTMop])</f>
        <v>15</v>
      </c>
      <c r="BQ4" s="13">
        <f>_xlfn.RANK.EQ(all[[#This Row],[FTM opp]],all[FTM opp],1)</f>
        <v>8</v>
      </c>
      <c r="BR4" s="6">
        <f>AVERAGE(cedevita[FTAop])</f>
        <v>16</v>
      </c>
      <c r="BS4" s="13">
        <f>_xlfn.RANK.EQ(all[[#This Row],[FTA opp]],all[FTA opp],1)</f>
        <v>6</v>
      </c>
      <c r="BT4" s="7">
        <f>AVERAGE(cedevita[FTpop])</f>
        <v>0.9375</v>
      </c>
      <c r="BU4" s="13">
        <f>_xlfn.RANK.EQ(all[[#This Row],[FTp opp]],all[FTp opp],1)</f>
        <v>18</v>
      </c>
      <c r="BV4" s="6">
        <f>AVERAGE(cedevita[ORBop])</f>
        <v>6</v>
      </c>
      <c r="BW4" s="13">
        <f>_xlfn.RANK.EQ(all[[#This Row],[ORB opp]],all[ORB opp],1)</f>
        <v>2</v>
      </c>
      <c r="BX4" s="6">
        <f>AVERAGE(cedevita[DRBop])</f>
        <v>29</v>
      </c>
      <c r="BY4" s="13">
        <f>_xlfn.RANK.EQ(all[[#This Row],[DRB opp]],all[DRB opp],1)</f>
        <v>16</v>
      </c>
      <c r="BZ4" s="6">
        <f>AVERAGE(cedevita[TRBop])</f>
        <v>35</v>
      </c>
      <c r="CA4" s="13">
        <f>_xlfn.RANK.EQ(all[[#This Row],[TRB opp]],all[TRB opp],1)</f>
        <v>10</v>
      </c>
      <c r="CB4" s="6">
        <f>AVERAGE(cedevita[ASTop])</f>
        <v>19</v>
      </c>
      <c r="CC4" s="13">
        <f>_xlfn.RANK.EQ(all[[#This Row],[AST opp]],all[AST opp],1)</f>
        <v>12</v>
      </c>
      <c r="CD4" s="6">
        <f>AVERAGE(cedevita[STLop])</f>
        <v>5</v>
      </c>
      <c r="CE4" s="13">
        <f>_xlfn.RANK.EQ(all[[#This Row],[STL opp]],all[STL opp],1)</f>
        <v>4</v>
      </c>
      <c r="CF4" s="6">
        <f>AVERAGE(cedevita[BLKop])</f>
        <v>1</v>
      </c>
      <c r="CG4" s="13">
        <f>_xlfn.RANK.EQ(all[[#This Row],[BLK opp]],all[BLK opp],1)</f>
        <v>3</v>
      </c>
      <c r="CH4" s="6">
        <f>AVERAGE(cedevita[TOVop])</f>
        <v>14</v>
      </c>
      <c r="CI4" s="13">
        <f>_xlfn.RANK.EQ(all[[#This Row],[TOV opp]],all[TOV opp])</f>
        <v>11</v>
      </c>
      <c r="CJ4" s="6">
        <f>AVERAGE(cedevita[PFop])</f>
        <v>20</v>
      </c>
      <c r="CK4" s="13">
        <f>_xlfn.RANK.EQ(all[[#This Row],[PF opp]],all[PF opp])</f>
        <v>16</v>
      </c>
      <c r="CL4" s="7">
        <f>AVERAGE(cedevita[TS%])</f>
        <v>0.61150000000000004</v>
      </c>
      <c r="CM4" s="13">
        <f>_xlfn.RANK.EQ(all[[#This Row],[TSp]],all[TSp])</f>
        <v>8</v>
      </c>
      <c r="CN4" s="7">
        <f>AVERAGE(cedevita[eFG%])</f>
        <v>0.5776</v>
      </c>
      <c r="CO4" s="13">
        <f>_xlfn.RANK.EQ(all[[#This Row],[eFGp]],all[eFGp])</f>
        <v>7</v>
      </c>
      <c r="CP4" s="7">
        <f>AVERAGE(cedevita[ORB%])</f>
        <v>0.1714</v>
      </c>
      <c r="CQ4" s="13">
        <f>_xlfn.RANK.EQ(all[[#This Row],[ORBp]],all[ORBp])</f>
        <v>18</v>
      </c>
      <c r="CR4" s="7">
        <f>AVERAGE(cedevita[DRB%])</f>
        <v>0.79310000000000003</v>
      </c>
      <c r="CS4" s="13">
        <f>_xlfn.RANK.EQ(all[[#This Row],[DRBp]],all[DRBp])</f>
        <v>2</v>
      </c>
      <c r="CT4" s="7">
        <f>AVERAGE(cedevita[TRB%])</f>
        <v>0.4531</v>
      </c>
      <c r="CU4" s="13">
        <f>_xlfn.RANK.EQ(all[[#This Row],[TRBp]],all[TRBp])</f>
        <v>17</v>
      </c>
      <c r="CV4" s="6">
        <f>AVERAGE(cedevita[Poss])</f>
        <v>69.58</v>
      </c>
      <c r="CW4" s="13">
        <f>_xlfn.RANK.EQ(all[[#This Row],[Poss]],all[Poss])</f>
        <v>15</v>
      </c>
      <c r="CX4" s="7">
        <f>AVERAGE(cedevita[AST%])</f>
        <v>0.62070000000000003</v>
      </c>
      <c r="CY4" s="13">
        <f>_xlfn.RANK.EQ(all[[#This Row],[ASTp]],all[ASTp])</f>
        <v>8</v>
      </c>
      <c r="CZ4" s="7">
        <f>AVERAGE(cedevita[FTFGA%])</f>
        <v>0.2069</v>
      </c>
      <c r="DA4" s="13">
        <f>_xlfn.RANK.EQ(all[[#This Row],[FTFGAp]],all[FTFGAp])</f>
        <v>14</v>
      </c>
      <c r="DB4" s="7">
        <f>AVERAGE(cedevita[TOV%])</f>
        <v>0.15670000000000001</v>
      </c>
      <c r="DC4" s="13">
        <f>_xlfn.RANK.EQ(all[[#This Row],[TOVp]],all[TOVp],1)</f>
        <v>7</v>
      </c>
      <c r="DD4" s="6">
        <f>AVERAGE(cedevita[ORtg])</f>
        <v>109.4</v>
      </c>
      <c r="DE4" s="13">
        <f>_xlfn.RANK.EQ(all[[#This Row],[ORtg]],all[ORtg])</f>
        <v>13</v>
      </c>
      <c r="DF4" s="6">
        <f>AVERAGE(cedevita[DRtg])</f>
        <v>117.7</v>
      </c>
      <c r="DG4" s="13">
        <f>_xlfn.RANK.EQ(all[[#This Row],[DRtg]],all[DRtg],1)</f>
        <v>12</v>
      </c>
      <c r="DH4" s="6">
        <f>AVERAGE(cedevita[Pace])</f>
        <v>72.238500000000002</v>
      </c>
      <c r="DI4" s="13">
        <f>_xlfn.RANK.EQ(all[[#This Row],[Pace]],all[Pace])</f>
        <v>13</v>
      </c>
      <c r="DJ4" s="7">
        <f>AVERAGE(cedevita[TS%op])</f>
        <v>0.63390000000000002</v>
      </c>
      <c r="DK4" s="13">
        <f>_xlfn.RANK.EQ(all[[#This Row],[TSp opp]],all[TSp opp],1)</f>
        <v>17</v>
      </c>
      <c r="DL4" s="7">
        <f>AVERAGE(cedevita[eFG%op])</f>
        <v>0.58330000000000004</v>
      </c>
      <c r="DM4" s="13">
        <f>_xlfn.RANK.EQ(all[[#This Row],[eFGp opp]],all[eFGp opp],1)</f>
        <v>13</v>
      </c>
      <c r="DN4" s="7">
        <f>AVERAGE(cedevita[ORB%op])</f>
        <v>0.2069</v>
      </c>
      <c r="DO4" s="13">
        <f>_xlfn.RANK.EQ(all[[#This Row],[ORBp opp]],all[ORBp opp],1)</f>
        <v>2</v>
      </c>
      <c r="DP4" s="7">
        <f>AVERAGE(cedevita[DRB%op])</f>
        <v>0.8286</v>
      </c>
      <c r="DQ4" s="13">
        <f>_xlfn.RANK.EQ(all[[#This Row],[DRBp opp]],all[DRBp opp],1)</f>
        <v>18</v>
      </c>
      <c r="DR4" s="7">
        <f>AVERAGE(cedevita[TRB%op])</f>
        <v>0.54690000000000005</v>
      </c>
      <c r="DS4" s="13">
        <f>_xlfn.RANK.EQ(all[[#This Row],[TRBp opp]],all[TRBp opp],1)</f>
        <v>17</v>
      </c>
      <c r="DT4" s="6">
        <f>AVERAGE(cedevita[Possop])</f>
        <v>74.897000000000006</v>
      </c>
      <c r="DU4" s="13">
        <f>_xlfn.RANK.EQ(all[[#This Row],[Poss opp]],all[Poss opp],1)</f>
        <v>13</v>
      </c>
      <c r="DV4" s="7">
        <f>AVERAGE(cedevita[AST%op])</f>
        <v>0.63329999999999997</v>
      </c>
      <c r="DW4" s="13">
        <f>_xlfn.RANK.EQ(all[[#This Row],[ASTp opp]],all[ASTp opp],1)</f>
        <v>12</v>
      </c>
      <c r="DX4" s="7">
        <f>AVERAGE(cedevita[FTFGA%op])</f>
        <v>0.25</v>
      </c>
      <c r="DY4" s="13">
        <f>_xlfn.RANK.EQ(all[[#This Row],[FTFGAp opp]],all[FTFGAp opp],1)</f>
        <v>12</v>
      </c>
      <c r="DZ4" s="7">
        <f>AVERAGE(cedevita[TOV%op])</f>
        <v>0.17280000000000001</v>
      </c>
      <c r="EA4" s="13">
        <f>_xlfn.RANK.EQ(all[[#This Row],[TOVp opp]],all[TOVp opp])</f>
        <v>10</v>
      </c>
      <c r="EB4" s="6">
        <f>AVERAGE(cedevita[ORtgop])</f>
        <v>117.7</v>
      </c>
      <c r="EC4" s="13">
        <f>_xlfn.RANK.EQ(all[[#This Row],[ORtg opp]],all[ORtg opp],1)</f>
        <v>12</v>
      </c>
      <c r="ED4" s="6">
        <f>AVERAGE(cedevita[DRtgop])</f>
        <v>109.4</v>
      </c>
      <c r="EE4" s="13">
        <f>_xlfn.RANK.EQ(all[[#This Row],[DRtg opp]],all[DRtg opp])</f>
        <v>13</v>
      </c>
      <c r="EF4" s="6">
        <f>AVERAGE(cedevita[Q1H])</f>
        <v>19</v>
      </c>
      <c r="EG4" s="13">
        <f>_xlfn.RANK.EQ(all[[#This Row],[Q1H]],all[Q1H])</f>
        <v>15</v>
      </c>
      <c r="EH4" s="6">
        <f>AVERAGE(cedevita[Q2H])</f>
        <v>24</v>
      </c>
      <c r="EI4" s="13">
        <f>_xlfn.RANK.EQ(all[[#This Row],[Q2H]],all[Q2H])</f>
        <v>5</v>
      </c>
      <c r="EJ4" s="6">
        <f>AVERAGE(cedevita[Q3H])</f>
        <v>14</v>
      </c>
      <c r="EK4" s="13">
        <f>_xlfn.RANK.EQ(all[[#This Row],[Q3H]],all[Q3H])</f>
        <v>17</v>
      </c>
      <c r="EL4" s="6">
        <f>AVERAGE(cedevita[Q4H])</f>
        <v>22</v>
      </c>
      <c r="EM4" s="13">
        <f>_xlfn.RANK.EQ(all[[#This Row],[Q4H]],all[Q4H])</f>
        <v>8</v>
      </c>
      <c r="EN4" s="6">
        <f>AVERAGE(cedevita[Q1A])</f>
        <v>22</v>
      </c>
      <c r="EO4" s="13">
        <f>_xlfn.RANK.EQ(all[[#This Row],[Q1A]],all[Q1A],1)</f>
        <v>11</v>
      </c>
      <c r="EP4" s="6">
        <f>AVERAGE(cedevita[Q2A])</f>
        <v>13</v>
      </c>
      <c r="EQ4" s="13">
        <f>_xlfn.RANK.EQ(all[[#This Row],[Q2A]],all[Q2A],1)</f>
        <v>2</v>
      </c>
      <c r="ER4" s="6">
        <f>AVERAGE(cedevita[Q3A])</f>
        <v>20</v>
      </c>
      <c r="ES4" s="13">
        <f>_xlfn.RANK.EQ(all[[#This Row],[Q3A]],all[Q3A],1)</f>
        <v>9</v>
      </c>
      <c r="ET4" s="6">
        <f>AVERAGE(cedevita[Q4A])</f>
        <v>30</v>
      </c>
      <c r="EU4" s="13">
        <f>_xlfn.RANK.EQ(all[[#This Row],[Q4A]],all[Q4A],1)</f>
        <v>18</v>
      </c>
      <c r="EV4" s="6">
        <f>AVERAGE(cedevita[FhalfH])</f>
        <v>43</v>
      </c>
      <c r="EW4" s="13">
        <f>_xlfn.RANK.EQ(all[[#This Row],[FHH]],all[FHH])</f>
        <v>11</v>
      </c>
      <c r="EX4" s="5">
        <f>AVERAGE(cedevita[FhalfA])</f>
        <v>35</v>
      </c>
      <c r="EY4" s="13">
        <f>_xlfn.RANK.EQ(all[[#This Row],[FHA]],all[FHA],1)</f>
        <v>4</v>
      </c>
      <c r="EZ4" s="6">
        <f>AVERAGE(cedevita[ShalfH])</f>
        <v>36</v>
      </c>
      <c r="FA4" s="13">
        <f>_xlfn.RANK.EQ(all[[#This Row],[SHH]],all[SHH])</f>
        <v>14</v>
      </c>
      <c r="FB4" s="6">
        <f>AVERAGE(cedevita[ShalfA])</f>
        <v>50</v>
      </c>
      <c r="FC4" s="13">
        <f>_xlfn.RANK.EQ(all[[#This Row],[SHA]],all[SHA],1)</f>
        <v>18</v>
      </c>
      <c r="FD4" s="6" t="e">
        <f ca="1">AVERAGE(LARGE(OFFSET(cedevita[Home_scored],COUNTA(cedevita[Home_scored])-5, 0, 5, 1),2), LARGE(OFFSET(cedevita[Home_scored],COUNTA(cedevita[Home_scored])-5, 0, 5, 1),3),LARGE(OFFSET(cedevita[Home_scored],COUNTA(cedevita[Home_scored])-5, 0, 5, 1),4))</f>
        <v>#REF!</v>
      </c>
      <c r="FE4" s="6" t="e">
        <f ca="1">AVERAGE(LARGE(OFFSET(cedevita[Away_scored],COUNTA(cedevita[Away_scored])-5, 0, 5, 1),2), LARGE(OFFSET(cedevita[Away_scored],COUNTA(cedevita[Away_scored])-5, 0, 5, 1),3),LARGE(OFFSET(cedevita[Away_scored],COUNTA(cedevita[Away_scored])-5,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12</v>
      </c>
      <c r="FJ4" s="5">
        <f t="shared" si="0"/>
        <v>10.446153846153846</v>
      </c>
      <c r="FK4" s="6">
        <f>all[[#This Row],[Q1H]]+all[[#This Row],[Q1A]]</f>
        <v>41</v>
      </c>
      <c r="FL4" s="13">
        <f>_xlfn.RANK.EQ(all[[#This Row],[Q1T]],all[Q1T])</f>
        <v>12</v>
      </c>
      <c r="FM4" s="6">
        <f>all[[#This Row],[Q2H]]+all[[#This Row],[Q2A]]</f>
        <v>37</v>
      </c>
      <c r="FN4" s="13">
        <f>_xlfn.RANK.EQ(all[[#This Row],[Q2T]],all[Q2T])</f>
        <v>14</v>
      </c>
      <c r="FO4" s="6">
        <f>all[[#This Row],[Q3H]]+all[[#This Row],[Q3A]]</f>
        <v>34</v>
      </c>
      <c r="FP4" s="13">
        <f>_xlfn.RANK.EQ(all[[#This Row],[Q3T]],all[Q3T])</f>
        <v>15</v>
      </c>
      <c r="FQ4" s="6">
        <f>all[[#This Row],[Q4H]]+all[[#This Row],[Q4A]]</f>
        <v>52</v>
      </c>
      <c r="FR4" s="13">
        <f>_xlfn.RANK.EQ(all[[#This Row],[Q4T]],all[Q4T])</f>
        <v>2</v>
      </c>
      <c r="FS4" s="6">
        <f>all[[#This Row],[FHH]]+all[[#This Row],[FHA]]</f>
        <v>78</v>
      </c>
      <c r="FT4" s="13">
        <f>_xlfn.RANK.EQ(all[[#This Row],[FHT]],all[FHT])</f>
        <v>12</v>
      </c>
      <c r="FU4" s="6">
        <f>all[[#This Row],[SHH]]+all[[#This Row],[SHA]]</f>
        <v>86</v>
      </c>
      <c r="FV4" s="13">
        <f>_xlfn.RANK.EQ(all[[#This Row],[SHT]],all[SHT])</f>
        <v>5</v>
      </c>
      <c r="FW4" s="6">
        <f ca="1">SUM(INDIRECT(all[[#This Row],[Table name]]&amp;"[BetH]"))</f>
        <v>-1</v>
      </c>
      <c r="FX4" s="13">
        <f ca="1">_xlfn.RANK.EQ(all[[#This Row],[BetH]],all[BetH])</f>
        <v>12</v>
      </c>
      <c r="FY4" s="6">
        <f ca="1">SUM(INDIRECT(all[[#This Row],[Table name]]&amp;"[BetA]"))</f>
        <v>1.9</v>
      </c>
      <c r="FZ4" s="13">
        <f ca="1">_xlfn.RANK.EQ(all[[#This Row],[BetA]],all[BetA])</f>
        <v>1</v>
      </c>
      <c r="GA4" s="13">
        <f ca="1">SUM(INDIRECT(all[[#This Row],[Table name]]&amp;"[Tover]"))</f>
        <v>0</v>
      </c>
      <c r="GB4" s="13">
        <f ca="1">_xlfn.RANK.EQ(all[[#This Row],[Tover]],all[Tover])</f>
        <v>12</v>
      </c>
      <c r="GC4" s="6">
        <f ca="1">AVERAGE(INDIRECT(all[[#This Row],[Table name]]&amp;"[Deviation]"))</f>
        <v>4</v>
      </c>
      <c r="GD4" s="13">
        <f ca="1">_xlfn.RANK.EQ(all[[#This Row],[Deviation]],all[Deviation],1)</f>
        <v>1</v>
      </c>
    </row>
    <row r="5" spans="1:186" x14ac:dyDescent="0.25">
      <c r="A5" s="9" t="s">
        <v>323</v>
      </c>
      <c r="B5" t="s">
        <v>312</v>
      </c>
      <c r="C5" t="s">
        <v>313</v>
      </c>
      <c r="D5" t="s">
        <v>326</v>
      </c>
      <c r="E5">
        <f>_xlfn.RANK.EQ(all[[#This Row],[AVG_RT]],all[AVG_RT],1)</f>
        <v>2</v>
      </c>
      <c r="F5" s="6">
        <f>AVERAGE(cluj[Home_scored])</f>
        <v>79</v>
      </c>
      <c r="G5" s="13">
        <f>_xlfn.RANK.EQ(all[[#This Row],[PM]],all[PM])</f>
        <v>13</v>
      </c>
      <c r="H5" s="6">
        <f>AVERAGE(cluj[Away_scored])</f>
        <v>48</v>
      </c>
      <c r="I5" s="13">
        <f>_xlfn.RANK.EQ(all[[#This Row],[PC]],all[PC],1)</f>
        <v>1</v>
      </c>
      <c r="J5" s="6">
        <f>AVERAGE(cluj[FGA])</f>
        <v>66</v>
      </c>
      <c r="K5" s="13">
        <f>_xlfn.RANK.EQ(all[[#This Row],[FGA]],all[FGA])</f>
        <v>5</v>
      </c>
      <c r="L5" s="6">
        <f>AVERAGE(cluj[FGM])</f>
        <v>26</v>
      </c>
      <c r="M5" s="13">
        <f>_xlfn.RANK.EQ(all[[#This Row],[FGM]],all[FGM])</f>
        <v>14</v>
      </c>
      <c r="N5" s="7">
        <f>AVERAGE(cluj[FGp])</f>
        <v>0.39389999999999997</v>
      </c>
      <c r="O5" s="13">
        <f>_xlfn.RANK.EQ(all[[#This Row],[FGp]],all[FGp])</f>
        <v>15</v>
      </c>
      <c r="P5" s="6">
        <f>AVERAGE(cluj[P2M])</f>
        <v>16</v>
      </c>
      <c r="Q5" s="13">
        <f>_xlfn.RANK.EQ(all[[#This Row],[P2M]],all[P2M])</f>
        <v>15</v>
      </c>
      <c r="R5" s="6">
        <f>AVERAGE(cluj[P2A])</f>
        <v>32</v>
      </c>
      <c r="S5" s="13">
        <f>_xlfn.RANK.EQ(all[[#This Row],[P2A]],all[P2A])</f>
        <v>14</v>
      </c>
      <c r="T5" s="7">
        <f>AVERAGE(cluj[P2p])</f>
        <v>0.5</v>
      </c>
      <c r="U5" s="13">
        <f>_xlfn.RANK.EQ(all[[#This Row],[P2p]],all[P2p])</f>
        <v>11</v>
      </c>
      <c r="V5" s="6">
        <f>AVERAGE(cluj[P3M])</f>
        <v>10</v>
      </c>
      <c r="W5" s="13">
        <f>_xlfn.RANK.EQ(all[[#This Row],[P3M]],all[P3M])</f>
        <v>5</v>
      </c>
      <c r="X5" s="6">
        <f>AVERAGE(cluj[P3A])</f>
        <v>34</v>
      </c>
      <c r="Y5" s="13">
        <f>_xlfn.RANK.EQ(all[[#This Row],[P3A]],all[P3A])</f>
        <v>1</v>
      </c>
      <c r="Z5" s="7">
        <f>AVERAGE(cluj[P3p])</f>
        <v>0.29409999999999997</v>
      </c>
      <c r="AA5" s="13">
        <f>_xlfn.RANK.EQ(all[[#This Row],[P3p]],all[P3p])</f>
        <v>15</v>
      </c>
      <c r="AB5" s="6">
        <f>AVERAGE(cluj[FTM])</f>
        <v>17</v>
      </c>
      <c r="AC5" s="13">
        <f>_xlfn.RANK.EQ(all[[#This Row],[FTM]],all[FTM])</f>
        <v>8</v>
      </c>
      <c r="AD5" s="6">
        <f>AVERAGE(cluj[FTA])</f>
        <v>23</v>
      </c>
      <c r="AE5" s="13">
        <f>_xlfn.RANK.EQ(all[[#This Row],[FTA]],all[FTA])</f>
        <v>9</v>
      </c>
      <c r="AF5" s="7">
        <f>AVERAGE(cluj[FTp])</f>
        <v>0.73909999999999998</v>
      </c>
      <c r="AG5" s="13">
        <f>_xlfn.RANK.EQ(all[[#This Row],[FTp]],all[FTp])</f>
        <v>11</v>
      </c>
      <c r="AH5" s="6">
        <f>AVERAGE(cluj[ORB])</f>
        <v>18</v>
      </c>
      <c r="AI5" s="13">
        <f>_xlfn.RANK.EQ(all[[#This Row],[ORB]],all[ORB])</f>
        <v>3</v>
      </c>
      <c r="AJ5" s="6">
        <f>AVERAGE(cluj[DRB])</f>
        <v>30</v>
      </c>
      <c r="AK5" s="13">
        <f>_xlfn.RANK.EQ(all[[#This Row],[DRB]],all[DRB])</f>
        <v>2</v>
      </c>
      <c r="AL5" s="6">
        <f>AVERAGE(cluj[TRB])</f>
        <v>48</v>
      </c>
      <c r="AM5" s="13">
        <f>_xlfn.RANK.EQ(all[[#This Row],[TRB]],all[TRB])</f>
        <v>1</v>
      </c>
      <c r="AN5" s="6">
        <f>AVERAGE(cluj[AST])</f>
        <v>16</v>
      </c>
      <c r="AO5" s="13">
        <f>_xlfn.RANK.EQ(all[[#This Row],[AST]],all[AST])</f>
        <v>13</v>
      </c>
      <c r="AP5" s="6">
        <f>AVERAGE(cluj[STL])</f>
        <v>11</v>
      </c>
      <c r="AQ5" s="13">
        <f>_xlfn.RANK.EQ(all[[#This Row],[STL]],all[STL])</f>
        <v>5</v>
      </c>
      <c r="AR5" s="6">
        <f>AVERAGE(cluj[BLK])</f>
        <v>0</v>
      </c>
      <c r="AS5" s="13">
        <f>_xlfn.RANK.EQ(all[[#This Row],[BLK]],all[BLK])</f>
        <v>14</v>
      </c>
      <c r="AT5" s="6">
        <f>AVERAGE(cluj[TOV])</f>
        <v>12</v>
      </c>
      <c r="AU5" s="13">
        <f>_xlfn.RANK.EQ(all[[#This Row],[TOV]],all[TOV],1)</f>
        <v>3</v>
      </c>
      <c r="AV5" s="6">
        <f>AVERAGE(cluj[PF])</f>
        <v>19</v>
      </c>
      <c r="AW5" s="13">
        <f>_xlfn.RANK.EQ(all[[#This Row],[PF]],all[PF],1)</f>
        <v>2</v>
      </c>
      <c r="AX5" s="6">
        <f>AVERAGE(cluj[FGAop])</f>
        <v>60</v>
      </c>
      <c r="AY5" s="13">
        <f>_xlfn.RANK.EQ(all[[#This Row],[FGA opp]],all[FGA opp],1)</f>
        <v>6</v>
      </c>
      <c r="AZ5" s="6">
        <f>AVERAGE(cluj[FGMop])</f>
        <v>16</v>
      </c>
      <c r="BA5" s="13">
        <f>_xlfn.RANK.EQ(all[[#This Row],[FGM opp]],all[FGM opp],1)</f>
        <v>1</v>
      </c>
      <c r="BB5" s="7">
        <f>AVERAGE(cluj[FGpop])</f>
        <v>0.26669999999999999</v>
      </c>
      <c r="BC5" s="13">
        <f>_xlfn.RANK.EQ(all[[#This Row],[FGp opp]],all[FGp opp],1)</f>
        <v>1</v>
      </c>
      <c r="BD5" s="6">
        <f>AVERAGE(cluj[P2Mop])</f>
        <v>12</v>
      </c>
      <c r="BE5" s="13">
        <f>_xlfn.RANK.EQ(all[[#This Row],[P2M opp]],all[P2M opp],1)</f>
        <v>1</v>
      </c>
      <c r="BF5" s="6">
        <f>AVERAGE(cluj[P2Aop])</f>
        <v>33</v>
      </c>
      <c r="BG5" s="13">
        <f>_xlfn.RANK.EQ(all[[#This Row],[P2A opp]],all[P2A opp],1)</f>
        <v>5</v>
      </c>
      <c r="BH5">
        <f>AVERAGE(cluj[P2pop])</f>
        <v>0.36359999999999998</v>
      </c>
      <c r="BI5" s="13">
        <f>_xlfn.RANK.EQ(all[[#This Row],[P2p opp]],all[P2p opp],1)</f>
        <v>1</v>
      </c>
      <c r="BJ5" s="6">
        <f>AVERAGE(cluj[P3Mop])</f>
        <v>4</v>
      </c>
      <c r="BK5" s="13">
        <f>_xlfn.RANK.EQ(all[[#This Row],[P3M opp]],all[P3M opp],1)</f>
        <v>1</v>
      </c>
      <c r="BL5" s="6">
        <f>AVERAGE(cluj[P3Aop])</f>
        <v>27</v>
      </c>
      <c r="BM5" s="13">
        <f>_xlfn.RANK.EQ(all[[#This Row],[P3A opp]],all[P3A opp],1)</f>
        <v>10</v>
      </c>
      <c r="BN5" s="7">
        <f>AVERAGE(cluj[P3pop])</f>
        <v>0.14810000000000001</v>
      </c>
      <c r="BO5" s="13">
        <f>_xlfn.RANK.EQ(all[[#This Row],[P3p opp]],all[P3p opp],1)</f>
        <v>1</v>
      </c>
      <c r="BP5" s="6">
        <f>AVERAGE(cluj[FTMop])</f>
        <v>12</v>
      </c>
      <c r="BQ5" s="13">
        <f>_xlfn.RANK.EQ(all[[#This Row],[FTM opp]],all[FTM opp],1)</f>
        <v>4</v>
      </c>
      <c r="BR5" s="6">
        <f>AVERAGE(cluj[FTAop])</f>
        <v>14</v>
      </c>
      <c r="BS5" s="13">
        <f>_xlfn.RANK.EQ(all[[#This Row],[FTA opp]],all[FTA opp],1)</f>
        <v>3</v>
      </c>
      <c r="BT5" s="7">
        <f>AVERAGE(cluj[FTpop])</f>
        <v>0.85709999999999997</v>
      </c>
      <c r="BU5" s="13">
        <f>_xlfn.RANK.EQ(all[[#This Row],[FTp opp]],all[FTp opp],1)</f>
        <v>16</v>
      </c>
      <c r="BV5" s="6">
        <f>AVERAGE(cluj[ORBop])</f>
        <v>14</v>
      </c>
      <c r="BW5" s="13">
        <f>_xlfn.RANK.EQ(all[[#This Row],[ORB opp]],all[ORB opp],1)</f>
        <v>14</v>
      </c>
      <c r="BX5" s="6">
        <f>AVERAGE(cluj[DRBop])</f>
        <v>26</v>
      </c>
      <c r="BY5" s="13">
        <f>_xlfn.RANK.EQ(all[[#This Row],[DRB opp]],all[DRB opp],1)</f>
        <v>14</v>
      </c>
      <c r="BZ5" s="6">
        <f>AVERAGE(cluj[TRBop])</f>
        <v>40</v>
      </c>
      <c r="CA5" s="13">
        <f>_xlfn.RANK.EQ(all[[#This Row],[TRB opp]],all[TRB opp],1)</f>
        <v>14</v>
      </c>
      <c r="CB5" s="6">
        <f>AVERAGE(cluj[ASTop])</f>
        <v>8</v>
      </c>
      <c r="CC5" s="13">
        <f>_xlfn.RANK.EQ(all[[#This Row],[AST opp]],all[AST opp],1)</f>
        <v>1</v>
      </c>
      <c r="CD5" s="6">
        <f>AVERAGE(cluj[STLop])</f>
        <v>4</v>
      </c>
      <c r="CE5" s="13">
        <f>_xlfn.RANK.EQ(all[[#This Row],[STL opp]],all[STL opp],1)</f>
        <v>3</v>
      </c>
      <c r="CF5" s="6">
        <f>AVERAGE(cluj[BLKop])</f>
        <v>2</v>
      </c>
      <c r="CG5" s="13">
        <f>_xlfn.RANK.EQ(all[[#This Row],[BLK opp]],all[BLK opp],1)</f>
        <v>7</v>
      </c>
      <c r="CH5" s="6">
        <f>AVERAGE(cluj[TOVop])</f>
        <v>16</v>
      </c>
      <c r="CI5" s="13">
        <f>_xlfn.RANK.EQ(all[[#This Row],[TOV opp]],all[TOV opp])</f>
        <v>6</v>
      </c>
      <c r="CJ5" s="6">
        <f>AVERAGE(cluj[PFop])</f>
        <v>22</v>
      </c>
      <c r="CK5" s="13">
        <f>_xlfn.RANK.EQ(all[[#This Row],[PF opp]],all[PF opp])</f>
        <v>14</v>
      </c>
      <c r="CL5" s="7">
        <f>AVERAGE(cluj[TS%])</f>
        <v>0.51890000000000003</v>
      </c>
      <c r="CM5" s="13">
        <f>_xlfn.RANK.EQ(all[[#This Row],[TSp]],all[TSp])</f>
        <v>16</v>
      </c>
      <c r="CN5" s="7">
        <f>AVERAGE(cluj[eFG%])</f>
        <v>0.46970000000000001</v>
      </c>
      <c r="CO5" s="13">
        <f>_xlfn.RANK.EQ(all[[#This Row],[eFGp]],all[eFGp])</f>
        <v>14</v>
      </c>
      <c r="CP5" s="7">
        <f>AVERAGE(cluj[ORB%])</f>
        <v>0.40910000000000002</v>
      </c>
      <c r="CQ5" s="13">
        <f>_xlfn.RANK.EQ(all[[#This Row],[ORBp]],all[ORBp])</f>
        <v>5</v>
      </c>
      <c r="CR5" s="7">
        <f>AVERAGE(cluj[DRB%])</f>
        <v>0.68179999999999996</v>
      </c>
      <c r="CS5" s="13">
        <f>_xlfn.RANK.EQ(all[[#This Row],[DRBp]],all[DRBp])</f>
        <v>10</v>
      </c>
      <c r="CT5" s="7">
        <f>AVERAGE(cluj[TRB%])</f>
        <v>0.54549999999999998</v>
      </c>
      <c r="CU5" s="13">
        <f>_xlfn.RANK.EQ(all[[#This Row],[TRBp]],all[TRBp])</f>
        <v>4</v>
      </c>
      <c r="CV5" s="6">
        <f>AVERAGE(cluj[Poss])</f>
        <v>71.150000000000006</v>
      </c>
      <c r="CW5" s="13">
        <f>_xlfn.RANK.EQ(all[[#This Row],[Poss]],all[Poss])</f>
        <v>14</v>
      </c>
      <c r="CX5" s="7">
        <f>AVERAGE(cluj[AST%])</f>
        <v>0.61539999999999995</v>
      </c>
      <c r="CY5" s="13">
        <f>_xlfn.RANK.EQ(all[[#This Row],[ASTp]],all[ASTp])</f>
        <v>9</v>
      </c>
      <c r="CZ5" s="7">
        <f>AVERAGE(cluj[FTFGA%])</f>
        <v>0.2576</v>
      </c>
      <c r="DA5" s="13">
        <f>_xlfn.RANK.EQ(all[[#This Row],[FTFGAp]],all[FTFGAp])</f>
        <v>9</v>
      </c>
      <c r="DB5" s="7">
        <f>AVERAGE(cluj[TOV%])</f>
        <v>0.13619999999999999</v>
      </c>
      <c r="DC5" s="13">
        <f>_xlfn.RANK.EQ(all[[#This Row],[TOVp]],all[TOVp],1)</f>
        <v>4</v>
      </c>
      <c r="DD5" s="6">
        <f>AVERAGE(cluj[ORtg])</f>
        <v>115.9</v>
      </c>
      <c r="DE5" s="13">
        <f>_xlfn.RANK.EQ(all[[#This Row],[ORtg]],all[ORtg])</f>
        <v>10</v>
      </c>
      <c r="DF5" s="6">
        <f>AVERAGE(cluj[DRtg])</f>
        <v>70.400000000000006</v>
      </c>
      <c r="DG5" s="13">
        <f>_xlfn.RANK.EQ(all[[#This Row],[DRtg]],all[DRtg],1)</f>
        <v>1</v>
      </c>
      <c r="DH5" s="6">
        <f>AVERAGE(cluj[Pace])</f>
        <v>68.135999999999996</v>
      </c>
      <c r="DI5" s="13">
        <f>_xlfn.RANK.EQ(all[[#This Row],[Pace]],all[Pace])</f>
        <v>18</v>
      </c>
      <c r="DJ5" s="7">
        <f>AVERAGE(cluj[TS%op])</f>
        <v>0.36280000000000001</v>
      </c>
      <c r="DK5" s="13">
        <f>_xlfn.RANK.EQ(all[[#This Row],[TSp opp]],all[TSp opp],1)</f>
        <v>1</v>
      </c>
      <c r="DL5" s="7">
        <f>AVERAGE(cluj[eFG%op])</f>
        <v>0.3</v>
      </c>
      <c r="DM5" s="13">
        <f>_xlfn.RANK.EQ(all[[#This Row],[eFGp opp]],all[eFGp opp],1)</f>
        <v>1</v>
      </c>
      <c r="DN5" s="7">
        <f>AVERAGE(cluj[ORB%op])</f>
        <v>0.31819999999999998</v>
      </c>
      <c r="DO5" s="13">
        <f>_xlfn.RANK.EQ(all[[#This Row],[ORBp opp]],all[ORBp opp],1)</f>
        <v>10</v>
      </c>
      <c r="DP5" s="7">
        <f>AVERAGE(cluj[DRB%op])</f>
        <v>0.59089999999999998</v>
      </c>
      <c r="DQ5" s="13">
        <f>_xlfn.RANK.EQ(all[[#This Row],[DRBp opp]],all[DRBp opp],1)</f>
        <v>5</v>
      </c>
      <c r="DR5" s="7">
        <f>AVERAGE(cluj[TRB%op])</f>
        <v>0.45450000000000002</v>
      </c>
      <c r="DS5" s="13">
        <f>_xlfn.RANK.EQ(all[[#This Row],[TRBp opp]],all[TRBp opp],1)</f>
        <v>4</v>
      </c>
      <c r="DT5" s="6">
        <f>AVERAGE(cluj[Possop])</f>
        <v>65.122</v>
      </c>
      <c r="DU5" s="13">
        <f>_xlfn.RANK.EQ(all[[#This Row],[Poss opp]],all[Poss opp],1)</f>
        <v>1</v>
      </c>
      <c r="DV5" s="7">
        <f>AVERAGE(cluj[AST%op])</f>
        <v>0.5</v>
      </c>
      <c r="DW5" s="13">
        <f>_xlfn.RANK.EQ(all[[#This Row],[ASTp opp]],all[ASTp opp],1)</f>
        <v>4</v>
      </c>
      <c r="DX5" s="7">
        <f>AVERAGE(cluj[FTFGA%op])</f>
        <v>0.2</v>
      </c>
      <c r="DY5" s="13">
        <f>_xlfn.RANK.EQ(all[[#This Row],[FTFGAp opp]],all[FTFGAp opp],1)</f>
        <v>4</v>
      </c>
      <c r="DZ5" s="7">
        <f>AVERAGE(cluj[TOV%op])</f>
        <v>0.19470000000000001</v>
      </c>
      <c r="EA5" s="13">
        <f>_xlfn.RANK.EQ(all[[#This Row],[TOVp opp]],all[TOVp opp])</f>
        <v>4</v>
      </c>
      <c r="EB5" s="6">
        <f>AVERAGE(cluj[ORtgop])</f>
        <v>70.400000000000006</v>
      </c>
      <c r="EC5" s="13">
        <f>_xlfn.RANK.EQ(all[[#This Row],[ORtg opp]],all[ORtg opp],1)</f>
        <v>1</v>
      </c>
      <c r="ED5" s="6">
        <f>AVERAGE(cluj[DRtgop])</f>
        <v>115.9</v>
      </c>
      <c r="EE5" s="13">
        <f>_xlfn.RANK.EQ(all[[#This Row],[DRtg opp]],all[DRtg opp])</f>
        <v>10</v>
      </c>
      <c r="EF5" s="6">
        <f>AVERAGE(cluj[Q1H])</f>
        <v>23</v>
      </c>
      <c r="EG5" s="13">
        <f>_xlfn.RANK.EQ(all[[#This Row],[Q1H]],all[Q1H])</f>
        <v>7</v>
      </c>
      <c r="EH5" s="6">
        <f>AVERAGE(cluj[Q2H])</f>
        <v>17</v>
      </c>
      <c r="EI5" s="13">
        <f>_xlfn.RANK.EQ(all[[#This Row],[Q2H]],all[Q2H])</f>
        <v>13</v>
      </c>
      <c r="EJ5" s="6">
        <f>AVERAGE(cluj[Q3H])</f>
        <v>17</v>
      </c>
      <c r="EK5" s="13">
        <f>_xlfn.RANK.EQ(all[[#This Row],[Q3H]],all[Q3H])</f>
        <v>14</v>
      </c>
      <c r="EL5" s="6">
        <f>AVERAGE(cluj[Q4H])</f>
        <v>22</v>
      </c>
      <c r="EM5" s="13">
        <f>_xlfn.RANK.EQ(all[[#This Row],[Q4H]],all[Q4H])</f>
        <v>8</v>
      </c>
      <c r="EN5" s="6">
        <f>AVERAGE(cluj[Q1A])</f>
        <v>10</v>
      </c>
      <c r="EO5" s="13">
        <f>_xlfn.RANK.EQ(all[[#This Row],[Q1A]],all[Q1A],1)</f>
        <v>1</v>
      </c>
      <c r="EP5" s="6">
        <f>AVERAGE(cluj[Q2A])</f>
        <v>20</v>
      </c>
      <c r="EQ5" s="13">
        <f>_xlfn.RANK.EQ(all[[#This Row],[Q2A]],all[Q2A],1)</f>
        <v>7</v>
      </c>
      <c r="ER5" s="6">
        <f>AVERAGE(cluj[Q3A])</f>
        <v>10</v>
      </c>
      <c r="ES5" s="13">
        <f>_xlfn.RANK.EQ(all[[#This Row],[Q3A]],all[Q3A],1)</f>
        <v>1</v>
      </c>
      <c r="ET5" s="6">
        <f>AVERAGE(cluj[Q4A])</f>
        <v>8</v>
      </c>
      <c r="EU5" s="13">
        <f>_xlfn.RANK.EQ(all[[#This Row],[Q4A]],all[Q4A],1)</f>
        <v>1</v>
      </c>
      <c r="EV5" s="6">
        <f>AVERAGE(cluj[FhalfH])</f>
        <v>40</v>
      </c>
      <c r="EW5" s="13">
        <f>_xlfn.RANK.EQ(all[[#This Row],[FHH]],all[FHH])</f>
        <v>13</v>
      </c>
      <c r="EX5" s="5">
        <f>AVERAGE(cluj[FhalfA])</f>
        <v>30</v>
      </c>
      <c r="EY5" s="13">
        <f>_xlfn.RANK.EQ(all[[#This Row],[FHA]],all[FHA],1)</f>
        <v>3</v>
      </c>
      <c r="EZ5" s="6">
        <f>AVERAGE(cluj[ShalfH])</f>
        <v>39</v>
      </c>
      <c r="FA5" s="13">
        <f>_xlfn.RANK.EQ(all[[#This Row],[SHH]],all[SHH])</f>
        <v>12</v>
      </c>
      <c r="FB5" s="6">
        <f>AVERAGE(cluj[ShalfA])</f>
        <v>18</v>
      </c>
      <c r="FC5" s="13">
        <f>_xlfn.RANK.EQ(all[[#This Row],[SHA]],all[SHA],1)</f>
        <v>1</v>
      </c>
      <c r="FD5" s="6" t="e">
        <f ca="1">AVERAGE(LARGE(OFFSET(cluj[Home_scored],COUNTA(cluj[Home_scored])-5, 0, 5, 1),2), LARGE(OFFSET(cluj[Home_scored],COUNTA(cluj[Home_scored])-5, 0, 5, 1),3),LARGE(OFFSET(cluj[Home_scored],COUNTA(cluj[Home_scored])-5, 0, 5, 1),4))</f>
        <v>#REF!</v>
      </c>
      <c r="FE5" s="6" t="e">
        <f ca="1">AVERAGE(LARGE(OFFSET(cluj[Away_scored],COUNTA(cluj[Away_scored])-5, 0, 5, 1),2), LARGE(OFFSET(cluj[Away_scored],COUNTA(cluj[Away_scored])-5, 0, 5, 1),3),LARGE(OFFSET(cluj[Away_scored],COUNTA(cluj[Away_scored])-5, 0, 5, 1),4))</f>
        <v>#REF!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>
        <f ca="1">_xlfn.RANK.EQ(all[[#This Row],[rating]],all[rating])</f>
        <v>1</v>
      </c>
      <c r="FJ5" s="5">
        <f t="shared" si="0"/>
        <v>7.1076923076923073</v>
      </c>
      <c r="FK5" s="6">
        <f>all[[#This Row],[Q1H]]+all[[#This Row],[Q1A]]</f>
        <v>33</v>
      </c>
      <c r="FL5" s="13">
        <f>_xlfn.RANK.EQ(all[[#This Row],[Q1T]],all[Q1T])</f>
        <v>16</v>
      </c>
      <c r="FM5" s="6">
        <f>all[[#This Row],[Q2H]]+all[[#This Row],[Q2A]]</f>
        <v>37</v>
      </c>
      <c r="FN5" s="13">
        <f>_xlfn.RANK.EQ(all[[#This Row],[Q2T]],all[Q2T])</f>
        <v>14</v>
      </c>
      <c r="FO5" s="6">
        <f>all[[#This Row],[Q3H]]+all[[#This Row],[Q3A]]</f>
        <v>27</v>
      </c>
      <c r="FP5" s="13">
        <f>_xlfn.RANK.EQ(all[[#This Row],[Q3T]],all[Q3T])</f>
        <v>18</v>
      </c>
      <c r="FQ5" s="6">
        <f>all[[#This Row],[Q4H]]+all[[#This Row],[Q4A]]</f>
        <v>30</v>
      </c>
      <c r="FR5" s="13">
        <f>_xlfn.RANK.EQ(all[[#This Row],[Q4T]],all[Q4T])</f>
        <v>18</v>
      </c>
      <c r="FS5" s="6">
        <f>all[[#This Row],[FHH]]+all[[#This Row],[FHA]]</f>
        <v>70</v>
      </c>
      <c r="FT5" s="13">
        <f>_xlfn.RANK.EQ(all[[#This Row],[FHT]],all[FHT])</f>
        <v>16</v>
      </c>
      <c r="FU5" s="6">
        <f>all[[#This Row],[SHH]]+all[[#This Row],[SHA]]</f>
        <v>57</v>
      </c>
      <c r="FV5" s="13">
        <f>_xlfn.RANK.EQ(all[[#This Row],[SHT]],all[SHT])</f>
        <v>18</v>
      </c>
      <c r="FW5" s="6">
        <f ca="1">SUM(INDIRECT(all[[#This Row],[Table name]]&amp;"[BetH]"))</f>
        <v>0.95</v>
      </c>
      <c r="FX5" s="13">
        <f ca="1">_xlfn.RANK.EQ(all[[#This Row],[BetH]],all[BetH])</f>
        <v>5</v>
      </c>
      <c r="FY5" s="6">
        <f ca="1">SUM(INDIRECT(all[[#This Row],[Table name]]&amp;"[BetA]"))</f>
        <v>-1</v>
      </c>
      <c r="FZ5" s="13">
        <f ca="1">_xlfn.RANK.EQ(all[[#This Row],[BetA]],all[BetA])</f>
        <v>8</v>
      </c>
      <c r="GA5" s="13">
        <f ca="1">SUM(INDIRECT(all[[#This Row],[Table name]]&amp;"[Tover]"))</f>
        <v>0</v>
      </c>
      <c r="GB5" s="13">
        <f ca="1">_xlfn.RANK.EQ(all[[#This Row],[Tover]],all[Tover])</f>
        <v>12</v>
      </c>
      <c r="GC5" s="6">
        <f ca="1">AVERAGE(INDIRECT(all[[#This Row],[Table name]]&amp;"[Deviation]"))</f>
        <v>38</v>
      </c>
      <c r="GD5" s="13">
        <f ca="1">_xlfn.RANK.EQ(all[[#This Row],[Deviation]],all[Deviation],1)</f>
        <v>18</v>
      </c>
    </row>
    <row r="6" spans="1:186" x14ac:dyDescent="0.25">
      <c r="A6" s="9" t="s">
        <v>348</v>
      </c>
      <c r="B6" t="s">
        <v>346</v>
      </c>
      <c r="C6" t="s">
        <v>349</v>
      </c>
      <c r="D6" t="s">
        <v>347</v>
      </c>
      <c r="E6">
        <f>_xlfn.RANK.EQ(all[[#This Row],[AVG_RT]],all[AVG_RT],1)</f>
        <v>1</v>
      </c>
      <c r="F6" s="6">
        <f>AVERAGE(crvena[Home_scored])</f>
        <v>86</v>
      </c>
      <c r="G6" s="13">
        <f>_xlfn.RANK.EQ(all[[#This Row],[PM]],all[PM])</f>
        <v>7</v>
      </c>
      <c r="H6" s="6">
        <f>AVERAGE(crvena[Away_scored])</f>
        <v>59</v>
      </c>
      <c r="I6" s="13">
        <f>_xlfn.RANK.EQ(all[[#This Row],[PC]],all[PC],1)</f>
        <v>2</v>
      </c>
      <c r="J6" s="6">
        <f>AVERAGE(crvena[FGA])</f>
        <v>61</v>
      </c>
      <c r="K6" s="13">
        <f>_xlfn.RANK.EQ(all[[#This Row],[FGA]],all[FGA])</f>
        <v>9</v>
      </c>
      <c r="L6" s="6">
        <f>AVERAGE(crvena[FGM])</f>
        <v>31</v>
      </c>
      <c r="M6" s="13">
        <f>_xlfn.RANK.EQ(all[[#This Row],[FGM]],all[FGM])</f>
        <v>4</v>
      </c>
      <c r="N6" s="7">
        <f>AVERAGE(crvena[FGp])</f>
        <v>0.50819999999999999</v>
      </c>
      <c r="O6" s="13">
        <f>_xlfn.RANK.EQ(all[[#This Row],[FGp]],all[FGp])</f>
        <v>4</v>
      </c>
      <c r="P6" s="6">
        <f>AVERAGE(crvena[P2M])</f>
        <v>21</v>
      </c>
      <c r="Q6" s="13">
        <f>_xlfn.RANK.EQ(all[[#This Row],[P2M]],all[P2M])</f>
        <v>5</v>
      </c>
      <c r="R6" s="6">
        <f>AVERAGE(crvena[P2A])</f>
        <v>39</v>
      </c>
      <c r="S6" s="13">
        <f>_xlfn.RANK.EQ(all[[#This Row],[P2A]],all[P2A])</f>
        <v>6</v>
      </c>
      <c r="T6" s="7">
        <f>AVERAGE(crvena[P2p])</f>
        <v>0.53849999999999998</v>
      </c>
      <c r="U6" s="13">
        <f>_xlfn.RANK.EQ(all[[#This Row],[P2p]],all[P2p])</f>
        <v>8</v>
      </c>
      <c r="V6" s="6">
        <f>AVERAGE(crvena[P3M])</f>
        <v>10</v>
      </c>
      <c r="W6" s="13">
        <f>_xlfn.RANK.EQ(all[[#This Row],[P3M]],all[P3M])</f>
        <v>5</v>
      </c>
      <c r="X6" s="6">
        <f>AVERAGE(crvena[P3A])</f>
        <v>22</v>
      </c>
      <c r="Y6" s="13">
        <f>_xlfn.RANK.EQ(all[[#This Row],[P3A]],all[P3A])</f>
        <v>13</v>
      </c>
      <c r="Z6" s="7">
        <f>AVERAGE(crvena[P3p])</f>
        <v>0.45450000000000002</v>
      </c>
      <c r="AA6" s="13">
        <f>_xlfn.RANK.EQ(all[[#This Row],[P3p]],all[P3p])</f>
        <v>4</v>
      </c>
      <c r="AB6" s="6">
        <f>AVERAGE(crvena[FTM])</f>
        <v>14</v>
      </c>
      <c r="AC6" s="13">
        <f>_xlfn.RANK.EQ(all[[#This Row],[FTM]],all[FTM])</f>
        <v>13</v>
      </c>
      <c r="AD6" s="6">
        <f>AVERAGE(crvena[FTA])</f>
        <v>18</v>
      </c>
      <c r="AE6" s="13">
        <f>_xlfn.RANK.EQ(all[[#This Row],[FTA]],all[FTA])</f>
        <v>13</v>
      </c>
      <c r="AF6" s="7">
        <f>AVERAGE(crvena[FTp])</f>
        <v>0.77780000000000005</v>
      </c>
      <c r="AG6" s="13">
        <f>_xlfn.RANK.EQ(all[[#This Row],[FTp]],all[FTp])</f>
        <v>8</v>
      </c>
      <c r="AH6" s="6">
        <f>AVERAGE(crvena[ORB])</f>
        <v>8</v>
      </c>
      <c r="AI6" s="13">
        <f>_xlfn.RANK.EQ(all[[#This Row],[ORB]],all[ORB])</f>
        <v>14</v>
      </c>
      <c r="AJ6" s="6">
        <f>AVERAGE(crvena[DRB])</f>
        <v>33</v>
      </c>
      <c r="AK6" s="13">
        <f>_xlfn.RANK.EQ(all[[#This Row],[DRB]],all[DRB])</f>
        <v>1</v>
      </c>
      <c r="AL6" s="6">
        <f>AVERAGE(crvena[TRB])</f>
        <v>41</v>
      </c>
      <c r="AM6" s="13">
        <f>_xlfn.RANK.EQ(all[[#This Row],[TRB]],all[TRB])</f>
        <v>3</v>
      </c>
      <c r="AN6" s="6">
        <f>AVERAGE(crvena[AST])</f>
        <v>17</v>
      </c>
      <c r="AO6" s="13">
        <f>_xlfn.RANK.EQ(all[[#This Row],[AST]],all[AST])</f>
        <v>10</v>
      </c>
      <c r="AP6" s="6">
        <f>AVERAGE(crvena[STL])</f>
        <v>6</v>
      </c>
      <c r="AQ6" s="13">
        <f>_xlfn.RANK.EQ(all[[#This Row],[STL]],all[STL])</f>
        <v>11</v>
      </c>
      <c r="AR6" s="6">
        <f>AVERAGE(crvena[BLK])</f>
        <v>3</v>
      </c>
      <c r="AS6" s="13">
        <f>_xlfn.RANK.EQ(all[[#This Row],[BLK]],all[BLK])</f>
        <v>5</v>
      </c>
      <c r="AT6" s="6">
        <f>AVERAGE(crvena[TOV])</f>
        <v>12</v>
      </c>
      <c r="AU6" s="13">
        <f>_xlfn.RANK.EQ(all[[#This Row],[TOV]],all[TOV],1)</f>
        <v>3</v>
      </c>
      <c r="AV6" s="6">
        <f>AVERAGE(crvena[PF])</f>
        <v>23</v>
      </c>
      <c r="AW6" s="13">
        <f>_xlfn.RANK.EQ(all[[#This Row],[PF]],all[PF],1)</f>
        <v>8</v>
      </c>
      <c r="AX6" s="6">
        <f>AVERAGE(crvena[FGAop])</f>
        <v>65</v>
      </c>
      <c r="AY6" s="13">
        <f>_xlfn.RANK.EQ(all[[#This Row],[FGA opp]],all[FGA opp],1)</f>
        <v>12</v>
      </c>
      <c r="AZ6" s="6">
        <f>AVERAGE(crvena[FGMop])</f>
        <v>24</v>
      </c>
      <c r="BA6" s="13">
        <f>_xlfn.RANK.EQ(all[[#This Row],[FGM opp]],all[FGM opp],1)</f>
        <v>3</v>
      </c>
      <c r="BB6" s="7">
        <f>AVERAGE(crvena[FGpop])</f>
        <v>0.36919999999999997</v>
      </c>
      <c r="BC6" s="13">
        <f>_xlfn.RANK.EQ(all[[#This Row],[FGp opp]],all[FGp opp],1)</f>
        <v>2</v>
      </c>
      <c r="BD6" s="6">
        <f>AVERAGE(crvena[P2Mop])</f>
        <v>17</v>
      </c>
      <c r="BE6" s="13">
        <f>_xlfn.RANK.EQ(all[[#This Row],[P2M opp]],all[P2M opp],1)</f>
        <v>3</v>
      </c>
      <c r="BF6" s="6">
        <f>AVERAGE(crvena[P2Aop])</f>
        <v>42</v>
      </c>
      <c r="BG6" s="13">
        <f>_xlfn.RANK.EQ(all[[#This Row],[P2A opp]],all[P2A opp],1)</f>
        <v>15</v>
      </c>
      <c r="BH6">
        <f>AVERAGE(crvena[P2pop])</f>
        <v>0.40479999999999999</v>
      </c>
      <c r="BI6" s="13">
        <f>_xlfn.RANK.EQ(all[[#This Row],[P2p opp]],all[P2p opp],1)</f>
        <v>2</v>
      </c>
      <c r="BJ6" s="6">
        <f>AVERAGE(crvena[P3Mop])</f>
        <v>7</v>
      </c>
      <c r="BK6" s="13">
        <f>_xlfn.RANK.EQ(all[[#This Row],[P3M opp]],all[P3M opp],1)</f>
        <v>4</v>
      </c>
      <c r="BL6" s="6">
        <f>AVERAGE(crvena[P3Aop])</f>
        <v>23</v>
      </c>
      <c r="BM6" s="13">
        <f>_xlfn.RANK.EQ(all[[#This Row],[P3A opp]],all[P3A opp],1)</f>
        <v>7</v>
      </c>
      <c r="BN6" s="7">
        <f>AVERAGE(crvena[P3pop])</f>
        <v>0.30430000000000001</v>
      </c>
      <c r="BO6" s="13">
        <f>_xlfn.RANK.EQ(all[[#This Row],[P3p opp]],all[P3p opp],1)</f>
        <v>7</v>
      </c>
      <c r="BP6" s="6">
        <f>AVERAGE(crvena[FTMop])</f>
        <v>4</v>
      </c>
      <c r="BQ6" s="13">
        <f>_xlfn.RANK.EQ(all[[#This Row],[FTM opp]],all[FTM opp],1)</f>
        <v>1</v>
      </c>
      <c r="BR6" s="6">
        <f>AVERAGE(crvena[FTAop])</f>
        <v>11</v>
      </c>
      <c r="BS6" s="13">
        <f>_xlfn.RANK.EQ(all[[#This Row],[FTA opp]],all[FTA opp],1)</f>
        <v>1</v>
      </c>
      <c r="BT6" s="7">
        <f>AVERAGE(crvena[FTpop])</f>
        <v>0.36359999999999998</v>
      </c>
      <c r="BU6" s="13">
        <f>_xlfn.RANK.EQ(all[[#This Row],[FTp opp]],all[FTp opp],1)</f>
        <v>1</v>
      </c>
      <c r="BV6" s="6">
        <f>AVERAGE(crvena[ORBop])</f>
        <v>13</v>
      </c>
      <c r="BW6" s="13">
        <f>_xlfn.RANK.EQ(all[[#This Row],[ORB opp]],all[ORB opp],1)</f>
        <v>13</v>
      </c>
      <c r="BX6" s="6">
        <f>AVERAGE(crvena[DRBop])</f>
        <v>22</v>
      </c>
      <c r="BY6" s="13">
        <f>_xlfn.RANK.EQ(all[[#This Row],[DRB opp]],all[DRB opp],1)</f>
        <v>6</v>
      </c>
      <c r="BZ6" s="6">
        <f>AVERAGE(crvena[TRBop])</f>
        <v>35</v>
      </c>
      <c r="CA6" s="13">
        <f>_xlfn.RANK.EQ(all[[#This Row],[TRB opp]],all[TRB opp],1)</f>
        <v>10</v>
      </c>
      <c r="CB6" s="6">
        <f>AVERAGE(crvena[ASTop])</f>
        <v>11</v>
      </c>
      <c r="CC6" s="13">
        <f>_xlfn.RANK.EQ(all[[#This Row],[AST opp]],all[AST opp],1)</f>
        <v>3</v>
      </c>
      <c r="CD6" s="6">
        <f>AVERAGE(crvena[STLop])</f>
        <v>7</v>
      </c>
      <c r="CE6" s="13">
        <f>_xlfn.RANK.EQ(all[[#This Row],[STL opp]],all[STL opp],1)</f>
        <v>9</v>
      </c>
      <c r="CF6" s="6">
        <f>AVERAGE(crvena[BLKop])</f>
        <v>3</v>
      </c>
      <c r="CG6" s="13">
        <f>_xlfn.RANK.EQ(all[[#This Row],[BLK opp]],all[BLK opp],1)</f>
        <v>11</v>
      </c>
      <c r="CH6" s="6">
        <f>AVERAGE(crvena[TOVop])</f>
        <v>15</v>
      </c>
      <c r="CI6" s="13">
        <f>_xlfn.RANK.EQ(all[[#This Row],[TOV opp]],all[TOV opp])</f>
        <v>9</v>
      </c>
      <c r="CJ6" s="6">
        <f>AVERAGE(crvena[PFop])</f>
        <v>23</v>
      </c>
      <c r="CK6" s="13">
        <f>_xlfn.RANK.EQ(all[[#This Row],[PF opp]],all[PF opp])</f>
        <v>9</v>
      </c>
      <c r="CL6" s="7">
        <f>AVERAGE(crvena[TS%])</f>
        <v>0.62390000000000001</v>
      </c>
      <c r="CM6" s="13">
        <f>_xlfn.RANK.EQ(all[[#This Row],[TSp]],all[TSp])</f>
        <v>5</v>
      </c>
      <c r="CN6" s="7">
        <f>AVERAGE(crvena[eFG%])</f>
        <v>0.59019999999999995</v>
      </c>
      <c r="CO6" s="13">
        <f>_xlfn.RANK.EQ(all[[#This Row],[eFGp]],all[eFGp])</f>
        <v>4</v>
      </c>
      <c r="CP6" s="7">
        <f>AVERAGE(crvena[ORB%])</f>
        <v>0.26669999999999999</v>
      </c>
      <c r="CQ6" s="13">
        <f>_xlfn.RANK.EQ(all[[#This Row],[ORBp]],all[ORBp])</f>
        <v>14</v>
      </c>
      <c r="CR6" s="7">
        <f>AVERAGE(crvena[DRB%])</f>
        <v>0.71740000000000004</v>
      </c>
      <c r="CS6" s="13">
        <f>_xlfn.RANK.EQ(all[[#This Row],[DRBp]],all[DRBp])</f>
        <v>8</v>
      </c>
      <c r="CT6" s="7">
        <f>AVERAGE(crvena[TRB%])</f>
        <v>0.53949999999999998</v>
      </c>
      <c r="CU6" s="13">
        <f>_xlfn.RANK.EQ(all[[#This Row],[TRBp]],all[TRBp])</f>
        <v>5</v>
      </c>
      <c r="CV6" s="6">
        <f>AVERAGE(crvena[Poss])</f>
        <v>73.936999999999998</v>
      </c>
      <c r="CW6" s="13">
        <f>_xlfn.RANK.EQ(all[[#This Row],[Poss]],all[Poss])</f>
        <v>9</v>
      </c>
      <c r="CX6" s="7">
        <f>AVERAGE(crvena[AST%])</f>
        <v>0.5484</v>
      </c>
      <c r="CY6" s="13">
        <f>_xlfn.RANK.EQ(all[[#This Row],[ASTp]],all[ASTp])</f>
        <v>13</v>
      </c>
      <c r="CZ6" s="7">
        <f>AVERAGE(crvena[FTFGA%])</f>
        <v>0.22950000000000001</v>
      </c>
      <c r="DA6" s="13">
        <f>_xlfn.RANK.EQ(all[[#This Row],[FTFGAp]],all[FTFGAp])</f>
        <v>11</v>
      </c>
      <c r="DB6" s="7">
        <f>AVERAGE(crvena[TOV%])</f>
        <v>0.14829999999999999</v>
      </c>
      <c r="DC6" s="13">
        <f>_xlfn.RANK.EQ(all[[#This Row],[TOVp]],all[TOVp],1)</f>
        <v>5</v>
      </c>
      <c r="DD6" s="6">
        <f>AVERAGE(crvena[ORtg])</f>
        <v>121.1</v>
      </c>
      <c r="DE6" s="13">
        <f>_xlfn.RANK.EQ(all[[#This Row],[ORtg]],all[ORtg])</f>
        <v>5</v>
      </c>
      <c r="DF6" s="6">
        <f>AVERAGE(crvena[DRtg])</f>
        <v>83.1</v>
      </c>
      <c r="DG6" s="13">
        <f>_xlfn.RANK.EQ(all[[#This Row],[DRtg]],all[DRtg],1)</f>
        <v>2</v>
      </c>
      <c r="DH6" s="6">
        <f>AVERAGE(crvena[Pace])</f>
        <v>71.021000000000001</v>
      </c>
      <c r="DI6" s="13">
        <f>_xlfn.RANK.EQ(all[[#This Row],[Pace]],all[Pace])</f>
        <v>15</v>
      </c>
      <c r="DJ6" s="7">
        <f>AVERAGE(crvena[TS%op])</f>
        <v>0.4224</v>
      </c>
      <c r="DK6" s="13">
        <f>_xlfn.RANK.EQ(all[[#This Row],[TSp opp]],all[TSp opp],1)</f>
        <v>2</v>
      </c>
      <c r="DL6" s="7">
        <f>AVERAGE(crvena[eFG%op])</f>
        <v>0.42309999999999998</v>
      </c>
      <c r="DM6" s="13">
        <f>_xlfn.RANK.EQ(all[[#This Row],[eFGp opp]],all[eFGp opp],1)</f>
        <v>2</v>
      </c>
      <c r="DN6" s="7">
        <f>AVERAGE(crvena[ORB%op])</f>
        <v>0.28260000000000002</v>
      </c>
      <c r="DO6" s="13">
        <f>_xlfn.RANK.EQ(all[[#This Row],[ORBp opp]],all[ORBp opp],1)</f>
        <v>8</v>
      </c>
      <c r="DP6" s="7">
        <f>AVERAGE(crvena[DRB%op])</f>
        <v>0.73329999999999995</v>
      </c>
      <c r="DQ6" s="13">
        <f>_xlfn.RANK.EQ(all[[#This Row],[DRBp opp]],all[DRBp opp],1)</f>
        <v>14</v>
      </c>
      <c r="DR6" s="7">
        <f>AVERAGE(crvena[TRB%op])</f>
        <v>0.46050000000000002</v>
      </c>
      <c r="DS6" s="13">
        <f>_xlfn.RANK.EQ(all[[#This Row],[TRBp opp]],all[TRBp opp],1)</f>
        <v>5</v>
      </c>
      <c r="DT6" s="6">
        <f>AVERAGE(crvena[Possop])</f>
        <v>68.105000000000004</v>
      </c>
      <c r="DU6" s="13">
        <f>_xlfn.RANK.EQ(all[[#This Row],[Poss opp]],all[Poss opp],1)</f>
        <v>3</v>
      </c>
      <c r="DV6" s="7">
        <f>AVERAGE(crvena[AST%op])</f>
        <v>0.45829999999999999</v>
      </c>
      <c r="DW6" s="13">
        <f>_xlfn.RANK.EQ(all[[#This Row],[ASTp opp]],all[ASTp opp],1)</f>
        <v>3</v>
      </c>
      <c r="DX6" s="7">
        <f>AVERAGE(crvena[FTFGA%op])</f>
        <v>6.1499999999999999E-2</v>
      </c>
      <c r="DY6" s="13">
        <f>_xlfn.RANK.EQ(all[[#This Row],[FTFGAp opp]],all[FTFGAp opp],1)</f>
        <v>1</v>
      </c>
      <c r="DZ6" s="7">
        <f>AVERAGE(crvena[TOV%op])</f>
        <v>0.17680000000000001</v>
      </c>
      <c r="EA6" s="13">
        <f>_xlfn.RANK.EQ(all[[#This Row],[TOVp opp]],all[TOVp opp])</f>
        <v>8</v>
      </c>
      <c r="EB6" s="6">
        <f>AVERAGE(crvena[ORtgop])</f>
        <v>83.1</v>
      </c>
      <c r="EC6" s="13">
        <f>_xlfn.RANK.EQ(all[[#This Row],[ORtg opp]],all[ORtg opp],1)</f>
        <v>2</v>
      </c>
      <c r="ED6" s="6">
        <f>AVERAGE(crvena[DRtgop])</f>
        <v>121.1</v>
      </c>
      <c r="EE6" s="13">
        <f>_xlfn.RANK.EQ(all[[#This Row],[DRtg opp]],all[DRtg opp])</f>
        <v>5</v>
      </c>
      <c r="EF6" s="6">
        <f>AVERAGE(crvena[Q1H])</f>
        <v>20</v>
      </c>
      <c r="EG6" s="13">
        <f>_xlfn.RANK.EQ(all[[#This Row],[Q1H]],all[Q1H])</f>
        <v>12</v>
      </c>
      <c r="EH6" s="6">
        <f>AVERAGE(crvena[Q2H])</f>
        <v>26</v>
      </c>
      <c r="EI6" s="13">
        <f>_xlfn.RANK.EQ(all[[#This Row],[Q2H]],all[Q2H])</f>
        <v>2</v>
      </c>
      <c r="EJ6" s="6">
        <f>AVERAGE(crvena[Q3H])</f>
        <v>20</v>
      </c>
      <c r="EK6" s="13">
        <f>_xlfn.RANK.EQ(all[[#This Row],[Q3H]],all[Q3H])</f>
        <v>9</v>
      </c>
      <c r="EL6" s="6">
        <f>AVERAGE(crvena[Q4H])</f>
        <v>20</v>
      </c>
      <c r="EM6" s="13">
        <f>_xlfn.RANK.EQ(all[[#This Row],[Q4H]],all[Q4H])</f>
        <v>10</v>
      </c>
      <c r="EN6" s="6">
        <f>AVERAGE(crvena[Q1A])</f>
        <v>12</v>
      </c>
      <c r="EO6" s="13">
        <f>_xlfn.RANK.EQ(all[[#This Row],[Q1A]],all[Q1A],1)</f>
        <v>2</v>
      </c>
      <c r="EP6" s="6">
        <f>AVERAGE(crvena[Q2A])</f>
        <v>13</v>
      </c>
      <c r="EQ6" s="13">
        <f>_xlfn.RANK.EQ(all[[#This Row],[Q2A]],all[Q2A],1)</f>
        <v>2</v>
      </c>
      <c r="ER6" s="6">
        <f>AVERAGE(crvena[Q3A])</f>
        <v>16</v>
      </c>
      <c r="ES6" s="13">
        <f>_xlfn.RANK.EQ(all[[#This Row],[Q3A]],all[Q3A],1)</f>
        <v>3</v>
      </c>
      <c r="ET6" s="6">
        <f>AVERAGE(crvena[Q4A])</f>
        <v>18</v>
      </c>
      <c r="EU6" s="13">
        <f>_xlfn.RANK.EQ(all[[#This Row],[Q4A]],all[Q4A],1)</f>
        <v>8</v>
      </c>
      <c r="EV6" s="6">
        <f>AVERAGE(crvena[FhalfH])</f>
        <v>46</v>
      </c>
      <c r="EW6" s="13">
        <f>_xlfn.RANK.EQ(all[[#This Row],[FHH]],all[FHH])</f>
        <v>7</v>
      </c>
      <c r="EX6" s="5">
        <f>AVERAGE(crvena[FhalfA])</f>
        <v>25</v>
      </c>
      <c r="EY6" s="13">
        <f>_xlfn.RANK.EQ(all[[#This Row],[FHA]],all[FHA],1)</f>
        <v>1</v>
      </c>
      <c r="EZ6" s="6">
        <f>AVERAGE(crvena[ShalfH])</f>
        <v>40</v>
      </c>
      <c r="FA6" s="13">
        <f>_xlfn.RANK.EQ(all[[#This Row],[SHH]],all[SHH])</f>
        <v>10</v>
      </c>
      <c r="FB6" s="6">
        <f>AVERAGE(crvena[ShalfA])</f>
        <v>34</v>
      </c>
      <c r="FC6" s="13">
        <f>_xlfn.RANK.EQ(all[[#This Row],[SHA]],all[SHA],1)</f>
        <v>4</v>
      </c>
      <c r="FD6" s="6" t="e">
        <f ca="1">AVERAGE(LARGE(OFFSET(crvena[Home_scored],COUNTA(crvena[Home_scored])-5, 0, 5, 1),2), LARGE(OFFSET(crvena[Home_scored],COUNTA(crvena[Home_scored])-5, 0, 5, 1),3),LARGE(OFFSET(crvena[Home_scored],COUNTA(crvena[Home_scored])-5, 0, 5, 1),4))</f>
        <v>#REF!</v>
      </c>
      <c r="FE6" s="6" t="e">
        <f ca="1">AVERAGE(LARGE(OFFSET(crvena[Away_scored],COUNTA(crvena[Away_scored])-5, 0, 5, 1),2), LARGE(OFFSET(crvena[Away_scored],COUNTA(crvena[Away_scored])-5, 0, 5, 1),3),LARGE(OFFSET(crvena[Away_scored],COUNTA(crvena[Away_scored])-5, 0, 5, 1),4))</f>
        <v>#REF!</v>
      </c>
      <c r="FF6" s="13">
        <f ca="1">COUNTIF(INDIRECT(all[[#This Row],[Table name]]&amp;"[result]"),"w")+COUNTIF(INDIRECT(all[[#This Row],[Table name]]&amp;"[result]"),"dw")</f>
        <v>1</v>
      </c>
      <c r="FG6" s="13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6.6615384615384619</v>
      </c>
      <c r="FK6" s="6">
        <f>all[[#This Row],[Q1H]]+all[[#This Row],[Q1A]]</f>
        <v>32</v>
      </c>
      <c r="FL6" s="13">
        <f>_xlfn.RANK.EQ(all[[#This Row],[Q1T]],all[Q1T])</f>
        <v>17</v>
      </c>
      <c r="FM6" s="6">
        <f>all[[#This Row],[Q2H]]+all[[#This Row],[Q2A]]</f>
        <v>39</v>
      </c>
      <c r="FN6" s="13">
        <f>_xlfn.RANK.EQ(all[[#This Row],[Q2T]],all[Q2T])</f>
        <v>12</v>
      </c>
      <c r="FO6" s="6">
        <f>all[[#This Row],[Q3H]]+all[[#This Row],[Q3A]]</f>
        <v>36</v>
      </c>
      <c r="FP6" s="13">
        <f>_xlfn.RANK.EQ(all[[#This Row],[Q3T]],all[Q3T])</f>
        <v>13</v>
      </c>
      <c r="FQ6" s="6">
        <f>all[[#This Row],[Q4H]]+all[[#This Row],[Q4A]]</f>
        <v>38</v>
      </c>
      <c r="FR6" s="13">
        <f>_xlfn.RANK.EQ(all[[#This Row],[Q4T]],all[Q4T])</f>
        <v>10</v>
      </c>
      <c r="FS6" s="6">
        <f>all[[#This Row],[FHH]]+all[[#This Row],[FHA]]</f>
        <v>71</v>
      </c>
      <c r="FT6" s="13">
        <f>_xlfn.RANK.EQ(all[[#This Row],[FHT]],all[FHT])</f>
        <v>14</v>
      </c>
      <c r="FU6" s="6">
        <f>all[[#This Row],[SHH]]+all[[#This Row],[SHA]]</f>
        <v>74</v>
      </c>
      <c r="FV6" s="13">
        <f>_xlfn.RANK.EQ(all[[#This Row],[SHT]],all[SHT])</f>
        <v>14</v>
      </c>
      <c r="FW6" s="6">
        <f ca="1">SUM(INDIRECT(all[[#This Row],[Table name]]&amp;"[BetH]"))</f>
        <v>0.5</v>
      </c>
      <c r="FX6" s="13">
        <f ca="1">_xlfn.RANK.EQ(all[[#This Row],[BetH]],all[BetH])</f>
        <v>9</v>
      </c>
      <c r="FY6" s="6">
        <f ca="1">SUM(INDIRECT(all[[#This Row],[Table name]]&amp;"[BetA]"))</f>
        <v>-1</v>
      </c>
      <c r="FZ6" s="13">
        <f ca="1">_xlfn.RANK.EQ(all[[#This Row],[BetA]],all[BetA])</f>
        <v>8</v>
      </c>
      <c r="GA6" s="13">
        <f ca="1">SUM(INDIRECT(all[[#This Row],[Table name]]&amp;"[Tover]"))</f>
        <v>0</v>
      </c>
      <c r="GB6" s="13">
        <f ca="1">_xlfn.RANK.EQ(all[[#This Row],[Tover]],all[Tover])</f>
        <v>12</v>
      </c>
      <c r="GC6" s="6">
        <f ca="1">AVERAGE(INDIRECT(all[[#This Row],[Table name]]&amp;"[Deviation]"))</f>
        <v>22</v>
      </c>
      <c r="GD6" s="13">
        <f ca="1">_xlfn.RANK.EQ(all[[#This Row],[Deviation]],all[Deviation],1)</f>
        <v>13</v>
      </c>
    </row>
    <row r="7" spans="1:186" x14ac:dyDescent="0.25">
      <c r="A7" s="9" t="s">
        <v>350</v>
      </c>
      <c r="B7" t="s">
        <v>350</v>
      </c>
      <c r="C7" t="s">
        <v>352</v>
      </c>
      <c r="D7" t="s">
        <v>351</v>
      </c>
      <c r="E7">
        <f>_xlfn.RANK.EQ(all[[#This Row],[AVG_RT]],all[AVG_RT],1)</f>
        <v>9</v>
      </c>
      <c r="F7" s="6">
        <f>AVERAGE(dubai[Home_scored])</f>
        <v>76</v>
      </c>
      <c r="G7" s="13">
        <f>_xlfn.RANK.EQ(all[[#This Row],[PM]],all[PM])</f>
        <v>16</v>
      </c>
      <c r="H7" s="6">
        <f>AVERAGE(dubai[Away_scored])</f>
        <v>69</v>
      </c>
      <c r="I7" s="13">
        <f>_xlfn.RANK.EQ(all[[#This Row],[PC]],all[PC],1)</f>
        <v>3</v>
      </c>
      <c r="J7" s="6">
        <f>AVERAGE(dubai[FGA])</f>
        <v>58</v>
      </c>
      <c r="K7" s="13">
        <f>_xlfn.RANK.EQ(all[[#This Row],[FGA]],all[FGA])</f>
        <v>14</v>
      </c>
      <c r="L7" s="6">
        <f>AVERAGE(dubai[FGM])</f>
        <v>22</v>
      </c>
      <c r="M7" s="13">
        <f>_xlfn.RANK.EQ(all[[#This Row],[FGM]],all[FGM])</f>
        <v>18</v>
      </c>
      <c r="N7" s="7">
        <f>AVERAGE(dubai[FGp])</f>
        <v>0.37930000000000003</v>
      </c>
      <c r="O7" s="13">
        <f>_xlfn.RANK.EQ(all[[#This Row],[FGp]],all[FGp])</f>
        <v>17</v>
      </c>
      <c r="P7" s="6">
        <f>AVERAGE(dubai[P2M])</f>
        <v>16</v>
      </c>
      <c r="Q7" s="13">
        <f>_xlfn.RANK.EQ(all[[#This Row],[P2M]],all[P2M])</f>
        <v>15</v>
      </c>
      <c r="R7" s="6">
        <f>AVERAGE(dubai[P2A])</f>
        <v>37</v>
      </c>
      <c r="S7" s="13">
        <f>_xlfn.RANK.EQ(all[[#This Row],[P2A]],all[P2A])</f>
        <v>10</v>
      </c>
      <c r="T7" s="7">
        <f>AVERAGE(dubai[P2p])</f>
        <v>0.43240000000000001</v>
      </c>
      <c r="U7" s="13">
        <f>_xlfn.RANK.EQ(all[[#This Row],[P2p]],all[P2p])</f>
        <v>16</v>
      </c>
      <c r="V7" s="6">
        <f>AVERAGE(dubai[P3M])</f>
        <v>6</v>
      </c>
      <c r="W7" s="13">
        <f>_xlfn.RANK.EQ(all[[#This Row],[P3M]],all[P3M])</f>
        <v>17</v>
      </c>
      <c r="X7" s="6">
        <f>AVERAGE(dubai[P3A])</f>
        <v>21</v>
      </c>
      <c r="Y7" s="13">
        <f>_xlfn.RANK.EQ(all[[#This Row],[P3A]],all[P3A])</f>
        <v>15</v>
      </c>
      <c r="Z7" s="7">
        <f>AVERAGE(dubai[P3p])</f>
        <v>0.28570000000000001</v>
      </c>
      <c r="AA7" s="13">
        <f>_xlfn.RANK.EQ(all[[#This Row],[P3p]],all[P3p])</f>
        <v>16</v>
      </c>
      <c r="AB7" s="6">
        <f>AVERAGE(dubai[FTM])</f>
        <v>26</v>
      </c>
      <c r="AC7" s="13">
        <f>_xlfn.RANK.EQ(all[[#This Row],[FTM]],all[FTM])</f>
        <v>4</v>
      </c>
      <c r="AD7" s="6">
        <f>AVERAGE(dubai[FTA])</f>
        <v>29</v>
      </c>
      <c r="AE7" s="13">
        <f>_xlfn.RANK.EQ(all[[#This Row],[FTA]],all[FTA])</f>
        <v>4</v>
      </c>
      <c r="AF7" s="7">
        <f>AVERAGE(dubai[FTp])</f>
        <v>0.89659999999999995</v>
      </c>
      <c r="AG7" s="13">
        <f>_xlfn.RANK.EQ(all[[#This Row],[FTp]],all[FTp])</f>
        <v>3</v>
      </c>
      <c r="AH7" s="6">
        <f>AVERAGE(dubai[ORB])</f>
        <v>11</v>
      </c>
      <c r="AI7" s="13">
        <f>_xlfn.RANK.EQ(all[[#This Row],[ORB]],all[ORB])</f>
        <v>10</v>
      </c>
      <c r="AJ7" s="6">
        <f>AVERAGE(dubai[DRB])</f>
        <v>23</v>
      </c>
      <c r="AK7" s="13">
        <f>_xlfn.RANK.EQ(all[[#This Row],[DRB]],all[DRB])</f>
        <v>9</v>
      </c>
      <c r="AL7" s="6">
        <f>AVERAGE(dubai[TRB])</f>
        <v>34</v>
      </c>
      <c r="AM7" s="13">
        <f>_xlfn.RANK.EQ(all[[#This Row],[TRB]],all[TRB])</f>
        <v>9</v>
      </c>
      <c r="AN7" s="6">
        <f>AVERAGE(dubai[AST])</f>
        <v>12</v>
      </c>
      <c r="AO7" s="13">
        <f>_xlfn.RANK.EQ(all[[#This Row],[AST]],all[AST])</f>
        <v>16</v>
      </c>
      <c r="AP7" s="6">
        <f>AVERAGE(dubai[STL])</f>
        <v>13</v>
      </c>
      <c r="AQ7" s="13">
        <f>_xlfn.RANK.EQ(all[[#This Row],[STL]],all[STL])</f>
        <v>2</v>
      </c>
      <c r="AR7" s="6">
        <f>AVERAGE(dubai[BLK])</f>
        <v>0</v>
      </c>
      <c r="AS7" s="13">
        <f>_xlfn.RANK.EQ(all[[#This Row],[BLK]],all[BLK])</f>
        <v>14</v>
      </c>
      <c r="AT7" s="6">
        <f>AVERAGE(dubai[TOV])</f>
        <v>15</v>
      </c>
      <c r="AU7" s="13">
        <f>_xlfn.RANK.EQ(all[[#This Row],[TOV]],all[TOV],1)</f>
        <v>11</v>
      </c>
      <c r="AV7" s="6">
        <f>AVERAGE(dubai[PF])</f>
        <v>21</v>
      </c>
      <c r="AW7" s="13">
        <f>_xlfn.RANK.EQ(all[[#This Row],[PF]],all[PF],1)</f>
        <v>4</v>
      </c>
      <c r="AX7" s="6">
        <f>AVERAGE(dubai[FGAop])</f>
        <v>54</v>
      </c>
      <c r="AY7" s="13">
        <f>_xlfn.RANK.EQ(all[[#This Row],[FGA opp]],all[FGA opp],1)</f>
        <v>2</v>
      </c>
      <c r="AZ7" s="6">
        <f>AVERAGE(dubai[FGMop])</f>
        <v>26</v>
      </c>
      <c r="BA7" s="13">
        <f>_xlfn.RANK.EQ(all[[#This Row],[FGM opp]],all[FGM opp],1)</f>
        <v>4</v>
      </c>
      <c r="BB7" s="7">
        <f>AVERAGE(dubai[FGpop])</f>
        <v>0.48149999999999998</v>
      </c>
      <c r="BC7" s="13">
        <f>_xlfn.RANK.EQ(all[[#This Row],[FGp opp]],all[FGp opp],1)</f>
        <v>11</v>
      </c>
      <c r="BD7" s="6">
        <f>AVERAGE(dubai[P2Mop])</f>
        <v>17</v>
      </c>
      <c r="BE7" s="13">
        <f>_xlfn.RANK.EQ(all[[#This Row],[P2M opp]],all[P2M opp],1)</f>
        <v>3</v>
      </c>
      <c r="BF7" s="6">
        <f>AVERAGE(dubai[P2Aop])</f>
        <v>38</v>
      </c>
      <c r="BG7" s="13">
        <f>_xlfn.RANK.EQ(all[[#This Row],[P2A opp]],all[P2A opp],1)</f>
        <v>8</v>
      </c>
      <c r="BH7">
        <f>AVERAGE(dubai[P2pop])</f>
        <v>0.44740000000000002</v>
      </c>
      <c r="BI7" s="13">
        <f>_xlfn.RANK.EQ(all[[#This Row],[P2p opp]],all[P2p opp],1)</f>
        <v>5</v>
      </c>
      <c r="BJ7" s="6">
        <f>AVERAGE(dubai[P3Mop])</f>
        <v>9</v>
      </c>
      <c r="BK7" s="13">
        <f>_xlfn.RANK.EQ(all[[#This Row],[P3M opp]],all[P3M opp],1)</f>
        <v>8</v>
      </c>
      <c r="BL7" s="6">
        <f>AVERAGE(dubai[P3Aop])</f>
        <v>16</v>
      </c>
      <c r="BM7" s="13">
        <f>_xlfn.RANK.EQ(all[[#This Row],[P3A opp]],all[P3A opp],1)</f>
        <v>1</v>
      </c>
      <c r="BN7" s="7">
        <f>AVERAGE(dubai[P3pop])</f>
        <v>0.5625</v>
      </c>
      <c r="BO7" s="13">
        <f>_xlfn.RANK.EQ(all[[#This Row],[P3p opp]],all[P3p opp],1)</f>
        <v>18</v>
      </c>
      <c r="BP7" s="6">
        <f>AVERAGE(dubai[FTMop])</f>
        <v>8</v>
      </c>
      <c r="BQ7" s="13">
        <f>_xlfn.RANK.EQ(all[[#This Row],[FTM opp]],all[FTM opp],1)</f>
        <v>2</v>
      </c>
      <c r="BR7" s="6">
        <f>AVERAGE(dubai[FTAop])</f>
        <v>13</v>
      </c>
      <c r="BS7" s="13">
        <f>_xlfn.RANK.EQ(all[[#This Row],[FTA opp]],all[FTA opp],1)</f>
        <v>2</v>
      </c>
      <c r="BT7" s="7">
        <f>AVERAGE(dubai[FTpop])</f>
        <v>0.61539999999999995</v>
      </c>
      <c r="BU7" s="13">
        <f>_xlfn.RANK.EQ(all[[#This Row],[FTp opp]],all[FTp opp],1)</f>
        <v>3</v>
      </c>
      <c r="BV7" s="6">
        <f>AVERAGE(dubai[ORBop])</f>
        <v>8</v>
      </c>
      <c r="BW7" s="13">
        <f>_xlfn.RANK.EQ(all[[#This Row],[ORB opp]],all[ORB opp],1)</f>
        <v>5</v>
      </c>
      <c r="BX7" s="6">
        <f>AVERAGE(dubai[DRBop])</f>
        <v>25</v>
      </c>
      <c r="BY7" s="13">
        <f>_xlfn.RANK.EQ(all[[#This Row],[DRB opp]],all[DRB opp],1)</f>
        <v>12</v>
      </c>
      <c r="BZ7" s="6">
        <f>AVERAGE(dubai[TRBop])</f>
        <v>33</v>
      </c>
      <c r="CA7" s="13">
        <f>_xlfn.RANK.EQ(all[[#This Row],[TRB opp]],all[TRB opp],1)</f>
        <v>5</v>
      </c>
      <c r="CB7" s="6">
        <f>AVERAGE(dubai[ASTop])</f>
        <v>17</v>
      </c>
      <c r="CC7" s="13">
        <f>_xlfn.RANK.EQ(all[[#This Row],[AST opp]],all[AST opp],1)</f>
        <v>7</v>
      </c>
      <c r="CD7" s="6">
        <f>AVERAGE(dubai[STLop])</f>
        <v>7</v>
      </c>
      <c r="CE7" s="13">
        <f>_xlfn.RANK.EQ(all[[#This Row],[STL opp]],all[STL opp],1)</f>
        <v>9</v>
      </c>
      <c r="CF7" s="6">
        <f>AVERAGE(dubai[BLKop])</f>
        <v>4</v>
      </c>
      <c r="CG7" s="13">
        <f>_xlfn.RANK.EQ(all[[#This Row],[BLK opp]],all[BLK opp],1)</f>
        <v>16</v>
      </c>
      <c r="CH7" s="6">
        <f>AVERAGE(dubai[TOVop])</f>
        <v>22</v>
      </c>
      <c r="CI7" s="13">
        <f>_xlfn.RANK.EQ(all[[#This Row],[TOV opp]],all[TOV opp])</f>
        <v>1</v>
      </c>
      <c r="CJ7" s="6">
        <f>AVERAGE(dubai[PFop])</f>
        <v>29</v>
      </c>
      <c r="CK7" s="13">
        <f>_xlfn.RANK.EQ(all[[#This Row],[PF opp]],all[PF opp])</f>
        <v>3</v>
      </c>
      <c r="CL7" s="7">
        <f>AVERAGE(dubai[TS%])</f>
        <v>0.53700000000000003</v>
      </c>
      <c r="CM7" s="13">
        <f>_xlfn.RANK.EQ(all[[#This Row],[TSp]],all[TSp])</f>
        <v>13</v>
      </c>
      <c r="CN7" s="7">
        <f>AVERAGE(dubai[eFG%])</f>
        <v>0.43099999999999999</v>
      </c>
      <c r="CO7" s="13">
        <f>_xlfn.RANK.EQ(all[[#This Row],[eFGp]],all[eFGp])</f>
        <v>17</v>
      </c>
      <c r="CP7" s="7">
        <f>AVERAGE(dubai[ORB%])</f>
        <v>0.30559999999999998</v>
      </c>
      <c r="CQ7" s="13">
        <f>_xlfn.RANK.EQ(all[[#This Row],[ORBp]],all[ORBp])</f>
        <v>11</v>
      </c>
      <c r="CR7" s="7">
        <f>AVERAGE(dubai[DRB%])</f>
        <v>0.7419</v>
      </c>
      <c r="CS7" s="13">
        <f>_xlfn.RANK.EQ(all[[#This Row],[DRBp]],all[DRBp])</f>
        <v>4</v>
      </c>
      <c r="CT7" s="7">
        <f>AVERAGE(dubai[TRB%])</f>
        <v>0.50749999999999995</v>
      </c>
      <c r="CU7" s="13">
        <f>_xlfn.RANK.EQ(all[[#This Row],[TRBp]],all[TRBp])</f>
        <v>9</v>
      </c>
      <c r="CV7" s="6">
        <f>AVERAGE(dubai[Poss])</f>
        <v>72.138000000000005</v>
      </c>
      <c r="CW7" s="13">
        <f>_xlfn.RANK.EQ(all[[#This Row],[Poss]],all[Poss])</f>
        <v>12</v>
      </c>
      <c r="CX7" s="7">
        <f>AVERAGE(dubai[AST%])</f>
        <v>0.54549999999999998</v>
      </c>
      <c r="CY7" s="13">
        <f>_xlfn.RANK.EQ(all[[#This Row],[ASTp]],all[ASTp])</f>
        <v>14</v>
      </c>
      <c r="CZ7" s="7">
        <f>AVERAGE(dubai[FTFGA%])</f>
        <v>0.44829999999999998</v>
      </c>
      <c r="DA7" s="13">
        <f>_xlfn.RANK.EQ(all[[#This Row],[FTFGAp]],all[FTFGAp])</f>
        <v>3</v>
      </c>
      <c r="DB7" s="7">
        <f>AVERAGE(dubai[TOV%])</f>
        <v>0.1749</v>
      </c>
      <c r="DC7" s="13">
        <f>_xlfn.RANK.EQ(all[[#This Row],[TOVp]],all[TOVp],1)</f>
        <v>12</v>
      </c>
      <c r="DD7" s="6">
        <f>AVERAGE(dubai[ORtg])</f>
        <v>104.1</v>
      </c>
      <c r="DE7" s="13">
        <f>_xlfn.RANK.EQ(all[[#This Row],[ORtg]],all[ORtg])</f>
        <v>16</v>
      </c>
      <c r="DF7" s="6">
        <f>AVERAGE(dubai[DRtg])</f>
        <v>94.5</v>
      </c>
      <c r="DG7" s="13">
        <f>_xlfn.RANK.EQ(all[[#This Row],[DRtg]],all[DRtg],1)</f>
        <v>3</v>
      </c>
      <c r="DH7" s="6">
        <f>AVERAGE(dubai[Pace])</f>
        <v>73.037499999999994</v>
      </c>
      <c r="DI7" s="13">
        <f>_xlfn.RANK.EQ(all[[#This Row],[Pace]],all[Pace])</f>
        <v>9</v>
      </c>
      <c r="DJ7" s="7">
        <f>AVERAGE(dubai[TS%op])</f>
        <v>0.57769999999999999</v>
      </c>
      <c r="DK7" s="13">
        <f>_xlfn.RANK.EQ(all[[#This Row],[TSp opp]],all[TSp opp],1)</f>
        <v>9</v>
      </c>
      <c r="DL7" s="7">
        <f>AVERAGE(dubai[eFG%op])</f>
        <v>0.56479999999999997</v>
      </c>
      <c r="DM7" s="13">
        <f>_xlfn.RANK.EQ(all[[#This Row],[eFGp opp]],all[eFGp opp],1)</f>
        <v>11</v>
      </c>
      <c r="DN7" s="7">
        <f>AVERAGE(dubai[ORB%op])</f>
        <v>0.2581</v>
      </c>
      <c r="DO7" s="13">
        <f>_xlfn.RANK.EQ(all[[#This Row],[ORBp opp]],all[ORBp opp],1)</f>
        <v>4</v>
      </c>
      <c r="DP7" s="7">
        <f>AVERAGE(dubai[DRB%op])</f>
        <v>0.69440000000000002</v>
      </c>
      <c r="DQ7" s="13">
        <f>_xlfn.RANK.EQ(all[[#This Row],[DRBp opp]],all[DRBp opp],1)</f>
        <v>11</v>
      </c>
      <c r="DR7" s="7">
        <f>AVERAGE(dubai[TRB%op])</f>
        <v>0.49249999999999999</v>
      </c>
      <c r="DS7" s="13">
        <f>_xlfn.RANK.EQ(all[[#This Row],[TRBp opp]],all[TRBp opp],1)</f>
        <v>9</v>
      </c>
      <c r="DT7" s="6">
        <f>AVERAGE(dubai[Possop])</f>
        <v>73.936999999999998</v>
      </c>
      <c r="DU7" s="13">
        <f>_xlfn.RANK.EQ(all[[#This Row],[Poss opp]],all[Poss opp],1)</f>
        <v>10</v>
      </c>
      <c r="DV7" s="7">
        <f>AVERAGE(dubai[AST%op])</f>
        <v>0.65380000000000005</v>
      </c>
      <c r="DW7" s="13">
        <f>_xlfn.RANK.EQ(all[[#This Row],[ASTp opp]],all[ASTp opp],1)</f>
        <v>15</v>
      </c>
      <c r="DX7" s="7">
        <f>AVERAGE(dubai[FTFGA%op])</f>
        <v>0.14810000000000001</v>
      </c>
      <c r="DY7" s="13">
        <f>_xlfn.RANK.EQ(all[[#This Row],[FTFGAp opp]],all[FTFGAp opp],1)</f>
        <v>2</v>
      </c>
      <c r="DZ7" s="7">
        <f>AVERAGE(dubai[TOV%op])</f>
        <v>0.26919999999999999</v>
      </c>
      <c r="EA7" s="13">
        <f>_xlfn.RANK.EQ(all[[#This Row],[TOVp opp]],all[TOVp opp])</f>
        <v>1</v>
      </c>
      <c r="EB7" s="6">
        <f>AVERAGE(dubai[ORtgop])</f>
        <v>94.5</v>
      </c>
      <c r="EC7" s="13">
        <f>_xlfn.RANK.EQ(all[[#This Row],[ORtg opp]],all[ORtg opp],1)</f>
        <v>3</v>
      </c>
      <c r="ED7" s="6">
        <f>AVERAGE(dubai[DRtgop])</f>
        <v>104.1</v>
      </c>
      <c r="EE7" s="13">
        <f>_xlfn.RANK.EQ(all[[#This Row],[DRtg opp]],all[DRtg opp])</f>
        <v>16</v>
      </c>
      <c r="EF7" s="6">
        <f>AVERAGE(dubai[Q1H])</f>
        <v>29</v>
      </c>
      <c r="EG7" s="13">
        <f>_xlfn.RANK.EQ(all[[#This Row],[Q1H]],all[Q1H])</f>
        <v>3</v>
      </c>
      <c r="EH7" s="6">
        <f>AVERAGE(dubai[Q2H])</f>
        <v>13</v>
      </c>
      <c r="EI7" s="13">
        <f>_xlfn.RANK.EQ(all[[#This Row],[Q2H]],all[Q2H])</f>
        <v>15</v>
      </c>
      <c r="EJ7" s="6">
        <f>AVERAGE(dubai[Q3H])</f>
        <v>19</v>
      </c>
      <c r="EK7" s="13">
        <f>_xlfn.RANK.EQ(all[[#This Row],[Q3H]],all[Q3H])</f>
        <v>12</v>
      </c>
      <c r="EL7" s="6">
        <f>AVERAGE(dubai[Q4H])</f>
        <v>15</v>
      </c>
      <c r="EM7" s="13">
        <f>_xlfn.RANK.EQ(all[[#This Row],[Q4H]],all[Q4H])</f>
        <v>16</v>
      </c>
      <c r="EN7" s="6">
        <f>AVERAGE(dubai[Q1A])</f>
        <v>18</v>
      </c>
      <c r="EO7" s="13">
        <f>_xlfn.RANK.EQ(all[[#This Row],[Q1A]],all[Q1A],1)</f>
        <v>4</v>
      </c>
      <c r="EP7" s="6">
        <f>AVERAGE(dubai[Q2A])</f>
        <v>9</v>
      </c>
      <c r="EQ7" s="13">
        <f>_xlfn.RANK.EQ(all[[#This Row],[Q2A]],all[Q2A],1)</f>
        <v>1</v>
      </c>
      <c r="ER7" s="6">
        <f>AVERAGE(dubai[Q3A])</f>
        <v>22</v>
      </c>
      <c r="ES7" s="13">
        <f>_xlfn.RANK.EQ(all[[#This Row],[Q3A]],all[Q3A],1)</f>
        <v>13</v>
      </c>
      <c r="ET7" s="6">
        <f>AVERAGE(dubai[Q4A])</f>
        <v>20</v>
      </c>
      <c r="EU7" s="13">
        <f>_xlfn.RANK.EQ(all[[#This Row],[Q4A]],all[Q4A],1)</f>
        <v>10</v>
      </c>
      <c r="EV7" s="6">
        <f>AVERAGE(dubai[FhalfH])</f>
        <v>42</v>
      </c>
      <c r="EW7" s="13">
        <f>_xlfn.RANK.EQ(all[[#This Row],[FHH]],all[FHH])</f>
        <v>12</v>
      </c>
      <c r="EX7" s="5">
        <f>AVERAGE(dubai[FhalfA])</f>
        <v>27</v>
      </c>
      <c r="EY7" s="13">
        <f>_xlfn.RANK.EQ(all[[#This Row],[FHA]],all[FHA],1)</f>
        <v>2</v>
      </c>
      <c r="EZ7" s="6">
        <f>AVERAGE(dubai[ShalfH])</f>
        <v>34</v>
      </c>
      <c r="FA7" s="13">
        <f>_xlfn.RANK.EQ(all[[#This Row],[SHH]],all[SHH])</f>
        <v>16</v>
      </c>
      <c r="FB7" s="6">
        <f>AVERAGE(dubai[ShalfA])</f>
        <v>42</v>
      </c>
      <c r="FC7" s="13">
        <f>_xlfn.RANK.EQ(all[[#This Row],[SHA]],all[SHA],1)</f>
        <v>11</v>
      </c>
      <c r="FD7" s="6" t="e">
        <f ca="1">AVERAGE(LARGE(OFFSET(dubai[Home_scored],COUNTA(dubai[Home_scored])-5, 0, 5, 1),2), LARGE(OFFSET(dubai[Home_scored],COUNTA(dubai[Home_scored])-5, 0, 5, 1),3),LARGE(OFFSET(dubai[Home_scored],COUNTA(dubai[Home_scored])-5, 0, 5, 1),4))</f>
        <v>#REF!</v>
      </c>
      <c r="FE7" s="6" t="e">
        <f ca="1">AVERAGE(LARGE(OFFSET(dubai[Away_scored],COUNTA(dubai[Away_scored])-5, 0, 5, 1),2), LARGE(OFFSET(dubai[Away_scored],COUNTA(dubai[Away_scored])-5, 0, 5, 1),3),LARGE(OFFSET(dubai[Away_scored],COUNTA(dubai[Away_scored])-5,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8.953846153846154</v>
      </c>
      <c r="FK7" s="6">
        <f>all[[#This Row],[Q1H]]+all[[#This Row],[Q1A]]</f>
        <v>47</v>
      </c>
      <c r="FL7" s="13">
        <f>_xlfn.RANK.EQ(all[[#This Row],[Q1T]],all[Q1T])</f>
        <v>6</v>
      </c>
      <c r="FM7" s="6">
        <f>all[[#This Row],[Q2H]]+all[[#This Row],[Q2A]]</f>
        <v>22</v>
      </c>
      <c r="FN7" s="13">
        <f>_xlfn.RANK.EQ(all[[#This Row],[Q2T]],all[Q2T])</f>
        <v>17</v>
      </c>
      <c r="FO7" s="6">
        <f>all[[#This Row],[Q3H]]+all[[#This Row],[Q3A]]</f>
        <v>41</v>
      </c>
      <c r="FP7" s="13">
        <f>_xlfn.RANK.EQ(all[[#This Row],[Q3T]],all[Q3T])</f>
        <v>7</v>
      </c>
      <c r="FQ7" s="6">
        <f>all[[#This Row],[Q4H]]+all[[#This Row],[Q4A]]</f>
        <v>35</v>
      </c>
      <c r="FR7" s="13">
        <f>_xlfn.RANK.EQ(all[[#This Row],[Q4T]],all[Q4T])</f>
        <v>12</v>
      </c>
      <c r="FS7" s="6">
        <f>all[[#This Row],[FHH]]+all[[#This Row],[FHA]]</f>
        <v>69</v>
      </c>
      <c r="FT7" s="13">
        <f>_xlfn.RANK.EQ(all[[#This Row],[FHT]],all[FHT])</f>
        <v>17</v>
      </c>
      <c r="FU7" s="6">
        <f>all[[#This Row],[SHH]]+all[[#This Row],[SHA]]</f>
        <v>76</v>
      </c>
      <c r="FV7" s="13">
        <f>_xlfn.RANK.EQ(all[[#This Row],[SHT]],all[SHT])</f>
        <v>12</v>
      </c>
      <c r="FW7" s="6">
        <f ca="1">SUM(INDIRECT(all[[#This Row],[Table name]]&amp;"[BetH]"))</f>
        <v>0.95</v>
      </c>
      <c r="FX7" s="13">
        <f ca="1">_xlfn.RANK.EQ(all[[#This Row],[BetH]],all[BetH])</f>
        <v>5</v>
      </c>
      <c r="FY7" s="6">
        <f ca="1">SUM(INDIRECT(all[[#This Row],[Table name]]&amp;"[BetA]"))</f>
        <v>-1</v>
      </c>
      <c r="FZ7" s="13">
        <f ca="1">_xlfn.RANK.EQ(all[[#This Row],[BetA]],all[BetA])</f>
        <v>8</v>
      </c>
      <c r="GA7" s="13">
        <f ca="1">SUM(INDIRECT(all[[#This Row],[Table name]]&amp;"[Tover]"))</f>
        <v>0</v>
      </c>
      <c r="GB7" s="13">
        <f ca="1">_xlfn.RANK.EQ(all[[#This Row],[Tover]],all[Tover])</f>
        <v>12</v>
      </c>
      <c r="GC7" s="6">
        <f ca="1">AVERAGE(INDIRECT(all[[#This Row],[Table name]]&amp;"[Deviation]"))</f>
        <v>23</v>
      </c>
      <c r="GD7" s="13">
        <f ca="1">_xlfn.RANK.EQ(all[[#This Row],[Deviation]],all[Deviation],1)</f>
        <v>15</v>
      </c>
    </row>
    <row r="8" spans="1:186" x14ac:dyDescent="0.25">
      <c r="A8" s="9" t="s">
        <v>356</v>
      </c>
      <c r="B8" t="s">
        <v>353</v>
      </c>
      <c r="C8" t="s">
        <v>355</v>
      </c>
      <c r="D8" t="s">
        <v>354</v>
      </c>
      <c r="E8">
        <f>_xlfn.RANK.EQ(all[[#This Row],[AVG_RT]],all[AVG_RT],1)</f>
        <v>15</v>
      </c>
      <c r="F8" s="6">
        <f>AVERAGE(beograd[Home_scored])</f>
        <v>88</v>
      </c>
      <c r="G8" s="13">
        <f>_xlfn.RANK.EQ(all[[#This Row],[PM]],all[PM])</f>
        <v>6</v>
      </c>
      <c r="H8" s="6">
        <f>AVERAGE(beograd[Away_scored])</f>
        <v>92</v>
      </c>
      <c r="I8" s="13">
        <f>_xlfn.RANK.EQ(all[[#This Row],[PC]],all[PC],1)</f>
        <v>16</v>
      </c>
      <c r="J8" s="6">
        <f>AVERAGE(beograd[FGA])</f>
        <v>68</v>
      </c>
      <c r="K8" s="13">
        <f>_xlfn.RANK.EQ(all[[#This Row],[FGA]],all[FGA])</f>
        <v>2</v>
      </c>
      <c r="L8" s="6">
        <f>AVERAGE(beograd[FGM])</f>
        <v>26</v>
      </c>
      <c r="M8" s="13">
        <f>_xlfn.RANK.EQ(all[[#This Row],[FGM]],all[FGM])</f>
        <v>14</v>
      </c>
      <c r="N8" s="7">
        <f>AVERAGE(beograd[FGp])</f>
        <v>0.38240000000000002</v>
      </c>
      <c r="O8" s="13">
        <f>_xlfn.RANK.EQ(all[[#This Row],[FGp]],all[FGp])</f>
        <v>16</v>
      </c>
      <c r="P8" s="6">
        <f>AVERAGE(beograd[P2M])</f>
        <v>17</v>
      </c>
      <c r="Q8" s="13">
        <f>_xlfn.RANK.EQ(all[[#This Row],[P2M]],all[P2M])</f>
        <v>12</v>
      </c>
      <c r="R8" s="6">
        <f>AVERAGE(beograd[P2A])</f>
        <v>41</v>
      </c>
      <c r="S8" s="13">
        <f>_xlfn.RANK.EQ(all[[#This Row],[P2A]],all[P2A])</f>
        <v>5</v>
      </c>
      <c r="T8" s="7">
        <f>AVERAGE(beograd[P2p])</f>
        <v>0.41460000000000002</v>
      </c>
      <c r="U8" s="13">
        <f>_xlfn.RANK.EQ(all[[#This Row],[P2p]],all[P2p])</f>
        <v>17</v>
      </c>
      <c r="V8" s="6">
        <f>AVERAGE(beograd[P3M])</f>
        <v>9</v>
      </c>
      <c r="W8" s="13">
        <f>_xlfn.RANK.EQ(all[[#This Row],[P3M]],all[P3M])</f>
        <v>8</v>
      </c>
      <c r="X8" s="6">
        <f>AVERAGE(beograd[P3A])</f>
        <v>27</v>
      </c>
      <c r="Y8" s="13">
        <f>_xlfn.RANK.EQ(all[[#This Row],[P3A]],all[P3A])</f>
        <v>8</v>
      </c>
      <c r="Z8" s="7">
        <f>AVERAGE(beograd[P3p])</f>
        <v>0.33329999999999999</v>
      </c>
      <c r="AA8" s="13">
        <f>_xlfn.RANK.EQ(all[[#This Row],[P3p]],all[P3p])</f>
        <v>9</v>
      </c>
      <c r="AB8" s="6">
        <f>AVERAGE(beograd[FTM])</f>
        <v>27</v>
      </c>
      <c r="AC8" s="13">
        <f>_xlfn.RANK.EQ(all[[#This Row],[FTM]],all[FTM])</f>
        <v>2</v>
      </c>
      <c r="AD8" s="6">
        <f>AVERAGE(beograd[FTA])</f>
        <v>34</v>
      </c>
      <c r="AE8" s="13">
        <f>_xlfn.RANK.EQ(all[[#This Row],[FTA]],all[FTA])</f>
        <v>3</v>
      </c>
      <c r="AF8" s="7">
        <f>AVERAGE(beograd[FTp])</f>
        <v>0.79410000000000003</v>
      </c>
      <c r="AG8" s="13">
        <f>_xlfn.RANK.EQ(all[[#This Row],[FTp]],all[FTp])</f>
        <v>7</v>
      </c>
      <c r="AH8" s="6">
        <f>AVERAGE(beograd[ORB])</f>
        <v>19</v>
      </c>
      <c r="AI8" s="13">
        <f>_xlfn.RANK.EQ(all[[#This Row],[ORB]],all[ORB])</f>
        <v>1</v>
      </c>
      <c r="AJ8" s="6">
        <f>AVERAGE(beograd[DRB])</f>
        <v>14</v>
      </c>
      <c r="AK8" s="13">
        <f>_xlfn.RANK.EQ(all[[#This Row],[DRB]],all[DRB])</f>
        <v>18</v>
      </c>
      <c r="AL8" s="6">
        <f>AVERAGE(beograd[TRB])</f>
        <v>33</v>
      </c>
      <c r="AM8" s="13">
        <f>_xlfn.RANK.EQ(all[[#This Row],[TRB]],all[TRB])</f>
        <v>12</v>
      </c>
      <c r="AN8" s="6">
        <f>AVERAGE(beograd[AST])</f>
        <v>9</v>
      </c>
      <c r="AO8" s="13">
        <f>_xlfn.RANK.EQ(all[[#This Row],[AST]],all[AST])</f>
        <v>18</v>
      </c>
      <c r="AP8" s="6">
        <f>AVERAGE(beograd[STL])</f>
        <v>12</v>
      </c>
      <c r="AQ8" s="13">
        <f>_xlfn.RANK.EQ(all[[#This Row],[STL]],all[STL])</f>
        <v>3</v>
      </c>
      <c r="AR8" s="6">
        <f>AVERAGE(beograd[BLK])</f>
        <v>2</v>
      </c>
      <c r="AS8" s="13">
        <f>_xlfn.RANK.EQ(all[[#This Row],[BLK]],all[BLK])</f>
        <v>10</v>
      </c>
      <c r="AT8" s="6">
        <f>AVERAGE(beograd[TOV])</f>
        <v>12</v>
      </c>
      <c r="AU8" s="13">
        <f>_xlfn.RANK.EQ(all[[#This Row],[TOV]],all[TOV],1)</f>
        <v>3</v>
      </c>
      <c r="AV8" s="6">
        <f>AVERAGE(beograd[PF])</f>
        <v>30</v>
      </c>
      <c r="AW8" s="13">
        <f>_xlfn.RANK.EQ(all[[#This Row],[PF]],all[PF],1)</f>
        <v>18</v>
      </c>
      <c r="AX8" s="6">
        <f>AVERAGE(beograd[FGAop])</f>
        <v>62</v>
      </c>
      <c r="AY8" s="13">
        <f>_xlfn.RANK.EQ(all[[#This Row],[FGA opp]],all[FGA opp],1)</f>
        <v>10</v>
      </c>
      <c r="AZ8" s="6">
        <f>AVERAGE(beograd[FGMop])</f>
        <v>32</v>
      </c>
      <c r="BA8" s="13">
        <f>_xlfn.RANK.EQ(all[[#This Row],[FGM opp]],all[FGM opp],1)</f>
        <v>16</v>
      </c>
      <c r="BB8" s="7">
        <f>AVERAGE(beograd[FGpop])</f>
        <v>0.5161</v>
      </c>
      <c r="BC8" s="13">
        <f>_xlfn.RANK.EQ(all[[#This Row],[FGp opp]],all[FGp opp],1)</f>
        <v>16</v>
      </c>
      <c r="BD8" s="6">
        <f>AVERAGE(beograd[P2Mop])</f>
        <v>26</v>
      </c>
      <c r="BE8" s="13">
        <f>_xlfn.RANK.EQ(all[[#This Row],[P2M opp]],all[P2M opp],1)</f>
        <v>18</v>
      </c>
      <c r="BF8" s="6">
        <f>AVERAGE(beograd[P2Aop])</f>
        <v>44</v>
      </c>
      <c r="BG8" s="13">
        <f>_xlfn.RANK.EQ(all[[#This Row],[P2A opp]],all[P2A opp],1)</f>
        <v>17</v>
      </c>
      <c r="BH8">
        <f>AVERAGE(beograd[P2pop])</f>
        <v>0.59089999999999998</v>
      </c>
      <c r="BI8" s="13">
        <f>_xlfn.RANK.EQ(all[[#This Row],[P2p opp]],all[P2p opp],1)</f>
        <v>13</v>
      </c>
      <c r="BJ8" s="6">
        <f>AVERAGE(beograd[P3Mop])</f>
        <v>6</v>
      </c>
      <c r="BK8" s="13">
        <f>_xlfn.RANK.EQ(all[[#This Row],[P3M opp]],all[P3M opp],1)</f>
        <v>2</v>
      </c>
      <c r="BL8" s="6">
        <f>AVERAGE(beograd[P3Aop])</f>
        <v>18</v>
      </c>
      <c r="BM8" s="13">
        <f>_xlfn.RANK.EQ(all[[#This Row],[P3A opp]],all[P3A opp],1)</f>
        <v>2</v>
      </c>
      <c r="BN8" s="7">
        <f>AVERAGE(beograd[P3pop])</f>
        <v>0.33329999999999999</v>
      </c>
      <c r="BO8" s="13">
        <f>_xlfn.RANK.EQ(all[[#This Row],[P3p opp]],all[P3p opp],1)</f>
        <v>10</v>
      </c>
      <c r="BP8" s="6">
        <f>AVERAGE(beograd[FTMop])</f>
        <v>22</v>
      </c>
      <c r="BQ8" s="13">
        <f>_xlfn.RANK.EQ(all[[#This Row],[FTM opp]],all[FTM opp],1)</f>
        <v>15</v>
      </c>
      <c r="BR8" s="6">
        <f>AVERAGE(beograd[FTAop])</f>
        <v>29</v>
      </c>
      <c r="BS8" s="13">
        <f>_xlfn.RANK.EQ(all[[#This Row],[FTA opp]],all[FTA opp],1)</f>
        <v>15</v>
      </c>
      <c r="BT8" s="7">
        <f>AVERAGE(beograd[FTpop])</f>
        <v>0.75860000000000005</v>
      </c>
      <c r="BU8" s="13">
        <f>_xlfn.RANK.EQ(all[[#This Row],[FTp opp]],all[FTp opp],1)</f>
        <v>10</v>
      </c>
      <c r="BV8" s="6">
        <f>AVERAGE(beograd[ORBop])</f>
        <v>10</v>
      </c>
      <c r="BW8" s="13">
        <f>_xlfn.RANK.EQ(all[[#This Row],[ORB opp]],all[ORB opp],1)</f>
        <v>7</v>
      </c>
      <c r="BX8" s="6">
        <f>AVERAGE(beograd[DRBop])</f>
        <v>22</v>
      </c>
      <c r="BY8" s="13">
        <f>_xlfn.RANK.EQ(all[[#This Row],[DRB opp]],all[DRB opp],1)</f>
        <v>6</v>
      </c>
      <c r="BZ8" s="6">
        <f>AVERAGE(beograd[TRBop])</f>
        <v>32</v>
      </c>
      <c r="CA8" s="13">
        <f>_xlfn.RANK.EQ(all[[#This Row],[TRB opp]],all[TRB opp],1)</f>
        <v>4</v>
      </c>
      <c r="CB8" s="6">
        <f>AVERAGE(beograd[ASTop])</f>
        <v>28</v>
      </c>
      <c r="CC8" s="13">
        <f>_xlfn.RANK.EQ(all[[#This Row],[AST opp]],all[AST opp],1)</f>
        <v>18</v>
      </c>
      <c r="CD8" s="6">
        <f>AVERAGE(beograd[STLop])</f>
        <v>3</v>
      </c>
      <c r="CE8" s="13">
        <f>_xlfn.RANK.EQ(all[[#This Row],[STL opp]],all[STL opp],1)</f>
        <v>2</v>
      </c>
      <c r="CF8" s="6">
        <f>AVERAGE(beograd[BLKop])</f>
        <v>3</v>
      </c>
      <c r="CG8" s="13">
        <f>_xlfn.RANK.EQ(all[[#This Row],[BLK opp]],all[BLK opp],1)</f>
        <v>11</v>
      </c>
      <c r="CH8" s="6">
        <f>AVERAGE(beograd[TOVop])</f>
        <v>17</v>
      </c>
      <c r="CI8" s="13">
        <f>_xlfn.RANK.EQ(all[[#This Row],[TOV opp]],all[TOV opp])</f>
        <v>4</v>
      </c>
      <c r="CJ8" s="6">
        <f>AVERAGE(beograd[PFop])</f>
        <v>27</v>
      </c>
      <c r="CK8" s="13">
        <f>_xlfn.RANK.EQ(all[[#This Row],[PF opp]],all[PF opp])</f>
        <v>4</v>
      </c>
      <c r="CL8" s="7">
        <f>AVERAGE(beograd[TS%])</f>
        <v>0.53039999999999998</v>
      </c>
      <c r="CM8" s="13">
        <f>_xlfn.RANK.EQ(all[[#This Row],[TSp]],all[TSp])</f>
        <v>15</v>
      </c>
      <c r="CN8" s="7">
        <f>AVERAGE(beograd[eFG%])</f>
        <v>0.44850000000000001</v>
      </c>
      <c r="CO8" s="13">
        <f>_xlfn.RANK.EQ(all[[#This Row],[eFGp]],all[eFGp])</f>
        <v>16</v>
      </c>
      <c r="CP8" s="7">
        <f>AVERAGE(beograd[ORB%])</f>
        <v>0.46339999999999998</v>
      </c>
      <c r="CQ8" s="13">
        <f>_xlfn.RANK.EQ(all[[#This Row],[ORBp]],all[ORBp])</f>
        <v>2</v>
      </c>
      <c r="CR8" s="7">
        <f>AVERAGE(beograd[DRB%])</f>
        <v>0.58330000000000004</v>
      </c>
      <c r="CS8" s="13">
        <f>_xlfn.RANK.EQ(all[[#This Row],[DRBp]],all[DRBp])</f>
        <v>15</v>
      </c>
      <c r="CT8" s="7">
        <f>AVERAGE(beograd[TRB%])</f>
        <v>0.50770000000000004</v>
      </c>
      <c r="CU8" s="13">
        <f>_xlfn.RANK.EQ(all[[#This Row],[TRBp]],all[TRBp])</f>
        <v>8</v>
      </c>
      <c r="CV8" s="6">
        <f>AVERAGE(beograd[Poss])</f>
        <v>67.724999999999994</v>
      </c>
      <c r="CW8" s="13">
        <f>_xlfn.RANK.EQ(all[[#This Row],[Poss]],all[Poss])</f>
        <v>17</v>
      </c>
      <c r="CX8" s="7">
        <f>AVERAGE(beograd[AST%])</f>
        <v>0.34620000000000001</v>
      </c>
      <c r="CY8" s="13">
        <f>_xlfn.RANK.EQ(all[[#This Row],[ASTp]],all[ASTp])</f>
        <v>18</v>
      </c>
      <c r="CZ8" s="7">
        <f>AVERAGE(beograd[FTFGA%])</f>
        <v>0.39710000000000001</v>
      </c>
      <c r="DA8" s="13">
        <f>_xlfn.RANK.EQ(all[[#This Row],[FTFGAp]],all[FTFGAp])</f>
        <v>5</v>
      </c>
      <c r="DB8" s="7">
        <f>AVERAGE(beograd[TOV%])</f>
        <v>0.12640000000000001</v>
      </c>
      <c r="DC8" s="13">
        <f>_xlfn.RANK.EQ(all[[#This Row],[TOVp]],all[TOVp],1)</f>
        <v>2</v>
      </c>
      <c r="DD8" s="6">
        <f>AVERAGE(beograd[ORtg])</f>
        <v>118.7</v>
      </c>
      <c r="DE8" s="13">
        <f>_xlfn.RANK.EQ(all[[#This Row],[ORtg]],all[ORtg])</f>
        <v>6</v>
      </c>
      <c r="DF8" s="6">
        <f>AVERAGE(beograd[DRtg])</f>
        <v>124.1</v>
      </c>
      <c r="DG8" s="13">
        <f>_xlfn.RANK.EQ(all[[#This Row],[DRtg]],all[DRtg],1)</f>
        <v>18</v>
      </c>
      <c r="DH8" s="6">
        <f>AVERAGE(beograd[Pace])</f>
        <v>74.147000000000006</v>
      </c>
      <c r="DI8" s="13">
        <f>_xlfn.RANK.EQ(all[[#This Row],[Pace]],all[Pace])</f>
        <v>6</v>
      </c>
      <c r="DJ8" s="7">
        <f>AVERAGE(beograd[TS%op])</f>
        <v>0.61529999999999996</v>
      </c>
      <c r="DK8" s="13">
        <f>_xlfn.RANK.EQ(all[[#This Row],[TSp opp]],all[TSp opp],1)</f>
        <v>14</v>
      </c>
      <c r="DL8" s="7">
        <f>AVERAGE(beograd[eFG%op])</f>
        <v>0.5645</v>
      </c>
      <c r="DM8" s="13">
        <f>_xlfn.RANK.EQ(all[[#This Row],[eFGp opp]],all[eFGp opp],1)</f>
        <v>10</v>
      </c>
      <c r="DN8" s="7">
        <f>AVERAGE(beograd[ORB%op])</f>
        <v>0.41670000000000001</v>
      </c>
      <c r="DO8" s="13">
        <f>_xlfn.RANK.EQ(all[[#This Row],[ORBp opp]],all[ORBp opp],1)</f>
        <v>15</v>
      </c>
      <c r="DP8" s="7">
        <f>AVERAGE(beograd[DRB%op])</f>
        <v>0.53659999999999997</v>
      </c>
      <c r="DQ8" s="13">
        <f>_xlfn.RANK.EQ(all[[#This Row],[DRBp opp]],all[DRBp opp],1)</f>
        <v>2</v>
      </c>
      <c r="DR8" s="7">
        <f>AVERAGE(beograd[TRB%op])</f>
        <v>0.49230000000000002</v>
      </c>
      <c r="DS8" s="13">
        <f>_xlfn.RANK.EQ(all[[#This Row],[TRBp opp]],all[TRBp opp],1)</f>
        <v>8</v>
      </c>
      <c r="DT8" s="6">
        <f>AVERAGE(beograd[Possop])</f>
        <v>80.569000000000003</v>
      </c>
      <c r="DU8" s="13">
        <f>_xlfn.RANK.EQ(all[[#This Row],[Poss opp]],all[Poss opp],1)</f>
        <v>17</v>
      </c>
      <c r="DV8" s="7">
        <f>AVERAGE(beograd[AST%op])</f>
        <v>0.875</v>
      </c>
      <c r="DW8" s="13">
        <f>_xlfn.RANK.EQ(all[[#This Row],[ASTp opp]],all[ASTp opp],1)</f>
        <v>18</v>
      </c>
      <c r="DX8" s="7">
        <f>AVERAGE(beograd[FTFGA%op])</f>
        <v>0.3548</v>
      </c>
      <c r="DY8" s="13">
        <f>_xlfn.RANK.EQ(all[[#This Row],[FTFGAp opp]],all[FTFGAp opp],1)</f>
        <v>15</v>
      </c>
      <c r="DZ8" s="7">
        <f>AVERAGE(beograd[TOV%op])</f>
        <v>0.18529999999999999</v>
      </c>
      <c r="EA8" s="13">
        <f>_xlfn.RANK.EQ(all[[#This Row],[TOVp opp]],all[TOVp opp])</f>
        <v>5</v>
      </c>
      <c r="EB8" s="6">
        <f>AVERAGE(beograd[ORtgop])</f>
        <v>124.1</v>
      </c>
      <c r="EC8" s="13">
        <f>_xlfn.RANK.EQ(all[[#This Row],[ORtg opp]],all[ORtg opp],1)</f>
        <v>18</v>
      </c>
      <c r="ED8" s="6">
        <f>AVERAGE(beograd[DRtgop])</f>
        <v>118.7</v>
      </c>
      <c r="EE8" s="13">
        <f>_xlfn.RANK.EQ(all[[#This Row],[DRtg opp]],all[DRtg opp])</f>
        <v>6</v>
      </c>
      <c r="EF8" s="6">
        <f>AVERAGE(beograd[Q1H])</f>
        <v>20</v>
      </c>
      <c r="EG8" s="13">
        <f>_xlfn.RANK.EQ(all[[#This Row],[Q1H]],all[Q1H])</f>
        <v>12</v>
      </c>
      <c r="EH8" s="6">
        <f>AVERAGE(beograd[Q2H])</f>
        <v>25</v>
      </c>
      <c r="EI8" s="13">
        <f>_xlfn.RANK.EQ(all[[#This Row],[Q2H]],all[Q2H])</f>
        <v>4</v>
      </c>
      <c r="EJ8" s="6">
        <f>AVERAGE(beograd[Q3H])</f>
        <v>19</v>
      </c>
      <c r="EK8" s="13">
        <f>_xlfn.RANK.EQ(all[[#This Row],[Q3H]],all[Q3H])</f>
        <v>12</v>
      </c>
      <c r="EL8" s="6">
        <f>AVERAGE(beograd[Q4H])</f>
        <v>24</v>
      </c>
      <c r="EM8" s="13">
        <f>_xlfn.RANK.EQ(all[[#This Row],[Q4H]],all[Q4H])</f>
        <v>6</v>
      </c>
      <c r="EN8" s="6">
        <f>AVERAGE(beograd[Q1A])</f>
        <v>28</v>
      </c>
      <c r="EO8" s="13">
        <f>_xlfn.RANK.EQ(all[[#This Row],[Q1A]],all[Q1A],1)</f>
        <v>16</v>
      </c>
      <c r="EP8" s="6">
        <f>AVERAGE(beograd[Q2A])</f>
        <v>21</v>
      </c>
      <c r="EQ8" s="13">
        <f>_xlfn.RANK.EQ(all[[#This Row],[Q2A]],all[Q2A],1)</f>
        <v>8</v>
      </c>
      <c r="ER8" s="6">
        <f>AVERAGE(beograd[Q3A])</f>
        <v>20</v>
      </c>
      <c r="ES8" s="13">
        <f>_xlfn.RANK.EQ(all[[#This Row],[Q3A]],all[Q3A],1)</f>
        <v>9</v>
      </c>
      <c r="ET8" s="6">
        <f>AVERAGE(beograd[Q4A])</f>
        <v>23</v>
      </c>
      <c r="EU8" s="13">
        <f>_xlfn.RANK.EQ(all[[#This Row],[Q4A]],all[Q4A],1)</f>
        <v>14</v>
      </c>
      <c r="EV8" s="6">
        <f>AVERAGE(beograd[FhalfH])</f>
        <v>45</v>
      </c>
      <c r="EW8" s="13">
        <f>_xlfn.RANK.EQ(all[[#This Row],[FHH]],all[FHH])</f>
        <v>8</v>
      </c>
      <c r="EX8" s="5">
        <f>AVERAGE(beograd[FhalfA])</f>
        <v>49</v>
      </c>
      <c r="EY8" s="13">
        <f>_xlfn.RANK.EQ(all[[#This Row],[FHA]],all[FHA],1)</f>
        <v>16</v>
      </c>
      <c r="EZ8" s="6">
        <f>AVERAGE(beograd[ShalfH])</f>
        <v>43</v>
      </c>
      <c r="FA8" s="13">
        <f>_xlfn.RANK.EQ(all[[#This Row],[SHH]],all[SHH])</f>
        <v>7</v>
      </c>
      <c r="FB8" s="6">
        <f>AVERAGE(beograd[ShalfA])</f>
        <v>43</v>
      </c>
      <c r="FC8" s="13">
        <f>_xlfn.RANK.EQ(all[[#This Row],[SHA]],all[SHA],1)</f>
        <v>12</v>
      </c>
      <c r="FD8" s="6" t="e">
        <f ca="1">AVERAGE(LARGE(OFFSET(beograd[Home_scored],COUNTA(beograd[Home_scored])-5, 0, 5, 1),2), LARGE(OFFSET(beograd[Home_scored],COUNTA(beograd[Home_scored])-5, 0, 5, 1),3),LARGE(OFFSET(beograd[Home_scored],COUNTA(beograd[Home_scored])-5, 0, 5, 1),4))</f>
        <v>#REF!</v>
      </c>
      <c r="FE8" s="6" t="e">
        <f ca="1">AVERAGE(LARGE(OFFSET(beograd[Away_scored],COUNTA(beograd[Away_scored])-5, 0, 5, 1),2), LARGE(OFFSET(beograd[Away_scored],COUNTA(beograd[Away_scored])-5, 0, 5, 1),3),LARGE(OFFSET(beograd[Away_scored],COUNTA(beograd[Away_scored])-5, 0, 5, 1),4))</f>
        <v>#REF!</v>
      </c>
      <c r="FF8" s="13">
        <f ca="1">COUNTIF(INDIRECT(all[[#This Row],[Table name]]&amp;"[result]"),"w")+COUNTIF(INDIRECT(all[[#This Row],[Table name]]&amp;"[result]"),"dw")</f>
        <v>0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12</v>
      </c>
      <c r="FJ8" s="5">
        <f t="shared" si="0"/>
        <v>10.215384615384615</v>
      </c>
      <c r="FK8" s="6">
        <f>all[[#This Row],[Q1H]]+all[[#This Row],[Q1A]]</f>
        <v>48</v>
      </c>
      <c r="FL8" s="13">
        <f>_xlfn.RANK.EQ(all[[#This Row],[Q1T]],all[Q1T])</f>
        <v>4</v>
      </c>
      <c r="FM8" s="6">
        <f>all[[#This Row],[Q2H]]+all[[#This Row],[Q2A]]</f>
        <v>46</v>
      </c>
      <c r="FN8" s="13">
        <f>_xlfn.RANK.EQ(all[[#This Row],[Q2T]],all[Q2T])</f>
        <v>3</v>
      </c>
      <c r="FO8" s="6">
        <f>all[[#This Row],[Q3H]]+all[[#This Row],[Q3A]]</f>
        <v>39</v>
      </c>
      <c r="FP8" s="13">
        <f>_xlfn.RANK.EQ(all[[#This Row],[Q3T]],all[Q3T])</f>
        <v>9</v>
      </c>
      <c r="FQ8" s="6">
        <f>all[[#This Row],[Q4H]]+all[[#This Row],[Q4A]]</f>
        <v>47</v>
      </c>
      <c r="FR8" s="13">
        <f>_xlfn.RANK.EQ(all[[#This Row],[Q4T]],all[Q4T])</f>
        <v>4</v>
      </c>
      <c r="FS8" s="6">
        <f>all[[#This Row],[FHH]]+all[[#This Row],[FHA]]</f>
        <v>94</v>
      </c>
      <c r="FT8" s="13">
        <f>_xlfn.RANK.EQ(all[[#This Row],[FHT]],all[FHT])</f>
        <v>3</v>
      </c>
      <c r="FU8" s="6">
        <f>all[[#This Row],[SHH]]+all[[#This Row],[SHA]]</f>
        <v>86</v>
      </c>
      <c r="FV8" s="13">
        <f>_xlfn.RANK.EQ(all[[#This Row],[SHT]],all[SHT])</f>
        <v>5</v>
      </c>
      <c r="FW8" s="6">
        <f ca="1">SUM(INDIRECT(all[[#This Row],[Table name]]&amp;"[BetH]"))</f>
        <v>-1</v>
      </c>
      <c r="FX8" s="13">
        <f ca="1">_xlfn.RANK.EQ(all[[#This Row],[BetH]],all[BetH])</f>
        <v>12</v>
      </c>
      <c r="FY8" s="6">
        <f ca="1">SUM(INDIRECT(all[[#This Row],[Table name]]&amp;"[BetA]"))</f>
        <v>0.30000000000000004</v>
      </c>
      <c r="FZ8" s="13">
        <f ca="1">_xlfn.RANK.EQ(all[[#This Row],[BetA]],all[BetA])</f>
        <v>7</v>
      </c>
      <c r="GA8" s="13">
        <f ca="1">SUM(INDIRECT(all[[#This Row],[Table name]]&amp;"[Tover]"))</f>
        <v>1</v>
      </c>
      <c r="GB8" s="13">
        <f ca="1">_xlfn.RANK.EQ(all[[#This Row],[Tover]],all[Tover])</f>
        <v>1</v>
      </c>
      <c r="GC8" s="6">
        <f ca="1">AVERAGE(INDIRECT(all[[#This Row],[Table name]]&amp;"[Deviation]"))</f>
        <v>15</v>
      </c>
      <c r="GD8" s="13">
        <f ca="1">_xlfn.RANK.EQ(all[[#This Row],[Deviation]],all[Deviation],1)</f>
        <v>8</v>
      </c>
    </row>
    <row r="9" spans="1:186" x14ac:dyDescent="0.25">
      <c r="A9" s="9" t="s">
        <v>357</v>
      </c>
      <c r="B9" t="s">
        <v>357</v>
      </c>
      <c r="C9" t="s">
        <v>359</v>
      </c>
      <c r="D9" t="s">
        <v>358</v>
      </c>
      <c r="E9">
        <f>_xlfn.RANK.EQ(all[[#This Row],[AVG_RT]],all[AVG_RT],1)</f>
        <v>8</v>
      </c>
      <c r="F9" s="6">
        <f>AVERAGE(igokea[Home_scored])</f>
        <v>92</v>
      </c>
      <c r="G9" s="13">
        <f>_xlfn.RANK.EQ(all[[#This Row],[PM]],all[PM])</f>
        <v>5</v>
      </c>
      <c r="H9" s="6">
        <f>AVERAGE(igokea[Away_scored])</f>
        <v>88</v>
      </c>
      <c r="I9" s="13">
        <f>_xlfn.RANK.EQ(all[[#This Row],[PC]],all[PC],1)</f>
        <v>14</v>
      </c>
      <c r="J9" s="6">
        <f>AVERAGE(igokea[FGA])</f>
        <v>62</v>
      </c>
      <c r="K9" s="13">
        <f>_xlfn.RANK.EQ(all[[#This Row],[FGA]],all[FGA])</f>
        <v>8</v>
      </c>
      <c r="L9" s="6">
        <f>AVERAGE(igokea[FGM])</f>
        <v>32</v>
      </c>
      <c r="M9" s="13">
        <f>_xlfn.RANK.EQ(all[[#This Row],[FGM]],all[FGM])</f>
        <v>3</v>
      </c>
      <c r="N9" s="7">
        <f>AVERAGE(igokea[FGp])</f>
        <v>0.5161</v>
      </c>
      <c r="O9" s="13">
        <f>_xlfn.RANK.EQ(all[[#This Row],[FGp]],all[FGp])</f>
        <v>3</v>
      </c>
      <c r="P9" s="6">
        <f>AVERAGE(igokea[P2M])</f>
        <v>26</v>
      </c>
      <c r="Q9" s="13">
        <f>_xlfn.RANK.EQ(all[[#This Row],[P2M]],all[P2M])</f>
        <v>2</v>
      </c>
      <c r="R9" s="6">
        <f>AVERAGE(igokea[P2A])</f>
        <v>44</v>
      </c>
      <c r="S9" s="13">
        <f>_xlfn.RANK.EQ(all[[#This Row],[P2A]],all[P2A])</f>
        <v>1</v>
      </c>
      <c r="T9" s="7">
        <f>AVERAGE(igokea[P2p])</f>
        <v>0.59089999999999998</v>
      </c>
      <c r="U9" s="13">
        <f>_xlfn.RANK.EQ(all[[#This Row],[P2p]],all[P2p])</f>
        <v>7</v>
      </c>
      <c r="V9" s="6">
        <f>AVERAGE(igokea[P3M])</f>
        <v>6</v>
      </c>
      <c r="W9" s="13">
        <f>_xlfn.RANK.EQ(all[[#This Row],[P3M]],all[P3M])</f>
        <v>17</v>
      </c>
      <c r="X9" s="6">
        <f>AVERAGE(igokea[P3A])</f>
        <v>18</v>
      </c>
      <c r="Y9" s="13">
        <f>_xlfn.RANK.EQ(all[[#This Row],[P3A]],all[P3A])</f>
        <v>17</v>
      </c>
      <c r="Z9" s="7">
        <f>AVERAGE(igokea[P3p])</f>
        <v>0.33329999999999999</v>
      </c>
      <c r="AA9" s="13">
        <f>_xlfn.RANK.EQ(all[[#This Row],[P3p]],all[P3p])</f>
        <v>9</v>
      </c>
      <c r="AB9" s="6">
        <f>AVERAGE(igokea[FTM])</f>
        <v>22</v>
      </c>
      <c r="AC9" s="13">
        <f>_xlfn.RANK.EQ(all[[#This Row],[FTM]],all[FTM])</f>
        <v>6</v>
      </c>
      <c r="AD9" s="6">
        <f>AVERAGE(igokea[FTA])</f>
        <v>29</v>
      </c>
      <c r="AE9" s="13">
        <f>_xlfn.RANK.EQ(all[[#This Row],[FTA]],all[FTA])</f>
        <v>4</v>
      </c>
      <c r="AF9" s="7">
        <f>AVERAGE(igokea[FTp])</f>
        <v>0.75860000000000005</v>
      </c>
      <c r="AG9" s="13">
        <f>_xlfn.RANK.EQ(all[[#This Row],[FTp]],all[FTp])</f>
        <v>10</v>
      </c>
      <c r="AH9" s="6">
        <f>AVERAGE(igokea[ORB])</f>
        <v>10</v>
      </c>
      <c r="AI9" s="13">
        <f>_xlfn.RANK.EQ(all[[#This Row],[ORB]],all[ORB])</f>
        <v>11</v>
      </c>
      <c r="AJ9" s="6">
        <f>AVERAGE(igokea[DRB])</f>
        <v>22</v>
      </c>
      <c r="AK9" s="13">
        <f>_xlfn.RANK.EQ(all[[#This Row],[DRB]],all[DRB])</f>
        <v>12</v>
      </c>
      <c r="AL9" s="6">
        <f>AVERAGE(igokea[TRB])</f>
        <v>32</v>
      </c>
      <c r="AM9" s="13">
        <f>_xlfn.RANK.EQ(all[[#This Row],[TRB]],all[TRB])</f>
        <v>15</v>
      </c>
      <c r="AN9" s="6">
        <f>AVERAGE(igokea[AST])</f>
        <v>28</v>
      </c>
      <c r="AO9" s="13">
        <f>_xlfn.RANK.EQ(all[[#This Row],[AST]],all[AST])</f>
        <v>1</v>
      </c>
      <c r="AP9" s="6">
        <f>AVERAGE(igokea[STL])</f>
        <v>3</v>
      </c>
      <c r="AQ9" s="13">
        <f>_xlfn.RANK.EQ(all[[#This Row],[STL]],all[STL])</f>
        <v>17</v>
      </c>
      <c r="AR9" s="6">
        <f>AVERAGE(igokea[BLK])</f>
        <v>3</v>
      </c>
      <c r="AS9" s="13">
        <f>_xlfn.RANK.EQ(all[[#This Row],[BLK]],all[BLK])</f>
        <v>5</v>
      </c>
      <c r="AT9" s="6">
        <f>AVERAGE(igokea[TOV])</f>
        <v>17</v>
      </c>
      <c r="AU9" s="13">
        <f>_xlfn.RANK.EQ(all[[#This Row],[TOV]],all[TOV],1)</f>
        <v>16</v>
      </c>
      <c r="AV9" s="6">
        <f>AVERAGE(igokea[PF])</f>
        <v>27</v>
      </c>
      <c r="AW9" s="13">
        <f>_xlfn.RANK.EQ(all[[#This Row],[PF]],all[PF],1)</f>
        <v>16</v>
      </c>
      <c r="AX9" s="6">
        <f>AVERAGE(igokea[FGAop])</f>
        <v>68</v>
      </c>
      <c r="AY9" s="13">
        <f>_xlfn.RANK.EQ(all[[#This Row],[FGA opp]],all[FGA opp],1)</f>
        <v>14</v>
      </c>
      <c r="AZ9" s="6">
        <f>AVERAGE(igokea[FGMop])</f>
        <v>26</v>
      </c>
      <c r="BA9" s="13">
        <f>_xlfn.RANK.EQ(all[[#This Row],[FGM opp]],all[FGM opp],1)</f>
        <v>4</v>
      </c>
      <c r="BB9" s="7">
        <f>AVERAGE(igokea[FGpop])</f>
        <v>0.38240000000000002</v>
      </c>
      <c r="BC9" s="13">
        <f>_xlfn.RANK.EQ(all[[#This Row],[FGp opp]],all[FGp opp],1)</f>
        <v>5</v>
      </c>
      <c r="BD9" s="6">
        <f>AVERAGE(igokea[P2Mop])</f>
        <v>17</v>
      </c>
      <c r="BE9" s="13">
        <f>_xlfn.RANK.EQ(all[[#This Row],[P2M opp]],all[P2M opp],1)</f>
        <v>3</v>
      </c>
      <c r="BF9" s="6">
        <f>AVERAGE(igokea[P2Aop])</f>
        <v>41</v>
      </c>
      <c r="BG9" s="13">
        <f>_xlfn.RANK.EQ(all[[#This Row],[P2A opp]],all[P2A opp],1)</f>
        <v>14</v>
      </c>
      <c r="BH9">
        <f>AVERAGE(igokea[P2pop])</f>
        <v>0.41460000000000002</v>
      </c>
      <c r="BI9" s="13">
        <f>_xlfn.RANK.EQ(all[[#This Row],[P2p opp]],all[P2p opp],1)</f>
        <v>3</v>
      </c>
      <c r="BJ9" s="6">
        <f>AVERAGE(igokea[P3Mop])</f>
        <v>9</v>
      </c>
      <c r="BK9" s="13">
        <f>_xlfn.RANK.EQ(all[[#This Row],[P3M opp]],all[P3M opp],1)</f>
        <v>8</v>
      </c>
      <c r="BL9" s="6">
        <f>AVERAGE(igokea[P3Aop])</f>
        <v>27</v>
      </c>
      <c r="BM9" s="13">
        <f>_xlfn.RANK.EQ(all[[#This Row],[P3A opp]],all[P3A opp],1)</f>
        <v>10</v>
      </c>
      <c r="BN9" s="7">
        <f>AVERAGE(igokea[P3pop])</f>
        <v>0.33329999999999999</v>
      </c>
      <c r="BO9" s="13">
        <f>_xlfn.RANK.EQ(all[[#This Row],[P3p opp]],all[P3p opp],1)</f>
        <v>10</v>
      </c>
      <c r="BP9" s="6">
        <f>AVERAGE(igokea[FTMop])</f>
        <v>27</v>
      </c>
      <c r="BQ9" s="13">
        <f>_xlfn.RANK.EQ(all[[#This Row],[FTM opp]],all[FTM opp],1)</f>
        <v>18</v>
      </c>
      <c r="BR9" s="6">
        <f>AVERAGE(igokea[FTAop])</f>
        <v>34</v>
      </c>
      <c r="BS9" s="13">
        <f>_xlfn.RANK.EQ(all[[#This Row],[FTA opp]],all[FTA opp],1)</f>
        <v>18</v>
      </c>
      <c r="BT9" s="7">
        <f>AVERAGE(igokea[FTpop])</f>
        <v>0.79410000000000003</v>
      </c>
      <c r="BU9" s="13">
        <f>_xlfn.RANK.EQ(all[[#This Row],[FTp opp]],all[FTp opp],1)</f>
        <v>12</v>
      </c>
      <c r="BV9" s="6">
        <f>AVERAGE(igokea[ORBop])</f>
        <v>19</v>
      </c>
      <c r="BW9" s="13">
        <f>_xlfn.RANK.EQ(all[[#This Row],[ORB opp]],all[ORB opp],1)</f>
        <v>16</v>
      </c>
      <c r="BX9" s="6">
        <f>AVERAGE(igokea[DRBop])</f>
        <v>14</v>
      </c>
      <c r="BY9" s="13">
        <f>_xlfn.RANK.EQ(all[[#This Row],[DRB opp]],all[DRB opp],1)</f>
        <v>1</v>
      </c>
      <c r="BZ9" s="6">
        <f>AVERAGE(igokea[TRBop])</f>
        <v>33</v>
      </c>
      <c r="CA9" s="13">
        <f>_xlfn.RANK.EQ(all[[#This Row],[TRB opp]],all[TRB opp],1)</f>
        <v>5</v>
      </c>
      <c r="CB9" s="6">
        <f>AVERAGE(igokea[ASTop])</f>
        <v>9</v>
      </c>
      <c r="CC9" s="13">
        <f>_xlfn.RANK.EQ(all[[#This Row],[AST opp]],all[AST opp],1)</f>
        <v>2</v>
      </c>
      <c r="CD9" s="6">
        <f>AVERAGE(igokea[STLop])</f>
        <v>12</v>
      </c>
      <c r="CE9" s="13">
        <f>_xlfn.RANK.EQ(all[[#This Row],[STL opp]],all[STL opp],1)</f>
        <v>17</v>
      </c>
      <c r="CF9" s="6">
        <f>AVERAGE(igokea[BLKop])</f>
        <v>2</v>
      </c>
      <c r="CG9" s="13">
        <f>_xlfn.RANK.EQ(all[[#This Row],[BLK opp]],all[BLK opp],1)</f>
        <v>7</v>
      </c>
      <c r="CH9" s="6">
        <f>AVERAGE(igokea[TOVop])</f>
        <v>12</v>
      </c>
      <c r="CI9" s="13">
        <f>_xlfn.RANK.EQ(all[[#This Row],[TOV opp]],all[TOV opp])</f>
        <v>14</v>
      </c>
      <c r="CJ9" s="6">
        <f>AVERAGE(igokea[PFop])</f>
        <v>30</v>
      </c>
      <c r="CK9" s="13">
        <f>_xlfn.RANK.EQ(all[[#This Row],[PF opp]],all[PF opp])</f>
        <v>2</v>
      </c>
      <c r="CL9" s="7">
        <f>AVERAGE(igokea[TS%])</f>
        <v>0.61529999999999996</v>
      </c>
      <c r="CM9" s="13">
        <f>_xlfn.RANK.EQ(all[[#This Row],[TSp]],all[TSp])</f>
        <v>6</v>
      </c>
      <c r="CN9" s="7">
        <f>AVERAGE(igokea[eFG%])</f>
        <v>0.5645</v>
      </c>
      <c r="CO9" s="13">
        <f>_xlfn.RANK.EQ(all[[#This Row],[eFGp]],all[eFGp])</f>
        <v>9</v>
      </c>
      <c r="CP9" s="7">
        <f>AVERAGE(igokea[ORB%])</f>
        <v>0.41670000000000001</v>
      </c>
      <c r="CQ9" s="13">
        <f>_xlfn.RANK.EQ(all[[#This Row],[ORBp]],all[ORBp])</f>
        <v>4</v>
      </c>
      <c r="CR9" s="7">
        <f>AVERAGE(igokea[DRB%])</f>
        <v>0.53659999999999997</v>
      </c>
      <c r="CS9" s="13">
        <f>_xlfn.RANK.EQ(all[[#This Row],[DRBp]],all[DRBp])</f>
        <v>18</v>
      </c>
      <c r="CT9" s="7">
        <f>AVERAGE(igokea[TRB%])</f>
        <v>0.49230000000000002</v>
      </c>
      <c r="CU9" s="13">
        <f>_xlfn.RANK.EQ(all[[#This Row],[TRBp]],all[TRBp])</f>
        <v>12</v>
      </c>
      <c r="CV9" s="6">
        <f>AVERAGE(igokea[Poss])</f>
        <v>80.569000000000003</v>
      </c>
      <c r="CW9" s="13">
        <f>_xlfn.RANK.EQ(all[[#This Row],[Poss]],all[Poss])</f>
        <v>2</v>
      </c>
      <c r="CX9" s="7">
        <f>AVERAGE(igokea[AST%])</f>
        <v>0.875</v>
      </c>
      <c r="CY9" s="13">
        <f>_xlfn.RANK.EQ(all[[#This Row],[ASTp]],all[ASTp])</f>
        <v>1</v>
      </c>
      <c r="CZ9" s="7">
        <f>AVERAGE(igokea[FTFGA%])</f>
        <v>0.3548</v>
      </c>
      <c r="DA9" s="13">
        <f>_xlfn.RANK.EQ(all[[#This Row],[FTFGAp]],all[FTFGAp])</f>
        <v>6</v>
      </c>
      <c r="DB9" s="7">
        <f>AVERAGE(igokea[TOV%])</f>
        <v>0.18529999999999999</v>
      </c>
      <c r="DC9" s="13">
        <f>_xlfn.RANK.EQ(all[[#This Row],[TOVp]],all[TOVp],1)</f>
        <v>16</v>
      </c>
      <c r="DD9" s="6">
        <f>AVERAGE(igokea[ORtg])</f>
        <v>124.1</v>
      </c>
      <c r="DE9" s="13">
        <f>_xlfn.RANK.EQ(all[[#This Row],[ORtg]],all[ORtg])</f>
        <v>3</v>
      </c>
      <c r="DF9" s="6">
        <f>AVERAGE(igokea[DRtg])</f>
        <v>118.7</v>
      </c>
      <c r="DG9" s="13">
        <f>_xlfn.RANK.EQ(all[[#This Row],[DRtg]],all[DRtg],1)</f>
        <v>14</v>
      </c>
      <c r="DH9" s="6">
        <f>AVERAGE(igokea[Pace])</f>
        <v>74.147000000000006</v>
      </c>
      <c r="DI9" s="13">
        <f>_xlfn.RANK.EQ(all[[#This Row],[Pace]],all[Pace])</f>
        <v>6</v>
      </c>
      <c r="DJ9" s="7">
        <f>AVERAGE(igokea[TS%op])</f>
        <v>0.53039999999999998</v>
      </c>
      <c r="DK9" s="13">
        <f>_xlfn.RANK.EQ(all[[#This Row],[TSp opp]],all[TSp opp],1)</f>
        <v>6</v>
      </c>
      <c r="DL9" s="7">
        <f>AVERAGE(igokea[eFG%op])</f>
        <v>0.44850000000000001</v>
      </c>
      <c r="DM9" s="13">
        <f>_xlfn.RANK.EQ(all[[#This Row],[eFGp opp]],all[eFGp opp],1)</f>
        <v>5</v>
      </c>
      <c r="DN9" s="7">
        <f>AVERAGE(igokea[ORB%op])</f>
        <v>0.46339999999999998</v>
      </c>
      <c r="DO9" s="13">
        <f>_xlfn.RANK.EQ(all[[#This Row],[ORBp opp]],all[ORBp opp],1)</f>
        <v>18</v>
      </c>
      <c r="DP9" s="7">
        <f>AVERAGE(igokea[DRB%op])</f>
        <v>0.58330000000000004</v>
      </c>
      <c r="DQ9" s="13">
        <f>_xlfn.RANK.EQ(all[[#This Row],[DRBp opp]],all[DRBp opp],1)</f>
        <v>4</v>
      </c>
      <c r="DR9" s="7">
        <f>AVERAGE(igokea[TRB%op])</f>
        <v>0.50770000000000004</v>
      </c>
      <c r="DS9" s="13">
        <f>_xlfn.RANK.EQ(all[[#This Row],[TRBp opp]],all[TRBp opp],1)</f>
        <v>12</v>
      </c>
      <c r="DT9" s="6">
        <f>AVERAGE(igokea[Possop])</f>
        <v>67.724999999999994</v>
      </c>
      <c r="DU9" s="13">
        <f>_xlfn.RANK.EQ(all[[#This Row],[Poss opp]],all[Poss opp],1)</f>
        <v>2</v>
      </c>
      <c r="DV9" s="7">
        <f>AVERAGE(igokea[AST%op])</f>
        <v>0.34620000000000001</v>
      </c>
      <c r="DW9" s="13">
        <f>_xlfn.RANK.EQ(all[[#This Row],[ASTp opp]],all[ASTp opp],1)</f>
        <v>1</v>
      </c>
      <c r="DX9" s="7">
        <f>AVERAGE(igokea[FTFGA%op])</f>
        <v>0.39710000000000001</v>
      </c>
      <c r="DY9" s="13">
        <f>_xlfn.RANK.EQ(all[[#This Row],[FTFGAp opp]],all[FTFGAp opp],1)</f>
        <v>16</v>
      </c>
      <c r="DZ9" s="7">
        <f>AVERAGE(igokea[TOV%op])</f>
        <v>0.12640000000000001</v>
      </c>
      <c r="EA9" s="13">
        <f>_xlfn.RANK.EQ(all[[#This Row],[TOVp opp]],all[TOVp opp])</f>
        <v>16</v>
      </c>
      <c r="EB9" s="6">
        <f>AVERAGE(igokea[ORtgop])</f>
        <v>118.7</v>
      </c>
      <c r="EC9" s="13">
        <f>_xlfn.RANK.EQ(all[[#This Row],[ORtg opp]],all[ORtg opp],1)</f>
        <v>14</v>
      </c>
      <c r="ED9" s="6">
        <f>AVERAGE(igokea[DRtgop])</f>
        <v>124.1</v>
      </c>
      <c r="EE9" s="13">
        <f>_xlfn.RANK.EQ(all[[#This Row],[DRtg opp]],all[DRtg opp])</f>
        <v>3</v>
      </c>
      <c r="EF9" s="6">
        <f>AVERAGE(igokea[Q1H])</f>
        <v>28</v>
      </c>
      <c r="EG9" s="13">
        <f>_xlfn.RANK.EQ(all[[#This Row],[Q1H]],all[Q1H])</f>
        <v>4</v>
      </c>
      <c r="EH9" s="6">
        <f>AVERAGE(igokea[Q2H])</f>
        <v>21</v>
      </c>
      <c r="EI9" s="13">
        <f>_xlfn.RANK.EQ(all[[#This Row],[Q2H]],all[Q2H])</f>
        <v>7</v>
      </c>
      <c r="EJ9" s="6">
        <f>AVERAGE(igokea[Q3H])</f>
        <v>20</v>
      </c>
      <c r="EK9" s="13">
        <f>_xlfn.RANK.EQ(all[[#This Row],[Q3H]],all[Q3H])</f>
        <v>9</v>
      </c>
      <c r="EL9" s="6">
        <f>AVERAGE(igokea[Q4H])</f>
        <v>23</v>
      </c>
      <c r="EM9" s="13">
        <f>_xlfn.RANK.EQ(all[[#This Row],[Q4H]],all[Q4H])</f>
        <v>7</v>
      </c>
      <c r="EN9" s="6">
        <f>AVERAGE(igokea[Q1A])</f>
        <v>20</v>
      </c>
      <c r="EO9" s="13">
        <f>_xlfn.RANK.EQ(all[[#This Row],[Q1A]],all[Q1A],1)</f>
        <v>7</v>
      </c>
      <c r="EP9" s="6">
        <f>AVERAGE(igokea[Q2A])</f>
        <v>25</v>
      </c>
      <c r="EQ9" s="13">
        <f>_xlfn.RANK.EQ(all[[#This Row],[Q2A]],all[Q2A],1)</f>
        <v>14</v>
      </c>
      <c r="ER9" s="6">
        <f>AVERAGE(igokea[Q3A])</f>
        <v>19</v>
      </c>
      <c r="ES9" s="13">
        <f>_xlfn.RANK.EQ(all[[#This Row],[Q3A]],all[Q3A],1)</f>
        <v>7</v>
      </c>
      <c r="ET9" s="6">
        <f>AVERAGE(igokea[Q4A])</f>
        <v>24</v>
      </c>
      <c r="EU9" s="13">
        <f>_xlfn.RANK.EQ(all[[#This Row],[Q4A]],all[Q4A],1)</f>
        <v>15</v>
      </c>
      <c r="EV9" s="6">
        <f>AVERAGE(igokea[FhalfH])</f>
        <v>49</v>
      </c>
      <c r="EW9" s="13">
        <f>_xlfn.RANK.EQ(all[[#This Row],[FHH]],all[FHH])</f>
        <v>2</v>
      </c>
      <c r="EX9" s="5">
        <f>AVERAGE(igokea[FhalfA])</f>
        <v>45</v>
      </c>
      <c r="EY9" s="13">
        <f>_xlfn.RANK.EQ(all[[#This Row],[FHA]],all[FHA],1)</f>
        <v>8</v>
      </c>
      <c r="EZ9" s="6">
        <f>AVERAGE(igokea[ShalfH])</f>
        <v>43</v>
      </c>
      <c r="FA9" s="13">
        <f>_xlfn.RANK.EQ(all[[#This Row],[SHH]],all[SHH])</f>
        <v>7</v>
      </c>
      <c r="FB9" s="6">
        <f>AVERAGE(igokea[ShalfA])</f>
        <v>43</v>
      </c>
      <c r="FC9" s="13">
        <f>_xlfn.RANK.EQ(all[[#This Row],[SHA]],all[SHA],1)</f>
        <v>12</v>
      </c>
      <c r="FD9" s="6" t="e">
        <f ca="1">AVERAGE(LARGE(OFFSET(igokea[Home_scored],COUNTA(igokea[Home_scored])-5, 0, 5, 1),2), LARGE(OFFSET(igokea[Home_scored],COUNTA(igokea[Home_scored])-5, 0, 5, 1),3),LARGE(OFFSET(igokea[Home_scored],COUNTA(igokea[Home_scored])-5, 0, 5, 1),4))</f>
        <v>#REF!</v>
      </c>
      <c r="FE9" s="6" t="e">
        <f ca="1">AVERAGE(LARGE(OFFSET(igokea[Away_scored],COUNTA(igokea[Away_scored])-5, 0, 5, 1),2), LARGE(OFFSET(igokea[Away_scored],COUNTA(igokea[Away_scored])-5, 0, 5, 1),3),LARGE(OFFSET(igokea[Away_scored],COUNTA(igokea[Away_scored])-5, 0, 5, 1),4))</f>
        <v>#REF!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8.861538461538462</v>
      </c>
      <c r="FK9" s="6">
        <f>all[[#This Row],[Q1H]]+all[[#This Row],[Q1A]]</f>
        <v>48</v>
      </c>
      <c r="FL9" s="13">
        <f>_xlfn.RANK.EQ(all[[#This Row],[Q1T]],all[Q1T])</f>
        <v>4</v>
      </c>
      <c r="FM9" s="6">
        <f>all[[#This Row],[Q2H]]+all[[#This Row],[Q2A]]</f>
        <v>46</v>
      </c>
      <c r="FN9" s="13">
        <f>_xlfn.RANK.EQ(all[[#This Row],[Q2T]],all[Q2T])</f>
        <v>3</v>
      </c>
      <c r="FO9" s="6">
        <f>all[[#This Row],[Q3H]]+all[[#This Row],[Q3A]]</f>
        <v>39</v>
      </c>
      <c r="FP9" s="13">
        <f>_xlfn.RANK.EQ(all[[#This Row],[Q3T]],all[Q3T])</f>
        <v>9</v>
      </c>
      <c r="FQ9" s="6">
        <f>all[[#This Row],[Q4H]]+all[[#This Row],[Q4A]]</f>
        <v>47</v>
      </c>
      <c r="FR9" s="13">
        <f>_xlfn.RANK.EQ(all[[#This Row],[Q4T]],all[Q4T])</f>
        <v>4</v>
      </c>
      <c r="FS9" s="6">
        <f>all[[#This Row],[FHH]]+all[[#This Row],[FHA]]</f>
        <v>94</v>
      </c>
      <c r="FT9" s="13">
        <f>_xlfn.RANK.EQ(all[[#This Row],[FHT]],all[FHT])</f>
        <v>3</v>
      </c>
      <c r="FU9" s="6">
        <f>all[[#This Row],[SHH]]+all[[#This Row],[SHA]]</f>
        <v>86</v>
      </c>
      <c r="FV9" s="13">
        <f>_xlfn.RANK.EQ(all[[#This Row],[SHT]],all[SHT])</f>
        <v>5</v>
      </c>
      <c r="FW9" s="6">
        <f ca="1">SUM(INDIRECT(all[[#This Row],[Table name]]&amp;"[BetH]"))</f>
        <v>0.30000000000000004</v>
      </c>
      <c r="FX9" s="13">
        <f ca="1">_xlfn.RANK.EQ(all[[#This Row],[BetH]],all[BetH])</f>
        <v>11</v>
      </c>
      <c r="FY9" s="6">
        <f ca="1">SUM(INDIRECT(all[[#This Row],[Table name]]&amp;"[BetA]"))</f>
        <v>-1</v>
      </c>
      <c r="FZ9" s="13">
        <f ca="1">_xlfn.RANK.EQ(all[[#This Row],[BetA]],all[BetA])</f>
        <v>8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15</v>
      </c>
      <c r="GD9" s="13">
        <f ca="1">_xlfn.RANK.EQ(all[[#This Row],[Deviation]],all[Deviation],1)</f>
        <v>8</v>
      </c>
    </row>
    <row r="10" spans="1:186" x14ac:dyDescent="0.25">
      <c r="A10" s="9" t="s">
        <v>360</v>
      </c>
      <c r="B10" t="s">
        <v>360</v>
      </c>
      <c r="C10" t="s">
        <v>362</v>
      </c>
      <c r="D10" t="s">
        <v>361</v>
      </c>
      <c r="E10">
        <f>_xlfn.RANK.EQ(all[[#This Row],[AVG_RT]],all[AVG_RT],1)</f>
        <v>16</v>
      </c>
      <c r="F10" s="6">
        <f>AVERAGE(ilirija[Home_scored])</f>
        <v>84</v>
      </c>
      <c r="G10" s="13">
        <f>_xlfn.RANK.EQ(all[[#This Row],[PM]],all[PM])</f>
        <v>12</v>
      </c>
      <c r="H10" s="6">
        <f>AVERAGE(ilirija[Away_scored])</f>
        <v>85</v>
      </c>
      <c r="I10" s="13">
        <f>_xlfn.RANK.EQ(all[[#This Row],[PC]],all[PC],1)</f>
        <v>9</v>
      </c>
      <c r="J10" s="6">
        <f>AVERAGE(ilirija[FGA])</f>
        <v>64</v>
      </c>
      <c r="K10" s="13">
        <f>_xlfn.RANK.EQ(all[[#This Row],[FGA]],all[FGA])</f>
        <v>7</v>
      </c>
      <c r="L10" s="6">
        <f>AVERAGE(ilirija[FGM])</f>
        <v>30</v>
      </c>
      <c r="M10" s="13">
        <f>_xlfn.RANK.EQ(all[[#This Row],[FGM]],all[FGM])</f>
        <v>6</v>
      </c>
      <c r="N10" s="7">
        <f>AVERAGE(ilirija[FGp])</f>
        <v>0.46879999999999999</v>
      </c>
      <c r="O10" s="13">
        <f>_xlfn.RANK.EQ(all[[#This Row],[FGp]],all[FGp])</f>
        <v>10</v>
      </c>
      <c r="P10" s="6">
        <f>AVERAGE(ilirija[P2M])</f>
        <v>19</v>
      </c>
      <c r="Q10" s="13">
        <f>_xlfn.RANK.EQ(all[[#This Row],[P2M]],all[P2M])</f>
        <v>9</v>
      </c>
      <c r="R10" s="6">
        <f>AVERAGE(ilirija[P2A])</f>
        <v>32</v>
      </c>
      <c r="S10" s="13">
        <f>_xlfn.RANK.EQ(all[[#This Row],[P2A]],all[P2A])</f>
        <v>14</v>
      </c>
      <c r="T10" s="7">
        <f>AVERAGE(ilirija[P2p])</f>
        <v>0.59379999999999999</v>
      </c>
      <c r="U10" s="13">
        <f>_xlfn.RANK.EQ(all[[#This Row],[P2p]],all[P2p])</f>
        <v>5</v>
      </c>
      <c r="V10" s="6">
        <f>AVERAGE(ilirija[P3M])</f>
        <v>11</v>
      </c>
      <c r="W10" s="13">
        <f>_xlfn.RANK.EQ(all[[#This Row],[P3M]],all[P3M])</f>
        <v>4</v>
      </c>
      <c r="X10" s="6">
        <f>AVERAGE(ilirija[P3A])</f>
        <v>32</v>
      </c>
      <c r="Y10" s="13">
        <f>_xlfn.RANK.EQ(all[[#This Row],[P3A]],all[P3A])</f>
        <v>3</v>
      </c>
      <c r="Z10" s="7">
        <f>AVERAGE(ilirija[P3p])</f>
        <v>0.34379999999999999</v>
      </c>
      <c r="AA10" s="13">
        <f>_xlfn.RANK.EQ(all[[#This Row],[P3p]],all[P3p])</f>
        <v>8</v>
      </c>
      <c r="AB10" s="6">
        <f>AVERAGE(ilirija[FTM])</f>
        <v>13</v>
      </c>
      <c r="AC10" s="13">
        <f>_xlfn.RANK.EQ(all[[#This Row],[FTM]],all[FTM])</f>
        <v>14</v>
      </c>
      <c r="AD10" s="6">
        <f>AVERAGE(ilirija[FTA])</f>
        <v>20</v>
      </c>
      <c r="AE10" s="13">
        <f>_xlfn.RANK.EQ(all[[#This Row],[FTA]],all[FTA])</f>
        <v>12</v>
      </c>
      <c r="AF10" s="7">
        <f>AVERAGE(ilirija[FTp])</f>
        <v>0.65</v>
      </c>
      <c r="AG10" s="13">
        <f>_xlfn.RANK.EQ(all[[#This Row],[FTp]],all[FTp])</f>
        <v>16</v>
      </c>
      <c r="AH10" s="6">
        <f>AVERAGE(ilirija[ORB])</f>
        <v>10</v>
      </c>
      <c r="AI10" s="13">
        <f>_xlfn.RANK.EQ(all[[#This Row],[ORB]],all[ORB])</f>
        <v>11</v>
      </c>
      <c r="AJ10" s="6">
        <f>AVERAGE(ilirija[DRB])</f>
        <v>16</v>
      </c>
      <c r="AK10" s="13">
        <f>_xlfn.RANK.EQ(all[[#This Row],[DRB]],all[DRB])</f>
        <v>17</v>
      </c>
      <c r="AL10" s="6">
        <f>AVERAGE(ilirija[TRB])</f>
        <v>26</v>
      </c>
      <c r="AM10" s="13">
        <f>_xlfn.RANK.EQ(all[[#This Row],[TRB]],all[TRB])</f>
        <v>18</v>
      </c>
      <c r="AN10" s="6">
        <f>AVERAGE(ilirija[AST])</f>
        <v>17</v>
      </c>
      <c r="AO10" s="13">
        <f>_xlfn.RANK.EQ(all[[#This Row],[AST]],all[AST])</f>
        <v>10</v>
      </c>
      <c r="AP10" s="6">
        <f>AVERAGE(ilirija[STL])</f>
        <v>6</v>
      </c>
      <c r="AQ10" s="13">
        <f>_xlfn.RANK.EQ(all[[#This Row],[STL]],all[STL])</f>
        <v>11</v>
      </c>
      <c r="AR10" s="6">
        <f>AVERAGE(ilirija[BLK])</f>
        <v>0</v>
      </c>
      <c r="AS10" s="13">
        <f>_xlfn.RANK.EQ(all[[#This Row],[BLK]],all[BLK])</f>
        <v>14</v>
      </c>
      <c r="AT10" s="6">
        <f>AVERAGE(ilirija[TOV])</f>
        <v>14</v>
      </c>
      <c r="AU10" s="13">
        <f>_xlfn.RANK.EQ(all[[#This Row],[TOV]],all[TOV],1)</f>
        <v>7</v>
      </c>
      <c r="AV10" s="6">
        <f>AVERAGE(ilirija[PF])</f>
        <v>26</v>
      </c>
      <c r="AW10" s="13">
        <f>_xlfn.RANK.EQ(all[[#This Row],[PF]],all[PF],1)</f>
        <v>15</v>
      </c>
      <c r="AX10" s="6">
        <f>AVERAGE(ilirija[FGAop])</f>
        <v>60</v>
      </c>
      <c r="AY10" s="13">
        <f>_xlfn.RANK.EQ(all[[#This Row],[FGA opp]],all[FGA opp],1)</f>
        <v>6</v>
      </c>
      <c r="AZ10" s="6">
        <f>AVERAGE(ilirija[FGMop])</f>
        <v>28</v>
      </c>
      <c r="BA10" s="13">
        <f>_xlfn.RANK.EQ(all[[#This Row],[FGM opp]],all[FGM opp],1)</f>
        <v>6</v>
      </c>
      <c r="BB10" s="7">
        <f>AVERAGE(ilirija[FGpop])</f>
        <v>0.4667</v>
      </c>
      <c r="BC10" s="13">
        <f>_xlfn.RANK.EQ(all[[#This Row],[FGp opp]],all[FGp opp],1)</f>
        <v>8</v>
      </c>
      <c r="BD10" s="6">
        <f>AVERAGE(ilirija[P2Mop])</f>
        <v>19</v>
      </c>
      <c r="BE10" s="13">
        <f>_xlfn.RANK.EQ(all[[#This Row],[P2M opp]],all[P2M opp],1)</f>
        <v>8</v>
      </c>
      <c r="BF10" s="6">
        <f>AVERAGE(ilirija[P2Aop])</f>
        <v>32</v>
      </c>
      <c r="BG10" s="13">
        <f>_xlfn.RANK.EQ(all[[#This Row],[P2A opp]],all[P2A opp],1)</f>
        <v>3</v>
      </c>
      <c r="BH10">
        <f>AVERAGE(ilirija[P2pop])</f>
        <v>0.59379999999999999</v>
      </c>
      <c r="BI10" s="13">
        <f>_xlfn.RANK.EQ(all[[#This Row],[P2p opp]],all[P2p opp],1)</f>
        <v>14</v>
      </c>
      <c r="BJ10" s="6">
        <f>AVERAGE(ilirija[P3Mop])</f>
        <v>9</v>
      </c>
      <c r="BK10" s="13">
        <f>_xlfn.RANK.EQ(all[[#This Row],[P3M opp]],all[P3M opp],1)</f>
        <v>8</v>
      </c>
      <c r="BL10" s="6">
        <f>AVERAGE(ilirija[P3Aop])</f>
        <v>28</v>
      </c>
      <c r="BM10" s="13">
        <f>_xlfn.RANK.EQ(all[[#This Row],[P3A opp]],all[P3A opp],1)</f>
        <v>12</v>
      </c>
      <c r="BN10" s="7">
        <f>AVERAGE(ilirija[P3pop])</f>
        <v>0.32140000000000002</v>
      </c>
      <c r="BO10" s="13">
        <f>_xlfn.RANK.EQ(all[[#This Row],[P3p opp]],all[P3p opp],1)</f>
        <v>9</v>
      </c>
      <c r="BP10" s="6">
        <f>AVERAGE(ilirija[FTMop])</f>
        <v>20</v>
      </c>
      <c r="BQ10" s="13">
        <f>_xlfn.RANK.EQ(all[[#This Row],[FTM opp]],all[FTM opp],1)</f>
        <v>14</v>
      </c>
      <c r="BR10" s="6">
        <f>AVERAGE(ilirija[FTAop])</f>
        <v>24</v>
      </c>
      <c r="BS10" s="13">
        <f>_xlfn.RANK.EQ(all[[#This Row],[FTA opp]],all[FTA opp],1)</f>
        <v>11</v>
      </c>
      <c r="BT10" s="7">
        <f>AVERAGE(ilirija[FTpop])</f>
        <v>0.83330000000000004</v>
      </c>
      <c r="BU10" s="13">
        <f>_xlfn.RANK.EQ(all[[#This Row],[FTp opp]],all[FTp opp],1)</f>
        <v>15</v>
      </c>
      <c r="BV10" s="6">
        <f>AVERAGE(ilirija[ORBop])</f>
        <v>12</v>
      </c>
      <c r="BW10" s="13">
        <f>_xlfn.RANK.EQ(all[[#This Row],[ORB opp]],all[ORB opp],1)</f>
        <v>11</v>
      </c>
      <c r="BX10" s="6">
        <f>AVERAGE(ilirija[DRBop])</f>
        <v>21</v>
      </c>
      <c r="BY10" s="13">
        <f>_xlfn.RANK.EQ(all[[#This Row],[DRB opp]],all[DRB opp],1)</f>
        <v>5</v>
      </c>
      <c r="BZ10" s="6">
        <f>AVERAGE(ilirija[TRBop])</f>
        <v>33</v>
      </c>
      <c r="CA10" s="13">
        <f>_xlfn.RANK.EQ(all[[#This Row],[TRB opp]],all[TRB opp],1)</f>
        <v>5</v>
      </c>
      <c r="CB10" s="6">
        <f>AVERAGE(ilirija[ASTop])</f>
        <v>18</v>
      </c>
      <c r="CC10" s="13">
        <f>_xlfn.RANK.EQ(all[[#This Row],[AST opp]],all[AST opp],1)</f>
        <v>10</v>
      </c>
      <c r="CD10" s="6">
        <f>AVERAGE(ilirija[STLop])</f>
        <v>2</v>
      </c>
      <c r="CE10" s="13">
        <f>_xlfn.RANK.EQ(all[[#This Row],[STL opp]],all[STL opp],1)</f>
        <v>1</v>
      </c>
      <c r="CF10" s="6">
        <f>AVERAGE(ilirija[BLKop])</f>
        <v>1</v>
      </c>
      <c r="CG10" s="13">
        <f>_xlfn.RANK.EQ(all[[#This Row],[BLK opp]],all[BLK opp],1)</f>
        <v>3</v>
      </c>
      <c r="CH10" s="6">
        <f>AVERAGE(ilirija[TOVop])</f>
        <v>16</v>
      </c>
      <c r="CI10" s="13">
        <f>_xlfn.RANK.EQ(all[[#This Row],[TOV opp]],all[TOV opp])</f>
        <v>6</v>
      </c>
      <c r="CJ10" s="6">
        <f>AVERAGE(ilirija[PFop])</f>
        <v>24</v>
      </c>
      <c r="CK10" s="13">
        <f>_xlfn.RANK.EQ(all[[#This Row],[PF opp]],all[PF opp])</f>
        <v>8</v>
      </c>
      <c r="CL10" s="7">
        <f>AVERAGE(ilirija[TS%])</f>
        <v>0.57689999999999997</v>
      </c>
      <c r="CM10" s="13">
        <f>_xlfn.RANK.EQ(all[[#This Row],[TSp]],all[TSp])</f>
        <v>12</v>
      </c>
      <c r="CN10" s="7">
        <f>AVERAGE(ilirija[eFG%])</f>
        <v>0.55469999999999997</v>
      </c>
      <c r="CO10" s="13">
        <f>_xlfn.RANK.EQ(all[[#This Row],[eFGp]],all[eFGp])</f>
        <v>10</v>
      </c>
      <c r="CP10" s="7">
        <f>AVERAGE(ilirija[ORB%])</f>
        <v>0.3226</v>
      </c>
      <c r="CQ10" s="13">
        <f>_xlfn.RANK.EQ(all[[#This Row],[ORBp]],all[ORBp])</f>
        <v>10</v>
      </c>
      <c r="CR10" s="7">
        <f>AVERAGE(ilirija[DRB%])</f>
        <v>0.57140000000000002</v>
      </c>
      <c r="CS10" s="13">
        <f>_xlfn.RANK.EQ(all[[#This Row],[DRBp]],all[DRBp])</f>
        <v>17</v>
      </c>
      <c r="CT10" s="7">
        <f>AVERAGE(ilirija[TRB%])</f>
        <v>0.44069999999999998</v>
      </c>
      <c r="CU10" s="13">
        <f>_xlfn.RANK.EQ(all[[#This Row],[TRBp]],all[TRBp])</f>
        <v>18</v>
      </c>
      <c r="CV10" s="6">
        <f>AVERAGE(ilirija[Poss])</f>
        <v>72.007999999999996</v>
      </c>
      <c r="CW10" s="13">
        <f>_xlfn.RANK.EQ(all[[#This Row],[Poss]],all[Poss])</f>
        <v>13</v>
      </c>
      <c r="CX10" s="7">
        <f>AVERAGE(ilirija[AST%])</f>
        <v>0.56669999999999998</v>
      </c>
      <c r="CY10" s="13">
        <f>_xlfn.RANK.EQ(all[[#This Row],[ASTp]],all[ASTp])</f>
        <v>12</v>
      </c>
      <c r="CZ10" s="7">
        <f>AVERAGE(ilirija[FTFGA%])</f>
        <v>0.2031</v>
      </c>
      <c r="DA10" s="13">
        <f>_xlfn.RANK.EQ(all[[#This Row],[FTFGAp]],all[FTFGAp])</f>
        <v>15</v>
      </c>
      <c r="DB10" s="7">
        <f>AVERAGE(ilirija[TOV%])</f>
        <v>0.1613</v>
      </c>
      <c r="DC10" s="13">
        <f>_xlfn.RANK.EQ(all[[#This Row],[TOVp]],all[TOVp],1)</f>
        <v>8</v>
      </c>
      <c r="DD10" s="6">
        <f>AVERAGE(ilirija[ORtg])</f>
        <v>115.7</v>
      </c>
      <c r="DE10" s="13">
        <f>_xlfn.RANK.EQ(all[[#This Row],[ORtg]],all[ORtg])</f>
        <v>11</v>
      </c>
      <c r="DF10" s="6">
        <f>AVERAGE(ilirija[DRtg])</f>
        <v>117.1</v>
      </c>
      <c r="DG10" s="13">
        <f>_xlfn.RANK.EQ(all[[#This Row],[DRtg]],all[DRtg],1)</f>
        <v>11</v>
      </c>
      <c r="DH10" s="6">
        <f>AVERAGE(ilirija[Pace])</f>
        <v>72.578500000000005</v>
      </c>
      <c r="DI10" s="13">
        <f>_xlfn.RANK.EQ(all[[#This Row],[Pace]],all[Pace])</f>
        <v>11</v>
      </c>
      <c r="DJ10" s="7">
        <f>AVERAGE(ilirija[TS%op])</f>
        <v>0.60229999999999995</v>
      </c>
      <c r="DK10" s="13">
        <f>_xlfn.RANK.EQ(all[[#This Row],[TSp opp]],all[TSp opp],1)</f>
        <v>10</v>
      </c>
      <c r="DL10" s="7">
        <f>AVERAGE(ilirija[eFG%op])</f>
        <v>0.54169999999999996</v>
      </c>
      <c r="DM10" s="13">
        <f>_xlfn.RANK.EQ(all[[#This Row],[eFGp opp]],all[eFGp opp],1)</f>
        <v>8</v>
      </c>
      <c r="DN10" s="7">
        <f>AVERAGE(ilirija[ORB%op])</f>
        <v>0.42859999999999998</v>
      </c>
      <c r="DO10" s="13">
        <f>_xlfn.RANK.EQ(all[[#This Row],[ORBp opp]],all[ORBp opp],1)</f>
        <v>17</v>
      </c>
      <c r="DP10" s="7">
        <f>AVERAGE(ilirija[DRB%op])</f>
        <v>0.6774</v>
      </c>
      <c r="DQ10" s="13">
        <f>_xlfn.RANK.EQ(all[[#This Row],[DRBp opp]],all[DRBp opp],1)</f>
        <v>10</v>
      </c>
      <c r="DR10" s="7">
        <f>AVERAGE(ilirija[TRB%op])</f>
        <v>0.55930000000000002</v>
      </c>
      <c r="DS10" s="13">
        <f>_xlfn.RANK.EQ(all[[#This Row],[TRBp opp]],all[TRBp opp],1)</f>
        <v>18</v>
      </c>
      <c r="DT10" s="6">
        <f>AVERAGE(ilirija[Possop])</f>
        <v>73.149000000000001</v>
      </c>
      <c r="DU10" s="13">
        <f>_xlfn.RANK.EQ(all[[#This Row],[Poss opp]],all[Poss opp],1)</f>
        <v>8</v>
      </c>
      <c r="DV10" s="7">
        <f>AVERAGE(ilirija[AST%op])</f>
        <v>0.64290000000000003</v>
      </c>
      <c r="DW10" s="13">
        <f>_xlfn.RANK.EQ(all[[#This Row],[ASTp opp]],all[ASTp opp],1)</f>
        <v>14</v>
      </c>
      <c r="DX10" s="7">
        <f>AVERAGE(ilirija[FTFGA%op])</f>
        <v>0.33329999999999999</v>
      </c>
      <c r="DY10" s="13">
        <f>_xlfn.RANK.EQ(all[[#This Row],[FTFGAp opp]],all[FTFGAp opp],1)</f>
        <v>14</v>
      </c>
      <c r="DZ10" s="7">
        <f>AVERAGE(ilirija[TOV%op])</f>
        <v>0.18479999999999999</v>
      </c>
      <c r="EA10" s="13">
        <f>_xlfn.RANK.EQ(all[[#This Row],[TOVp opp]],all[TOVp opp])</f>
        <v>6</v>
      </c>
      <c r="EB10" s="6">
        <f>AVERAGE(ilirija[ORtgop])</f>
        <v>117.1</v>
      </c>
      <c r="EC10" s="13">
        <f>_xlfn.RANK.EQ(all[[#This Row],[ORtg opp]],all[ORtg opp],1)</f>
        <v>11</v>
      </c>
      <c r="ED10" s="6">
        <f>AVERAGE(ilirija[DRtgop])</f>
        <v>115.7</v>
      </c>
      <c r="EE10" s="13">
        <f>_xlfn.RANK.EQ(all[[#This Row],[DRtg opp]],all[DRtg opp])</f>
        <v>11</v>
      </c>
      <c r="EF10" s="6">
        <f>AVERAGE(ilirija[Q1H])</f>
        <v>18</v>
      </c>
      <c r="EG10" s="13">
        <f>_xlfn.RANK.EQ(all[[#This Row],[Q1H]],all[Q1H])</f>
        <v>16</v>
      </c>
      <c r="EH10" s="6">
        <f>AVERAGE(ilirija[Q2H])</f>
        <v>19</v>
      </c>
      <c r="EI10" s="13">
        <f>_xlfn.RANK.EQ(all[[#This Row],[Q2H]],all[Q2H])</f>
        <v>10</v>
      </c>
      <c r="EJ10" s="6">
        <f>AVERAGE(ilirija[Q3H])</f>
        <v>33</v>
      </c>
      <c r="EK10" s="13">
        <f>_xlfn.RANK.EQ(all[[#This Row],[Q3H]],all[Q3H])</f>
        <v>1</v>
      </c>
      <c r="EL10" s="6">
        <f>AVERAGE(ilirija[Q4H])</f>
        <v>14</v>
      </c>
      <c r="EM10" s="13">
        <f>_xlfn.RANK.EQ(all[[#This Row],[Q4H]],all[Q4H])</f>
        <v>18</v>
      </c>
      <c r="EN10" s="6">
        <f>AVERAGE(ilirija[Q1A])</f>
        <v>22</v>
      </c>
      <c r="EO10" s="13">
        <f>_xlfn.RANK.EQ(all[[#This Row],[Q1A]],all[Q1A],1)</f>
        <v>11</v>
      </c>
      <c r="EP10" s="6">
        <f>AVERAGE(ilirija[Q2A])</f>
        <v>26</v>
      </c>
      <c r="EQ10" s="13">
        <f>_xlfn.RANK.EQ(all[[#This Row],[Q2A]],all[Q2A],1)</f>
        <v>15</v>
      </c>
      <c r="ER10" s="6">
        <f>AVERAGE(ilirija[Q3A])</f>
        <v>17</v>
      </c>
      <c r="ES10" s="13">
        <f>_xlfn.RANK.EQ(all[[#This Row],[Q3A]],all[Q3A],1)</f>
        <v>5</v>
      </c>
      <c r="ET10" s="6">
        <f>AVERAGE(ilirija[Q4A])</f>
        <v>20</v>
      </c>
      <c r="EU10" s="13">
        <f>_xlfn.RANK.EQ(all[[#This Row],[Q4A]],all[Q4A],1)</f>
        <v>10</v>
      </c>
      <c r="EV10" s="6">
        <f>AVERAGE(ilirija[FhalfH])</f>
        <v>37</v>
      </c>
      <c r="EW10" s="13">
        <f>_xlfn.RANK.EQ(all[[#This Row],[FHH]],all[FHH])</f>
        <v>15</v>
      </c>
      <c r="EX10" s="5">
        <f>AVERAGE(ilirija[FhalfA])</f>
        <v>48</v>
      </c>
      <c r="EY10" s="13">
        <f>_xlfn.RANK.EQ(all[[#This Row],[FHA]],all[FHA],1)</f>
        <v>14</v>
      </c>
      <c r="EZ10" s="6">
        <f>AVERAGE(ilirija[ShalfH])</f>
        <v>47</v>
      </c>
      <c r="FA10" s="13">
        <f>_xlfn.RANK.EQ(all[[#This Row],[SHH]],all[SHH])</f>
        <v>5</v>
      </c>
      <c r="FB10" s="6">
        <f>AVERAGE(ilirija[ShalfA])</f>
        <v>37</v>
      </c>
      <c r="FC10" s="13">
        <f>_xlfn.RANK.EQ(all[[#This Row],[SHA]],all[SHA],1)</f>
        <v>8</v>
      </c>
      <c r="FD10" s="6" t="e">
        <f ca="1">AVERAGE(LARGE(OFFSET(ilirija[Home_scored],COUNTA(ilirija[Home_scored])-5, 0, 5, 1),2), LARGE(OFFSET(ilirija[Home_scored],COUNTA(ilirija[Home_scored])-5, 0, 5, 1),3),LARGE(OFFSET(ilirija[Home_scored],COUNTA(ilirija[Home_scored])-5, 0, 5, 1),4))</f>
        <v>#REF!</v>
      </c>
      <c r="FE10" s="6" t="e">
        <f ca="1">AVERAGE(LARGE(OFFSET(ilirija[Away_scored],COUNTA(ilirija[Away_scored])-5, 0, 5, 1),2), LARGE(OFFSET(ilirija[Away_scored],COUNTA(ilirija[Away_scored])-5, 0, 5, 1),3),LARGE(OFFSET(ilirija[Away_scored],COUNTA(ilirija[Away_scored])-5, 0, 5, 1),4))</f>
        <v>#REF!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12</v>
      </c>
      <c r="FJ10" s="5">
        <f t="shared" si="0"/>
        <v>10.307692307692308</v>
      </c>
      <c r="FK10" s="6">
        <f>all[[#This Row],[Q1H]]+all[[#This Row],[Q1A]]</f>
        <v>40</v>
      </c>
      <c r="FL10" s="13">
        <f>_xlfn.RANK.EQ(all[[#This Row],[Q1T]],all[Q1T])</f>
        <v>14</v>
      </c>
      <c r="FM10" s="6">
        <f>all[[#This Row],[Q2H]]+all[[#This Row],[Q2A]]</f>
        <v>45</v>
      </c>
      <c r="FN10" s="13">
        <f>_xlfn.RANK.EQ(all[[#This Row],[Q2T]],all[Q2T])</f>
        <v>5</v>
      </c>
      <c r="FO10" s="6">
        <f>all[[#This Row],[Q3H]]+all[[#This Row],[Q3A]]</f>
        <v>50</v>
      </c>
      <c r="FP10" s="13">
        <f>_xlfn.RANK.EQ(all[[#This Row],[Q3T]],all[Q3T])</f>
        <v>2</v>
      </c>
      <c r="FQ10" s="6">
        <f>all[[#This Row],[Q4H]]+all[[#This Row],[Q4A]]</f>
        <v>34</v>
      </c>
      <c r="FR10" s="13">
        <f>_xlfn.RANK.EQ(all[[#This Row],[Q4T]],all[Q4T])</f>
        <v>14</v>
      </c>
      <c r="FS10" s="6">
        <f>all[[#This Row],[FHH]]+all[[#This Row],[FHA]]</f>
        <v>85</v>
      </c>
      <c r="FT10" s="13">
        <f>_xlfn.RANK.EQ(all[[#This Row],[FHT]],all[FHT])</f>
        <v>10</v>
      </c>
      <c r="FU10" s="6">
        <f>all[[#This Row],[SHH]]+all[[#This Row],[SHA]]</f>
        <v>84</v>
      </c>
      <c r="FV10" s="13">
        <f>_xlfn.RANK.EQ(all[[#This Row],[SHT]],all[SHT])</f>
        <v>9</v>
      </c>
      <c r="FW10" s="6">
        <f ca="1">SUM(INDIRECT(all[[#This Row],[Table name]]&amp;"[BetH]"))</f>
        <v>-1</v>
      </c>
      <c r="FX10" s="13">
        <f ca="1">_xlfn.RANK.EQ(all[[#This Row],[BetH]],all[BetH])</f>
        <v>12</v>
      </c>
      <c r="FY10" s="6">
        <f ca="1">SUM(INDIRECT(all[[#This Row],[Table name]]&amp;"[BetA]"))</f>
        <v>1.2000000000000002</v>
      </c>
      <c r="FZ10" s="13">
        <f ca="1">_xlfn.RANK.EQ(all[[#This Row],[BetA]],all[BetA])</f>
        <v>3</v>
      </c>
      <c r="GA10" s="13">
        <f ca="1">SUM(INDIRECT(all[[#This Row],[Table name]]&amp;"[Tover]"))</f>
        <v>1</v>
      </c>
      <c r="GB10" s="13">
        <f ca="1">_xlfn.RANK.EQ(all[[#This Row],[Tover]],all[Tover])</f>
        <v>1</v>
      </c>
      <c r="GC10" s="6">
        <f ca="1">AVERAGE(INDIRECT(all[[#This Row],[Table name]]&amp;"[Deviation]"))</f>
        <v>5</v>
      </c>
      <c r="GD10" s="13">
        <f ca="1">_xlfn.RANK.EQ(all[[#This Row],[Deviation]],all[Deviation],1)</f>
        <v>3</v>
      </c>
    </row>
    <row r="11" spans="1:186" x14ac:dyDescent="0.25">
      <c r="A11" s="9" t="s">
        <v>365</v>
      </c>
      <c r="B11" t="s">
        <v>363</v>
      </c>
      <c r="C11" t="s">
        <v>366</v>
      </c>
      <c r="D11" t="s">
        <v>364</v>
      </c>
      <c r="E11">
        <f>_xlfn.RANK.EQ(all[[#This Row],[AVG_RT]],all[AVG_RT],1)</f>
        <v>3</v>
      </c>
      <c r="F11" s="6">
        <f>AVERAGE(bosna[Home_scored])</f>
        <v>100</v>
      </c>
      <c r="G11" s="13">
        <f>_xlfn.RANK.EQ(all[[#This Row],[PM]],all[PM])</f>
        <v>1</v>
      </c>
      <c r="H11" s="6">
        <f>AVERAGE(bosna[Away_scored])</f>
        <v>85</v>
      </c>
      <c r="I11" s="13">
        <f>_xlfn.RANK.EQ(all[[#This Row],[PC]],all[PC],1)</f>
        <v>9</v>
      </c>
      <c r="J11" s="6">
        <f>AVERAGE(bosna[FGA])</f>
        <v>60</v>
      </c>
      <c r="K11" s="13">
        <f>_xlfn.RANK.EQ(all[[#This Row],[FGA]],all[FGA])</f>
        <v>10</v>
      </c>
      <c r="L11" s="6">
        <f>AVERAGE(bosna[FGM])</f>
        <v>34</v>
      </c>
      <c r="M11" s="13">
        <f>_xlfn.RANK.EQ(all[[#This Row],[FGM]],all[FGM])</f>
        <v>1</v>
      </c>
      <c r="N11" s="7">
        <f>AVERAGE(bosna[FGp])</f>
        <v>0.56669999999999998</v>
      </c>
      <c r="O11" s="13">
        <f>_xlfn.RANK.EQ(all[[#This Row],[FGp]],all[FGp])</f>
        <v>1</v>
      </c>
      <c r="P11" s="6">
        <f>AVERAGE(bosna[P2M])</f>
        <v>27</v>
      </c>
      <c r="Q11" s="13">
        <f>_xlfn.RANK.EQ(all[[#This Row],[P2M]],all[P2M])</f>
        <v>1</v>
      </c>
      <c r="R11" s="6">
        <f>AVERAGE(bosna[P2A])</f>
        <v>37</v>
      </c>
      <c r="S11" s="13">
        <f>_xlfn.RANK.EQ(all[[#This Row],[P2A]],all[P2A])</f>
        <v>10</v>
      </c>
      <c r="T11" s="7">
        <f>AVERAGE(bosna[P2p])</f>
        <v>0.72970000000000002</v>
      </c>
      <c r="U11" s="13">
        <f>_xlfn.RANK.EQ(all[[#This Row],[P2p]],all[P2p])</f>
        <v>2</v>
      </c>
      <c r="V11" s="6">
        <f>AVERAGE(bosna[P3M])</f>
        <v>7</v>
      </c>
      <c r="W11" s="13">
        <f>_xlfn.RANK.EQ(all[[#This Row],[P3M]],all[P3M])</f>
        <v>15</v>
      </c>
      <c r="X11" s="6">
        <f>AVERAGE(bosna[P3A])</f>
        <v>23</v>
      </c>
      <c r="Y11" s="13">
        <f>_xlfn.RANK.EQ(all[[#This Row],[P3A]],all[P3A])</f>
        <v>11</v>
      </c>
      <c r="Z11" s="7">
        <f>AVERAGE(bosna[P3p])</f>
        <v>0.30430000000000001</v>
      </c>
      <c r="AA11" s="13">
        <f>_xlfn.RANK.EQ(all[[#This Row],[P3p]],all[P3p])</f>
        <v>13</v>
      </c>
      <c r="AB11" s="6">
        <f>AVERAGE(bosna[FTM])</f>
        <v>25</v>
      </c>
      <c r="AC11" s="13">
        <f>_xlfn.RANK.EQ(all[[#This Row],[FTM]],all[FTM])</f>
        <v>5</v>
      </c>
      <c r="AD11" s="6">
        <f>AVERAGE(bosna[FTA])</f>
        <v>28</v>
      </c>
      <c r="AE11" s="13">
        <f>_xlfn.RANK.EQ(all[[#This Row],[FTA]],all[FTA])</f>
        <v>6</v>
      </c>
      <c r="AF11" s="7">
        <f>AVERAGE(bosna[FTp])</f>
        <v>0.89290000000000003</v>
      </c>
      <c r="AG11" s="13">
        <f>_xlfn.RANK.EQ(all[[#This Row],[FTp]],all[FTp])</f>
        <v>4</v>
      </c>
      <c r="AH11" s="6">
        <f>AVERAGE(bosna[ORB])</f>
        <v>10</v>
      </c>
      <c r="AI11" s="13">
        <f>_xlfn.RANK.EQ(all[[#This Row],[ORB]],all[ORB])</f>
        <v>11</v>
      </c>
      <c r="AJ11" s="6">
        <f>AVERAGE(bosna[DRB])</f>
        <v>30</v>
      </c>
      <c r="AK11" s="13">
        <f>_xlfn.RANK.EQ(all[[#This Row],[DRB]],all[DRB])</f>
        <v>2</v>
      </c>
      <c r="AL11" s="6">
        <f>AVERAGE(bosna[TRB])</f>
        <v>40</v>
      </c>
      <c r="AM11" s="13">
        <f>_xlfn.RANK.EQ(all[[#This Row],[TRB]],all[TRB])</f>
        <v>5</v>
      </c>
      <c r="AN11" s="6">
        <f>AVERAGE(bosna[AST])</f>
        <v>18</v>
      </c>
      <c r="AO11" s="13">
        <f>_xlfn.RANK.EQ(all[[#This Row],[AST]],all[AST])</f>
        <v>7</v>
      </c>
      <c r="AP11" s="6">
        <f>AVERAGE(bosna[STL])</f>
        <v>6</v>
      </c>
      <c r="AQ11" s="13">
        <f>_xlfn.RANK.EQ(all[[#This Row],[STL]],all[STL])</f>
        <v>11</v>
      </c>
      <c r="AR11" s="6">
        <f>AVERAGE(bosna[BLK])</f>
        <v>5</v>
      </c>
      <c r="AS11" s="13">
        <f>_xlfn.RANK.EQ(all[[#This Row],[BLK]],all[BLK])</f>
        <v>1</v>
      </c>
      <c r="AT11" s="6">
        <f>AVERAGE(bosna[TOV])</f>
        <v>14</v>
      </c>
      <c r="AU11" s="13">
        <f>_xlfn.RANK.EQ(all[[#This Row],[TOV]],all[TOV],1)</f>
        <v>7</v>
      </c>
      <c r="AV11" s="6">
        <f>AVERAGE(bosna[PF])</f>
        <v>21</v>
      </c>
      <c r="AW11" s="13">
        <f>_xlfn.RANK.EQ(all[[#This Row],[PF]],all[PF],1)</f>
        <v>4</v>
      </c>
      <c r="AX11" s="6">
        <f>AVERAGE(bosna[FGAop])</f>
        <v>74</v>
      </c>
      <c r="AY11" s="13">
        <f>_xlfn.RANK.EQ(all[[#This Row],[FGA opp]],all[FGA opp],1)</f>
        <v>17</v>
      </c>
      <c r="AZ11" s="6">
        <f>AVERAGE(bosna[FGMop])</f>
        <v>28</v>
      </c>
      <c r="BA11" s="13">
        <f>_xlfn.RANK.EQ(all[[#This Row],[FGM opp]],all[FGM opp],1)</f>
        <v>6</v>
      </c>
      <c r="BB11" s="7">
        <f>AVERAGE(bosna[FGpop])</f>
        <v>0.37840000000000001</v>
      </c>
      <c r="BC11" s="13">
        <f>_xlfn.RANK.EQ(all[[#This Row],[FGp opp]],all[FGp opp],1)</f>
        <v>3</v>
      </c>
      <c r="BD11" s="6">
        <f>AVERAGE(bosna[P2Mop])</f>
        <v>18</v>
      </c>
      <c r="BE11" s="13">
        <f>_xlfn.RANK.EQ(all[[#This Row],[P2M opp]],all[P2M opp],1)</f>
        <v>6</v>
      </c>
      <c r="BF11" s="6">
        <f>AVERAGE(bosna[P2Aop])</f>
        <v>40</v>
      </c>
      <c r="BG11" s="13">
        <f>_xlfn.RANK.EQ(all[[#This Row],[P2A opp]],all[P2A opp],1)</f>
        <v>13</v>
      </c>
      <c r="BH11">
        <f>AVERAGE(bosna[P2pop])</f>
        <v>0.45</v>
      </c>
      <c r="BI11" s="13">
        <f>_xlfn.RANK.EQ(all[[#This Row],[P2p opp]],all[P2p opp],1)</f>
        <v>6</v>
      </c>
      <c r="BJ11" s="6">
        <f>AVERAGE(bosna[P3Mop])</f>
        <v>10</v>
      </c>
      <c r="BK11" s="13">
        <f>_xlfn.RANK.EQ(all[[#This Row],[P3M opp]],all[P3M opp],1)</f>
        <v>13</v>
      </c>
      <c r="BL11" s="6">
        <f>AVERAGE(bosna[P3Aop])</f>
        <v>34</v>
      </c>
      <c r="BM11" s="13">
        <f>_xlfn.RANK.EQ(all[[#This Row],[P3A opp]],all[P3A opp],1)</f>
        <v>18</v>
      </c>
      <c r="BN11" s="7">
        <f>AVERAGE(bosna[P3pop])</f>
        <v>0.29409999999999997</v>
      </c>
      <c r="BO11" s="13">
        <f>_xlfn.RANK.EQ(all[[#This Row],[P3p opp]],all[P3p opp],1)</f>
        <v>6</v>
      </c>
      <c r="BP11" s="6">
        <f>AVERAGE(bosna[FTMop])</f>
        <v>19</v>
      </c>
      <c r="BQ11" s="13">
        <f>_xlfn.RANK.EQ(all[[#This Row],[FTM opp]],all[FTM opp],1)</f>
        <v>13</v>
      </c>
      <c r="BR11" s="6">
        <f>AVERAGE(bosna[FTAop])</f>
        <v>28</v>
      </c>
      <c r="BS11" s="13">
        <f>_xlfn.RANK.EQ(all[[#This Row],[FTA opp]],all[FTA opp],1)</f>
        <v>14</v>
      </c>
      <c r="BT11" s="7">
        <f>AVERAGE(bosna[FTpop])</f>
        <v>0.67859999999999998</v>
      </c>
      <c r="BU11" s="13">
        <f>_xlfn.RANK.EQ(all[[#This Row],[FTp opp]],all[FTp opp],1)</f>
        <v>6</v>
      </c>
      <c r="BV11" s="6">
        <f>AVERAGE(bosna[ORBop])</f>
        <v>22</v>
      </c>
      <c r="BW11" s="13">
        <f>_xlfn.RANK.EQ(all[[#This Row],[ORB opp]],all[ORB opp],1)</f>
        <v>18</v>
      </c>
      <c r="BX11" s="6">
        <f>AVERAGE(bosna[DRBop])</f>
        <v>16</v>
      </c>
      <c r="BY11" s="13">
        <f>_xlfn.RANK.EQ(all[[#This Row],[DRB opp]],all[DRB opp],1)</f>
        <v>2</v>
      </c>
      <c r="BZ11" s="6">
        <f>AVERAGE(bosna[TRBop])</f>
        <v>38</v>
      </c>
      <c r="CA11" s="13">
        <f>_xlfn.RANK.EQ(all[[#This Row],[TRB opp]],all[TRB opp],1)</f>
        <v>13</v>
      </c>
      <c r="CB11" s="6">
        <f>AVERAGE(bosna[ASTop])</f>
        <v>15</v>
      </c>
      <c r="CC11" s="13">
        <f>_xlfn.RANK.EQ(all[[#This Row],[AST opp]],all[AST opp],1)</f>
        <v>6</v>
      </c>
      <c r="CD11" s="6">
        <f>AVERAGE(bosna[STLop])</f>
        <v>7</v>
      </c>
      <c r="CE11" s="13">
        <f>_xlfn.RANK.EQ(all[[#This Row],[STL opp]],all[STL opp],1)</f>
        <v>9</v>
      </c>
      <c r="CF11" s="6">
        <f>AVERAGE(bosna[BLKop])</f>
        <v>1</v>
      </c>
      <c r="CG11" s="13">
        <f>_xlfn.RANK.EQ(all[[#This Row],[BLK opp]],all[BLK opp],1)</f>
        <v>3</v>
      </c>
      <c r="CH11" s="6">
        <f>AVERAGE(bosna[TOVop])</f>
        <v>13</v>
      </c>
      <c r="CI11" s="13">
        <f>_xlfn.RANK.EQ(all[[#This Row],[TOV opp]],all[TOV opp])</f>
        <v>13</v>
      </c>
      <c r="CJ11" s="6">
        <f>AVERAGE(bosna[PFop])</f>
        <v>26</v>
      </c>
      <c r="CK11" s="13">
        <f>_xlfn.RANK.EQ(all[[#This Row],[PF opp]],all[PF opp])</f>
        <v>6</v>
      </c>
      <c r="CL11" s="7">
        <f>AVERAGE(bosna[TS%])</f>
        <v>0.69140000000000001</v>
      </c>
      <c r="CM11" s="13">
        <f>_xlfn.RANK.EQ(all[[#This Row],[TSp]],all[TSp])</f>
        <v>1</v>
      </c>
      <c r="CN11" s="7">
        <f>AVERAGE(bosna[eFG%])</f>
        <v>0.625</v>
      </c>
      <c r="CO11" s="13">
        <f>_xlfn.RANK.EQ(all[[#This Row],[eFGp]],all[eFGp])</f>
        <v>1</v>
      </c>
      <c r="CP11" s="7">
        <f>AVERAGE(bosna[ORB%])</f>
        <v>0.3846</v>
      </c>
      <c r="CQ11" s="13">
        <f>_xlfn.RANK.EQ(all[[#This Row],[ORBp]],all[ORBp])</f>
        <v>7</v>
      </c>
      <c r="CR11" s="7">
        <f>AVERAGE(bosna[DRB%])</f>
        <v>0.57689999999999997</v>
      </c>
      <c r="CS11" s="13">
        <f>_xlfn.RANK.EQ(all[[#This Row],[DRBp]],all[DRBp])</f>
        <v>16</v>
      </c>
      <c r="CT11" s="7">
        <f>AVERAGE(bosna[TRB%])</f>
        <v>0.51280000000000003</v>
      </c>
      <c r="CU11" s="13">
        <f>_xlfn.RANK.EQ(all[[#This Row],[TRBp]],all[TRBp])</f>
        <v>6</v>
      </c>
      <c r="CV11" s="6">
        <f>AVERAGE(bosna[Poss])</f>
        <v>78.245000000000005</v>
      </c>
      <c r="CW11" s="13">
        <f>_xlfn.RANK.EQ(all[[#This Row],[Poss]],all[Poss])</f>
        <v>3</v>
      </c>
      <c r="CX11" s="7">
        <f>AVERAGE(bosna[AST%])</f>
        <v>0.52939999999999998</v>
      </c>
      <c r="CY11" s="13">
        <f>_xlfn.RANK.EQ(all[[#This Row],[ASTp]],all[ASTp])</f>
        <v>15</v>
      </c>
      <c r="CZ11" s="7">
        <f>AVERAGE(bosna[FTFGA%])</f>
        <v>0.41670000000000001</v>
      </c>
      <c r="DA11" s="13">
        <f>_xlfn.RANK.EQ(all[[#This Row],[FTFGAp]],all[FTFGAp])</f>
        <v>4</v>
      </c>
      <c r="DB11" s="7">
        <f>AVERAGE(bosna[TOV%])</f>
        <v>0.16220000000000001</v>
      </c>
      <c r="DC11" s="13">
        <f>_xlfn.RANK.EQ(all[[#This Row],[TOVp]],all[TOVp],1)</f>
        <v>9</v>
      </c>
      <c r="DD11" s="6">
        <f>AVERAGE(bosna[ORtg])</f>
        <v>135.19999999999999</v>
      </c>
      <c r="DE11" s="13">
        <f>_xlfn.RANK.EQ(all[[#This Row],[ORtg]],all[ORtg])</f>
        <v>1</v>
      </c>
      <c r="DF11" s="6">
        <f>AVERAGE(bosna[DRtg])</f>
        <v>114.9</v>
      </c>
      <c r="DG11" s="13">
        <f>_xlfn.RANK.EQ(all[[#This Row],[DRtg]],all[DRtg],1)</f>
        <v>9</v>
      </c>
      <c r="DH11" s="6">
        <f>AVERAGE(bosna[Pace])</f>
        <v>73.974500000000006</v>
      </c>
      <c r="DI11" s="13">
        <f>_xlfn.RANK.EQ(all[[#This Row],[Pace]],all[Pace])</f>
        <v>8</v>
      </c>
      <c r="DJ11" s="7">
        <f>AVERAGE(bosna[TS%op])</f>
        <v>0.4924</v>
      </c>
      <c r="DK11" s="13">
        <f>_xlfn.RANK.EQ(all[[#This Row],[TSp opp]],all[TSp opp],1)</f>
        <v>4</v>
      </c>
      <c r="DL11" s="7">
        <f>AVERAGE(bosna[eFG%op])</f>
        <v>0.44590000000000002</v>
      </c>
      <c r="DM11" s="13">
        <f>_xlfn.RANK.EQ(all[[#This Row],[eFGp opp]],all[eFGp opp],1)</f>
        <v>4</v>
      </c>
      <c r="DN11" s="7">
        <f>AVERAGE(bosna[ORB%op])</f>
        <v>0.42309999999999998</v>
      </c>
      <c r="DO11" s="13">
        <f>_xlfn.RANK.EQ(all[[#This Row],[ORBp opp]],all[ORBp opp],1)</f>
        <v>16</v>
      </c>
      <c r="DP11" s="7">
        <f>AVERAGE(bosna[DRB%op])</f>
        <v>0.61539999999999995</v>
      </c>
      <c r="DQ11" s="13">
        <f>_xlfn.RANK.EQ(all[[#This Row],[DRBp opp]],all[DRBp opp],1)</f>
        <v>7</v>
      </c>
      <c r="DR11" s="7">
        <f>AVERAGE(bosna[TRB%op])</f>
        <v>0.48720000000000002</v>
      </c>
      <c r="DS11" s="13">
        <f>_xlfn.RANK.EQ(all[[#This Row],[TRBp opp]],all[TRBp opp],1)</f>
        <v>6</v>
      </c>
      <c r="DT11" s="6">
        <f>AVERAGE(bosna[Possop])</f>
        <v>69.703999999999994</v>
      </c>
      <c r="DU11" s="13">
        <f>_xlfn.RANK.EQ(all[[#This Row],[Poss opp]],all[Poss opp],1)</f>
        <v>5</v>
      </c>
      <c r="DV11" s="7">
        <f>AVERAGE(bosna[AST%op])</f>
        <v>0.53569999999999995</v>
      </c>
      <c r="DW11" s="13">
        <f>_xlfn.RANK.EQ(all[[#This Row],[ASTp opp]],all[ASTp opp],1)</f>
        <v>5</v>
      </c>
      <c r="DX11" s="7">
        <f>AVERAGE(bosna[FTFGA%op])</f>
        <v>0.25679999999999997</v>
      </c>
      <c r="DY11" s="13">
        <f>_xlfn.RANK.EQ(all[[#This Row],[FTFGAp opp]],all[FTFGAp opp],1)</f>
        <v>13</v>
      </c>
      <c r="DZ11" s="7">
        <f>AVERAGE(bosna[TOV%op])</f>
        <v>0.13089999999999999</v>
      </c>
      <c r="EA11" s="13">
        <f>_xlfn.RANK.EQ(all[[#This Row],[TOVp opp]],all[TOVp opp])</f>
        <v>15</v>
      </c>
      <c r="EB11" s="6">
        <f>AVERAGE(bosna[ORtgop])</f>
        <v>114.9</v>
      </c>
      <c r="EC11" s="13">
        <f>_xlfn.RANK.EQ(all[[#This Row],[ORtg opp]],all[ORtg opp],1)</f>
        <v>9</v>
      </c>
      <c r="ED11" s="6">
        <f>AVERAGE(bosna[DRtgop])</f>
        <v>135.19999999999999</v>
      </c>
      <c r="EE11" s="13">
        <f>_xlfn.RANK.EQ(all[[#This Row],[DRtg opp]],all[DRtg opp])</f>
        <v>1</v>
      </c>
      <c r="EF11" s="6">
        <f>AVERAGE(bosna[Q1H])</f>
        <v>32</v>
      </c>
      <c r="EG11" s="13">
        <f>_xlfn.RANK.EQ(all[[#This Row],[Q1H]],all[Q1H])</f>
        <v>1</v>
      </c>
      <c r="EH11" s="6">
        <f>AVERAGE(bosna[Q2H])</f>
        <v>21</v>
      </c>
      <c r="EI11" s="13">
        <f>_xlfn.RANK.EQ(all[[#This Row],[Q2H]],all[Q2H])</f>
        <v>7</v>
      </c>
      <c r="EJ11" s="6">
        <f>AVERAGE(bosna[Q3H])</f>
        <v>21</v>
      </c>
      <c r="EK11" s="13">
        <f>_xlfn.RANK.EQ(all[[#This Row],[Q3H]],all[Q3H])</f>
        <v>7</v>
      </c>
      <c r="EL11" s="6">
        <f>AVERAGE(bosna[Q4H])</f>
        <v>26</v>
      </c>
      <c r="EM11" s="13">
        <f>_xlfn.RANK.EQ(all[[#This Row],[Q4H]],all[Q4H])</f>
        <v>4</v>
      </c>
      <c r="EN11" s="6">
        <f>AVERAGE(bosna[Q1A])</f>
        <v>26</v>
      </c>
      <c r="EO11" s="13">
        <f>_xlfn.RANK.EQ(all[[#This Row],[Q1A]],all[Q1A],1)</f>
        <v>14</v>
      </c>
      <c r="EP11" s="6">
        <f>AVERAGE(bosna[Q2A])</f>
        <v>24</v>
      </c>
      <c r="EQ11" s="13">
        <f>_xlfn.RANK.EQ(all[[#This Row],[Q2A]],all[Q2A],1)</f>
        <v>11</v>
      </c>
      <c r="ER11" s="6">
        <f>AVERAGE(bosna[Q3A])</f>
        <v>18</v>
      </c>
      <c r="ES11" s="13">
        <f>_xlfn.RANK.EQ(all[[#This Row],[Q3A]],all[Q3A],1)</f>
        <v>6</v>
      </c>
      <c r="ET11" s="6">
        <f>AVERAGE(bosna[Q4A])</f>
        <v>17</v>
      </c>
      <c r="EU11" s="13">
        <f>_xlfn.RANK.EQ(all[[#This Row],[Q4A]],all[Q4A],1)</f>
        <v>7</v>
      </c>
      <c r="EV11" s="6">
        <f>AVERAGE(bosna[FhalfH])</f>
        <v>53</v>
      </c>
      <c r="EW11" s="13">
        <f>_xlfn.RANK.EQ(all[[#This Row],[FHH]],all[FHH])</f>
        <v>1</v>
      </c>
      <c r="EX11" s="5">
        <f>AVERAGE(bosna[FhalfA])</f>
        <v>50</v>
      </c>
      <c r="EY11" s="13">
        <f>_xlfn.RANK.EQ(all[[#This Row],[FHA]],all[FHA],1)</f>
        <v>18</v>
      </c>
      <c r="EZ11" s="6">
        <f>AVERAGE(bosna[ShalfH])</f>
        <v>47</v>
      </c>
      <c r="FA11" s="13">
        <f>_xlfn.RANK.EQ(all[[#This Row],[SHH]],all[SHH])</f>
        <v>5</v>
      </c>
      <c r="FB11" s="6">
        <f>AVERAGE(bosna[ShalfA])</f>
        <v>35</v>
      </c>
      <c r="FC11" s="13">
        <f>_xlfn.RANK.EQ(all[[#This Row],[SHA]],all[SHA],1)</f>
        <v>6</v>
      </c>
      <c r="FD11" s="6" t="e">
        <f ca="1">AVERAGE(LARGE(OFFSET(bosna[Home_scored],COUNTA(bosna[Home_scored])-5, 0, 5, 1),2), LARGE(OFFSET(bosna[Home_scored],COUNTA(bosna[Home_scored])-5, 0, 5, 1),3),LARGE(OFFSET(bosna[Home_scored],COUNTA(bosna[Home_scored])-5, 0, 5, 1),4))</f>
        <v>#REF!</v>
      </c>
      <c r="FE11" s="6" t="e">
        <f ca="1">AVERAGE(LARGE(OFFSET(bosna[Away_scored],COUNTA(bosna[Away_scored])-5, 0, 5, 1),2), LARGE(OFFSET(bosna[Away_scored],COUNTA(bosna[Away_scored])-5, 0, 5, 1),3),LARGE(OFFSET(bosna[Away_scored],COUNTA(bosna[Away_scored])-5, 0, 5, 1),4))</f>
        <v>#REF!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7.5846153846153843</v>
      </c>
      <c r="FK11" s="6">
        <f>all[[#This Row],[Q1H]]+all[[#This Row],[Q1A]]</f>
        <v>58</v>
      </c>
      <c r="FL11" s="13">
        <f>_xlfn.RANK.EQ(all[[#This Row],[Q1T]],all[Q1T])</f>
        <v>1</v>
      </c>
      <c r="FM11" s="6">
        <f>all[[#This Row],[Q2H]]+all[[#This Row],[Q2A]]</f>
        <v>45</v>
      </c>
      <c r="FN11" s="13">
        <f>_xlfn.RANK.EQ(all[[#This Row],[Q2T]],all[Q2T])</f>
        <v>5</v>
      </c>
      <c r="FO11" s="6">
        <f>all[[#This Row],[Q3H]]+all[[#This Row],[Q3A]]</f>
        <v>39</v>
      </c>
      <c r="FP11" s="13">
        <f>_xlfn.RANK.EQ(all[[#This Row],[Q3T]],all[Q3T])</f>
        <v>9</v>
      </c>
      <c r="FQ11" s="6">
        <f>all[[#This Row],[Q4H]]+all[[#This Row],[Q4A]]</f>
        <v>43</v>
      </c>
      <c r="FR11" s="13">
        <f>_xlfn.RANK.EQ(all[[#This Row],[Q4T]],all[Q4T])</f>
        <v>7</v>
      </c>
      <c r="FS11" s="6">
        <f>all[[#This Row],[FHH]]+all[[#This Row],[FHA]]</f>
        <v>103</v>
      </c>
      <c r="FT11" s="13">
        <f>_xlfn.RANK.EQ(all[[#This Row],[FHT]],all[FHT])</f>
        <v>1</v>
      </c>
      <c r="FU11" s="6">
        <f>all[[#This Row],[SHH]]+all[[#This Row],[SHA]]</f>
        <v>82</v>
      </c>
      <c r="FV11" s="13">
        <f>_xlfn.RANK.EQ(all[[#This Row],[SHT]],all[SHT])</f>
        <v>11</v>
      </c>
      <c r="FW11" s="6">
        <f ca="1">SUM(INDIRECT(all[[#This Row],[Table name]]&amp;"[BetH]"))</f>
        <v>0.33000000000000007</v>
      </c>
      <c r="FX11" s="13">
        <f ca="1">_xlfn.RANK.EQ(all[[#This Row],[BetH]],all[BetH])</f>
        <v>10</v>
      </c>
      <c r="FY11" s="6">
        <f ca="1">SUM(INDIRECT(all[[#This Row],[Table name]]&amp;"[BetA]"))</f>
        <v>-1</v>
      </c>
      <c r="FZ11" s="13">
        <f ca="1">_xlfn.RANK.EQ(all[[#This Row],[BetA]],all[BetA])</f>
        <v>8</v>
      </c>
      <c r="GA11" s="13">
        <f ca="1">SUM(INDIRECT(all[[#This Row],[Table name]]&amp;"[Tover]"))</f>
        <v>1</v>
      </c>
      <c r="GB11" s="13">
        <f ca="1">_xlfn.RANK.EQ(all[[#This Row],[Tover]],all[Tover])</f>
        <v>1</v>
      </c>
      <c r="GC11" s="6">
        <f ca="1">AVERAGE(INDIRECT(all[[#This Row],[Table name]]&amp;"[Deviation]"))</f>
        <v>14</v>
      </c>
      <c r="GD11" s="13">
        <f ca="1">_xlfn.RANK.EQ(all[[#This Row],[Deviation]],all[Deviation],1)</f>
        <v>7</v>
      </c>
    </row>
    <row r="12" spans="1:186" x14ac:dyDescent="0.25">
      <c r="A12" s="9" t="s">
        <v>369</v>
      </c>
      <c r="B12" t="s">
        <v>367</v>
      </c>
      <c r="C12" t="s">
        <v>370</v>
      </c>
      <c r="D12" t="s">
        <v>368</v>
      </c>
      <c r="E12">
        <f>_xlfn.RANK.EQ(all[[#This Row],[AVG_RT]],all[AVG_RT],1)</f>
        <v>4</v>
      </c>
      <c r="F12" s="6">
        <f>AVERAGE(krka[Home_scored])</f>
        <v>85</v>
      </c>
      <c r="G12" s="13">
        <f>_xlfn.RANK.EQ(all[[#This Row],[PM]],all[PM])</f>
        <v>8</v>
      </c>
      <c r="H12" s="6">
        <f>AVERAGE(krka[Away_scored])</f>
        <v>79</v>
      </c>
      <c r="I12" s="13">
        <f>_xlfn.RANK.EQ(all[[#This Row],[PC]],all[PC],1)</f>
        <v>6</v>
      </c>
      <c r="J12" s="6">
        <f>AVERAGE(krka[FGA])</f>
        <v>60</v>
      </c>
      <c r="K12" s="13">
        <f>_xlfn.RANK.EQ(all[[#This Row],[FGA]],all[FGA])</f>
        <v>10</v>
      </c>
      <c r="L12" s="6">
        <f>AVERAGE(krka[FGM])</f>
        <v>30</v>
      </c>
      <c r="M12" s="13">
        <f>_xlfn.RANK.EQ(all[[#This Row],[FGM]],all[FGM])</f>
        <v>6</v>
      </c>
      <c r="N12" s="7">
        <f>AVERAGE(krka[FGp])</f>
        <v>0.5</v>
      </c>
      <c r="O12" s="13">
        <f>_xlfn.RANK.EQ(all[[#This Row],[FGp]],all[FGp])</f>
        <v>5</v>
      </c>
      <c r="P12" s="6">
        <f>AVERAGE(krka[P2M])</f>
        <v>20</v>
      </c>
      <c r="Q12" s="13">
        <f>_xlfn.RANK.EQ(all[[#This Row],[P2M]],all[P2M])</f>
        <v>7</v>
      </c>
      <c r="R12" s="6">
        <f>AVERAGE(krka[P2A])</f>
        <v>38</v>
      </c>
      <c r="S12" s="13">
        <f>_xlfn.RANK.EQ(all[[#This Row],[P2A]],all[P2A])</f>
        <v>7</v>
      </c>
      <c r="T12" s="7">
        <f>AVERAGE(krka[P2p])</f>
        <v>0.52629999999999999</v>
      </c>
      <c r="U12" s="13">
        <f>_xlfn.RANK.EQ(all[[#This Row],[P2p]],all[P2p])</f>
        <v>9</v>
      </c>
      <c r="V12" s="6">
        <f>AVERAGE(krka[P3M])</f>
        <v>10</v>
      </c>
      <c r="W12" s="13">
        <f>_xlfn.RANK.EQ(all[[#This Row],[P3M]],all[P3M])</f>
        <v>5</v>
      </c>
      <c r="X12" s="6">
        <f>AVERAGE(krka[P3A])</f>
        <v>22</v>
      </c>
      <c r="Y12" s="13">
        <f>_xlfn.RANK.EQ(all[[#This Row],[P3A]],all[P3A])</f>
        <v>13</v>
      </c>
      <c r="Z12" s="7">
        <f>AVERAGE(krka[P3p])</f>
        <v>0.45450000000000002</v>
      </c>
      <c r="AA12" s="13">
        <f>_xlfn.RANK.EQ(all[[#This Row],[P3p]],all[P3p])</f>
        <v>4</v>
      </c>
      <c r="AB12" s="6">
        <f>AVERAGE(krka[FTM])</f>
        <v>15</v>
      </c>
      <c r="AC12" s="13">
        <f>_xlfn.RANK.EQ(all[[#This Row],[FTM]],all[FTM])</f>
        <v>10</v>
      </c>
      <c r="AD12" s="6">
        <f>AVERAGE(krka[FTA])</f>
        <v>16</v>
      </c>
      <c r="AE12" s="13">
        <f>_xlfn.RANK.EQ(all[[#This Row],[FTA]],all[FTA])</f>
        <v>14</v>
      </c>
      <c r="AF12" s="7">
        <f>AVERAGE(krka[FTp])</f>
        <v>0.9375</v>
      </c>
      <c r="AG12" s="13">
        <f>_xlfn.RANK.EQ(all[[#This Row],[FTp]],all[FTp])</f>
        <v>1</v>
      </c>
      <c r="AH12" s="6">
        <f>AVERAGE(krka[ORB])</f>
        <v>6</v>
      </c>
      <c r="AI12" s="13">
        <f>_xlfn.RANK.EQ(all[[#This Row],[ORB]],all[ORB])</f>
        <v>16</v>
      </c>
      <c r="AJ12" s="6">
        <f>AVERAGE(krka[DRB])</f>
        <v>29</v>
      </c>
      <c r="AK12" s="13">
        <f>_xlfn.RANK.EQ(all[[#This Row],[DRB]],all[DRB])</f>
        <v>4</v>
      </c>
      <c r="AL12" s="6">
        <f>AVERAGE(krka[TRB])</f>
        <v>35</v>
      </c>
      <c r="AM12" s="13">
        <f>_xlfn.RANK.EQ(all[[#This Row],[TRB]],all[TRB])</f>
        <v>6</v>
      </c>
      <c r="AN12" s="6">
        <f>AVERAGE(krka[AST])</f>
        <v>19</v>
      </c>
      <c r="AO12" s="13">
        <f>_xlfn.RANK.EQ(all[[#This Row],[AST]],all[AST])</f>
        <v>4</v>
      </c>
      <c r="AP12" s="6">
        <f>AVERAGE(krka[STL])</f>
        <v>5</v>
      </c>
      <c r="AQ12" s="13">
        <f>_xlfn.RANK.EQ(all[[#This Row],[STL]],all[STL])</f>
        <v>14</v>
      </c>
      <c r="AR12" s="6">
        <f>AVERAGE(krka[BLK])</f>
        <v>1</v>
      </c>
      <c r="AS12" s="13">
        <f>_xlfn.RANK.EQ(all[[#This Row],[BLK]],all[BLK])</f>
        <v>11</v>
      </c>
      <c r="AT12" s="6">
        <f>AVERAGE(krka[TOV])</f>
        <v>14</v>
      </c>
      <c r="AU12" s="13">
        <f>_xlfn.RANK.EQ(all[[#This Row],[TOV]],all[TOV],1)</f>
        <v>7</v>
      </c>
      <c r="AV12" s="6">
        <f>AVERAGE(krka[PF])</f>
        <v>20</v>
      </c>
      <c r="AW12" s="13">
        <f>_xlfn.RANK.EQ(all[[#This Row],[PF]],all[PF],1)</f>
        <v>3</v>
      </c>
      <c r="AX12" s="6">
        <f>AVERAGE(krka[FGAop])</f>
        <v>58</v>
      </c>
      <c r="AY12" s="13">
        <f>_xlfn.RANK.EQ(all[[#This Row],[FGA opp]],all[FGA opp],1)</f>
        <v>4</v>
      </c>
      <c r="AZ12" s="6">
        <f>AVERAGE(krka[FGMop])</f>
        <v>29</v>
      </c>
      <c r="BA12" s="13">
        <f>_xlfn.RANK.EQ(all[[#This Row],[FGM opp]],all[FGM opp],1)</f>
        <v>9</v>
      </c>
      <c r="BB12" s="7">
        <f>AVERAGE(krka[FGpop])</f>
        <v>0.5</v>
      </c>
      <c r="BC12" s="13">
        <f>_xlfn.RANK.EQ(all[[#This Row],[FGp opp]],all[FGp opp],1)</f>
        <v>12</v>
      </c>
      <c r="BD12" s="6">
        <f>AVERAGE(krka[P2Mop])</f>
        <v>20</v>
      </c>
      <c r="BE12" s="13">
        <f>_xlfn.RANK.EQ(all[[#This Row],[P2M opp]],all[P2M opp],1)</f>
        <v>10</v>
      </c>
      <c r="BF12" s="6">
        <f>AVERAGE(krka[P2Aop])</f>
        <v>26</v>
      </c>
      <c r="BG12" s="13">
        <f>_xlfn.RANK.EQ(all[[#This Row],[P2A opp]],all[P2A opp],1)</f>
        <v>1</v>
      </c>
      <c r="BH12">
        <f>AVERAGE(krka[P2pop])</f>
        <v>0.76919999999999999</v>
      </c>
      <c r="BI12" s="13">
        <f>_xlfn.RANK.EQ(all[[#This Row],[P2p opp]],all[P2p opp],1)</f>
        <v>18</v>
      </c>
      <c r="BJ12" s="6">
        <f>AVERAGE(krka[P3Mop])</f>
        <v>9</v>
      </c>
      <c r="BK12" s="13">
        <f>_xlfn.RANK.EQ(all[[#This Row],[P3M opp]],all[P3M opp],1)</f>
        <v>8</v>
      </c>
      <c r="BL12" s="6">
        <f>AVERAGE(krka[P3Aop])</f>
        <v>32</v>
      </c>
      <c r="BM12" s="13">
        <f>_xlfn.RANK.EQ(all[[#This Row],[P3A opp]],all[P3A opp],1)</f>
        <v>15</v>
      </c>
      <c r="BN12" s="7">
        <f>AVERAGE(krka[P3pop])</f>
        <v>0.28129999999999999</v>
      </c>
      <c r="BO12" s="13">
        <f>_xlfn.RANK.EQ(all[[#This Row],[P3p opp]],all[P3p opp],1)</f>
        <v>2</v>
      </c>
      <c r="BP12" s="6">
        <f>AVERAGE(krka[FTMop])</f>
        <v>12</v>
      </c>
      <c r="BQ12" s="13">
        <f>_xlfn.RANK.EQ(all[[#This Row],[FTM opp]],all[FTM opp],1)</f>
        <v>4</v>
      </c>
      <c r="BR12" s="6">
        <f>AVERAGE(krka[FTAop])</f>
        <v>15</v>
      </c>
      <c r="BS12" s="13">
        <f>_xlfn.RANK.EQ(all[[#This Row],[FTA opp]],all[FTA opp],1)</f>
        <v>5</v>
      </c>
      <c r="BT12" s="7">
        <f>AVERAGE(krka[FTpop])</f>
        <v>0.8</v>
      </c>
      <c r="BU12" s="13">
        <f>_xlfn.RANK.EQ(all[[#This Row],[FTp opp]],all[FTp opp],1)</f>
        <v>13</v>
      </c>
      <c r="BV12" s="6">
        <f>AVERAGE(krka[ORBop])</f>
        <v>6</v>
      </c>
      <c r="BW12" s="13">
        <f>_xlfn.RANK.EQ(all[[#This Row],[ORB opp]],all[ORB opp],1)</f>
        <v>2</v>
      </c>
      <c r="BX12" s="6">
        <f>AVERAGE(krka[DRBop])</f>
        <v>23</v>
      </c>
      <c r="BY12" s="13">
        <f>_xlfn.RANK.EQ(all[[#This Row],[DRB opp]],all[DRB opp],1)</f>
        <v>8</v>
      </c>
      <c r="BZ12" s="6">
        <f>AVERAGE(krka[TRBop])</f>
        <v>29</v>
      </c>
      <c r="CA12" s="13">
        <f>_xlfn.RANK.EQ(all[[#This Row],[TRB opp]],all[TRB opp],1)</f>
        <v>3</v>
      </c>
      <c r="CB12" s="6">
        <f>AVERAGE(krka[ASTop])</f>
        <v>18</v>
      </c>
      <c r="CC12" s="13">
        <f>_xlfn.RANK.EQ(all[[#This Row],[AST opp]],all[AST opp],1)</f>
        <v>10</v>
      </c>
      <c r="CD12" s="6">
        <f>AVERAGE(krka[STLop])</f>
        <v>10</v>
      </c>
      <c r="CE12" s="13">
        <f>_xlfn.RANK.EQ(all[[#This Row],[STL opp]],all[STL opp],1)</f>
        <v>13</v>
      </c>
      <c r="CF12" s="6">
        <f>AVERAGE(krka[BLKop])</f>
        <v>3</v>
      </c>
      <c r="CG12" s="13">
        <f>_xlfn.RANK.EQ(all[[#This Row],[BLK opp]],all[BLK opp],1)</f>
        <v>11</v>
      </c>
      <c r="CH12" s="6">
        <f>AVERAGE(krka[TOVop])</f>
        <v>12</v>
      </c>
      <c r="CI12" s="13">
        <f>_xlfn.RANK.EQ(all[[#This Row],[TOV opp]],all[TOV opp])</f>
        <v>14</v>
      </c>
      <c r="CJ12" s="6">
        <f>AVERAGE(krka[PFop])</f>
        <v>23</v>
      </c>
      <c r="CK12" s="13">
        <f>_xlfn.RANK.EQ(all[[#This Row],[PF opp]],all[PF opp])</f>
        <v>9</v>
      </c>
      <c r="CL12" s="7">
        <f>AVERAGE(krka[TS%])</f>
        <v>0.63390000000000002</v>
      </c>
      <c r="CM12" s="13">
        <f>_xlfn.RANK.EQ(all[[#This Row],[TSp]],all[TSp])</f>
        <v>4</v>
      </c>
      <c r="CN12" s="7">
        <f>AVERAGE(krka[eFG%])</f>
        <v>0.58330000000000004</v>
      </c>
      <c r="CO12" s="13">
        <f>_xlfn.RANK.EQ(all[[#This Row],[eFGp]],all[eFGp])</f>
        <v>6</v>
      </c>
      <c r="CP12" s="7">
        <f>AVERAGE(krka[ORB%])</f>
        <v>0.2069</v>
      </c>
      <c r="CQ12" s="13">
        <f>_xlfn.RANK.EQ(all[[#This Row],[ORBp]],all[ORBp])</f>
        <v>16</v>
      </c>
      <c r="CR12" s="7">
        <f>AVERAGE(krka[DRB%])</f>
        <v>0.8286</v>
      </c>
      <c r="CS12" s="13">
        <f>_xlfn.RANK.EQ(all[[#This Row],[DRBp]],all[DRBp])</f>
        <v>1</v>
      </c>
      <c r="CT12" s="7">
        <f>AVERAGE(krka[TRB%])</f>
        <v>0.54690000000000005</v>
      </c>
      <c r="CU12" s="13">
        <f>_xlfn.RANK.EQ(all[[#This Row],[TRBp]],all[TRBp])</f>
        <v>3</v>
      </c>
      <c r="CV12" s="6">
        <f>AVERAGE(krka[Poss])</f>
        <v>74.897000000000006</v>
      </c>
      <c r="CW12" s="13">
        <f>_xlfn.RANK.EQ(all[[#This Row],[Poss]],all[Poss])</f>
        <v>7</v>
      </c>
      <c r="CX12" s="7">
        <f>AVERAGE(krka[AST%])</f>
        <v>0.63329999999999997</v>
      </c>
      <c r="CY12" s="13">
        <f>_xlfn.RANK.EQ(all[[#This Row],[ASTp]],all[ASTp])</f>
        <v>6</v>
      </c>
      <c r="CZ12" s="7">
        <f>AVERAGE(krka[FTFGA%])</f>
        <v>0.25</v>
      </c>
      <c r="DA12" s="13">
        <f>_xlfn.RANK.EQ(all[[#This Row],[FTFGAp]],all[FTFGAp])</f>
        <v>10</v>
      </c>
      <c r="DB12" s="7">
        <f>AVERAGE(krka[TOV%])</f>
        <v>0.17280000000000001</v>
      </c>
      <c r="DC12" s="13">
        <f>_xlfn.RANK.EQ(all[[#This Row],[TOVp]],all[TOVp],1)</f>
        <v>11</v>
      </c>
      <c r="DD12" s="6">
        <f>AVERAGE(krka[ORtg])</f>
        <v>117.7</v>
      </c>
      <c r="DE12" s="13">
        <f>_xlfn.RANK.EQ(all[[#This Row],[ORtg]],all[ORtg])</f>
        <v>8</v>
      </c>
      <c r="DF12" s="6">
        <f>AVERAGE(krka[DRtg])</f>
        <v>109.4</v>
      </c>
      <c r="DG12" s="13">
        <f>_xlfn.RANK.EQ(all[[#This Row],[DRtg]],all[DRtg],1)</f>
        <v>8</v>
      </c>
      <c r="DH12" s="6">
        <f>AVERAGE(krka[Pace])</f>
        <v>72.238500000000002</v>
      </c>
      <c r="DI12" s="13">
        <f>_xlfn.RANK.EQ(all[[#This Row],[Pace]],all[Pace])</f>
        <v>13</v>
      </c>
      <c r="DJ12" s="7">
        <f>AVERAGE(krka[TS%op])</f>
        <v>0.61150000000000004</v>
      </c>
      <c r="DK12" s="13">
        <f>_xlfn.RANK.EQ(all[[#This Row],[TSp opp]],all[TSp opp],1)</f>
        <v>12</v>
      </c>
      <c r="DL12" s="7">
        <f>AVERAGE(krka[eFG%op])</f>
        <v>0.5776</v>
      </c>
      <c r="DM12" s="13">
        <f>_xlfn.RANK.EQ(all[[#This Row],[eFGp opp]],all[eFGp opp],1)</f>
        <v>12</v>
      </c>
      <c r="DN12" s="7">
        <f>AVERAGE(krka[ORB%op])</f>
        <v>0.1714</v>
      </c>
      <c r="DO12" s="13">
        <f>_xlfn.RANK.EQ(all[[#This Row],[ORBp opp]],all[ORBp opp],1)</f>
        <v>1</v>
      </c>
      <c r="DP12" s="7">
        <f>AVERAGE(krka[DRB%op])</f>
        <v>0.79310000000000003</v>
      </c>
      <c r="DQ12" s="13">
        <f>_xlfn.RANK.EQ(all[[#This Row],[DRBp opp]],all[DRBp opp],1)</f>
        <v>16</v>
      </c>
      <c r="DR12" s="7">
        <f>AVERAGE(krka[TRB%op])</f>
        <v>0.4531</v>
      </c>
      <c r="DS12" s="13">
        <f>_xlfn.RANK.EQ(all[[#This Row],[TRBp opp]],all[TRBp opp],1)</f>
        <v>3</v>
      </c>
      <c r="DT12" s="6">
        <f>AVERAGE(krka[Possop])</f>
        <v>69.58</v>
      </c>
      <c r="DU12" s="13">
        <f>_xlfn.RANK.EQ(all[[#This Row],[Poss opp]],all[Poss opp],1)</f>
        <v>4</v>
      </c>
      <c r="DV12" s="7">
        <f>AVERAGE(krka[AST%op])</f>
        <v>0.62070000000000003</v>
      </c>
      <c r="DW12" s="13">
        <f>_xlfn.RANK.EQ(all[[#This Row],[ASTp opp]],all[ASTp opp],1)</f>
        <v>11</v>
      </c>
      <c r="DX12" s="7">
        <f>AVERAGE(krka[FTFGA%op])</f>
        <v>0.2069</v>
      </c>
      <c r="DY12" s="13">
        <f>_xlfn.RANK.EQ(all[[#This Row],[FTFGAp opp]],all[FTFGAp opp],1)</f>
        <v>6</v>
      </c>
      <c r="DZ12" s="7">
        <f>AVERAGE(krka[TOV%op])</f>
        <v>0.15670000000000001</v>
      </c>
      <c r="EA12" s="13">
        <f>_xlfn.RANK.EQ(all[[#This Row],[TOVp opp]],all[TOVp opp])</f>
        <v>13</v>
      </c>
      <c r="EB12" s="6">
        <f>AVERAGE(krka[ORtgop])</f>
        <v>109.4</v>
      </c>
      <c r="EC12" s="13">
        <f>_xlfn.RANK.EQ(all[[#This Row],[ORtg opp]],all[ORtg opp],1)</f>
        <v>8</v>
      </c>
      <c r="ED12" s="6">
        <f>AVERAGE(krka[DRtgop])</f>
        <v>117.7</v>
      </c>
      <c r="EE12" s="13">
        <f>_xlfn.RANK.EQ(all[[#This Row],[DRtg opp]],all[DRtg opp])</f>
        <v>8</v>
      </c>
      <c r="EF12" s="6">
        <f>AVERAGE(krka[Q1H])</f>
        <v>22</v>
      </c>
      <c r="EG12" s="13">
        <f>_xlfn.RANK.EQ(all[[#This Row],[Q1H]],all[Q1H])</f>
        <v>9</v>
      </c>
      <c r="EH12" s="6">
        <f>AVERAGE(krka[Q2H])</f>
        <v>13</v>
      </c>
      <c r="EI12" s="13">
        <f>_xlfn.RANK.EQ(all[[#This Row],[Q2H]],all[Q2H])</f>
        <v>15</v>
      </c>
      <c r="EJ12" s="6">
        <f>AVERAGE(krka[Q3H])</f>
        <v>20</v>
      </c>
      <c r="EK12" s="13">
        <f>_xlfn.RANK.EQ(all[[#This Row],[Q3H]],all[Q3H])</f>
        <v>9</v>
      </c>
      <c r="EL12" s="6">
        <f>AVERAGE(krka[Q4H])</f>
        <v>30</v>
      </c>
      <c r="EM12" s="13">
        <f>_xlfn.RANK.EQ(all[[#This Row],[Q4H]],all[Q4H])</f>
        <v>1</v>
      </c>
      <c r="EN12" s="6">
        <f>AVERAGE(krka[Q1A])</f>
        <v>19</v>
      </c>
      <c r="EO12" s="13">
        <f>_xlfn.RANK.EQ(all[[#This Row],[Q1A]],all[Q1A],1)</f>
        <v>6</v>
      </c>
      <c r="EP12" s="6">
        <f>AVERAGE(krka[Q2A])</f>
        <v>24</v>
      </c>
      <c r="EQ12" s="13">
        <f>_xlfn.RANK.EQ(all[[#This Row],[Q2A]],all[Q2A],1)</f>
        <v>11</v>
      </c>
      <c r="ER12" s="6">
        <f>AVERAGE(krka[Q3A])</f>
        <v>14</v>
      </c>
      <c r="ES12" s="13">
        <f>_xlfn.RANK.EQ(all[[#This Row],[Q3A]],all[Q3A],1)</f>
        <v>2</v>
      </c>
      <c r="ET12" s="6">
        <f>AVERAGE(krka[Q4A])</f>
        <v>22</v>
      </c>
      <c r="EU12" s="13">
        <f>_xlfn.RANK.EQ(all[[#This Row],[Q4A]],all[Q4A],1)</f>
        <v>13</v>
      </c>
      <c r="EV12" s="6">
        <f>AVERAGE(krka[FhalfH])</f>
        <v>35</v>
      </c>
      <c r="EW12" s="13">
        <f>_xlfn.RANK.EQ(all[[#This Row],[FHH]],all[FHH])</f>
        <v>16</v>
      </c>
      <c r="EX12" s="5">
        <f>AVERAGE(krka[FhalfA])</f>
        <v>43</v>
      </c>
      <c r="EY12" s="13">
        <f>_xlfn.RANK.EQ(all[[#This Row],[FHA]],all[FHA],1)</f>
        <v>7</v>
      </c>
      <c r="EZ12" s="6">
        <f>AVERAGE(krka[ShalfH])</f>
        <v>50</v>
      </c>
      <c r="FA12" s="13">
        <f>_xlfn.RANK.EQ(all[[#This Row],[SHH]],all[SHH])</f>
        <v>3</v>
      </c>
      <c r="FB12" s="6">
        <f>AVERAGE(krka[ShalfA])</f>
        <v>36</v>
      </c>
      <c r="FC12" s="13">
        <f>_xlfn.RANK.EQ(all[[#This Row],[SHA]],all[SHA],1)</f>
        <v>7</v>
      </c>
      <c r="FD12" s="6" t="e">
        <f ca="1">AVERAGE(LARGE(OFFSET(krka[Home_scored],COUNTA(krka[Home_scored])-5, 0, 5, 1),2), LARGE(OFFSET(krka[Home_scored],COUNTA(krka[Home_scored])-5, 0, 5, 1),3),LARGE(OFFSET(krka[Home_scored],COUNTA(krka[Home_scored])-5, 0, 5, 1),4))</f>
        <v>#REF!</v>
      </c>
      <c r="FE12" s="6" t="e">
        <f ca="1">AVERAGE(LARGE(OFFSET(krka[Away_scored],COUNTA(krka[Away_scored])-5, 0, 5, 1),2), LARGE(OFFSET(krka[Away_scored],COUNTA(krka[Away_scored])-5, 0, 5, 1),3),LARGE(OFFSET(krka[Away_scored],COUNTA(krka[Away_scored])-5,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8.1230769230769226</v>
      </c>
      <c r="FK12" s="6">
        <f>all[[#This Row],[Q1H]]+all[[#This Row],[Q1A]]</f>
        <v>41</v>
      </c>
      <c r="FL12" s="13">
        <f>_xlfn.RANK.EQ(all[[#This Row],[Q1T]],all[Q1T])</f>
        <v>12</v>
      </c>
      <c r="FM12" s="6">
        <f>all[[#This Row],[Q2H]]+all[[#This Row],[Q2A]]</f>
        <v>37</v>
      </c>
      <c r="FN12" s="13">
        <f>_xlfn.RANK.EQ(all[[#This Row],[Q2T]],all[Q2T])</f>
        <v>14</v>
      </c>
      <c r="FO12" s="6">
        <f>all[[#This Row],[Q3H]]+all[[#This Row],[Q3A]]</f>
        <v>34</v>
      </c>
      <c r="FP12" s="13">
        <f>_xlfn.RANK.EQ(all[[#This Row],[Q3T]],all[Q3T])</f>
        <v>15</v>
      </c>
      <c r="FQ12" s="6">
        <f>all[[#This Row],[Q4H]]+all[[#This Row],[Q4A]]</f>
        <v>52</v>
      </c>
      <c r="FR12" s="13">
        <f>_xlfn.RANK.EQ(all[[#This Row],[Q4T]],all[Q4T])</f>
        <v>2</v>
      </c>
      <c r="FS12" s="6">
        <f>all[[#This Row],[FHH]]+all[[#This Row],[FHA]]</f>
        <v>78</v>
      </c>
      <c r="FT12" s="13">
        <f>_xlfn.RANK.EQ(all[[#This Row],[FHT]],all[FHT])</f>
        <v>12</v>
      </c>
      <c r="FU12" s="6">
        <f>all[[#This Row],[SHH]]+all[[#This Row],[SHA]]</f>
        <v>86</v>
      </c>
      <c r="FV12" s="13">
        <f>_xlfn.RANK.EQ(all[[#This Row],[SHT]],all[SHT])</f>
        <v>5</v>
      </c>
      <c r="FW12" s="6">
        <f ca="1">SUM(INDIRECT(all[[#This Row],[Table name]]&amp;"[BetH]"))</f>
        <v>1.9</v>
      </c>
      <c r="FX12" s="13">
        <f ca="1">_xlfn.RANK.EQ(all[[#This Row],[BetH]],all[BetH])</f>
        <v>2</v>
      </c>
      <c r="FY12" s="6">
        <f ca="1">SUM(INDIRECT(all[[#This Row],[Table name]]&amp;"[BetA]"))</f>
        <v>-1</v>
      </c>
      <c r="FZ12" s="13">
        <f ca="1">_xlfn.RANK.EQ(all[[#This Row],[BetA]],all[BetA])</f>
        <v>8</v>
      </c>
      <c r="GA12" s="13">
        <f ca="1">SUM(INDIRECT(all[[#This Row],[Table name]]&amp;"[Tover]"))</f>
        <v>0</v>
      </c>
      <c r="GB12" s="13">
        <f ca="1">_xlfn.RANK.EQ(all[[#This Row],[Tover]],all[Tover])</f>
        <v>12</v>
      </c>
      <c r="GC12" s="6">
        <f ca="1">AVERAGE(INDIRECT(all[[#This Row],[Table name]]&amp;"[Deviation]"))</f>
        <v>4</v>
      </c>
      <c r="GD12" s="13">
        <f ca="1">_xlfn.RANK.EQ(all[[#This Row],[Deviation]],all[Deviation],1)</f>
        <v>1</v>
      </c>
    </row>
    <row r="13" spans="1:186" x14ac:dyDescent="0.25">
      <c r="A13" s="9" t="s">
        <v>373</v>
      </c>
      <c r="B13" t="s">
        <v>371</v>
      </c>
      <c r="C13" t="s">
        <v>374</v>
      </c>
      <c r="D13" t="s">
        <v>372</v>
      </c>
      <c r="E13">
        <f>_xlfn.RANK.EQ(all[[#This Row],[AVG_RT]],all[AVG_RT],1)</f>
        <v>18</v>
      </c>
      <c r="F13" s="6">
        <f>AVERAGE(mega[Home_scored])</f>
        <v>59</v>
      </c>
      <c r="G13" s="13">
        <f>_xlfn.RANK.EQ(all[[#This Row],[PM]],all[PM])</f>
        <v>18</v>
      </c>
      <c r="H13" s="6">
        <f>AVERAGE(mega[Away_scored])</f>
        <v>86</v>
      </c>
      <c r="I13" s="13">
        <f>_xlfn.RANK.EQ(all[[#This Row],[PC]],all[PC],1)</f>
        <v>13</v>
      </c>
      <c r="J13" s="6">
        <f>AVERAGE(mega[FGA])</f>
        <v>65</v>
      </c>
      <c r="K13" s="13">
        <f>_xlfn.RANK.EQ(all[[#This Row],[FGA]],all[FGA])</f>
        <v>6</v>
      </c>
      <c r="L13" s="6">
        <f>AVERAGE(mega[FGM])</f>
        <v>24</v>
      </c>
      <c r="M13" s="13">
        <f>_xlfn.RANK.EQ(all[[#This Row],[FGM]],all[FGM])</f>
        <v>17</v>
      </c>
      <c r="N13" s="7">
        <f>AVERAGE(mega[FGp])</f>
        <v>0.36919999999999997</v>
      </c>
      <c r="O13" s="13">
        <f>_xlfn.RANK.EQ(all[[#This Row],[FGp]],all[FGp])</f>
        <v>18</v>
      </c>
      <c r="P13" s="6">
        <f>AVERAGE(mega[P2M])</f>
        <v>17</v>
      </c>
      <c r="Q13" s="13">
        <f>_xlfn.RANK.EQ(all[[#This Row],[P2M]],all[P2M])</f>
        <v>12</v>
      </c>
      <c r="R13" s="6">
        <f>AVERAGE(mega[P2A])</f>
        <v>42</v>
      </c>
      <c r="S13" s="13">
        <f>_xlfn.RANK.EQ(all[[#This Row],[P2A]],all[P2A])</f>
        <v>3</v>
      </c>
      <c r="T13" s="7">
        <f>AVERAGE(mega[P2p])</f>
        <v>0.40479999999999999</v>
      </c>
      <c r="U13" s="13">
        <f>_xlfn.RANK.EQ(all[[#This Row],[P2p]],all[P2p])</f>
        <v>18</v>
      </c>
      <c r="V13" s="6">
        <f>AVERAGE(mega[P3M])</f>
        <v>7</v>
      </c>
      <c r="W13" s="13">
        <f>_xlfn.RANK.EQ(all[[#This Row],[P3M]],all[P3M])</f>
        <v>15</v>
      </c>
      <c r="X13" s="6">
        <f>AVERAGE(mega[P3A])</f>
        <v>23</v>
      </c>
      <c r="Y13" s="13">
        <f>_xlfn.RANK.EQ(all[[#This Row],[P3A]],all[P3A])</f>
        <v>11</v>
      </c>
      <c r="Z13" s="7">
        <f>AVERAGE(mega[P3p])</f>
        <v>0.30430000000000001</v>
      </c>
      <c r="AA13" s="13">
        <f>_xlfn.RANK.EQ(all[[#This Row],[P3p]],all[P3p])</f>
        <v>13</v>
      </c>
      <c r="AB13" s="6">
        <f>AVERAGE(mega[FTM])</f>
        <v>4</v>
      </c>
      <c r="AC13" s="13">
        <f>_xlfn.RANK.EQ(all[[#This Row],[FTM]],all[FTM])</f>
        <v>18</v>
      </c>
      <c r="AD13" s="6">
        <f>AVERAGE(mega[FTA])</f>
        <v>11</v>
      </c>
      <c r="AE13" s="13">
        <f>_xlfn.RANK.EQ(all[[#This Row],[FTA]],all[FTA])</f>
        <v>17</v>
      </c>
      <c r="AF13" s="7">
        <f>AVERAGE(mega[FTp])</f>
        <v>0.36359999999999998</v>
      </c>
      <c r="AG13" s="13">
        <f>_xlfn.RANK.EQ(all[[#This Row],[FTp]],all[FTp])</f>
        <v>18</v>
      </c>
      <c r="AH13" s="6">
        <f>AVERAGE(mega[ORB])</f>
        <v>13</v>
      </c>
      <c r="AI13" s="13">
        <f>_xlfn.RANK.EQ(all[[#This Row],[ORB]],all[ORB])</f>
        <v>5</v>
      </c>
      <c r="AJ13" s="6">
        <f>AVERAGE(mega[DRB])</f>
        <v>22</v>
      </c>
      <c r="AK13" s="13">
        <f>_xlfn.RANK.EQ(all[[#This Row],[DRB]],all[DRB])</f>
        <v>12</v>
      </c>
      <c r="AL13" s="6">
        <f>AVERAGE(mega[TRB])</f>
        <v>35</v>
      </c>
      <c r="AM13" s="13">
        <f>_xlfn.RANK.EQ(all[[#This Row],[TRB]],all[TRB])</f>
        <v>6</v>
      </c>
      <c r="AN13" s="6">
        <f>AVERAGE(mega[AST])</f>
        <v>11</v>
      </c>
      <c r="AO13" s="13">
        <f>_xlfn.RANK.EQ(all[[#This Row],[AST]],all[AST])</f>
        <v>17</v>
      </c>
      <c r="AP13" s="6">
        <f>AVERAGE(mega[STL])</f>
        <v>7</v>
      </c>
      <c r="AQ13" s="13">
        <f>_xlfn.RANK.EQ(all[[#This Row],[STL]],all[STL])</f>
        <v>8</v>
      </c>
      <c r="AR13" s="6">
        <f>AVERAGE(mega[BLK])</f>
        <v>3</v>
      </c>
      <c r="AS13" s="13">
        <f>_xlfn.RANK.EQ(all[[#This Row],[BLK]],all[BLK])</f>
        <v>5</v>
      </c>
      <c r="AT13" s="6">
        <f>AVERAGE(mega[TOV])</f>
        <v>15</v>
      </c>
      <c r="AU13" s="13">
        <f>_xlfn.RANK.EQ(all[[#This Row],[TOV]],all[TOV],1)</f>
        <v>11</v>
      </c>
      <c r="AV13" s="6">
        <f>AVERAGE(mega[PF])</f>
        <v>23</v>
      </c>
      <c r="AW13" s="13">
        <f>_xlfn.RANK.EQ(all[[#This Row],[PF]],all[PF],1)</f>
        <v>8</v>
      </c>
      <c r="AX13" s="6">
        <f>AVERAGE(mega[FGAop])</f>
        <v>61</v>
      </c>
      <c r="AY13" s="13">
        <f>_xlfn.RANK.EQ(all[[#This Row],[FGA opp]],all[FGA opp],1)</f>
        <v>9</v>
      </c>
      <c r="AZ13" s="6">
        <f>AVERAGE(mega[FGMop])</f>
        <v>31</v>
      </c>
      <c r="BA13" s="13">
        <f>_xlfn.RANK.EQ(all[[#This Row],[FGM opp]],all[FGM opp],1)</f>
        <v>15</v>
      </c>
      <c r="BB13" s="7">
        <f>AVERAGE(mega[FGpop])</f>
        <v>0.50819999999999999</v>
      </c>
      <c r="BC13" s="13">
        <f>_xlfn.RANK.EQ(all[[#This Row],[FGp opp]],all[FGp opp],1)</f>
        <v>15</v>
      </c>
      <c r="BD13" s="6">
        <f>AVERAGE(mega[P2Mop])</f>
        <v>21</v>
      </c>
      <c r="BE13" s="13">
        <f>_xlfn.RANK.EQ(all[[#This Row],[P2M opp]],all[P2M opp],1)</f>
        <v>13</v>
      </c>
      <c r="BF13" s="6">
        <f>AVERAGE(mega[P2Aop])</f>
        <v>39</v>
      </c>
      <c r="BG13" s="13">
        <f>_xlfn.RANK.EQ(all[[#This Row],[P2A opp]],all[P2A opp],1)</f>
        <v>10</v>
      </c>
      <c r="BH13">
        <f>AVERAGE(mega[P2pop])</f>
        <v>0.53849999999999998</v>
      </c>
      <c r="BI13" s="13">
        <f>_xlfn.RANK.EQ(all[[#This Row],[P2p opp]],all[P2p opp],1)</f>
        <v>11</v>
      </c>
      <c r="BJ13" s="6">
        <f>AVERAGE(mega[P3Mop])</f>
        <v>10</v>
      </c>
      <c r="BK13" s="13">
        <f>_xlfn.RANK.EQ(all[[#This Row],[P3M opp]],all[P3M opp],1)</f>
        <v>13</v>
      </c>
      <c r="BL13" s="6">
        <f>AVERAGE(mega[P3Aop])</f>
        <v>22</v>
      </c>
      <c r="BM13" s="13">
        <f>_xlfn.RANK.EQ(all[[#This Row],[P3A opp]],all[P3A opp],1)</f>
        <v>4</v>
      </c>
      <c r="BN13" s="7">
        <f>AVERAGE(mega[P3pop])</f>
        <v>0.45450000000000002</v>
      </c>
      <c r="BO13" s="13">
        <f>_xlfn.RANK.EQ(all[[#This Row],[P3p opp]],all[P3p opp],1)</f>
        <v>14</v>
      </c>
      <c r="BP13" s="6">
        <f>AVERAGE(mega[FTMop])</f>
        <v>14</v>
      </c>
      <c r="BQ13" s="13">
        <f>_xlfn.RANK.EQ(all[[#This Row],[FTM opp]],all[FTM opp],1)</f>
        <v>7</v>
      </c>
      <c r="BR13" s="6">
        <f>AVERAGE(mega[FTAop])</f>
        <v>18</v>
      </c>
      <c r="BS13" s="13">
        <f>_xlfn.RANK.EQ(all[[#This Row],[FTA opp]],all[FTA opp],1)</f>
        <v>7</v>
      </c>
      <c r="BT13" s="7">
        <f>AVERAGE(mega[FTpop])</f>
        <v>0.77780000000000005</v>
      </c>
      <c r="BU13" s="13">
        <f>_xlfn.RANK.EQ(all[[#This Row],[FTp opp]],all[FTp opp],1)</f>
        <v>11</v>
      </c>
      <c r="BV13" s="6">
        <f>AVERAGE(mega[ORBop])</f>
        <v>8</v>
      </c>
      <c r="BW13" s="13">
        <f>_xlfn.RANK.EQ(all[[#This Row],[ORB opp]],all[ORB opp],1)</f>
        <v>5</v>
      </c>
      <c r="BX13" s="6">
        <f>AVERAGE(mega[DRBop])</f>
        <v>33</v>
      </c>
      <c r="BY13" s="13">
        <f>_xlfn.RANK.EQ(all[[#This Row],[DRB opp]],all[DRB opp],1)</f>
        <v>18</v>
      </c>
      <c r="BZ13" s="6">
        <f>AVERAGE(mega[TRBop])</f>
        <v>41</v>
      </c>
      <c r="CA13" s="13">
        <f>_xlfn.RANK.EQ(all[[#This Row],[TRB opp]],all[TRB opp],1)</f>
        <v>15</v>
      </c>
      <c r="CB13" s="6">
        <f>AVERAGE(mega[ASTop])</f>
        <v>17</v>
      </c>
      <c r="CC13" s="13">
        <f>_xlfn.RANK.EQ(all[[#This Row],[AST opp]],all[AST opp],1)</f>
        <v>7</v>
      </c>
      <c r="CD13" s="6">
        <f>AVERAGE(mega[STLop])</f>
        <v>6</v>
      </c>
      <c r="CE13" s="13">
        <f>_xlfn.RANK.EQ(all[[#This Row],[STL opp]],all[STL opp],1)</f>
        <v>6</v>
      </c>
      <c r="CF13" s="6">
        <f>AVERAGE(mega[BLKop])</f>
        <v>3</v>
      </c>
      <c r="CG13" s="13">
        <f>_xlfn.RANK.EQ(all[[#This Row],[BLK opp]],all[BLK opp],1)</f>
        <v>11</v>
      </c>
      <c r="CH13" s="6">
        <f>AVERAGE(mega[TOVop])</f>
        <v>12</v>
      </c>
      <c r="CI13" s="13">
        <f>_xlfn.RANK.EQ(all[[#This Row],[TOV opp]],all[TOV opp])</f>
        <v>14</v>
      </c>
      <c r="CJ13" s="6">
        <f>AVERAGE(mega[PFop])</f>
        <v>23</v>
      </c>
      <c r="CK13" s="13">
        <f>_xlfn.RANK.EQ(all[[#This Row],[PF opp]],all[PF opp])</f>
        <v>9</v>
      </c>
      <c r="CL13" s="7">
        <f>AVERAGE(mega[TS%])</f>
        <v>0.4224</v>
      </c>
      <c r="CM13" s="13">
        <f>_xlfn.RANK.EQ(all[[#This Row],[TSp]],all[TSp])</f>
        <v>18</v>
      </c>
      <c r="CN13" s="7">
        <f>AVERAGE(mega[eFG%])</f>
        <v>0.42309999999999998</v>
      </c>
      <c r="CO13" s="13">
        <f>_xlfn.RANK.EQ(all[[#This Row],[eFGp]],all[eFGp])</f>
        <v>18</v>
      </c>
      <c r="CP13" s="7">
        <f>AVERAGE(mega[ORB%])</f>
        <v>0.28260000000000002</v>
      </c>
      <c r="CQ13" s="13">
        <f>_xlfn.RANK.EQ(all[[#This Row],[ORBp]],all[ORBp])</f>
        <v>13</v>
      </c>
      <c r="CR13" s="7">
        <f>AVERAGE(mega[DRB%])</f>
        <v>0.73329999999999995</v>
      </c>
      <c r="CS13" s="13">
        <f>_xlfn.RANK.EQ(all[[#This Row],[DRBp]],all[DRBp])</f>
        <v>6</v>
      </c>
      <c r="CT13" s="7">
        <f>AVERAGE(mega[TRB%])</f>
        <v>0.46050000000000002</v>
      </c>
      <c r="CU13" s="13">
        <f>_xlfn.RANK.EQ(all[[#This Row],[TRBp]],all[TRBp])</f>
        <v>15</v>
      </c>
      <c r="CV13" s="6">
        <f>AVERAGE(mega[Poss])</f>
        <v>68.105000000000004</v>
      </c>
      <c r="CW13" s="13">
        <f>_xlfn.RANK.EQ(all[[#This Row],[Poss]],all[Poss])</f>
        <v>16</v>
      </c>
      <c r="CX13" s="7">
        <f>AVERAGE(mega[AST%])</f>
        <v>0.45829999999999999</v>
      </c>
      <c r="CY13" s="13">
        <f>_xlfn.RANK.EQ(all[[#This Row],[ASTp]],all[ASTp])</f>
        <v>17</v>
      </c>
      <c r="CZ13" s="7">
        <f>AVERAGE(mega[FTFGA%])</f>
        <v>6.1499999999999999E-2</v>
      </c>
      <c r="DA13" s="13">
        <f>_xlfn.RANK.EQ(all[[#This Row],[FTFGAp]],all[FTFGAp])</f>
        <v>18</v>
      </c>
      <c r="DB13" s="7">
        <f>AVERAGE(mega[TOV%])</f>
        <v>0.17680000000000001</v>
      </c>
      <c r="DC13" s="13">
        <f>_xlfn.RANK.EQ(all[[#This Row],[TOVp]],all[TOVp],1)</f>
        <v>13</v>
      </c>
      <c r="DD13" s="6">
        <f>AVERAGE(mega[ORtg])</f>
        <v>83.1</v>
      </c>
      <c r="DE13" s="13">
        <f>_xlfn.RANK.EQ(all[[#This Row],[ORtg]],all[ORtg])</f>
        <v>18</v>
      </c>
      <c r="DF13" s="6">
        <f>AVERAGE(mega[DRtg])</f>
        <v>121.1</v>
      </c>
      <c r="DG13" s="13">
        <f>_xlfn.RANK.EQ(all[[#This Row],[DRtg]],all[DRtg],1)</f>
        <v>15</v>
      </c>
      <c r="DH13" s="6">
        <f>AVERAGE(mega[Pace])</f>
        <v>71.021000000000001</v>
      </c>
      <c r="DI13" s="13">
        <f>_xlfn.RANK.EQ(all[[#This Row],[Pace]],all[Pace])</f>
        <v>15</v>
      </c>
      <c r="DJ13" s="7">
        <f>AVERAGE(mega[TS%op])</f>
        <v>0.62390000000000001</v>
      </c>
      <c r="DK13" s="13">
        <f>_xlfn.RANK.EQ(all[[#This Row],[TSp opp]],all[TSp opp],1)</f>
        <v>16</v>
      </c>
      <c r="DL13" s="7">
        <f>AVERAGE(mega[eFG%op])</f>
        <v>0.59019999999999995</v>
      </c>
      <c r="DM13" s="13">
        <f>_xlfn.RANK.EQ(all[[#This Row],[eFGp opp]],all[eFGp opp],1)</f>
        <v>16</v>
      </c>
      <c r="DN13" s="7">
        <f>AVERAGE(mega[ORB%op])</f>
        <v>0.26669999999999999</v>
      </c>
      <c r="DO13" s="13">
        <f>_xlfn.RANK.EQ(all[[#This Row],[ORBp opp]],all[ORBp opp],1)</f>
        <v>6</v>
      </c>
      <c r="DP13" s="7">
        <f>AVERAGE(mega[DRB%op])</f>
        <v>0.71740000000000004</v>
      </c>
      <c r="DQ13" s="13">
        <f>_xlfn.RANK.EQ(all[[#This Row],[DRBp opp]],all[DRBp opp],1)</f>
        <v>13</v>
      </c>
      <c r="DR13" s="7">
        <f>AVERAGE(mega[TRB%op])</f>
        <v>0.53949999999999998</v>
      </c>
      <c r="DS13" s="13">
        <f>_xlfn.RANK.EQ(all[[#This Row],[TRBp opp]],all[TRBp opp],1)</f>
        <v>15</v>
      </c>
      <c r="DT13" s="6">
        <f>AVERAGE(mega[Possop])</f>
        <v>73.936999999999998</v>
      </c>
      <c r="DU13" s="13">
        <f>_xlfn.RANK.EQ(all[[#This Row],[Poss opp]],all[Poss opp],1)</f>
        <v>10</v>
      </c>
      <c r="DV13" s="7">
        <f>AVERAGE(mega[AST%op])</f>
        <v>0.5484</v>
      </c>
      <c r="DW13" s="13">
        <f>_xlfn.RANK.EQ(all[[#This Row],[ASTp opp]],all[ASTp opp],1)</f>
        <v>7</v>
      </c>
      <c r="DX13" s="7">
        <f>AVERAGE(mega[FTFGA%op])</f>
        <v>0.22950000000000001</v>
      </c>
      <c r="DY13" s="13">
        <f>_xlfn.RANK.EQ(all[[#This Row],[FTFGAp opp]],all[FTFGAp opp],1)</f>
        <v>11</v>
      </c>
      <c r="DZ13" s="7">
        <f>AVERAGE(mega[TOV%op])</f>
        <v>0.14829999999999999</v>
      </c>
      <c r="EA13" s="13">
        <f>_xlfn.RANK.EQ(all[[#This Row],[TOVp opp]],all[TOVp opp])</f>
        <v>14</v>
      </c>
      <c r="EB13" s="6">
        <f>AVERAGE(mega[ORtgop])</f>
        <v>121.1</v>
      </c>
      <c r="EC13" s="13">
        <f>_xlfn.RANK.EQ(all[[#This Row],[ORtg opp]],all[ORtg opp],1)</f>
        <v>15</v>
      </c>
      <c r="ED13" s="6">
        <f>AVERAGE(mega[DRtgop])</f>
        <v>83.1</v>
      </c>
      <c r="EE13" s="13">
        <f>_xlfn.RANK.EQ(all[[#This Row],[DRtg opp]],all[DRtg opp])</f>
        <v>18</v>
      </c>
      <c r="EF13" s="6">
        <f>AVERAGE(mega[Q1H])</f>
        <v>12</v>
      </c>
      <c r="EG13" s="13">
        <f>_xlfn.RANK.EQ(all[[#This Row],[Q1H]],all[Q1H])</f>
        <v>18</v>
      </c>
      <c r="EH13" s="6">
        <f>AVERAGE(mega[Q2H])</f>
        <v>13</v>
      </c>
      <c r="EI13" s="13">
        <f>_xlfn.RANK.EQ(all[[#This Row],[Q2H]],all[Q2H])</f>
        <v>15</v>
      </c>
      <c r="EJ13" s="6">
        <f>AVERAGE(mega[Q3H])</f>
        <v>16</v>
      </c>
      <c r="EK13" s="13">
        <f>_xlfn.RANK.EQ(all[[#This Row],[Q3H]],all[Q3H])</f>
        <v>16</v>
      </c>
      <c r="EL13" s="6">
        <f>AVERAGE(mega[Q4H])</f>
        <v>18</v>
      </c>
      <c r="EM13" s="13">
        <f>_xlfn.RANK.EQ(all[[#This Row],[Q4H]],all[Q4H])</f>
        <v>14</v>
      </c>
      <c r="EN13" s="6">
        <f>AVERAGE(mega[Q1A])</f>
        <v>20</v>
      </c>
      <c r="EO13" s="13">
        <f>_xlfn.RANK.EQ(all[[#This Row],[Q1A]],all[Q1A],1)</f>
        <v>7</v>
      </c>
      <c r="EP13" s="6">
        <f>AVERAGE(mega[Q2A])</f>
        <v>26</v>
      </c>
      <c r="EQ13" s="13">
        <f>_xlfn.RANK.EQ(all[[#This Row],[Q2A]],all[Q2A],1)</f>
        <v>15</v>
      </c>
      <c r="ER13" s="6">
        <f>AVERAGE(mega[Q3A])</f>
        <v>20</v>
      </c>
      <c r="ES13" s="13">
        <f>_xlfn.RANK.EQ(all[[#This Row],[Q3A]],all[Q3A],1)</f>
        <v>9</v>
      </c>
      <c r="ET13" s="6">
        <f>AVERAGE(mega[Q4A])</f>
        <v>20</v>
      </c>
      <c r="EU13" s="13">
        <f>_xlfn.RANK.EQ(all[[#This Row],[Q4A]],all[Q4A],1)</f>
        <v>10</v>
      </c>
      <c r="EV13" s="6">
        <f>AVERAGE(mega[FhalfH])</f>
        <v>25</v>
      </c>
      <c r="EW13" s="13">
        <f>_xlfn.RANK.EQ(all[[#This Row],[FHH]],all[FHH])</f>
        <v>18</v>
      </c>
      <c r="EX13" s="5">
        <f>AVERAGE(mega[FhalfA])</f>
        <v>46</v>
      </c>
      <c r="EY13" s="13">
        <f>_xlfn.RANK.EQ(all[[#This Row],[FHA]],all[FHA],1)</f>
        <v>12</v>
      </c>
      <c r="EZ13" s="6">
        <f>AVERAGE(mega[ShalfH])</f>
        <v>34</v>
      </c>
      <c r="FA13" s="13">
        <f>_xlfn.RANK.EQ(all[[#This Row],[SHH]],all[SHH])</f>
        <v>16</v>
      </c>
      <c r="FB13" s="6">
        <f>AVERAGE(mega[ShalfA])</f>
        <v>40</v>
      </c>
      <c r="FC13" s="13">
        <f>_xlfn.RANK.EQ(all[[#This Row],[SHA]],all[SHA],1)</f>
        <v>9</v>
      </c>
      <c r="FD13" s="6" t="e">
        <f ca="1">AVERAGE(LARGE(OFFSET(mega[Home_scored],COUNTA(mega[Home_scored])-5, 0, 5, 1),2), LARGE(OFFSET(mega[Home_scored],COUNTA(mega[Home_scored])-5, 0, 5, 1),3),LARGE(OFFSET(mega[Home_scored],COUNTA(mega[Home_scored])-5, 0, 5, 1),4))</f>
        <v>#REF!</v>
      </c>
      <c r="FE13" s="6" t="e">
        <f ca="1">AVERAGE(LARGE(OFFSET(mega[Away_scored],COUNTA(mega[Away_scored])-5, 0, 5, 1),2), LARGE(OFFSET(mega[Away_scored],COUNTA(mega[Away_scored])-5, 0, 5, 1),3),LARGE(OFFSET(mega[Away_scored],COUNTA(mega[Away_scored])-5, 0, 5, 1),4))</f>
        <v>#REF!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12</v>
      </c>
      <c r="FJ13" s="5">
        <f t="shared" si="0"/>
        <v>12.4</v>
      </c>
      <c r="FK13" s="6">
        <f>all[[#This Row],[Q1H]]+all[[#This Row],[Q1A]]</f>
        <v>32</v>
      </c>
      <c r="FL13" s="13">
        <f>_xlfn.RANK.EQ(all[[#This Row],[Q1T]],all[Q1T])</f>
        <v>17</v>
      </c>
      <c r="FM13" s="6">
        <f>all[[#This Row],[Q2H]]+all[[#This Row],[Q2A]]</f>
        <v>39</v>
      </c>
      <c r="FN13" s="13">
        <f>_xlfn.RANK.EQ(all[[#This Row],[Q2T]],all[Q2T])</f>
        <v>12</v>
      </c>
      <c r="FO13" s="6">
        <f>all[[#This Row],[Q3H]]+all[[#This Row],[Q3A]]</f>
        <v>36</v>
      </c>
      <c r="FP13" s="13">
        <f>_xlfn.RANK.EQ(all[[#This Row],[Q3T]],all[Q3T])</f>
        <v>13</v>
      </c>
      <c r="FQ13" s="6">
        <f>all[[#This Row],[Q4H]]+all[[#This Row],[Q4A]]</f>
        <v>38</v>
      </c>
      <c r="FR13" s="13">
        <f>_xlfn.RANK.EQ(all[[#This Row],[Q4T]],all[Q4T])</f>
        <v>10</v>
      </c>
      <c r="FS13" s="6">
        <f>all[[#This Row],[FHH]]+all[[#This Row],[FHA]]</f>
        <v>71</v>
      </c>
      <c r="FT13" s="13">
        <f>_xlfn.RANK.EQ(all[[#This Row],[FHT]],all[FHT])</f>
        <v>14</v>
      </c>
      <c r="FU13" s="6">
        <f>all[[#This Row],[SHH]]+all[[#This Row],[SHA]]</f>
        <v>74</v>
      </c>
      <c r="FV13" s="13">
        <f>_xlfn.RANK.EQ(all[[#This Row],[SHT]],all[SHT])</f>
        <v>14</v>
      </c>
      <c r="FW13" s="6">
        <f ca="1">SUM(INDIRECT(all[[#This Row],[Table name]]&amp;"[BetH]"))</f>
        <v>-1</v>
      </c>
      <c r="FX13" s="13">
        <f ca="1">_xlfn.RANK.EQ(all[[#This Row],[BetH]],all[BetH])</f>
        <v>12</v>
      </c>
      <c r="FY13" s="6">
        <f ca="1">SUM(INDIRECT(all[[#This Row],[Table name]]&amp;"[BetA]"))</f>
        <v>0.5</v>
      </c>
      <c r="FZ13" s="13">
        <f ca="1">_xlfn.RANK.EQ(all[[#This Row],[BetA]],all[BetA])</f>
        <v>6</v>
      </c>
      <c r="GA13" s="13">
        <f ca="1">SUM(INDIRECT(all[[#This Row],[Table name]]&amp;"[Tover]"))</f>
        <v>0</v>
      </c>
      <c r="GB13" s="13">
        <f ca="1">_xlfn.RANK.EQ(all[[#This Row],[Tover]],all[Tover])</f>
        <v>12</v>
      </c>
      <c r="GC13" s="6">
        <f ca="1">AVERAGE(INDIRECT(all[[#This Row],[Table name]]&amp;"[Deviation]"))</f>
        <v>22</v>
      </c>
      <c r="GD13" s="13">
        <f ca="1">_xlfn.RANK.EQ(all[[#This Row],[Deviation]],all[Deviation],1)</f>
        <v>13</v>
      </c>
    </row>
    <row r="14" spans="1:186" x14ac:dyDescent="0.25">
      <c r="A14" s="9" t="s">
        <v>375</v>
      </c>
      <c r="B14" t="s">
        <v>375</v>
      </c>
      <c r="C14" t="s">
        <v>377</v>
      </c>
      <c r="D14" t="s">
        <v>376</v>
      </c>
      <c r="E14">
        <f>_xlfn.RANK.EQ(all[[#This Row],[AVG_RT]],all[AVG_RT],1)</f>
        <v>14</v>
      </c>
      <c r="F14" s="6">
        <f>AVERAGE(partizan[Home_scored])</f>
        <v>69</v>
      </c>
      <c r="G14" s="13">
        <f>_xlfn.RANK.EQ(all[[#This Row],[PM]],all[PM])</f>
        <v>17</v>
      </c>
      <c r="H14" s="6">
        <f>AVERAGE(partizan[Away_scored])</f>
        <v>76</v>
      </c>
      <c r="I14" s="13">
        <f>_xlfn.RANK.EQ(all[[#This Row],[PC]],all[PC],1)</f>
        <v>4</v>
      </c>
      <c r="J14" s="6">
        <f>AVERAGE(partizan[FGA])</f>
        <v>54</v>
      </c>
      <c r="K14" s="13">
        <f>_xlfn.RANK.EQ(all[[#This Row],[FGA]],all[FGA])</f>
        <v>18</v>
      </c>
      <c r="L14" s="6">
        <f>AVERAGE(partizan[FGM])</f>
        <v>26</v>
      </c>
      <c r="M14" s="13">
        <f>_xlfn.RANK.EQ(all[[#This Row],[FGM]],all[FGM])</f>
        <v>14</v>
      </c>
      <c r="N14" s="7">
        <f>AVERAGE(partizan[FGp])</f>
        <v>0.48149999999999998</v>
      </c>
      <c r="O14" s="13">
        <f>_xlfn.RANK.EQ(all[[#This Row],[FGp]],all[FGp])</f>
        <v>9</v>
      </c>
      <c r="P14" s="6">
        <f>AVERAGE(partizan[P2M])</f>
        <v>17</v>
      </c>
      <c r="Q14" s="13">
        <f>_xlfn.RANK.EQ(all[[#This Row],[P2M]],all[P2M])</f>
        <v>12</v>
      </c>
      <c r="R14" s="6">
        <f>AVERAGE(partizan[P2A])</f>
        <v>38</v>
      </c>
      <c r="S14" s="13">
        <f>_xlfn.RANK.EQ(all[[#This Row],[P2A]],all[P2A])</f>
        <v>7</v>
      </c>
      <c r="T14" s="7">
        <f>AVERAGE(partizan[P2p])</f>
        <v>0.44740000000000002</v>
      </c>
      <c r="U14" s="13">
        <f>_xlfn.RANK.EQ(all[[#This Row],[P2p]],all[P2p])</f>
        <v>15</v>
      </c>
      <c r="V14" s="6">
        <f>AVERAGE(partizan[P3M])</f>
        <v>9</v>
      </c>
      <c r="W14" s="13">
        <f>_xlfn.RANK.EQ(all[[#This Row],[P3M]],all[P3M])</f>
        <v>8</v>
      </c>
      <c r="X14" s="6">
        <f>AVERAGE(partizan[P3A])</f>
        <v>16</v>
      </c>
      <c r="Y14" s="13">
        <f>_xlfn.RANK.EQ(all[[#This Row],[P3A]],all[P3A])</f>
        <v>18</v>
      </c>
      <c r="Z14" s="7">
        <f>AVERAGE(partizan[P3p])</f>
        <v>0.5625</v>
      </c>
      <c r="AA14" s="13">
        <f>_xlfn.RANK.EQ(all[[#This Row],[P3p]],all[P3p])</f>
        <v>1</v>
      </c>
      <c r="AB14" s="6">
        <f>AVERAGE(partizan[FTM])</f>
        <v>8</v>
      </c>
      <c r="AC14" s="13">
        <f>_xlfn.RANK.EQ(all[[#This Row],[FTM]],all[FTM])</f>
        <v>17</v>
      </c>
      <c r="AD14" s="6">
        <f>AVERAGE(partizan[FTA])</f>
        <v>13</v>
      </c>
      <c r="AE14" s="13">
        <f>_xlfn.RANK.EQ(all[[#This Row],[FTA]],all[FTA])</f>
        <v>16</v>
      </c>
      <c r="AF14" s="7">
        <f>AVERAGE(partizan[FTp])</f>
        <v>0.61539999999999995</v>
      </c>
      <c r="AG14" s="13">
        <f>_xlfn.RANK.EQ(all[[#This Row],[FTp]],all[FTp])</f>
        <v>17</v>
      </c>
      <c r="AH14" s="6">
        <f>AVERAGE(partizan[ORB])</f>
        <v>8</v>
      </c>
      <c r="AI14" s="13">
        <f>_xlfn.RANK.EQ(all[[#This Row],[ORB]],all[ORB])</f>
        <v>14</v>
      </c>
      <c r="AJ14" s="6">
        <f>AVERAGE(partizan[DRB])</f>
        <v>25</v>
      </c>
      <c r="AK14" s="13">
        <f>_xlfn.RANK.EQ(all[[#This Row],[DRB]],all[DRB])</f>
        <v>7</v>
      </c>
      <c r="AL14" s="6">
        <f>AVERAGE(partizan[TRB])</f>
        <v>33</v>
      </c>
      <c r="AM14" s="13">
        <f>_xlfn.RANK.EQ(all[[#This Row],[TRB]],all[TRB])</f>
        <v>12</v>
      </c>
      <c r="AN14" s="6">
        <f>AVERAGE(partizan[AST])</f>
        <v>17</v>
      </c>
      <c r="AO14" s="13">
        <f>_xlfn.RANK.EQ(all[[#This Row],[AST]],all[AST])</f>
        <v>10</v>
      </c>
      <c r="AP14" s="6">
        <f>AVERAGE(partizan[STL])</f>
        <v>7</v>
      </c>
      <c r="AQ14" s="13">
        <f>_xlfn.RANK.EQ(all[[#This Row],[STL]],all[STL])</f>
        <v>8</v>
      </c>
      <c r="AR14" s="6">
        <f>AVERAGE(partizan[BLK])</f>
        <v>4</v>
      </c>
      <c r="AS14" s="13">
        <f>_xlfn.RANK.EQ(all[[#This Row],[BLK]],all[BLK])</f>
        <v>3</v>
      </c>
      <c r="AT14" s="6">
        <f>AVERAGE(partizan[TOV])</f>
        <v>22</v>
      </c>
      <c r="AU14" s="13">
        <f>_xlfn.RANK.EQ(all[[#This Row],[TOV]],all[TOV],1)</f>
        <v>18</v>
      </c>
      <c r="AV14" s="6">
        <f>AVERAGE(partizan[PF])</f>
        <v>29</v>
      </c>
      <c r="AW14" s="13">
        <f>_xlfn.RANK.EQ(all[[#This Row],[PF]],all[PF],1)</f>
        <v>17</v>
      </c>
      <c r="AX14" s="6">
        <f>AVERAGE(partizan[FGAop])</f>
        <v>58</v>
      </c>
      <c r="AY14" s="13">
        <f>_xlfn.RANK.EQ(all[[#This Row],[FGA opp]],all[FGA opp],1)</f>
        <v>4</v>
      </c>
      <c r="AZ14" s="6">
        <f>AVERAGE(partizan[FGMop])</f>
        <v>22</v>
      </c>
      <c r="BA14" s="13">
        <f>_xlfn.RANK.EQ(all[[#This Row],[FGM opp]],all[FGM opp],1)</f>
        <v>2</v>
      </c>
      <c r="BB14" s="7">
        <f>AVERAGE(partizan[FGpop])</f>
        <v>0.37930000000000003</v>
      </c>
      <c r="BC14" s="13">
        <f>_xlfn.RANK.EQ(all[[#This Row],[FGp opp]],all[FGp opp],1)</f>
        <v>4</v>
      </c>
      <c r="BD14" s="6">
        <f>AVERAGE(partizan[P2Mop])</f>
        <v>16</v>
      </c>
      <c r="BE14" s="13">
        <f>_xlfn.RANK.EQ(all[[#This Row],[P2M opp]],all[P2M opp],1)</f>
        <v>2</v>
      </c>
      <c r="BF14" s="6">
        <f>AVERAGE(partizan[P2Aop])</f>
        <v>37</v>
      </c>
      <c r="BG14" s="13">
        <f>_xlfn.RANK.EQ(all[[#This Row],[P2A opp]],all[P2A opp],1)</f>
        <v>7</v>
      </c>
      <c r="BH14">
        <f>AVERAGE(partizan[P2pop])</f>
        <v>0.43240000000000001</v>
      </c>
      <c r="BI14" s="13">
        <f>_xlfn.RANK.EQ(all[[#This Row],[P2p opp]],all[P2p opp],1)</f>
        <v>4</v>
      </c>
      <c r="BJ14" s="6">
        <f>AVERAGE(partizan[P3Mop])</f>
        <v>6</v>
      </c>
      <c r="BK14" s="13">
        <f>_xlfn.RANK.EQ(all[[#This Row],[P3M opp]],all[P3M opp],1)</f>
        <v>2</v>
      </c>
      <c r="BL14" s="6">
        <f>AVERAGE(partizan[P3Aop])</f>
        <v>21</v>
      </c>
      <c r="BM14" s="13">
        <f>_xlfn.RANK.EQ(all[[#This Row],[P3A opp]],all[P3A opp],1)</f>
        <v>3</v>
      </c>
      <c r="BN14" s="7">
        <f>AVERAGE(partizan[P3pop])</f>
        <v>0.28570000000000001</v>
      </c>
      <c r="BO14" s="13">
        <f>_xlfn.RANK.EQ(all[[#This Row],[P3p opp]],all[P3p opp],1)</f>
        <v>4</v>
      </c>
      <c r="BP14" s="6">
        <f>AVERAGE(partizan[FTMop])</f>
        <v>26</v>
      </c>
      <c r="BQ14" s="13">
        <f>_xlfn.RANK.EQ(all[[#This Row],[FTM opp]],all[FTM opp],1)</f>
        <v>16</v>
      </c>
      <c r="BR14" s="6">
        <f>AVERAGE(partizan[FTAop])</f>
        <v>29</v>
      </c>
      <c r="BS14" s="13">
        <f>_xlfn.RANK.EQ(all[[#This Row],[FTA opp]],all[FTA opp],1)</f>
        <v>15</v>
      </c>
      <c r="BT14" s="7">
        <f>AVERAGE(partizan[FTpop])</f>
        <v>0.89659999999999995</v>
      </c>
      <c r="BU14" s="13">
        <f>_xlfn.RANK.EQ(all[[#This Row],[FTp opp]],all[FTp opp],1)</f>
        <v>17</v>
      </c>
      <c r="BV14" s="6">
        <f>AVERAGE(partizan[ORBop])</f>
        <v>11</v>
      </c>
      <c r="BW14" s="13">
        <f>_xlfn.RANK.EQ(all[[#This Row],[ORB opp]],all[ORB opp],1)</f>
        <v>9</v>
      </c>
      <c r="BX14" s="6">
        <f>AVERAGE(partizan[DRBop])</f>
        <v>23</v>
      </c>
      <c r="BY14" s="13">
        <f>_xlfn.RANK.EQ(all[[#This Row],[DRB opp]],all[DRB opp],1)</f>
        <v>8</v>
      </c>
      <c r="BZ14" s="6">
        <f>AVERAGE(partizan[TRBop])</f>
        <v>34</v>
      </c>
      <c r="CA14" s="13">
        <f>_xlfn.RANK.EQ(all[[#This Row],[TRB opp]],all[TRB opp],1)</f>
        <v>9</v>
      </c>
      <c r="CB14" s="6">
        <f>AVERAGE(partizan[ASTop])</f>
        <v>12</v>
      </c>
      <c r="CC14" s="13">
        <f>_xlfn.RANK.EQ(all[[#This Row],[AST opp]],all[AST opp],1)</f>
        <v>4</v>
      </c>
      <c r="CD14" s="6">
        <f>AVERAGE(partizan[STLop])</f>
        <v>13</v>
      </c>
      <c r="CE14" s="13">
        <f>_xlfn.RANK.EQ(all[[#This Row],[STL opp]],all[STL opp],1)</f>
        <v>18</v>
      </c>
      <c r="CF14" s="6">
        <f>AVERAGE(partizan[BLKop])</f>
        <v>0</v>
      </c>
      <c r="CG14" s="13">
        <f>_xlfn.RANK.EQ(all[[#This Row],[BLK opp]],all[BLK opp],1)</f>
        <v>1</v>
      </c>
      <c r="CH14" s="6">
        <f>AVERAGE(partizan[TOVop])</f>
        <v>15</v>
      </c>
      <c r="CI14" s="13">
        <f>_xlfn.RANK.EQ(all[[#This Row],[TOV opp]],all[TOV opp])</f>
        <v>9</v>
      </c>
      <c r="CJ14" s="6">
        <f>AVERAGE(partizan[PFop])</f>
        <v>21</v>
      </c>
      <c r="CK14" s="13">
        <f>_xlfn.RANK.EQ(all[[#This Row],[PF opp]],all[PF opp])</f>
        <v>15</v>
      </c>
      <c r="CL14" s="7">
        <f>AVERAGE(partizan[TS%])</f>
        <v>0.57769999999999999</v>
      </c>
      <c r="CM14" s="13">
        <f>_xlfn.RANK.EQ(all[[#This Row],[TSp]],all[TSp])</f>
        <v>11</v>
      </c>
      <c r="CN14" s="7">
        <f>AVERAGE(partizan[eFG%])</f>
        <v>0.56479999999999997</v>
      </c>
      <c r="CO14" s="13">
        <f>_xlfn.RANK.EQ(all[[#This Row],[eFGp]],all[eFGp])</f>
        <v>8</v>
      </c>
      <c r="CP14" s="7">
        <f>AVERAGE(partizan[ORB%])</f>
        <v>0.2581</v>
      </c>
      <c r="CQ14" s="13">
        <f>_xlfn.RANK.EQ(all[[#This Row],[ORBp]],all[ORBp])</f>
        <v>15</v>
      </c>
      <c r="CR14" s="7">
        <f>AVERAGE(partizan[DRB%])</f>
        <v>0.69440000000000002</v>
      </c>
      <c r="CS14" s="13">
        <f>_xlfn.RANK.EQ(all[[#This Row],[DRBp]],all[DRBp])</f>
        <v>9</v>
      </c>
      <c r="CT14" s="7">
        <f>AVERAGE(partizan[TRB%])</f>
        <v>0.49249999999999999</v>
      </c>
      <c r="CU14" s="13">
        <f>_xlfn.RANK.EQ(all[[#This Row],[TRBp]],all[TRBp])</f>
        <v>11</v>
      </c>
      <c r="CV14" s="6">
        <f>AVERAGE(partizan[Poss])</f>
        <v>73.936999999999998</v>
      </c>
      <c r="CW14" s="13">
        <f>_xlfn.RANK.EQ(all[[#This Row],[Poss]],all[Poss])</f>
        <v>9</v>
      </c>
      <c r="CX14" s="7">
        <f>AVERAGE(partizan[AST%])</f>
        <v>0.65380000000000005</v>
      </c>
      <c r="CY14" s="13">
        <f>_xlfn.RANK.EQ(all[[#This Row],[ASTp]],all[ASTp])</f>
        <v>4</v>
      </c>
      <c r="CZ14" s="7">
        <f>AVERAGE(partizan[FTFGA%])</f>
        <v>0.14810000000000001</v>
      </c>
      <c r="DA14" s="13">
        <f>_xlfn.RANK.EQ(all[[#This Row],[FTFGAp]],all[FTFGAp])</f>
        <v>16</v>
      </c>
      <c r="DB14" s="7">
        <f>AVERAGE(partizan[TOV%])</f>
        <v>0.26919999999999999</v>
      </c>
      <c r="DC14" s="13">
        <f>_xlfn.RANK.EQ(all[[#This Row],[TOVp]],all[TOVp],1)</f>
        <v>18</v>
      </c>
      <c r="DD14" s="6">
        <f>AVERAGE(partizan[ORtg])</f>
        <v>94.5</v>
      </c>
      <c r="DE14" s="13">
        <f>_xlfn.RANK.EQ(all[[#This Row],[ORtg]],all[ORtg])</f>
        <v>17</v>
      </c>
      <c r="DF14" s="6">
        <f>AVERAGE(partizan[DRtg])</f>
        <v>104.1</v>
      </c>
      <c r="DG14" s="13">
        <f>_xlfn.RANK.EQ(all[[#This Row],[DRtg]],all[DRtg],1)</f>
        <v>4</v>
      </c>
      <c r="DH14" s="6">
        <f>AVERAGE(partizan[Pace])</f>
        <v>73.037499999999994</v>
      </c>
      <c r="DI14" s="13">
        <f>_xlfn.RANK.EQ(all[[#This Row],[Pace]],all[Pace])</f>
        <v>9</v>
      </c>
      <c r="DJ14" s="7">
        <f>AVERAGE(partizan[TS%op])</f>
        <v>0.53700000000000003</v>
      </c>
      <c r="DK14" s="13">
        <f>_xlfn.RANK.EQ(all[[#This Row],[TSp opp]],all[TSp opp],1)</f>
        <v>7</v>
      </c>
      <c r="DL14" s="7">
        <f>AVERAGE(partizan[eFG%op])</f>
        <v>0.43099999999999999</v>
      </c>
      <c r="DM14" s="13">
        <f>_xlfn.RANK.EQ(all[[#This Row],[eFGp opp]],all[eFGp opp],1)</f>
        <v>3</v>
      </c>
      <c r="DN14" s="7">
        <f>AVERAGE(partizan[ORB%op])</f>
        <v>0.30559999999999998</v>
      </c>
      <c r="DO14" s="13">
        <f>_xlfn.RANK.EQ(all[[#This Row],[ORBp opp]],all[ORBp opp],1)</f>
        <v>9</v>
      </c>
      <c r="DP14" s="7">
        <f>AVERAGE(partizan[DRB%op])</f>
        <v>0.7419</v>
      </c>
      <c r="DQ14" s="13">
        <f>_xlfn.RANK.EQ(all[[#This Row],[DRBp opp]],all[DRBp opp],1)</f>
        <v>15</v>
      </c>
      <c r="DR14" s="7">
        <f>AVERAGE(partizan[TRB%op])</f>
        <v>0.50749999999999995</v>
      </c>
      <c r="DS14" s="13">
        <f>_xlfn.RANK.EQ(all[[#This Row],[TRBp opp]],all[TRBp opp],1)</f>
        <v>11</v>
      </c>
      <c r="DT14" s="6">
        <f>AVERAGE(partizan[Possop])</f>
        <v>72.138000000000005</v>
      </c>
      <c r="DU14" s="13">
        <f>_xlfn.RANK.EQ(all[[#This Row],[Poss opp]],all[Poss opp],1)</f>
        <v>7</v>
      </c>
      <c r="DV14" s="7">
        <f>AVERAGE(partizan[AST%op])</f>
        <v>0.54549999999999998</v>
      </c>
      <c r="DW14" s="13">
        <f>_xlfn.RANK.EQ(all[[#This Row],[ASTp opp]],all[ASTp opp],1)</f>
        <v>6</v>
      </c>
      <c r="DX14" s="7">
        <f>AVERAGE(partizan[FTFGA%op])</f>
        <v>0.44829999999999998</v>
      </c>
      <c r="DY14" s="13">
        <f>_xlfn.RANK.EQ(all[[#This Row],[FTFGAp opp]],all[FTFGAp opp],1)</f>
        <v>17</v>
      </c>
      <c r="DZ14" s="7">
        <f>AVERAGE(partizan[TOV%op])</f>
        <v>0.1749</v>
      </c>
      <c r="EA14" s="13">
        <f>_xlfn.RANK.EQ(all[[#This Row],[TOVp opp]],all[TOVp opp])</f>
        <v>9</v>
      </c>
      <c r="EB14" s="6">
        <f>AVERAGE(partizan[ORtgop])</f>
        <v>104.1</v>
      </c>
      <c r="EC14" s="13">
        <f>_xlfn.RANK.EQ(all[[#This Row],[ORtg opp]],all[ORtg opp],1)</f>
        <v>4</v>
      </c>
      <c r="ED14" s="6">
        <f>AVERAGE(partizan[DRtgop])</f>
        <v>94.5</v>
      </c>
      <c r="EE14" s="13">
        <f>_xlfn.RANK.EQ(all[[#This Row],[DRtg opp]],all[DRtg opp])</f>
        <v>17</v>
      </c>
      <c r="EF14" s="6">
        <f>AVERAGE(partizan[Q1H])</f>
        <v>18</v>
      </c>
      <c r="EG14" s="13">
        <f>_xlfn.RANK.EQ(all[[#This Row],[Q1H]],all[Q1H])</f>
        <v>16</v>
      </c>
      <c r="EH14" s="6">
        <f>AVERAGE(partizan[Q2H])</f>
        <v>9</v>
      </c>
      <c r="EI14" s="13">
        <f>_xlfn.RANK.EQ(all[[#This Row],[Q2H]],all[Q2H])</f>
        <v>18</v>
      </c>
      <c r="EJ14" s="6">
        <f>AVERAGE(partizan[Q3H])</f>
        <v>22</v>
      </c>
      <c r="EK14" s="13">
        <f>_xlfn.RANK.EQ(all[[#This Row],[Q3H]],all[Q3H])</f>
        <v>6</v>
      </c>
      <c r="EL14" s="6">
        <f>AVERAGE(partizan[Q4H])</f>
        <v>20</v>
      </c>
      <c r="EM14" s="13">
        <f>_xlfn.RANK.EQ(all[[#This Row],[Q4H]],all[Q4H])</f>
        <v>10</v>
      </c>
      <c r="EN14" s="6">
        <f>AVERAGE(partizan[Q1A])</f>
        <v>29</v>
      </c>
      <c r="EO14" s="13">
        <f>_xlfn.RANK.EQ(all[[#This Row],[Q1A]],all[Q1A],1)</f>
        <v>18</v>
      </c>
      <c r="EP14" s="6">
        <f>AVERAGE(partizan[Q2A])</f>
        <v>13</v>
      </c>
      <c r="EQ14" s="13">
        <f>_xlfn.RANK.EQ(all[[#This Row],[Q2A]],all[Q2A],1)</f>
        <v>2</v>
      </c>
      <c r="ER14" s="6">
        <f>AVERAGE(partizan[Q3A])</f>
        <v>19</v>
      </c>
      <c r="ES14" s="13">
        <f>_xlfn.RANK.EQ(all[[#This Row],[Q3A]],all[Q3A],1)</f>
        <v>7</v>
      </c>
      <c r="ET14" s="6">
        <f>AVERAGE(partizan[Q4A])</f>
        <v>15</v>
      </c>
      <c r="EU14" s="13">
        <f>_xlfn.RANK.EQ(all[[#This Row],[Q4A]],all[Q4A],1)</f>
        <v>4</v>
      </c>
      <c r="EV14" s="6">
        <f>AVERAGE(partizan[FhalfH])</f>
        <v>27</v>
      </c>
      <c r="EW14" s="13">
        <f>_xlfn.RANK.EQ(all[[#This Row],[FHH]],all[FHH])</f>
        <v>17</v>
      </c>
      <c r="EX14" s="5">
        <f>AVERAGE(partizan[FhalfA])</f>
        <v>42</v>
      </c>
      <c r="EY14" s="13">
        <f>_xlfn.RANK.EQ(all[[#This Row],[FHA]],all[FHA],1)</f>
        <v>6</v>
      </c>
      <c r="EZ14" s="6">
        <f>AVERAGE(partizan[ShalfH])</f>
        <v>42</v>
      </c>
      <c r="FA14" s="13">
        <f>_xlfn.RANK.EQ(all[[#This Row],[SHH]],all[SHH])</f>
        <v>9</v>
      </c>
      <c r="FB14" s="6">
        <f>AVERAGE(partizan[ShalfA])</f>
        <v>34</v>
      </c>
      <c r="FC14" s="13">
        <f>_xlfn.RANK.EQ(all[[#This Row],[SHA]],all[SHA],1)</f>
        <v>4</v>
      </c>
      <c r="FD14" s="6" t="e">
        <f ca="1">AVERAGE(LARGE(OFFSET(partizan[Home_scored],COUNTA(partizan[Home_scored])-5, 0, 5, 1),2), LARGE(OFFSET(partizan[Home_scored],COUNTA(partizan[Home_scored])-5, 0, 5, 1),3),LARGE(OFFSET(partizan[Home_scored],COUNTA(partizan[Home_scored])-5, 0, 5, 1),4))</f>
        <v>#REF!</v>
      </c>
      <c r="FE14" s="6" t="e">
        <f ca="1">AVERAGE(LARGE(OFFSET(partizan[Away_scored],COUNTA(partizan[Away_scored])-5, 0, 5, 1),2), LARGE(OFFSET(partizan[Away_scored],COUNTA(partizan[Away_scored])-5, 0, 5, 1),3),LARGE(OFFSET(partizan[Away_scored],COUNTA(partizan[Away_scored])-5,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12</v>
      </c>
      <c r="FJ14" s="5">
        <f t="shared" si="0"/>
        <v>10.015384615384615</v>
      </c>
      <c r="FK14" s="6">
        <f>all[[#This Row],[Q1H]]+all[[#This Row],[Q1A]]</f>
        <v>47</v>
      </c>
      <c r="FL14" s="13">
        <f>_xlfn.RANK.EQ(all[[#This Row],[Q1T]],all[Q1T])</f>
        <v>6</v>
      </c>
      <c r="FM14" s="6">
        <f>all[[#This Row],[Q2H]]+all[[#This Row],[Q2A]]</f>
        <v>22</v>
      </c>
      <c r="FN14" s="13">
        <f>_xlfn.RANK.EQ(all[[#This Row],[Q2T]],all[Q2T])</f>
        <v>17</v>
      </c>
      <c r="FO14" s="6">
        <f>all[[#This Row],[Q3H]]+all[[#This Row],[Q3A]]</f>
        <v>41</v>
      </c>
      <c r="FP14" s="13">
        <f>_xlfn.RANK.EQ(all[[#This Row],[Q3T]],all[Q3T])</f>
        <v>7</v>
      </c>
      <c r="FQ14" s="6">
        <f>all[[#This Row],[Q4H]]+all[[#This Row],[Q4A]]</f>
        <v>35</v>
      </c>
      <c r="FR14" s="13">
        <f>_xlfn.RANK.EQ(all[[#This Row],[Q4T]],all[Q4T])</f>
        <v>12</v>
      </c>
      <c r="FS14" s="6">
        <f>all[[#This Row],[FHH]]+all[[#This Row],[FHA]]</f>
        <v>69</v>
      </c>
      <c r="FT14" s="13">
        <f>_xlfn.RANK.EQ(all[[#This Row],[FHT]],all[FHT])</f>
        <v>17</v>
      </c>
      <c r="FU14" s="6">
        <f>all[[#This Row],[SHH]]+all[[#This Row],[SHA]]</f>
        <v>76</v>
      </c>
      <c r="FV14" s="13">
        <f>_xlfn.RANK.EQ(all[[#This Row],[SHT]],all[SHT])</f>
        <v>12</v>
      </c>
      <c r="FW14" s="6">
        <f ca="1">SUM(INDIRECT(all[[#This Row],[Table name]]&amp;"[BetH]"))</f>
        <v>-1</v>
      </c>
      <c r="FX14" s="13">
        <f ca="1">_xlfn.RANK.EQ(all[[#This Row],[BetH]],all[BetH])</f>
        <v>12</v>
      </c>
      <c r="FY14" s="6">
        <f ca="1">SUM(INDIRECT(all[[#This Row],[Table name]]&amp;"[BetA]"))</f>
        <v>0.95</v>
      </c>
      <c r="FZ14" s="13">
        <f ca="1">_xlfn.RANK.EQ(all[[#This Row],[BetA]],all[BetA])</f>
        <v>5</v>
      </c>
      <c r="GA14" s="13">
        <f ca="1">SUM(INDIRECT(all[[#This Row],[Table name]]&amp;"[Tover]"))</f>
        <v>0</v>
      </c>
      <c r="GB14" s="13">
        <f ca="1">_xlfn.RANK.EQ(all[[#This Row],[Tover]],all[Tover])</f>
        <v>12</v>
      </c>
      <c r="GC14" s="6">
        <f ca="1">AVERAGE(INDIRECT(all[[#This Row],[Table name]]&amp;"[Deviation]"))</f>
        <v>23</v>
      </c>
      <c r="GD14" s="13">
        <f ca="1">_xlfn.RANK.EQ(all[[#This Row],[Deviation]],all[Deviation],1)</f>
        <v>15</v>
      </c>
    </row>
    <row r="15" spans="1:186" x14ac:dyDescent="0.25">
      <c r="A15" s="9" t="s">
        <v>380</v>
      </c>
      <c r="B15" t="s">
        <v>378</v>
      </c>
      <c r="C15" t="s">
        <v>381</v>
      </c>
      <c r="D15" t="s">
        <v>379</v>
      </c>
      <c r="E15">
        <f>_xlfn.RANK.EQ(all[[#This Row],[AVG_RT]],all[AVG_RT],1)</f>
        <v>13</v>
      </c>
      <c r="F15" s="6">
        <f>AVERAGE(subotica[Home_scored])</f>
        <v>85</v>
      </c>
      <c r="G15" s="13">
        <f>_xlfn.RANK.EQ(all[[#This Row],[PM]],all[PM])</f>
        <v>8</v>
      </c>
      <c r="H15" s="6">
        <f>AVERAGE(subotica[Away_scored])</f>
        <v>95</v>
      </c>
      <c r="I15" s="13">
        <f>_xlfn.RANK.EQ(all[[#This Row],[PC]],all[PC],1)</f>
        <v>17</v>
      </c>
      <c r="J15" s="6">
        <f>AVERAGE(subotica[FGA])</f>
        <v>76</v>
      </c>
      <c r="K15" s="13">
        <f>_xlfn.RANK.EQ(all[[#This Row],[FGA]],all[FGA])</f>
        <v>1</v>
      </c>
      <c r="L15" s="6">
        <f>AVERAGE(subotica[FGM])</f>
        <v>30</v>
      </c>
      <c r="M15" s="13">
        <f>_xlfn.RANK.EQ(all[[#This Row],[FGM]],all[FGM])</f>
        <v>6</v>
      </c>
      <c r="N15" s="7">
        <f>AVERAGE(subotica[FGp])</f>
        <v>0.3947</v>
      </c>
      <c r="O15" s="13">
        <f>_xlfn.RANK.EQ(all[[#This Row],[FGp]],all[FGp])</f>
        <v>14</v>
      </c>
      <c r="P15" s="6">
        <f>AVERAGE(subotica[P2M])</f>
        <v>21</v>
      </c>
      <c r="Q15" s="13">
        <f>_xlfn.RANK.EQ(all[[#This Row],[P2M]],all[P2M])</f>
        <v>5</v>
      </c>
      <c r="R15" s="6">
        <f>AVERAGE(subotica[P2A])</f>
        <v>44</v>
      </c>
      <c r="S15" s="13">
        <f>_xlfn.RANK.EQ(all[[#This Row],[P2A]],all[P2A])</f>
        <v>1</v>
      </c>
      <c r="T15" s="7">
        <f>AVERAGE(subotica[P2p])</f>
        <v>0.4773</v>
      </c>
      <c r="U15" s="13">
        <f>_xlfn.RANK.EQ(all[[#This Row],[P2p]],all[P2p])</f>
        <v>12</v>
      </c>
      <c r="V15" s="6">
        <f>AVERAGE(subotica[P3M])</f>
        <v>9</v>
      </c>
      <c r="W15" s="13">
        <f>_xlfn.RANK.EQ(all[[#This Row],[P3M]],all[P3M])</f>
        <v>8</v>
      </c>
      <c r="X15" s="6">
        <f>AVERAGE(subotica[P3A])</f>
        <v>32</v>
      </c>
      <c r="Y15" s="13">
        <f>_xlfn.RANK.EQ(all[[#This Row],[P3A]],all[P3A])</f>
        <v>3</v>
      </c>
      <c r="Z15" s="7">
        <f>AVERAGE(subotica[P3p])</f>
        <v>0.28129999999999999</v>
      </c>
      <c r="AA15" s="13">
        <f>_xlfn.RANK.EQ(all[[#This Row],[P3p]],all[P3p])</f>
        <v>17</v>
      </c>
      <c r="AB15" s="6">
        <f>AVERAGE(subotica[FTM])</f>
        <v>16</v>
      </c>
      <c r="AC15" s="13">
        <f>_xlfn.RANK.EQ(all[[#This Row],[FTM]],all[FTM])</f>
        <v>9</v>
      </c>
      <c r="AD15" s="6">
        <f>AVERAGE(subotica[FTA])</f>
        <v>24</v>
      </c>
      <c r="AE15" s="13">
        <f>_xlfn.RANK.EQ(all[[#This Row],[FTA]],all[FTA])</f>
        <v>7</v>
      </c>
      <c r="AF15" s="7">
        <f>AVERAGE(subotica[FTp])</f>
        <v>0.66669999999999996</v>
      </c>
      <c r="AG15" s="13">
        <f>_xlfn.RANK.EQ(all[[#This Row],[FTp]],all[FTp])</f>
        <v>15</v>
      </c>
      <c r="AH15" s="6">
        <f>AVERAGE(subotica[ORB])</f>
        <v>19</v>
      </c>
      <c r="AI15" s="13">
        <f>_xlfn.RANK.EQ(all[[#This Row],[ORB]],all[ORB])</f>
        <v>1</v>
      </c>
      <c r="AJ15" s="6">
        <f>AVERAGE(subotica[DRB])</f>
        <v>24</v>
      </c>
      <c r="AK15" s="13">
        <f>_xlfn.RANK.EQ(all[[#This Row],[DRB]],all[DRB])</f>
        <v>8</v>
      </c>
      <c r="AL15" s="6">
        <f>AVERAGE(subotica[TRB])</f>
        <v>43</v>
      </c>
      <c r="AM15" s="13">
        <f>_xlfn.RANK.EQ(all[[#This Row],[TRB]],all[TRB])</f>
        <v>2</v>
      </c>
      <c r="AN15" s="6">
        <f>AVERAGE(subotica[AST])</f>
        <v>19</v>
      </c>
      <c r="AO15" s="13">
        <f>_xlfn.RANK.EQ(all[[#This Row],[AST]],all[AST])</f>
        <v>4</v>
      </c>
      <c r="AP15" s="6">
        <f>AVERAGE(subotica[STL])</f>
        <v>11</v>
      </c>
      <c r="AQ15" s="13">
        <f>_xlfn.RANK.EQ(all[[#This Row],[STL]],all[STL])</f>
        <v>5</v>
      </c>
      <c r="AR15" s="6">
        <f>AVERAGE(subotica[BLK])</f>
        <v>3</v>
      </c>
      <c r="AS15" s="13">
        <f>_xlfn.RANK.EQ(all[[#This Row],[BLK]],all[BLK])</f>
        <v>5</v>
      </c>
      <c r="AT15" s="6">
        <f>AVERAGE(subotica[TOV])</f>
        <v>11</v>
      </c>
      <c r="AU15" s="13">
        <f>_xlfn.RANK.EQ(all[[#This Row],[TOV]],all[TOV],1)</f>
        <v>1</v>
      </c>
      <c r="AV15" s="6">
        <f>AVERAGE(subotica[PF])</f>
        <v>23</v>
      </c>
      <c r="AW15" s="13">
        <f>_xlfn.RANK.EQ(all[[#This Row],[PF]],all[PF],1)</f>
        <v>8</v>
      </c>
      <c r="AX15" s="6">
        <f>AVERAGE(subotica[FGAop])</f>
        <v>68</v>
      </c>
      <c r="AY15" s="13">
        <f>_xlfn.RANK.EQ(all[[#This Row],[FGA opp]],all[FGA opp],1)</f>
        <v>14</v>
      </c>
      <c r="AZ15" s="6">
        <f>AVERAGE(subotica[FGMop])</f>
        <v>34</v>
      </c>
      <c r="BA15" s="13">
        <f>_xlfn.RANK.EQ(all[[#This Row],[FGM opp]],all[FGM opp],1)</f>
        <v>18</v>
      </c>
      <c r="BB15" s="7">
        <f>AVERAGE(subotica[FGpop])</f>
        <v>0.5</v>
      </c>
      <c r="BC15" s="13">
        <f>_xlfn.RANK.EQ(all[[#This Row],[FGp opp]],all[FGp opp],1)</f>
        <v>12</v>
      </c>
      <c r="BD15" s="6">
        <f>AVERAGE(subotica[P2Mop])</f>
        <v>22</v>
      </c>
      <c r="BE15" s="13">
        <f>_xlfn.RANK.EQ(all[[#This Row],[P2M opp]],all[P2M opp],1)</f>
        <v>16</v>
      </c>
      <c r="BF15" s="6">
        <f>AVERAGE(subotica[P2Aop])</f>
        <v>42</v>
      </c>
      <c r="BG15" s="13">
        <f>_xlfn.RANK.EQ(all[[#This Row],[P2A opp]],all[P2A opp],1)</f>
        <v>15</v>
      </c>
      <c r="BH15">
        <f>AVERAGE(subotica[P2pop])</f>
        <v>0.52380000000000004</v>
      </c>
      <c r="BI15" s="13">
        <f>_xlfn.RANK.EQ(all[[#This Row],[P2p opp]],all[P2p opp],1)</f>
        <v>9</v>
      </c>
      <c r="BJ15" s="6">
        <f>AVERAGE(subotica[P3Mop])</f>
        <v>12</v>
      </c>
      <c r="BK15" s="13">
        <f>_xlfn.RANK.EQ(all[[#This Row],[P3M opp]],all[P3M opp],1)</f>
        <v>17</v>
      </c>
      <c r="BL15" s="6">
        <f>AVERAGE(subotica[P3Aop])</f>
        <v>26</v>
      </c>
      <c r="BM15" s="13">
        <f>_xlfn.RANK.EQ(all[[#This Row],[P3A opp]],all[P3A opp],1)</f>
        <v>9</v>
      </c>
      <c r="BN15" s="7">
        <f>AVERAGE(subotica[P3pop])</f>
        <v>0.46150000000000002</v>
      </c>
      <c r="BO15" s="13">
        <f>_xlfn.RANK.EQ(all[[#This Row],[P3p opp]],all[P3p opp],1)</f>
        <v>16</v>
      </c>
      <c r="BP15" s="6">
        <f>AVERAGE(subotica[FTMop])</f>
        <v>15</v>
      </c>
      <c r="BQ15" s="13">
        <f>_xlfn.RANK.EQ(all[[#This Row],[FTM opp]],all[FTM opp],1)</f>
        <v>8</v>
      </c>
      <c r="BR15" s="6">
        <f>AVERAGE(subotica[FTAop])</f>
        <v>21</v>
      </c>
      <c r="BS15" s="13">
        <f>_xlfn.RANK.EQ(all[[#This Row],[FTA opp]],all[FTA opp],1)</f>
        <v>9</v>
      </c>
      <c r="BT15" s="7">
        <f>AVERAGE(subotica[FTpop])</f>
        <v>0.71430000000000005</v>
      </c>
      <c r="BU15" s="13">
        <f>_xlfn.RANK.EQ(all[[#This Row],[FTp opp]],all[FTp opp],1)</f>
        <v>8</v>
      </c>
      <c r="BV15" s="6">
        <f>AVERAGE(subotica[ORBop])</f>
        <v>12</v>
      </c>
      <c r="BW15" s="13">
        <f>_xlfn.RANK.EQ(all[[#This Row],[ORB opp]],all[ORB opp],1)</f>
        <v>11</v>
      </c>
      <c r="BX15" s="6">
        <f>AVERAGE(subotica[DRBop])</f>
        <v>29</v>
      </c>
      <c r="BY15" s="13">
        <f>_xlfn.RANK.EQ(all[[#This Row],[DRB opp]],all[DRB opp],1)</f>
        <v>16</v>
      </c>
      <c r="BZ15" s="6">
        <f>AVERAGE(subotica[TRBop])</f>
        <v>41</v>
      </c>
      <c r="CA15" s="13">
        <f>_xlfn.RANK.EQ(all[[#This Row],[TRB opp]],all[TRB opp],1)</f>
        <v>15</v>
      </c>
      <c r="CB15" s="6">
        <f>AVERAGE(subotica[ASTop])</f>
        <v>20</v>
      </c>
      <c r="CC15" s="13">
        <f>_xlfn.RANK.EQ(all[[#This Row],[AST opp]],all[AST opp],1)</f>
        <v>15</v>
      </c>
      <c r="CD15" s="6">
        <f>AVERAGE(subotica[STLop])</f>
        <v>5</v>
      </c>
      <c r="CE15" s="13">
        <f>_xlfn.RANK.EQ(all[[#This Row],[STL opp]],all[STL opp],1)</f>
        <v>4</v>
      </c>
      <c r="CF15" s="6">
        <f>AVERAGE(subotica[BLKop])</f>
        <v>4</v>
      </c>
      <c r="CG15" s="13">
        <f>_xlfn.RANK.EQ(all[[#This Row],[BLK opp]],all[BLK opp],1)</f>
        <v>16</v>
      </c>
      <c r="CH15" s="6">
        <f>AVERAGE(subotica[TOVop])</f>
        <v>16</v>
      </c>
      <c r="CI15" s="13">
        <f>_xlfn.RANK.EQ(all[[#This Row],[TOV opp]],all[TOV opp])</f>
        <v>6</v>
      </c>
      <c r="CJ15" s="6">
        <f>AVERAGE(subotica[PFop])</f>
        <v>23</v>
      </c>
      <c r="CK15" s="13">
        <f>_xlfn.RANK.EQ(all[[#This Row],[PF opp]],all[PF opp])</f>
        <v>9</v>
      </c>
      <c r="CL15" s="7">
        <f>AVERAGE(subotica[TS%])</f>
        <v>0.49099999999999999</v>
      </c>
      <c r="CM15" s="13">
        <f>_xlfn.RANK.EQ(all[[#This Row],[TSp]],all[TSp])</f>
        <v>17</v>
      </c>
      <c r="CN15" s="7">
        <f>AVERAGE(subotica[eFG%])</f>
        <v>0.45390000000000003</v>
      </c>
      <c r="CO15" s="13">
        <f>_xlfn.RANK.EQ(all[[#This Row],[eFGp]],all[eFGp])</f>
        <v>15</v>
      </c>
      <c r="CP15" s="7">
        <f>AVERAGE(subotica[ORB%])</f>
        <v>0.39579999999999999</v>
      </c>
      <c r="CQ15" s="13">
        <f>_xlfn.RANK.EQ(all[[#This Row],[ORBp]],all[ORBp])</f>
        <v>6</v>
      </c>
      <c r="CR15" s="7">
        <f>AVERAGE(subotica[DRB%])</f>
        <v>0.66669999999999996</v>
      </c>
      <c r="CS15" s="13">
        <f>_xlfn.RANK.EQ(all[[#This Row],[DRBp]],all[DRBp])</f>
        <v>12</v>
      </c>
      <c r="CT15" s="7">
        <f>AVERAGE(subotica[TRB%])</f>
        <v>0.51190000000000002</v>
      </c>
      <c r="CU15" s="13">
        <f>_xlfn.RANK.EQ(all[[#This Row],[TRBp]],all[TRBp])</f>
        <v>7</v>
      </c>
      <c r="CV15" s="6">
        <f>AVERAGE(subotica[Poss])</f>
        <v>74.852000000000004</v>
      </c>
      <c r="CW15" s="13">
        <f>_xlfn.RANK.EQ(all[[#This Row],[Poss]],all[Poss])</f>
        <v>8</v>
      </c>
      <c r="CX15" s="7">
        <f>AVERAGE(subotica[AST%])</f>
        <v>0.63329999999999997</v>
      </c>
      <c r="CY15" s="13">
        <f>_xlfn.RANK.EQ(all[[#This Row],[ASTp]],all[ASTp])</f>
        <v>6</v>
      </c>
      <c r="CZ15" s="7">
        <f>AVERAGE(subotica[FTFGA%])</f>
        <v>0.21049999999999999</v>
      </c>
      <c r="DA15" s="13">
        <f>_xlfn.RANK.EQ(all[[#This Row],[FTFGAp]],all[FTFGAp])</f>
        <v>13</v>
      </c>
      <c r="DB15" s="7">
        <f>AVERAGE(subotica[TOV%])</f>
        <v>0.1128</v>
      </c>
      <c r="DC15" s="13">
        <f>_xlfn.RANK.EQ(all[[#This Row],[TOVp]],all[TOVp],1)</f>
        <v>1</v>
      </c>
      <c r="DD15" s="6">
        <f>AVERAGE(subotica[ORtg])</f>
        <v>108.6</v>
      </c>
      <c r="DE15" s="13">
        <f>_xlfn.RANK.EQ(all[[#This Row],[ORtg]],all[ORtg])</f>
        <v>15</v>
      </c>
      <c r="DF15" s="6">
        <f>AVERAGE(subotica[DRtg])</f>
        <v>121.3</v>
      </c>
      <c r="DG15" s="13">
        <f>_xlfn.RANK.EQ(all[[#This Row],[DRtg]],all[DRtg],1)</f>
        <v>16</v>
      </c>
      <c r="DH15" s="6">
        <f>AVERAGE(subotica[Pace])</f>
        <v>78.302000000000007</v>
      </c>
      <c r="DI15" s="13">
        <f>_xlfn.RANK.EQ(all[[#This Row],[Pace]],all[Pace])</f>
        <v>2</v>
      </c>
      <c r="DJ15" s="7">
        <f>AVERAGE(subotica[TS%op])</f>
        <v>0.61499999999999999</v>
      </c>
      <c r="DK15" s="13">
        <f>_xlfn.RANK.EQ(all[[#This Row],[TSp opp]],all[TSp opp],1)</f>
        <v>13</v>
      </c>
      <c r="DL15" s="7">
        <f>AVERAGE(subotica[eFG%op])</f>
        <v>0.58819999999999995</v>
      </c>
      <c r="DM15" s="13">
        <f>_xlfn.RANK.EQ(all[[#This Row],[eFGp opp]],all[eFGp opp],1)</f>
        <v>15</v>
      </c>
      <c r="DN15" s="7">
        <f>AVERAGE(subotica[ORB%op])</f>
        <v>0.33329999999999999</v>
      </c>
      <c r="DO15" s="13">
        <f>_xlfn.RANK.EQ(all[[#This Row],[ORBp opp]],all[ORBp opp],1)</f>
        <v>12</v>
      </c>
      <c r="DP15" s="7">
        <f>AVERAGE(subotica[DRB%op])</f>
        <v>0.60419999999999996</v>
      </c>
      <c r="DQ15" s="13">
        <f>_xlfn.RANK.EQ(all[[#This Row],[DRBp opp]],all[DRBp opp],1)</f>
        <v>6</v>
      </c>
      <c r="DR15" s="7">
        <f>AVERAGE(subotica[TRB%op])</f>
        <v>0.48809999999999998</v>
      </c>
      <c r="DS15" s="13">
        <f>_xlfn.RANK.EQ(all[[#This Row],[TRBp opp]],all[TRBp opp],1)</f>
        <v>7</v>
      </c>
      <c r="DT15" s="6">
        <f>AVERAGE(subotica[Possop])</f>
        <v>81.751999999999995</v>
      </c>
      <c r="DU15" s="13">
        <f>_xlfn.RANK.EQ(all[[#This Row],[Poss opp]],all[Poss opp],1)</f>
        <v>18</v>
      </c>
      <c r="DV15" s="7">
        <f>AVERAGE(subotica[AST%op])</f>
        <v>0.58819999999999995</v>
      </c>
      <c r="DW15" s="13">
        <f>_xlfn.RANK.EQ(all[[#This Row],[ASTp opp]],all[ASTp opp],1)</f>
        <v>10</v>
      </c>
      <c r="DX15" s="7">
        <f>AVERAGE(subotica[FTFGA%op])</f>
        <v>0.22059999999999999</v>
      </c>
      <c r="DY15" s="13">
        <f>_xlfn.RANK.EQ(all[[#This Row],[FTFGAp opp]],all[FTFGAp opp],1)</f>
        <v>9</v>
      </c>
      <c r="DZ15" s="7">
        <f>AVERAGE(subotica[TOV%op])</f>
        <v>0.1716</v>
      </c>
      <c r="EA15" s="13">
        <f>_xlfn.RANK.EQ(all[[#This Row],[TOVp opp]],all[TOVp opp])</f>
        <v>11</v>
      </c>
      <c r="EB15" s="6">
        <f>AVERAGE(subotica[ORtgop])</f>
        <v>121.3</v>
      </c>
      <c r="EC15" s="13">
        <f>_xlfn.RANK.EQ(all[[#This Row],[ORtg opp]],all[ORtg opp],1)</f>
        <v>16</v>
      </c>
      <c r="ED15" s="6">
        <f>AVERAGE(subotica[DRtgop])</f>
        <v>108.6</v>
      </c>
      <c r="EE15" s="13">
        <f>_xlfn.RANK.EQ(all[[#This Row],[DRtg opp]],all[DRtg opp])</f>
        <v>15</v>
      </c>
      <c r="EF15" s="6">
        <f>AVERAGE(subotica[Q1H])</f>
        <v>21</v>
      </c>
      <c r="EG15" s="13">
        <f>_xlfn.RANK.EQ(all[[#This Row],[Q1H]],all[Q1H])</f>
        <v>11</v>
      </c>
      <c r="EH15" s="6">
        <f>AVERAGE(subotica[Q2H])</f>
        <v>24</v>
      </c>
      <c r="EI15" s="13">
        <f>_xlfn.RANK.EQ(all[[#This Row],[Q2H]],all[Q2H])</f>
        <v>5</v>
      </c>
      <c r="EJ15" s="6">
        <f>AVERAGE(subotica[Q3H])</f>
        <v>24</v>
      </c>
      <c r="EK15" s="13">
        <f>_xlfn.RANK.EQ(all[[#This Row],[Q3H]],all[Q3H])</f>
        <v>4</v>
      </c>
      <c r="EL15" s="6">
        <f>AVERAGE(subotica[Q4H])</f>
        <v>16</v>
      </c>
      <c r="EM15" s="13">
        <f>_xlfn.RANK.EQ(all[[#This Row],[Q4H]],all[Q4H])</f>
        <v>15</v>
      </c>
      <c r="EN15" s="6">
        <f>AVERAGE(subotica[Q1A])</f>
        <v>28</v>
      </c>
      <c r="EO15" s="13">
        <f>_xlfn.RANK.EQ(all[[#This Row],[Q1A]],all[Q1A],1)</f>
        <v>16</v>
      </c>
      <c r="EP15" s="6">
        <f>AVERAGE(subotica[Q2A])</f>
        <v>19</v>
      </c>
      <c r="EQ15" s="13">
        <f>_xlfn.RANK.EQ(all[[#This Row],[Q2A]],all[Q2A],1)</f>
        <v>5</v>
      </c>
      <c r="ER15" s="6">
        <f>AVERAGE(subotica[Q3A])</f>
        <v>23</v>
      </c>
      <c r="ES15" s="13">
        <f>_xlfn.RANK.EQ(all[[#This Row],[Q3A]],all[Q3A],1)</f>
        <v>15</v>
      </c>
      <c r="ET15" s="6">
        <f>AVERAGE(subotica[Q4A])</f>
        <v>25</v>
      </c>
      <c r="EU15" s="13">
        <f>_xlfn.RANK.EQ(all[[#This Row],[Q4A]],all[Q4A],1)</f>
        <v>16</v>
      </c>
      <c r="EV15" s="6">
        <f>AVERAGE(subotica[FhalfH])</f>
        <v>45</v>
      </c>
      <c r="EW15" s="13">
        <f>_xlfn.RANK.EQ(all[[#This Row],[FHH]],all[FHH])</f>
        <v>8</v>
      </c>
      <c r="EX15" s="5">
        <f>AVERAGE(subotica[FhalfA])</f>
        <v>47</v>
      </c>
      <c r="EY15" s="13">
        <f>_xlfn.RANK.EQ(all[[#This Row],[FHA]],all[FHA],1)</f>
        <v>13</v>
      </c>
      <c r="EZ15" s="6">
        <f>AVERAGE(subotica[ShalfH])</f>
        <v>40</v>
      </c>
      <c r="FA15" s="13">
        <f>_xlfn.RANK.EQ(all[[#This Row],[SHH]],all[SHH])</f>
        <v>10</v>
      </c>
      <c r="FB15" s="6">
        <f>AVERAGE(subotica[ShalfA])</f>
        <v>48</v>
      </c>
      <c r="FC15" s="13">
        <f>_xlfn.RANK.EQ(all[[#This Row],[SHA]],all[SHA],1)</f>
        <v>16</v>
      </c>
      <c r="FD15" s="6" t="e">
        <f ca="1">AVERAGE(LARGE(OFFSET(subotica[Home_scored],COUNTA(subotica[Home_scored])-5, 0, 5, 1),2), LARGE(OFFSET(subotica[Home_scored],COUNTA(subotica[Home_scored])-5, 0, 5, 1),3),LARGE(OFFSET(subotica[Home_scored],COUNTA(subotica[Home_scored])-5, 0, 5, 1),4))</f>
        <v>#REF!</v>
      </c>
      <c r="FE15" s="6" t="e">
        <f ca="1">AVERAGE(LARGE(OFFSET(subotica[Away_scored],COUNTA(subotica[Away_scored])-5, 0, 5, 1),2), LARGE(OFFSET(subotica[Away_scored],COUNTA(subotica[Away_scored])-5, 0, 5, 1),3),LARGE(OFFSET(subotica[Away_scored],COUNTA(subotica[Away_scored])-5, 0, 5, 1),4))</f>
        <v>#REF!</v>
      </c>
      <c r="FF15" s="13">
        <f ca="1">COUNTIF(INDIRECT(all[[#This Row],[Table name]]&amp;"[result]"),"w")+COUNTIF(INDIRECT(all[[#This Row],[Table name]]&amp;"[result]"),"dw")</f>
        <v>0</v>
      </c>
      <c r="FG15" s="13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</v>
      </c>
      <c r="FI15">
        <f ca="1">_xlfn.RANK.EQ(all[[#This Row],[rating]],all[rating])</f>
        <v>12</v>
      </c>
      <c r="FJ15" s="5">
        <f t="shared" si="0"/>
        <v>10</v>
      </c>
      <c r="FK15" s="6">
        <f>all[[#This Row],[Q1H]]+all[[#This Row],[Q1A]]</f>
        <v>49</v>
      </c>
      <c r="FL15" s="13">
        <f>_xlfn.RANK.EQ(all[[#This Row],[Q1T]],all[Q1T])</f>
        <v>2</v>
      </c>
      <c r="FM15" s="6">
        <f>all[[#This Row],[Q2H]]+all[[#This Row],[Q2A]]</f>
        <v>43</v>
      </c>
      <c r="FN15" s="13">
        <f>_xlfn.RANK.EQ(all[[#This Row],[Q2T]],all[Q2T])</f>
        <v>9</v>
      </c>
      <c r="FO15" s="6">
        <f>all[[#This Row],[Q3H]]+all[[#This Row],[Q3A]]</f>
        <v>47</v>
      </c>
      <c r="FP15" s="13">
        <f>_xlfn.RANK.EQ(all[[#This Row],[Q3T]],all[Q3T])</f>
        <v>5</v>
      </c>
      <c r="FQ15" s="6">
        <f>all[[#This Row],[Q4H]]+all[[#This Row],[Q4A]]</f>
        <v>41</v>
      </c>
      <c r="FR15" s="13">
        <f>_xlfn.RANK.EQ(all[[#This Row],[Q4T]],all[Q4T])</f>
        <v>8</v>
      </c>
      <c r="FS15" s="6">
        <f>all[[#This Row],[FHH]]+all[[#This Row],[FHA]]</f>
        <v>92</v>
      </c>
      <c r="FT15" s="13">
        <f>_xlfn.RANK.EQ(all[[#This Row],[FHT]],all[FHT])</f>
        <v>6</v>
      </c>
      <c r="FU15" s="6">
        <f>all[[#This Row],[SHH]]+all[[#This Row],[SHA]]</f>
        <v>88</v>
      </c>
      <c r="FV15" s="13">
        <f>_xlfn.RANK.EQ(all[[#This Row],[SHT]],all[SHT])</f>
        <v>3</v>
      </c>
      <c r="FW15" s="6">
        <f ca="1">SUM(INDIRECT(all[[#This Row],[Table name]]&amp;"[BetH]"))</f>
        <v>-1</v>
      </c>
      <c r="FX15" s="13">
        <f ca="1">_xlfn.RANK.EQ(all[[#This Row],[BetH]],all[BetH])</f>
        <v>12</v>
      </c>
      <c r="FY15" s="6">
        <f ca="1">SUM(INDIRECT(all[[#This Row],[Table name]]&amp;"[BetA]"))</f>
        <v>1.2000000000000002</v>
      </c>
      <c r="FZ15" s="13">
        <f ca="1">_xlfn.RANK.EQ(all[[#This Row],[BetA]],all[BetA])</f>
        <v>3</v>
      </c>
      <c r="GA15" s="13">
        <f ca="1">SUM(INDIRECT(all[[#This Row],[Table name]]&amp;"[Tover]"))</f>
        <v>1</v>
      </c>
      <c r="GB15" s="13">
        <f ca="1">_xlfn.RANK.EQ(all[[#This Row],[Tover]],all[Tover])</f>
        <v>1</v>
      </c>
      <c r="GC15" s="6">
        <f ca="1">AVERAGE(INDIRECT(all[[#This Row],[Table name]]&amp;"[Deviation]"))</f>
        <v>16</v>
      </c>
      <c r="GD15" s="13">
        <f ca="1">_xlfn.RANK.EQ(all[[#This Row],[Deviation]],all[Deviation],1)</f>
        <v>10</v>
      </c>
    </row>
    <row r="16" spans="1:186" x14ac:dyDescent="0.25">
      <c r="A16" s="9" t="s">
        <v>382</v>
      </c>
      <c r="B16" t="s">
        <v>382</v>
      </c>
      <c r="C16" t="s">
        <v>384</v>
      </c>
      <c r="D16" t="s">
        <v>383</v>
      </c>
      <c r="E16">
        <f>_xlfn.RANK.EQ(all[[#This Row],[AVG_RT]],all[AVG_RT],1)</f>
        <v>11</v>
      </c>
      <c r="F16" s="6">
        <f>AVERAGE(split[Home_scored])</f>
        <v>77</v>
      </c>
      <c r="G16" s="13">
        <f>_xlfn.RANK.EQ(all[[#This Row],[PM]],all[PM])</f>
        <v>15</v>
      </c>
      <c r="H16" s="6">
        <f>AVERAGE(split[Away_scored])</f>
        <v>77</v>
      </c>
      <c r="I16" s="13">
        <f>_xlfn.RANK.EQ(all[[#This Row],[PC]],all[PC],1)</f>
        <v>5</v>
      </c>
      <c r="J16" s="6">
        <f>AVERAGE(split[FGA])</f>
        <v>68</v>
      </c>
      <c r="K16" s="13">
        <f>_xlfn.RANK.EQ(all[[#This Row],[FGA]],all[FGA])</f>
        <v>2</v>
      </c>
      <c r="L16" s="6">
        <f>AVERAGE(split[FGM])</f>
        <v>28</v>
      </c>
      <c r="M16" s="13">
        <f>_xlfn.RANK.EQ(all[[#This Row],[FGM]],all[FGM])</f>
        <v>11</v>
      </c>
      <c r="N16" s="7">
        <f>AVERAGE(split[FGp])</f>
        <v>0.4118</v>
      </c>
      <c r="O16" s="13">
        <f>_xlfn.RANK.EQ(all[[#This Row],[FGp]],all[FGp])</f>
        <v>13</v>
      </c>
      <c r="P16" s="6">
        <f>AVERAGE(split[P2M])</f>
        <v>16</v>
      </c>
      <c r="Q16" s="13">
        <f>_xlfn.RANK.EQ(all[[#This Row],[P2M]],all[P2M])</f>
        <v>15</v>
      </c>
      <c r="R16" s="6">
        <f>AVERAGE(split[P2A])</f>
        <v>34</v>
      </c>
      <c r="S16" s="13">
        <f>_xlfn.RANK.EQ(all[[#This Row],[P2A]],all[P2A])</f>
        <v>12</v>
      </c>
      <c r="T16" s="7">
        <f>AVERAGE(split[P2p])</f>
        <v>0.47060000000000002</v>
      </c>
      <c r="U16" s="13">
        <f>_xlfn.RANK.EQ(all[[#This Row],[P2p]],all[P2p])</f>
        <v>13</v>
      </c>
      <c r="V16" s="6">
        <f>AVERAGE(split[P3M])</f>
        <v>12</v>
      </c>
      <c r="W16" s="13">
        <f>_xlfn.RANK.EQ(all[[#This Row],[P3M]],all[P3M])</f>
        <v>2</v>
      </c>
      <c r="X16" s="6">
        <f>AVERAGE(split[P3A])</f>
        <v>34</v>
      </c>
      <c r="Y16" s="13">
        <f>_xlfn.RANK.EQ(all[[#This Row],[P3A]],all[P3A])</f>
        <v>1</v>
      </c>
      <c r="Z16" s="7">
        <f>AVERAGE(split[P3p])</f>
        <v>0.35289999999999999</v>
      </c>
      <c r="AA16" s="13">
        <f>_xlfn.RANK.EQ(all[[#This Row],[P3p]],all[P3p])</f>
        <v>7</v>
      </c>
      <c r="AB16" s="6">
        <f>AVERAGE(split[FTM])</f>
        <v>9</v>
      </c>
      <c r="AC16" s="13">
        <f>_xlfn.RANK.EQ(all[[#This Row],[FTM]],all[FTM])</f>
        <v>16</v>
      </c>
      <c r="AD16" s="6">
        <f>AVERAGE(split[FTA])</f>
        <v>10</v>
      </c>
      <c r="AE16" s="13">
        <f>_xlfn.RANK.EQ(all[[#This Row],[FTA]],all[FTA])</f>
        <v>18</v>
      </c>
      <c r="AF16" s="7">
        <f>AVERAGE(split[FTp])</f>
        <v>0.9</v>
      </c>
      <c r="AG16" s="13">
        <f>_xlfn.RANK.EQ(all[[#This Row],[FTp]],all[FTp])</f>
        <v>2</v>
      </c>
      <c r="AH16" s="6">
        <f>AVERAGE(split[ORB])</f>
        <v>12</v>
      </c>
      <c r="AI16" s="13">
        <f>_xlfn.RANK.EQ(all[[#This Row],[ORB]],all[ORB])</f>
        <v>6</v>
      </c>
      <c r="AJ16" s="6">
        <f>AVERAGE(split[DRB])</f>
        <v>18</v>
      </c>
      <c r="AK16" s="13">
        <f>_xlfn.RANK.EQ(all[[#This Row],[DRB]],all[DRB])</f>
        <v>15</v>
      </c>
      <c r="AL16" s="6">
        <f>AVERAGE(split[TRB])</f>
        <v>30</v>
      </c>
      <c r="AM16" s="13">
        <f>_xlfn.RANK.EQ(all[[#This Row],[TRB]],all[TRB])</f>
        <v>16</v>
      </c>
      <c r="AN16" s="6">
        <f>AVERAGE(split[AST])</f>
        <v>16</v>
      </c>
      <c r="AO16" s="13">
        <f>_xlfn.RANK.EQ(all[[#This Row],[AST]],all[AST])</f>
        <v>13</v>
      </c>
      <c r="AP16" s="6">
        <f>AVERAGE(split[STL])</f>
        <v>7</v>
      </c>
      <c r="AQ16" s="13">
        <f>_xlfn.RANK.EQ(all[[#This Row],[STL]],all[STL])</f>
        <v>8</v>
      </c>
      <c r="AR16" s="6">
        <f>AVERAGE(split[BLK])</f>
        <v>0</v>
      </c>
      <c r="AS16" s="13">
        <f>_xlfn.RANK.EQ(all[[#This Row],[BLK]],all[BLK])</f>
        <v>14</v>
      </c>
      <c r="AT16" s="6">
        <f>AVERAGE(split[TOV])</f>
        <v>11</v>
      </c>
      <c r="AU16" s="13">
        <f>_xlfn.RANK.EQ(all[[#This Row],[TOV]],all[TOV],1)</f>
        <v>1</v>
      </c>
      <c r="AV16" s="6">
        <f>AVERAGE(split[PF])</f>
        <v>18</v>
      </c>
      <c r="AW16" s="13">
        <f>_xlfn.RANK.EQ(all[[#This Row],[PF]],all[PF],1)</f>
        <v>1</v>
      </c>
      <c r="AX16" s="6">
        <f>AVERAGE(split[FGAop])</f>
        <v>56</v>
      </c>
      <c r="AY16" s="13">
        <f>_xlfn.RANK.EQ(all[[#This Row],[FGA opp]],all[FGA opp],1)</f>
        <v>3</v>
      </c>
      <c r="AZ16" s="6">
        <f>AVERAGE(split[FGMop])</f>
        <v>30</v>
      </c>
      <c r="BA16" s="13">
        <f>_xlfn.RANK.EQ(all[[#This Row],[FGM opp]],all[FGM opp],1)</f>
        <v>11</v>
      </c>
      <c r="BB16" s="7">
        <f>AVERAGE(split[FGpop])</f>
        <v>0.53569999999999995</v>
      </c>
      <c r="BC16" s="13">
        <f>_xlfn.RANK.EQ(all[[#This Row],[FGp opp]],all[FGp opp],1)</f>
        <v>17</v>
      </c>
      <c r="BD16" s="6">
        <f>AVERAGE(split[P2Mop])</f>
        <v>23</v>
      </c>
      <c r="BE16" s="13">
        <f>_xlfn.RANK.EQ(all[[#This Row],[P2M opp]],all[P2M opp],1)</f>
        <v>17</v>
      </c>
      <c r="BF16" s="6">
        <f>AVERAGE(split[P2Aop])</f>
        <v>34</v>
      </c>
      <c r="BG16" s="13">
        <f>_xlfn.RANK.EQ(all[[#This Row],[P2A opp]],all[P2A opp],1)</f>
        <v>6</v>
      </c>
      <c r="BH16">
        <f>AVERAGE(split[P2pop])</f>
        <v>0.67649999999999999</v>
      </c>
      <c r="BI16" s="13">
        <f>_xlfn.RANK.EQ(all[[#This Row],[P2p opp]],all[P2p opp],1)</f>
        <v>16</v>
      </c>
      <c r="BJ16" s="6">
        <f>AVERAGE(split[P3Mop])</f>
        <v>7</v>
      </c>
      <c r="BK16" s="13">
        <f>_xlfn.RANK.EQ(all[[#This Row],[P3M opp]],all[P3M opp],1)</f>
        <v>4</v>
      </c>
      <c r="BL16" s="6">
        <f>AVERAGE(split[P3Aop])</f>
        <v>22</v>
      </c>
      <c r="BM16" s="13">
        <f>_xlfn.RANK.EQ(all[[#This Row],[P3A opp]],all[P3A opp],1)</f>
        <v>4</v>
      </c>
      <c r="BN16" s="7">
        <f>AVERAGE(split[P3pop])</f>
        <v>0.31819999999999998</v>
      </c>
      <c r="BO16" s="13">
        <f>_xlfn.RANK.EQ(all[[#This Row],[P3p opp]],all[P3p opp],1)</f>
        <v>8</v>
      </c>
      <c r="BP16" s="6">
        <f>AVERAGE(split[FTMop])</f>
        <v>10</v>
      </c>
      <c r="BQ16" s="13">
        <f>_xlfn.RANK.EQ(all[[#This Row],[FTM opp]],all[FTM opp],1)</f>
        <v>3</v>
      </c>
      <c r="BR16" s="6">
        <f>AVERAGE(split[FTAop])</f>
        <v>14</v>
      </c>
      <c r="BS16" s="13">
        <f>_xlfn.RANK.EQ(all[[#This Row],[FTA opp]],all[FTA opp],1)</f>
        <v>3</v>
      </c>
      <c r="BT16" s="7">
        <f>AVERAGE(split[FTpop])</f>
        <v>0.71430000000000005</v>
      </c>
      <c r="BU16" s="13">
        <f>_xlfn.RANK.EQ(all[[#This Row],[FTp opp]],all[FTp opp],1)</f>
        <v>8</v>
      </c>
      <c r="BV16" s="6">
        <f>AVERAGE(split[ORBop])</f>
        <v>5</v>
      </c>
      <c r="BW16" s="13">
        <f>_xlfn.RANK.EQ(all[[#This Row],[ORB opp]],all[ORB opp],1)</f>
        <v>1</v>
      </c>
      <c r="BX16" s="6">
        <f>AVERAGE(split[DRBop])</f>
        <v>28</v>
      </c>
      <c r="BY16" s="13">
        <f>_xlfn.RANK.EQ(all[[#This Row],[DRB opp]],all[DRB opp],1)</f>
        <v>15</v>
      </c>
      <c r="BZ16" s="6">
        <f>AVERAGE(split[TRBop])</f>
        <v>33</v>
      </c>
      <c r="CA16" s="13">
        <f>_xlfn.RANK.EQ(all[[#This Row],[TRB opp]],all[TRB opp],1)</f>
        <v>5</v>
      </c>
      <c r="CB16" s="6">
        <f>AVERAGE(split[ASTop])</f>
        <v>12</v>
      </c>
      <c r="CC16" s="13">
        <f>_xlfn.RANK.EQ(all[[#This Row],[AST opp]],all[AST opp],1)</f>
        <v>4</v>
      </c>
      <c r="CD16" s="6">
        <f>AVERAGE(split[STLop])</f>
        <v>6</v>
      </c>
      <c r="CE16" s="13">
        <f>_xlfn.RANK.EQ(all[[#This Row],[STL opp]],all[STL opp],1)</f>
        <v>6</v>
      </c>
      <c r="CF16" s="6">
        <f>AVERAGE(split[BLKop])</f>
        <v>7</v>
      </c>
      <c r="CG16" s="13">
        <f>_xlfn.RANK.EQ(all[[#This Row],[BLK opp]],all[BLK opp],1)</f>
        <v>18</v>
      </c>
      <c r="CH16" s="6">
        <f>AVERAGE(split[TOVop])</f>
        <v>18</v>
      </c>
      <c r="CI16" s="13">
        <f>_xlfn.RANK.EQ(all[[#This Row],[TOV opp]],all[TOV opp])</f>
        <v>3</v>
      </c>
      <c r="CJ16" s="6">
        <f>AVERAGE(split[PFop])</f>
        <v>17</v>
      </c>
      <c r="CK16" s="13">
        <f>_xlfn.RANK.EQ(all[[#This Row],[PF opp]],all[PF opp])</f>
        <v>18</v>
      </c>
      <c r="CL16" s="7">
        <f>AVERAGE(split[TS%])</f>
        <v>0.53180000000000005</v>
      </c>
      <c r="CM16" s="13">
        <f>_xlfn.RANK.EQ(all[[#This Row],[TSp]],all[TSp])</f>
        <v>14</v>
      </c>
      <c r="CN16" s="7">
        <f>AVERAGE(split[eFG%])</f>
        <v>0.5</v>
      </c>
      <c r="CO16" s="13">
        <f>_xlfn.RANK.EQ(all[[#This Row],[eFGp]],all[eFGp])</f>
        <v>13</v>
      </c>
      <c r="CP16" s="7">
        <f>AVERAGE(split[ORB%])</f>
        <v>0.3</v>
      </c>
      <c r="CQ16" s="13">
        <f>_xlfn.RANK.EQ(all[[#This Row],[ORBp]],all[ORBp])</f>
        <v>12</v>
      </c>
      <c r="CR16" s="7">
        <f>AVERAGE(split[DRB%])</f>
        <v>0.78259999999999996</v>
      </c>
      <c r="CS16" s="13">
        <f>_xlfn.RANK.EQ(all[[#This Row],[DRBp]],all[DRBp])</f>
        <v>3</v>
      </c>
      <c r="CT16" s="7">
        <f>AVERAGE(split[TRB%])</f>
        <v>0.47620000000000001</v>
      </c>
      <c r="CU16" s="13">
        <f>_xlfn.RANK.EQ(all[[#This Row],[TRBp]],all[TRBp])</f>
        <v>14</v>
      </c>
      <c r="CV16" s="6">
        <f>AVERAGE(split[Poss])</f>
        <v>65.88</v>
      </c>
      <c r="CW16" s="13">
        <f>_xlfn.RANK.EQ(all[[#This Row],[Poss]],all[Poss])</f>
        <v>18</v>
      </c>
      <c r="CX16" s="7">
        <f>AVERAGE(split[AST%])</f>
        <v>0.57140000000000002</v>
      </c>
      <c r="CY16" s="13">
        <f>_xlfn.RANK.EQ(all[[#This Row],[ASTp]],all[ASTp])</f>
        <v>11</v>
      </c>
      <c r="CZ16" s="7">
        <f>AVERAGE(split[FTFGA%])</f>
        <v>0.13239999999999999</v>
      </c>
      <c r="DA16" s="13">
        <f>_xlfn.RANK.EQ(all[[#This Row],[FTFGAp]],all[FTFGAp])</f>
        <v>17</v>
      </c>
      <c r="DB16" s="7">
        <f>AVERAGE(split[TOV%])</f>
        <v>0.13189999999999999</v>
      </c>
      <c r="DC16" s="13">
        <f>_xlfn.RANK.EQ(all[[#This Row],[TOVp]],all[TOVp],1)</f>
        <v>3</v>
      </c>
      <c r="DD16" s="6">
        <f>AVERAGE(split[ORtg])</f>
        <v>109</v>
      </c>
      <c r="DE16" s="13">
        <f>_xlfn.RANK.EQ(all[[#This Row],[ORtg]],all[ORtg])</f>
        <v>14</v>
      </c>
      <c r="DF16" s="6">
        <f>AVERAGE(split[DRtg])</f>
        <v>109</v>
      </c>
      <c r="DG16" s="13">
        <f>_xlfn.RANK.EQ(all[[#This Row],[DRtg]],all[DRtg],1)</f>
        <v>7</v>
      </c>
      <c r="DH16" s="6">
        <f>AVERAGE(split[Pace])</f>
        <v>70.632499999999993</v>
      </c>
      <c r="DI16" s="13">
        <f>_xlfn.RANK.EQ(all[[#This Row],[Pace]],all[Pace])</f>
        <v>17</v>
      </c>
      <c r="DJ16" s="7">
        <f>AVERAGE(split[TS%op])</f>
        <v>0.61939999999999995</v>
      </c>
      <c r="DK16" s="13">
        <f>_xlfn.RANK.EQ(all[[#This Row],[TSp opp]],all[TSp opp],1)</f>
        <v>15</v>
      </c>
      <c r="DL16" s="7">
        <f>AVERAGE(split[eFG%op])</f>
        <v>0.59819999999999995</v>
      </c>
      <c r="DM16" s="13">
        <f>_xlfn.RANK.EQ(all[[#This Row],[eFGp opp]],all[eFGp opp],1)</f>
        <v>17</v>
      </c>
      <c r="DN16" s="7">
        <f>AVERAGE(split[ORB%op])</f>
        <v>0.21740000000000001</v>
      </c>
      <c r="DO16" s="13">
        <f>_xlfn.RANK.EQ(all[[#This Row],[ORBp opp]],all[ORBp opp],1)</f>
        <v>3</v>
      </c>
      <c r="DP16" s="7">
        <f>AVERAGE(split[DRB%op])</f>
        <v>0.7</v>
      </c>
      <c r="DQ16" s="13">
        <f>_xlfn.RANK.EQ(all[[#This Row],[DRBp opp]],all[DRBp opp],1)</f>
        <v>12</v>
      </c>
      <c r="DR16" s="7">
        <f>AVERAGE(split[TRB%op])</f>
        <v>0.52380000000000004</v>
      </c>
      <c r="DS16" s="13">
        <f>_xlfn.RANK.EQ(all[[#This Row],[TRBp opp]],all[TRBp opp],1)</f>
        <v>14</v>
      </c>
      <c r="DT16" s="6">
        <f>AVERAGE(split[Possop])</f>
        <v>75.385000000000005</v>
      </c>
      <c r="DU16" s="13">
        <f>_xlfn.RANK.EQ(all[[#This Row],[Poss opp]],all[Poss opp],1)</f>
        <v>14</v>
      </c>
      <c r="DV16" s="7">
        <f>AVERAGE(split[AST%op])</f>
        <v>0.4</v>
      </c>
      <c r="DW16" s="13">
        <f>_xlfn.RANK.EQ(all[[#This Row],[ASTp opp]],all[ASTp opp],1)</f>
        <v>2</v>
      </c>
      <c r="DX16" s="7">
        <f>AVERAGE(split[FTFGA%op])</f>
        <v>0.17860000000000001</v>
      </c>
      <c r="DY16" s="13">
        <f>_xlfn.RANK.EQ(all[[#This Row],[FTFGAp opp]],all[FTFGAp opp],1)</f>
        <v>3</v>
      </c>
      <c r="DZ16" s="7">
        <f>AVERAGE(split[TOV%op])</f>
        <v>0.22459999999999999</v>
      </c>
      <c r="EA16" s="13">
        <f>_xlfn.RANK.EQ(all[[#This Row],[TOVp opp]],all[TOVp opp])</f>
        <v>3</v>
      </c>
      <c r="EB16" s="6">
        <f>AVERAGE(split[ORtgop])</f>
        <v>109</v>
      </c>
      <c r="EC16" s="13">
        <f>_xlfn.RANK.EQ(all[[#This Row],[ORtg opp]],all[ORtg opp],1)</f>
        <v>7</v>
      </c>
      <c r="ED16" s="6">
        <f>AVERAGE(split[DRtgop])</f>
        <v>109</v>
      </c>
      <c r="EE16" s="13">
        <f>_xlfn.RANK.EQ(all[[#This Row],[DRtg opp]],all[DRtg opp])</f>
        <v>14</v>
      </c>
      <c r="EF16" s="6">
        <f>AVERAGE(split[Q1H])</f>
        <v>30</v>
      </c>
      <c r="EG16" s="13">
        <f>_xlfn.RANK.EQ(all[[#This Row],[Q1H]],all[Q1H])</f>
        <v>2</v>
      </c>
      <c r="EH16" s="6">
        <f>AVERAGE(split[Q2H])</f>
        <v>19</v>
      </c>
      <c r="EI16" s="13">
        <f>_xlfn.RANK.EQ(all[[#This Row],[Q2H]],all[Q2H])</f>
        <v>10</v>
      </c>
      <c r="EJ16" s="6">
        <f>AVERAGE(split[Q3H])</f>
        <v>8</v>
      </c>
      <c r="EK16" s="13">
        <f>_xlfn.RANK.EQ(all[[#This Row],[Q3H]],all[Q3H])</f>
        <v>18</v>
      </c>
      <c r="EL16" s="6">
        <f>AVERAGE(split[Q4H])</f>
        <v>20</v>
      </c>
      <c r="EM16" s="13">
        <f>_xlfn.RANK.EQ(all[[#This Row],[Q4H]],all[Q4H])</f>
        <v>10</v>
      </c>
      <c r="EN16" s="6">
        <f>AVERAGE(split[Q1A])</f>
        <v>13</v>
      </c>
      <c r="EO16" s="13">
        <f>_xlfn.RANK.EQ(all[[#This Row],[Q1A]],all[Q1A],1)</f>
        <v>3</v>
      </c>
      <c r="EP16" s="6">
        <f>AVERAGE(split[Q2A])</f>
        <v>32</v>
      </c>
      <c r="EQ16" s="13">
        <f>_xlfn.RANK.EQ(all[[#This Row],[Q2A]],all[Q2A],1)</f>
        <v>18</v>
      </c>
      <c r="ER16" s="6">
        <f>AVERAGE(split[Q3A])</f>
        <v>21</v>
      </c>
      <c r="ES16" s="13">
        <f>_xlfn.RANK.EQ(all[[#This Row],[Q3A]],all[Q3A],1)</f>
        <v>12</v>
      </c>
      <c r="ET16" s="6">
        <f>AVERAGE(split[Q4A])</f>
        <v>11</v>
      </c>
      <c r="EU16" s="13">
        <f>_xlfn.RANK.EQ(all[[#This Row],[Q4A]],all[Q4A],1)</f>
        <v>2</v>
      </c>
      <c r="EV16" s="6">
        <f>AVERAGE(split[FhalfH])</f>
        <v>49</v>
      </c>
      <c r="EW16" s="13">
        <f>_xlfn.RANK.EQ(all[[#This Row],[FHH]],all[FHH])</f>
        <v>2</v>
      </c>
      <c r="EX16" s="5">
        <f>AVERAGE(split[FhalfA])</f>
        <v>45</v>
      </c>
      <c r="EY16" s="13">
        <f>_xlfn.RANK.EQ(all[[#This Row],[FHA]],all[FHA],1)</f>
        <v>8</v>
      </c>
      <c r="EZ16" s="6">
        <f>AVERAGE(split[ShalfH])</f>
        <v>28</v>
      </c>
      <c r="FA16" s="13">
        <f>_xlfn.RANK.EQ(all[[#This Row],[SHH]],all[SHH])</f>
        <v>18</v>
      </c>
      <c r="FB16" s="6">
        <f>AVERAGE(split[ShalfA])</f>
        <v>32</v>
      </c>
      <c r="FC16" s="13">
        <f>_xlfn.RANK.EQ(all[[#This Row],[SHA]],all[SHA],1)</f>
        <v>2</v>
      </c>
      <c r="FD16" s="6" t="e">
        <f ca="1">AVERAGE(LARGE(OFFSET(split[Home_scored],COUNTA(split[Home_scored])-5, 0, 5, 1),2), LARGE(OFFSET(split[Home_scored],COUNTA(split[Home_scored])-5, 0, 5, 1),3),LARGE(OFFSET(split[Home_scored],COUNTA(split[Home_scored])-5, 0, 5, 1),4))</f>
        <v>#REF!</v>
      </c>
      <c r="FE16" s="6" t="e">
        <f ca="1">AVERAGE(LARGE(OFFSET(split[Away_scored],COUNTA(split[Away_scored])-5, 0, 5, 1),2), LARGE(OFFSET(split[Away_scored],COUNTA(split[Away_scored])-5, 0, 5, 1),3),LARGE(OFFSET(split[Away_scored],COUNTA(split[Away_scored])-5, 0, 5, 1),4))</f>
        <v>#REF!</v>
      </c>
      <c r="FF16" s="13">
        <f ca="1">COUNTIF(INDIRECT(all[[#This Row],[Table name]]&amp;"[result]"),"w")+COUNTIF(INDIRECT(all[[#This Row],[Table name]]&amp;"[result]"),"dw")</f>
        <v>1</v>
      </c>
      <c r="FG16" s="13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>
        <f ca="1">_xlfn.RANK.EQ(all[[#This Row],[rating]],all[rating])</f>
        <v>1</v>
      </c>
      <c r="FJ16" s="5">
        <f t="shared" si="0"/>
        <v>9.5846153846153843</v>
      </c>
      <c r="FK16" s="6">
        <f>all[[#This Row],[Q1H]]+all[[#This Row],[Q1A]]</f>
        <v>43</v>
      </c>
      <c r="FL16" s="13">
        <f>_xlfn.RANK.EQ(all[[#This Row],[Q1T]],all[Q1T])</f>
        <v>10</v>
      </c>
      <c r="FM16" s="6">
        <f>all[[#This Row],[Q2H]]+all[[#This Row],[Q2A]]</f>
        <v>51</v>
      </c>
      <c r="FN16" s="13">
        <f>_xlfn.RANK.EQ(all[[#This Row],[Q2T]],all[Q2T])</f>
        <v>1</v>
      </c>
      <c r="FO16" s="6">
        <f>all[[#This Row],[Q3H]]+all[[#This Row],[Q3A]]</f>
        <v>29</v>
      </c>
      <c r="FP16" s="13">
        <f>_xlfn.RANK.EQ(all[[#This Row],[Q3T]],all[Q3T])</f>
        <v>17</v>
      </c>
      <c r="FQ16" s="6">
        <f>all[[#This Row],[Q4H]]+all[[#This Row],[Q4A]]</f>
        <v>31</v>
      </c>
      <c r="FR16" s="13">
        <f>_xlfn.RANK.EQ(all[[#This Row],[Q4T]],all[Q4T])</f>
        <v>16</v>
      </c>
      <c r="FS16" s="6">
        <f>all[[#This Row],[FHH]]+all[[#This Row],[FHA]]</f>
        <v>94</v>
      </c>
      <c r="FT16" s="13">
        <f>_xlfn.RANK.EQ(all[[#This Row],[FHT]],all[FHT])</f>
        <v>3</v>
      </c>
      <c r="FU16" s="6">
        <f>all[[#This Row],[SHH]]+all[[#This Row],[SHA]]</f>
        <v>60</v>
      </c>
      <c r="FV16" s="13">
        <f>_xlfn.RANK.EQ(all[[#This Row],[SHT]],all[SHT])</f>
        <v>17</v>
      </c>
      <c r="FW16" s="6">
        <f ca="1">SUM(INDIRECT(all[[#This Row],[Table name]]&amp;"[BetH]"))</f>
        <v>0.74</v>
      </c>
      <c r="FX16" s="13">
        <f ca="1">_xlfn.RANK.EQ(all[[#This Row],[BetH]],all[BetH])</f>
        <v>7</v>
      </c>
      <c r="FY16" s="6">
        <f ca="1">SUM(INDIRECT(all[[#This Row],[Table name]]&amp;"[BetA]"))</f>
        <v>-1</v>
      </c>
      <c r="FZ16" s="13">
        <f ca="1">_xlfn.RANK.EQ(all[[#This Row],[BetA]],all[BetA])</f>
        <v>8</v>
      </c>
      <c r="GA16" s="13">
        <f ca="1">SUM(INDIRECT(all[[#This Row],[Table name]]&amp;"[Tover]"))</f>
        <v>1</v>
      </c>
      <c r="GB16" s="13">
        <f ca="1">_xlfn.RANK.EQ(all[[#This Row],[Tover]],all[Tover])</f>
        <v>1</v>
      </c>
      <c r="GC16" s="6">
        <f ca="1">AVERAGE(INDIRECT(all[[#This Row],[Table name]]&amp;"[Deviation]"))</f>
        <v>11</v>
      </c>
      <c r="GD16" s="13">
        <f ca="1">_xlfn.RANK.EQ(all[[#This Row],[Deviation]],all[Deviation],1)</f>
        <v>6</v>
      </c>
    </row>
    <row r="17" spans="1:186" x14ac:dyDescent="0.25">
      <c r="A17" s="9" t="s">
        <v>387</v>
      </c>
      <c r="B17" t="s">
        <v>385</v>
      </c>
      <c r="C17" t="s">
        <v>388</v>
      </c>
      <c r="D17" t="s">
        <v>386</v>
      </c>
      <c r="E17">
        <f>_xlfn.RANK.EQ(all[[#This Row],[AVG_RT]],all[AVG_RT],1)</f>
        <v>6</v>
      </c>
      <c r="F17" s="6">
        <f>AVERAGE(studentski[Home_scored])</f>
        <v>95</v>
      </c>
      <c r="G17" s="13">
        <f>_xlfn.RANK.EQ(all[[#This Row],[PM]],all[PM])</f>
        <v>3</v>
      </c>
      <c r="H17" s="6">
        <f>AVERAGE(studentski[Away_scored])</f>
        <v>85</v>
      </c>
      <c r="I17" s="13">
        <f>_xlfn.RANK.EQ(all[[#This Row],[PC]],all[PC],1)</f>
        <v>9</v>
      </c>
      <c r="J17" s="6">
        <f>AVERAGE(studentski[FGA])</f>
        <v>68</v>
      </c>
      <c r="K17" s="13">
        <f>_xlfn.RANK.EQ(all[[#This Row],[FGA]],all[FGA])</f>
        <v>2</v>
      </c>
      <c r="L17" s="6">
        <f>AVERAGE(studentski[FGM])</f>
        <v>34</v>
      </c>
      <c r="M17" s="13">
        <f>_xlfn.RANK.EQ(all[[#This Row],[FGM]],all[FGM])</f>
        <v>1</v>
      </c>
      <c r="N17" s="7">
        <f>AVERAGE(studentski[FGp])</f>
        <v>0.5</v>
      </c>
      <c r="O17" s="13">
        <f>_xlfn.RANK.EQ(all[[#This Row],[FGp]],all[FGp])</f>
        <v>5</v>
      </c>
      <c r="P17" s="6">
        <f>AVERAGE(studentski[P2M])</f>
        <v>22</v>
      </c>
      <c r="Q17" s="13">
        <f>_xlfn.RANK.EQ(all[[#This Row],[P2M]],all[P2M])</f>
        <v>4</v>
      </c>
      <c r="R17" s="6">
        <f>AVERAGE(studentski[P2A])</f>
        <v>42</v>
      </c>
      <c r="S17" s="13">
        <f>_xlfn.RANK.EQ(all[[#This Row],[P2A]],all[P2A])</f>
        <v>3</v>
      </c>
      <c r="T17" s="7">
        <f>AVERAGE(studentski[P2p])</f>
        <v>0.52380000000000004</v>
      </c>
      <c r="U17" s="13">
        <f>_xlfn.RANK.EQ(all[[#This Row],[P2p]],all[P2p])</f>
        <v>10</v>
      </c>
      <c r="V17" s="6">
        <f>AVERAGE(studentski[P3M])</f>
        <v>12</v>
      </c>
      <c r="W17" s="13">
        <f>_xlfn.RANK.EQ(all[[#This Row],[P3M]],all[P3M])</f>
        <v>2</v>
      </c>
      <c r="X17" s="6">
        <f>AVERAGE(studentski[P3A])</f>
        <v>26</v>
      </c>
      <c r="Y17" s="13">
        <f>_xlfn.RANK.EQ(all[[#This Row],[P3A]],all[P3A])</f>
        <v>9</v>
      </c>
      <c r="Z17" s="7">
        <f>AVERAGE(studentski[P3p])</f>
        <v>0.46150000000000002</v>
      </c>
      <c r="AA17" s="13">
        <f>_xlfn.RANK.EQ(all[[#This Row],[P3p]],all[P3p])</f>
        <v>3</v>
      </c>
      <c r="AB17" s="6">
        <f>AVERAGE(studentski[FTM])</f>
        <v>15</v>
      </c>
      <c r="AC17" s="13">
        <f>_xlfn.RANK.EQ(all[[#This Row],[FTM]],all[FTM])</f>
        <v>10</v>
      </c>
      <c r="AD17" s="6">
        <f>AVERAGE(studentski[FTA])</f>
        <v>21</v>
      </c>
      <c r="AE17" s="13">
        <f>_xlfn.RANK.EQ(all[[#This Row],[FTA]],all[FTA])</f>
        <v>10</v>
      </c>
      <c r="AF17" s="7">
        <f>AVERAGE(studentski[FTp])</f>
        <v>0.71430000000000005</v>
      </c>
      <c r="AG17" s="13">
        <f>_xlfn.RANK.EQ(all[[#This Row],[FTp]],all[FTp])</f>
        <v>12</v>
      </c>
      <c r="AH17" s="6">
        <f>AVERAGE(studentski[ORB])</f>
        <v>12</v>
      </c>
      <c r="AI17" s="13">
        <f>_xlfn.RANK.EQ(all[[#This Row],[ORB]],all[ORB])</f>
        <v>6</v>
      </c>
      <c r="AJ17" s="6">
        <f>AVERAGE(studentski[DRB])</f>
        <v>29</v>
      </c>
      <c r="AK17" s="13">
        <f>_xlfn.RANK.EQ(all[[#This Row],[DRB]],all[DRB])</f>
        <v>4</v>
      </c>
      <c r="AL17" s="6">
        <f>AVERAGE(studentski[TRB])</f>
        <v>41</v>
      </c>
      <c r="AM17" s="13">
        <f>_xlfn.RANK.EQ(all[[#This Row],[TRB]],all[TRB])</f>
        <v>3</v>
      </c>
      <c r="AN17" s="6">
        <f>AVERAGE(studentski[AST])</f>
        <v>20</v>
      </c>
      <c r="AO17" s="13">
        <f>_xlfn.RANK.EQ(all[[#This Row],[AST]],all[AST])</f>
        <v>3</v>
      </c>
      <c r="AP17" s="6">
        <f>AVERAGE(studentski[STL])</f>
        <v>5</v>
      </c>
      <c r="AQ17" s="13">
        <f>_xlfn.RANK.EQ(all[[#This Row],[STL]],all[STL])</f>
        <v>14</v>
      </c>
      <c r="AR17" s="6">
        <f>AVERAGE(studentski[BLK])</f>
        <v>4</v>
      </c>
      <c r="AS17" s="13">
        <f>_xlfn.RANK.EQ(all[[#This Row],[BLK]],all[BLK])</f>
        <v>3</v>
      </c>
      <c r="AT17" s="6">
        <f>AVERAGE(studentski[TOV])</f>
        <v>16</v>
      </c>
      <c r="AU17" s="13">
        <f>_xlfn.RANK.EQ(all[[#This Row],[TOV]],all[TOV],1)</f>
        <v>14</v>
      </c>
      <c r="AV17" s="6">
        <f>AVERAGE(studentski[PF])</f>
        <v>23</v>
      </c>
      <c r="AW17" s="13">
        <f>_xlfn.RANK.EQ(all[[#This Row],[PF]],all[PF],1)</f>
        <v>8</v>
      </c>
      <c r="AX17" s="6">
        <f>AVERAGE(studentski[FGAop])</f>
        <v>76</v>
      </c>
      <c r="AY17" s="13">
        <f>_xlfn.RANK.EQ(all[[#This Row],[FGA opp]],all[FGA opp],1)</f>
        <v>18</v>
      </c>
      <c r="AZ17" s="6">
        <f>AVERAGE(studentski[FGMop])</f>
        <v>30</v>
      </c>
      <c r="BA17" s="13">
        <f>_xlfn.RANK.EQ(all[[#This Row],[FGM opp]],all[FGM opp],1)</f>
        <v>11</v>
      </c>
      <c r="BB17" s="7">
        <f>AVERAGE(studentski[FGpop])</f>
        <v>0.3947</v>
      </c>
      <c r="BC17" s="13">
        <f>_xlfn.RANK.EQ(all[[#This Row],[FGp opp]],all[FGp opp],1)</f>
        <v>6</v>
      </c>
      <c r="BD17" s="6">
        <f>AVERAGE(studentski[P2Mop])</f>
        <v>21</v>
      </c>
      <c r="BE17" s="13">
        <f>_xlfn.RANK.EQ(all[[#This Row],[P2M opp]],all[P2M opp],1)</f>
        <v>13</v>
      </c>
      <c r="BF17" s="6">
        <f>AVERAGE(studentski[P2Aop])</f>
        <v>44</v>
      </c>
      <c r="BG17" s="13">
        <f>_xlfn.RANK.EQ(all[[#This Row],[P2A opp]],all[P2A opp],1)</f>
        <v>17</v>
      </c>
      <c r="BH17">
        <f>AVERAGE(studentski[P2pop])</f>
        <v>0.4773</v>
      </c>
      <c r="BI17" s="13">
        <f>_xlfn.RANK.EQ(all[[#This Row],[P2p opp]],all[P2p opp],1)</f>
        <v>8</v>
      </c>
      <c r="BJ17" s="6">
        <f>AVERAGE(studentski[P3Mop])</f>
        <v>9</v>
      </c>
      <c r="BK17" s="13">
        <f>_xlfn.RANK.EQ(all[[#This Row],[P3M opp]],all[P3M opp],1)</f>
        <v>8</v>
      </c>
      <c r="BL17" s="6">
        <f>AVERAGE(studentski[P3Aop])</f>
        <v>32</v>
      </c>
      <c r="BM17" s="13">
        <f>_xlfn.RANK.EQ(all[[#This Row],[P3A opp]],all[P3A opp],1)</f>
        <v>15</v>
      </c>
      <c r="BN17" s="7">
        <f>AVERAGE(studentski[P3pop])</f>
        <v>0.28129999999999999</v>
      </c>
      <c r="BO17" s="13">
        <f>_xlfn.RANK.EQ(all[[#This Row],[P3p opp]],all[P3p opp],1)</f>
        <v>2</v>
      </c>
      <c r="BP17" s="6">
        <f>AVERAGE(studentski[FTMop])</f>
        <v>16</v>
      </c>
      <c r="BQ17" s="13">
        <f>_xlfn.RANK.EQ(all[[#This Row],[FTM opp]],all[FTM opp],1)</f>
        <v>12</v>
      </c>
      <c r="BR17" s="6">
        <f>AVERAGE(studentski[FTAop])</f>
        <v>24</v>
      </c>
      <c r="BS17" s="13">
        <f>_xlfn.RANK.EQ(all[[#This Row],[FTA opp]],all[FTA opp],1)</f>
        <v>11</v>
      </c>
      <c r="BT17" s="7">
        <f>AVERAGE(studentski[FTpop])</f>
        <v>0.66669999999999996</v>
      </c>
      <c r="BU17" s="13">
        <f>_xlfn.RANK.EQ(all[[#This Row],[FTp opp]],all[FTp opp],1)</f>
        <v>5</v>
      </c>
      <c r="BV17" s="6">
        <f>AVERAGE(studentski[ORBop])</f>
        <v>19</v>
      </c>
      <c r="BW17" s="13">
        <f>_xlfn.RANK.EQ(all[[#This Row],[ORB opp]],all[ORB opp],1)</f>
        <v>16</v>
      </c>
      <c r="BX17" s="6">
        <f>AVERAGE(studentski[DRBop])</f>
        <v>24</v>
      </c>
      <c r="BY17" s="13">
        <f>_xlfn.RANK.EQ(all[[#This Row],[DRB opp]],all[DRB opp],1)</f>
        <v>10</v>
      </c>
      <c r="BZ17" s="6">
        <f>AVERAGE(studentski[TRBop])</f>
        <v>43</v>
      </c>
      <c r="CA17" s="13">
        <f>_xlfn.RANK.EQ(all[[#This Row],[TRB opp]],all[TRB opp],1)</f>
        <v>18</v>
      </c>
      <c r="CB17" s="6">
        <f>AVERAGE(studentski[ASTop])</f>
        <v>19</v>
      </c>
      <c r="CC17" s="13">
        <f>_xlfn.RANK.EQ(all[[#This Row],[AST opp]],all[AST opp],1)</f>
        <v>12</v>
      </c>
      <c r="CD17" s="6">
        <f>AVERAGE(studentski[STLop])</f>
        <v>11</v>
      </c>
      <c r="CE17" s="13">
        <f>_xlfn.RANK.EQ(all[[#This Row],[STL opp]],all[STL opp],1)</f>
        <v>15</v>
      </c>
      <c r="CF17" s="6">
        <f>AVERAGE(studentski[BLKop])</f>
        <v>3</v>
      </c>
      <c r="CG17" s="13">
        <f>_xlfn.RANK.EQ(all[[#This Row],[BLK opp]],all[BLK opp],1)</f>
        <v>11</v>
      </c>
      <c r="CH17" s="6">
        <f>AVERAGE(studentski[TOVop])</f>
        <v>11</v>
      </c>
      <c r="CI17" s="13">
        <f>_xlfn.RANK.EQ(all[[#This Row],[TOV opp]],all[TOV opp])</f>
        <v>17</v>
      </c>
      <c r="CJ17" s="6">
        <f>AVERAGE(studentski[PFop])</f>
        <v>23</v>
      </c>
      <c r="CK17" s="13">
        <f>_xlfn.RANK.EQ(all[[#This Row],[PF opp]],all[PF opp])</f>
        <v>9</v>
      </c>
      <c r="CL17" s="7">
        <f>AVERAGE(studentski[TS%])</f>
        <v>0.61499999999999999</v>
      </c>
      <c r="CM17" s="13">
        <f>_xlfn.RANK.EQ(all[[#This Row],[TSp]],all[TSp])</f>
        <v>7</v>
      </c>
      <c r="CN17" s="7">
        <f>AVERAGE(studentski[eFG%])</f>
        <v>0.58819999999999995</v>
      </c>
      <c r="CO17" s="13">
        <f>_xlfn.RANK.EQ(all[[#This Row],[eFGp]],all[eFGp])</f>
        <v>5</v>
      </c>
      <c r="CP17" s="7">
        <f>AVERAGE(studentski[ORB%])</f>
        <v>0.33329999999999999</v>
      </c>
      <c r="CQ17" s="13">
        <f>_xlfn.RANK.EQ(all[[#This Row],[ORBp]],all[ORBp])</f>
        <v>8</v>
      </c>
      <c r="CR17" s="7">
        <f>AVERAGE(studentski[DRB%])</f>
        <v>0.60419999999999996</v>
      </c>
      <c r="CS17" s="13">
        <f>_xlfn.RANK.EQ(all[[#This Row],[DRBp]],all[DRBp])</f>
        <v>13</v>
      </c>
      <c r="CT17" s="7">
        <f>AVERAGE(studentski[TRB%])</f>
        <v>0.48809999999999998</v>
      </c>
      <c r="CU17" s="13">
        <f>_xlfn.RANK.EQ(all[[#This Row],[TRBp]],all[TRBp])</f>
        <v>13</v>
      </c>
      <c r="CV17" s="6">
        <f>AVERAGE(studentski[Poss])</f>
        <v>81.751999999999995</v>
      </c>
      <c r="CW17" s="13">
        <f>_xlfn.RANK.EQ(all[[#This Row],[Poss]],all[Poss])</f>
        <v>1</v>
      </c>
      <c r="CX17" s="7">
        <f>AVERAGE(studentski[AST%])</f>
        <v>0.58819999999999995</v>
      </c>
      <c r="CY17" s="13">
        <f>_xlfn.RANK.EQ(all[[#This Row],[ASTp]],all[ASTp])</f>
        <v>10</v>
      </c>
      <c r="CZ17" s="7">
        <f>AVERAGE(studentski[FTFGA%])</f>
        <v>0.22059999999999999</v>
      </c>
      <c r="DA17" s="13">
        <f>_xlfn.RANK.EQ(all[[#This Row],[FTFGAp]],all[FTFGAp])</f>
        <v>12</v>
      </c>
      <c r="DB17" s="7">
        <f>AVERAGE(studentski[TOV%])</f>
        <v>0.1716</v>
      </c>
      <c r="DC17" s="13">
        <f>_xlfn.RANK.EQ(all[[#This Row],[TOVp]],all[TOVp],1)</f>
        <v>10</v>
      </c>
      <c r="DD17" s="6">
        <f>AVERAGE(studentski[ORtg])</f>
        <v>121.3</v>
      </c>
      <c r="DE17" s="13">
        <f>_xlfn.RANK.EQ(all[[#This Row],[ORtg]],all[ORtg])</f>
        <v>4</v>
      </c>
      <c r="DF17" s="6">
        <f>AVERAGE(studentski[DRtg])</f>
        <v>108.6</v>
      </c>
      <c r="DG17" s="13">
        <f>_xlfn.RANK.EQ(all[[#This Row],[DRtg]],all[DRtg],1)</f>
        <v>6</v>
      </c>
      <c r="DH17" s="6">
        <f>AVERAGE(studentski[Pace])</f>
        <v>78.302000000000007</v>
      </c>
      <c r="DI17" s="13">
        <f>_xlfn.RANK.EQ(all[[#This Row],[Pace]],all[Pace])</f>
        <v>2</v>
      </c>
      <c r="DJ17" s="7">
        <f>AVERAGE(studentski[TS%op])</f>
        <v>0.49099999999999999</v>
      </c>
      <c r="DK17" s="13">
        <f>_xlfn.RANK.EQ(all[[#This Row],[TSp opp]],all[TSp opp],1)</f>
        <v>3</v>
      </c>
      <c r="DL17" s="7">
        <f>AVERAGE(studentski[eFG%op])</f>
        <v>0.45390000000000003</v>
      </c>
      <c r="DM17" s="13">
        <f>_xlfn.RANK.EQ(all[[#This Row],[eFGp opp]],all[eFGp opp],1)</f>
        <v>6</v>
      </c>
      <c r="DN17" s="7">
        <f>AVERAGE(studentski[ORB%op])</f>
        <v>0.39579999999999999</v>
      </c>
      <c r="DO17" s="13">
        <f>_xlfn.RANK.EQ(all[[#This Row],[ORBp opp]],all[ORBp opp],1)</f>
        <v>13</v>
      </c>
      <c r="DP17" s="7">
        <f>AVERAGE(studentski[DRB%op])</f>
        <v>0.66669999999999996</v>
      </c>
      <c r="DQ17" s="13">
        <f>_xlfn.RANK.EQ(all[[#This Row],[DRBp opp]],all[DRBp opp],1)</f>
        <v>8</v>
      </c>
      <c r="DR17" s="7">
        <f>AVERAGE(studentski[TRB%op])</f>
        <v>0.51190000000000002</v>
      </c>
      <c r="DS17" s="13">
        <f>_xlfn.RANK.EQ(all[[#This Row],[TRBp opp]],all[TRBp opp],1)</f>
        <v>13</v>
      </c>
      <c r="DT17" s="6">
        <f>AVERAGE(studentski[Possop])</f>
        <v>74.852000000000004</v>
      </c>
      <c r="DU17" s="13">
        <f>_xlfn.RANK.EQ(all[[#This Row],[Poss opp]],all[Poss opp],1)</f>
        <v>12</v>
      </c>
      <c r="DV17" s="7">
        <f>AVERAGE(studentski[AST%op])</f>
        <v>0.63329999999999997</v>
      </c>
      <c r="DW17" s="13">
        <f>_xlfn.RANK.EQ(all[[#This Row],[ASTp opp]],all[ASTp opp],1)</f>
        <v>12</v>
      </c>
      <c r="DX17" s="7">
        <f>AVERAGE(studentski[FTFGA%op])</f>
        <v>0.21049999999999999</v>
      </c>
      <c r="DY17" s="13">
        <f>_xlfn.RANK.EQ(all[[#This Row],[FTFGAp opp]],all[FTFGAp opp],1)</f>
        <v>7</v>
      </c>
      <c r="DZ17" s="7">
        <f>AVERAGE(studentski[TOV%op])</f>
        <v>0.1128</v>
      </c>
      <c r="EA17" s="13">
        <f>_xlfn.RANK.EQ(all[[#This Row],[TOVp opp]],all[TOVp opp])</f>
        <v>17</v>
      </c>
      <c r="EB17" s="6">
        <f>AVERAGE(studentski[ORtgop])</f>
        <v>108.6</v>
      </c>
      <c r="EC17" s="13">
        <f>_xlfn.RANK.EQ(all[[#This Row],[ORtg opp]],all[ORtg opp],1)</f>
        <v>6</v>
      </c>
      <c r="ED17" s="6">
        <f>AVERAGE(studentski[DRtgop])</f>
        <v>121.3</v>
      </c>
      <c r="EE17" s="13">
        <f>_xlfn.RANK.EQ(all[[#This Row],[DRtg opp]],all[DRtg opp])</f>
        <v>4</v>
      </c>
      <c r="EF17" s="6">
        <f>AVERAGE(studentski[Q1H])</f>
        <v>28</v>
      </c>
      <c r="EG17" s="13">
        <f>_xlfn.RANK.EQ(all[[#This Row],[Q1H]],all[Q1H])</f>
        <v>4</v>
      </c>
      <c r="EH17" s="6">
        <f>AVERAGE(studentski[Q2H])</f>
        <v>19</v>
      </c>
      <c r="EI17" s="13">
        <f>_xlfn.RANK.EQ(all[[#This Row],[Q2H]],all[Q2H])</f>
        <v>10</v>
      </c>
      <c r="EJ17" s="6">
        <f>AVERAGE(studentski[Q3H])</f>
        <v>23</v>
      </c>
      <c r="EK17" s="13">
        <f>_xlfn.RANK.EQ(all[[#This Row],[Q3H]],all[Q3H])</f>
        <v>5</v>
      </c>
      <c r="EL17" s="6">
        <f>AVERAGE(studentski[Q4H])</f>
        <v>25</v>
      </c>
      <c r="EM17" s="13">
        <f>_xlfn.RANK.EQ(all[[#This Row],[Q4H]],all[Q4H])</f>
        <v>5</v>
      </c>
      <c r="EN17" s="6">
        <f>AVERAGE(studentski[Q1A])</f>
        <v>21</v>
      </c>
      <c r="EO17" s="13">
        <f>_xlfn.RANK.EQ(all[[#This Row],[Q1A]],all[Q1A],1)</f>
        <v>10</v>
      </c>
      <c r="EP17" s="6">
        <f>AVERAGE(studentski[Q2A])</f>
        <v>24</v>
      </c>
      <c r="EQ17" s="13">
        <f>_xlfn.RANK.EQ(all[[#This Row],[Q2A]],all[Q2A],1)</f>
        <v>11</v>
      </c>
      <c r="ER17" s="6">
        <f>AVERAGE(studentski[Q3A])</f>
        <v>24</v>
      </c>
      <c r="ES17" s="13">
        <f>_xlfn.RANK.EQ(all[[#This Row],[Q3A]],all[Q3A],1)</f>
        <v>16</v>
      </c>
      <c r="ET17" s="6">
        <f>AVERAGE(studentski[Q4A])</f>
        <v>16</v>
      </c>
      <c r="EU17" s="13">
        <f>_xlfn.RANK.EQ(all[[#This Row],[Q4A]],all[Q4A],1)</f>
        <v>5</v>
      </c>
      <c r="EV17" s="6">
        <f>AVERAGE(studentski[FhalfH])</f>
        <v>47</v>
      </c>
      <c r="EW17" s="13">
        <f>_xlfn.RANK.EQ(all[[#This Row],[FHH]],all[FHH])</f>
        <v>6</v>
      </c>
      <c r="EX17" s="5">
        <f>AVERAGE(studentski[FhalfA])</f>
        <v>45</v>
      </c>
      <c r="EY17" s="13">
        <f>_xlfn.RANK.EQ(all[[#This Row],[FHA]],all[FHA],1)</f>
        <v>8</v>
      </c>
      <c r="EZ17" s="6">
        <f>AVERAGE(studentski[ShalfH])</f>
        <v>48</v>
      </c>
      <c r="FA17" s="13">
        <f>_xlfn.RANK.EQ(all[[#This Row],[SHH]],all[SHH])</f>
        <v>4</v>
      </c>
      <c r="FB17" s="6">
        <f>AVERAGE(studentski[ShalfA])</f>
        <v>40</v>
      </c>
      <c r="FC17" s="13">
        <f>_xlfn.RANK.EQ(all[[#This Row],[SHA]],all[SHA],1)</f>
        <v>9</v>
      </c>
      <c r="FD17" s="6" t="e">
        <f ca="1">AVERAGE(LARGE(OFFSET(studentski[Home_scored],COUNTA(studentski[Home_scored])-5, 0, 5, 1),2), LARGE(OFFSET(studentski[Home_scored],COUNTA(studentski[Home_scored])-5, 0, 5, 1),3),LARGE(OFFSET(studentski[Home_scored],COUNTA(studentski[Home_scored])-5, 0, 5, 1),4))</f>
        <v>#REF!</v>
      </c>
      <c r="FE17" s="6" t="e">
        <f ca="1">AVERAGE(LARGE(OFFSET(studentski[Away_scored],COUNTA(studentski[Away_scored])-5, 0, 5, 1),2), LARGE(OFFSET(studentski[Away_scored],COUNTA(studentski[Away_scored])-5, 0, 5, 1),3),LARGE(OFFSET(studentski[Away_scored],COUNTA(studentski[Away_scored])-5, 0, 5, 1),4))</f>
        <v>#REF!</v>
      </c>
      <c r="FF17" s="13">
        <f ca="1">COUNTIF(INDIRECT(all[[#This Row],[Table name]]&amp;"[result]"),"w")+COUNTIF(INDIRECT(all[[#This Row],[Table name]]&amp;"[result]"),"dw")</f>
        <v>1</v>
      </c>
      <c r="FG17" s="13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8.6769230769230763</v>
      </c>
      <c r="FK17" s="6">
        <f>all[[#This Row],[Q1H]]+all[[#This Row],[Q1A]]</f>
        <v>49</v>
      </c>
      <c r="FL17" s="13">
        <f>_xlfn.RANK.EQ(all[[#This Row],[Q1T]],all[Q1T])</f>
        <v>2</v>
      </c>
      <c r="FM17" s="6">
        <f>all[[#This Row],[Q2H]]+all[[#This Row],[Q2A]]</f>
        <v>43</v>
      </c>
      <c r="FN17" s="13">
        <f>_xlfn.RANK.EQ(all[[#This Row],[Q2T]],all[Q2T])</f>
        <v>9</v>
      </c>
      <c r="FO17" s="6">
        <f>all[[#This Row],[Q3H]]+all[[#This Row],[Q3A]]</f>
        <v>47</v>
      </c>
      <c r="FP17" s="13">
        <f>_xlfn.RANK.EQ(all[[#This Row],[Q3T]],all[Q3T])</f>
        <v>5</v>
      </c>
      <c r="FQ17" s="6">
        <f>all[[#This Row],[Q4H]]+all[[#This Row],[Q4A]]</f>
        <v>41</v>
      </c>
      <c r="FR17" s="13">
        <f>_xlfn.RANK.EQ(all[[#This Row],[Q4T]],all[Q4T])</f>
        <v>8</v>
      </c>
      <c r="FS17" s="6">
        <f>all[[#This Row],[FHH]]+all[[#This Row],[FHA]]</f>
        <v>92</v>
      </c>
      <c r="FT17" s="13">
        <f>_xlfn.RANK.EQ(all[[#This Row],[FHT]],all[FHT])</f>
        <v>6</v>
      </c>
      <c r="FU17" s="6">
        <f>all[[#This Row],[SHH]]+all[[#This Row],[SHA]]</f>
        <v>88</v>
      </c>
      <c r="FV17" s="13">
        <f>_xlfn.RANK.EQ(all[[#This Row],[SHT]],all[SHT])</f>
        <v>3</v>
      </c>
      <c r="FW17" s="6">
        <f ca="1">SUM(INDIRECT(all[[#This Row],[Table name]]&amp;"[BetH]"))</f>
        <v>1.2000000000000002</v>
      </c>
      <c r="FX17" s="13">
        <f ca="1">_xlfn.RANK.EQ(all[[#This Row],[BetH]],all[BetH])</f>
        <v>3</v>
      </c>
      <c r="FY17" s="6">
        <f ca="1">SUM(INDIRECT(all[[#This Row],[Table name]]&amp;"[BetA]"))</f>
        <v>-1</v>
      </c>
      <c r="FZ17" s="13">
        <f ca="1">_xlfn.RANK.EQ(all[[#This Row],[BetA]],all[BetA])</f>
        <v>8</v>
      </c>
      <c r="GA17" s="13">
        <f ca="1">SUM(INDIRECT(all[[#This Row],[Table name]]&amp;"[Tover]"))</f>
        <v>1</v>
      </c>
      <c r="GB17" s="13">
        <f ca="1">_xlfn.RANK.EQ(all[[#This Row],[Tover]],all[Tover])</f>
        <v>1</v>
      </c>
      <c r="GC17" s="6">
        <f ca="1">AVERAGE(INDIRECT(all[[#This Row],[Table name]]&amp;"[Deviation]"))</f>
        <v>16</v>
      </c>
      <c r="GD17" s="13">
        <f ca="1">_xlfn.RANK.EQ(all[[#This Row],[Deviation]],all[Deviation],1)</f>
        <v>10</v>
      </c>
    </row>
    <row r="18" spans="1:186" x14ac:dyDescent="0.25">
      <c r="A18" s="9" t="s">
        <v>391</v>
      </c>
      <c r="B18" t="s">
        <v>389</v>
      </c>
      <c r="C18" t="s">
        <v>392</v>
      </c>
      <c r="D18" t="s">
        <v>390</v>
      </c>
      <c r="E18">
        <f>_xlfn.RANK.EQ(all[[#This Row],[AVG_RT]],all[AVG_RT],1)</f>
        <v>6</v>
      </c>
      <c r="F18" s="6">
        <f>AVERAGE(vienna[Home_scored])</f>
        <v>85</v>
      </c>
      <c r="G18" s="13">
        <f>_xlfn.RANK.EQ(all[[#This Row],[PM]],all[PM])</f>
        <v>8</v>
      </c>
      <c r="H18" s="6">
        <f>AVERAGE(vienna[Away_scored])</f>
        <v>84</v>
      </c>
      <c r="I18" s="13">
        <f>_xlfn.RANK.EQ(all[[#This Row],[PC]],all[PC],1)</f>
        <v>8</v>
      </c>
      <c r="J18" s="6">
        <f>AVERAGE(vienna[FGA])</f>
        <v>60</v>
      </c>
      <c r="K18" s="13">
        <f>_xlfn.RANK.EQ(all[[#This Row],[FGA]],all[FGA])</f>
        <v>10</v>
      </c>
      <c r="L18" s="6">
        <f>AVERAGE(vienna[FGM])</f>
        <v>28</v>
      </c>
      <c r="M18" s="13">
        <f>_xlfn.RANK.EQ(all[[#This Row],[FGM]],all[FGM])</f>
        <v>11</v>
      </c>
      <c r="N18" s="7">
        <f>AVERAGE(vienna[FGp])</f>
        <v>0.4667</v>
      </c>
      <c r="O18" s="13">
        <f>_xlfn.RANK.EQ(all[[#This Row],[FGp]],all[FGp])</f>
        <v>11</v>
      </c>
      <c r="P18" s="6">
        <f>AVERAGE(vienna[P2M])</f>
        <v>19</v>
      </c>
      <c r="Q18" s="13">
        <f>_xlfn.RANK.EQ(all[[#This Row],[P2M]],all[P2M])</f>
        <v>9</v>
      </c>
      <c r="R18" s="6">
        <f>AVERAGE(vienna[P2A])</f>
        <v>32</v>
      </c>
      <c r="S18" s="13">
        <f>_xlfn.RANK.EQ(all[[#This Row],[P2A]],all[P2A])</f>
        <v>14</v>
      </c>
      <c r="T18" s="7">
        <f>AVERAGE(vienna[P2p])</f>
        <v>0.59379999999999999</v>
      </c>
      <c r="U18" s="13">
        <f>_xlfn.RANK.EQ(all[[#This Row],[P2p]],all[P2p])</f>
        <v>5</v>
      </c>
      <c r="V18" s="6">
        <f>AVERAGE(vienna[P3M])</f>
        <v>9</v>
      </c>
      <c r="W18" s="13">
        <f>_xlfn.RANK.EQ(all[[#This Row],[P3M]],all[P3M])</f>
        <v>8</v>
      </c>
      <c r="X18" s="6">
        <f>AVERAGE(vienna[P3A])</f>
        <v>28</v>
      </c>
      <c r="Y18" s="13">
        <f>_xlfn.RANK.EQ(all[[#This Row],[P3A]],all[P3A])</f>
        <v>7</v>
      </c>
      <c r="Z18" s="7">
        <f>AVERAGE(vienna[P3p])</f>
        <v>0.32140000000000002</v>
      </c>
      <c r="AA18" s="13">
        <f>_xlfn.RANK.EQ(all[[#This Row],[P3p]],all[P3p])</f>
        <v>11</v>
      </c>
      <c r="AB18" s="6">
        <f>AVERAGE(vienna[FTM])</f>
        <v>20</v>
      </c>
      <c r="AC18" s="13">
        <f>_xlfn.RANK.EQ(all[[#This Row],[FTM]],all[FTM])</f>
        <v>7</v>
      </c>
      <c r="AD18" s="6">
        <f>AVERAGE(vienna[FTA])</f>
        <v>24</v>
      </c>
      <c r="AE18" s="13">
        <f>_xlfn.RANK.EQ(all[[#This Row],[FTA]],all[FTA])</f>
        <v>7</v>
      </c>
      <c r="AF18" s="7">
        <f>AVERAGE(vienna[FTp])</f>
        <v>0.83330000000000004</v>
      </c>
      <c r="AG18" s="13">
        <f>_xlfn.RANK.EQ(all[[#This Row],[FTp]],all[FTp])</f>
        <v>5</v>
      </c>
      <c r="AH18" s="6">
        <f>AVERAGE(vienna[ORB])</f>
        <v>12</v>
      </c>
      <c r="AI18" s="13">
        <f>_xlfn.RANK.EQ(all[[#This Row],[ORB]],all[ORB])</f>
        <v>6</v>
      </c>
      <c r="AJ18" s="6">
        <f>AVERAGE(vienna[DRB])</f>
        <v>21</v>
      </c>
      <c r="AK18" s="13">
        <f>_xlfn.RANK.EQ(all[[#This Row],[DRB]],all[DRB])</f>
        <v>14</v>
      </c>
      <c r="AL18" s="6">
        <f>AVERAGE(vienna[TRB])</f>
        <v>33</v>
      </c>
      <c r="AM18" s="13">
        <f>_xlfn.RANK.EQ(all[[#This Row],[TRB]],all[TRB])</f>
        <v>12</v>
      </c>
      <c r="AN18" s="6">
        <f>AVERAGE(vienna[AST])</f>
        <v>18</v>
      </c>
      <c r="AO18" s="13">
        <f>_xlfn.RANK.EQ(all[[#This Row],[AST]],all[AST])</f>
        <v>7</v>
      </c>
      <c r="AP18" s="6">
        <f>AVERAGE(vienna[STL])</f>
        <v>2</v>
      </c>
      <c r="AQ18" s="13">
        <f>_xlfn.RANK.EQ(all[[#This Row],[STL]],all[STL])</f>
        <v>18</v>
      </c>
      <c r="AR18" s="6">
        <f>AVERAGE(vienna[BLK])</f>
        <v>1</v>
      </c>
      <c r="AS18" s="13">
        <f>_xlfn.RANK.EQ(all[[#This Row],[BLK]],all[BLK])</f>
        <v>11</v>
      </c>
      <c r="AT18" s="6">
        <f>AVERAGE(vienna[TOV])</f>
        <v>16</v>
      </c>
      <c r="AU18" s="13">
        <f>_xlfn.RANK.EQ(all[[#This Row],[TOV]],all[TOV],1)</f>
        <v>14</v>
      </c>
      <c r="AV18" s="6">
        <f>AVERAGE(vienna[PF])</f>
        <v>24</v>
      </c>
      <c r="AW18" s="13">
        <f>_xlfn.RANK.EQ(all[[#This Row],[PF]],all[PF],1)</f>
        <v>13</v>
      </c>
      <c r="AX18" s="6">
        <f>AVERAGE(vienna[FGAop])</f>
        <v>64</v>
      </c>
      <c r="AY18" s="13">
        <f>_xlfn.RANK.EQ(all[[#This Row],[FGA opp]],all[FGA opp],1)</f>
        <v>11</v>
      </c>
      <c r="AZ18" s="6">
        <f>AVERAGE(vienna[FGMop])</f>
        <v>30</v>
      </c>
      <c r="BA18" s="13">
        <f>_xlfn.RANK.EQ(all[[#This Row],[FGM opp]],all[FGM opp],1)</f>
        <v>11</v>
      </c>
      <c r="BB18" s="7">
        <f>AVERAGE(vienna[FGpop])</f>
        <v>0.46879999999999999</v>
      </c>
      <c r="BC18" s="13">
        <f>_xlfn.RANK.EQ(all[[#This Row],[FGp opp]],all[FGp opp],1)</f>
        <v>9</v>
      </c>
      <c r="BD18" s="6">
        <f>AVERAGE(vienna[P2Mop])</f>
        <v>19</v>
      </c>
      <c r="BE18" s="13">
        <f>_xlfn.RANK.EQ(all[[#This Row],[P2M opp]],all[P2M opp],1)</f>
        <v>8</v>
      </c>
      <c r="BF18" s="6">
        <f>AVERAGE(vienna[P2Aop])</f>
        <v>32</v>
      </c>
      <c r="BG18" s="13">
        <f>_xlfn.RANK.EQ(all[[#This Row],[P2A opp]],all[P2A opp],1)</f>
        <v>3</v>
      </c>
      <c r="BH18">
        <f>AVERAGE(vienna[P2pop])</f>
        <v>0.59379999999999999</v>
      </c>
      <c r="BI18" s="13">
        <f>_xlfn.RANK.EQ(all[[#This Row],[P2p opp]],all[P2p opp],1)</f>
        <v>14</v>
      </c>
      <c r="BJ18" s="6">
        <f>AVERAGE(vienna[P3Mop])</f>
        <v>11</v>
      </c>
      <c r="BK18" s="13">
        <f>_xlfn.RANK.EQ(all[[#This Row],[P3M opp]],all[P3M opp],1)</f>
        <v>16</v>
      </c>
      <c r="BL18" s="6">
        <f>AVERAGE(vienna[P3Aop])</f>
        <v>32</v>
      </c>
      <c r="BM18" s="13">
        <f>_xlfn.RANK.EQ(all[[#This Row],[P3A opp]],all[P3A opp],1)</f>
        <v>15</v>
      </c>
      <c r="BN18" s="7">
        <f>AVERAGE(vienna[P3pop])</f>
        <v>0.34379999999999999</v>
      </c>
      <c r="BO18" s="13">
        <f>_xlfn.RANK.EQ(all[[#This Row],[P3p opp]],all[P3p opp],1)</f>
        <v>12</v>
      </c>
      <c r="BP18" s="6">
        <f>AVERAGE(vienna[FTMop])</f>
        <v>13</v>
      </c>
      <c r="BQ18" s="13">
        <f>_xlfn.RANK.EQ(all[[#This Row],[FTM opp]],all[FTM opp],1)</f>
        <v>6</v>
      </c>
      <c r="BR18" s="6">
        <f>AVERAGE(vienna[FTAop])</f>
        <v>20</v>
      </c>
      <c r="BS18" s="13">
        <f>_xlfn.RANK.EQ(all[[#This Row],[FTA opp]],all[FTA opp],1)</f>
        <v>8</v>
      </c>
      <c r="BT18" s="7">
        <f>AVERAGE(vienna[FTpop])</f>
        <v>0.65</v>
      </c>
      <c r="BU18" s="13">
        <f>_xlfn.RANK.EQ(all[[#This Row],[FTp opp]],all[FTp opp],1)</f>
        <v>4</v>
      </c>
      <c r="BV18" s="6">
        <f>AVERAGE(vienna[ORBop])</f>
        <v>10</v>
      </c>
      <c r="BW18" s="13">
        <f>_xlfn.RANK.EQ(all[[#This Row],[ORB opp]],all[ORB opp],1)</f>
        <v>7</v>
      </c>
      <c r="BX18" s="6">
        <f>AVERAGE(vienna[DRBop])</f>
        <v>16</v>
      </c>
      <c r="BY18" s="13">
        <f>_xlfn.RANK.EQ(all[[#This Row],[DRB opp]],all[DRB opp],1)</f>
        <v>2</v>
      </c>
      <c r="BZ18" s="6">
        <f>AVERAGE(vienna[TRBop])</f>
        <v>26</v>
      </c>
      <c r="CA18" s="13">
        <f>_xlfn.RANK.EQ(all[[#This Row],[TRB opp]],all[TRB opp],1)</f>
        <v>2</v>
      </c>
      <c r="CB18" s="6">
        <f>AVERAGE(vienna[ASTop])</f>
        <v>17</v>
      </c>
      <c r="CC18" s="13">
        <f>_xlfn.RANK.EQ(all[[#This Row],[AST opp]],all[AST opp],1)</f>
        <v>7</v>
      </c>
      <c r="CD18" s="6">
        <f>AVERAGE(vienna[STLop])</f>
        <v>6</v>
      </c>
      <c r="CE18" s="13">
        <f>_xlfn.RANK.EQ(all[[#This Row],[STL opp]],all[STL opp],1)</f>
        <v>6</v>
      </c>
      <c r="CF18" s="6">
        <f>AVERAGE(vienna[BLKop])</f>
        <v>0</v>
      </c>
      <c r="CG18" s="13">
        <f>_xlfn.RANK.EQ(all[[#This Row],[BLK opp]],all[BLK opp],1)</f>
        <v>1</v>
      </c>
      <c r="CH18" s="6">
        <f>AVERAGE(vienna[TOVop])</f>
        <v>14</v>
      </c>
      <c r="CI18" s="13">
        <f>_xlfn.RANK.EQ(all[[#This Row],[TOV opp]],all[TOV opp])</f>
        <v>11</v>
      </c>
      <c r="CJ18" s="6">
        <f>AVERAGE(vienna[PFop])</f>
        <v>26</v>
      </c>
      <c r="CK18" s="13">
        <f>_xlfn.RANK.EQ(all[[#This Row],[PF opp]],all[PF opp])</f>
        <v>6</v>
      </c>
      <c r="CL18" s="7">
        <f>AVERAGE(vienna[TS%])</f>
        <v>0.60229999999999995</v>
      </c>
      <c r="CM18" s="13">
        <f>_xlfn.RANK.EQ(all[[#This Row],[TSp]],all[TSp])</f>
        <v>10</v>
      </c>
      <c r="CN18" s="7">
        <f>AVERAGE(vienna[eFG%])</f>
        <v>0.54169999999999996</v>
      </c>
      <c r="CO18" s="13">
        <f>_xlfn.RANK.EQ(all[[#This Row],[eFGp]],all[eFGp])</f>
        <v>12</v>
      </c>
      <c r="CP18" s="7">
        <f>AVERAGE(vienna[ORB%])</f>
        <v>0.42859999999999998</v>
      </c>
      <c r="CQ18" s="13">
        <f>_xlfn.RANK.EQ(all[[#This Row],[ORBp]],all[ORBp])</f>
        <v>3</v>
      </c>
      <c r="CR18" s="7">
        <f>AVERAGE(vienna[DRB%])</f>
        <v>0.6774</v>
      </c>
      <c r="CS18" s="13">
        <f>_xlfn.RANK.EQ(all[[#This Row],[DRBp]],all[DRBp])</f>
        <v>11</v>
      </c>
      <c r="CT18" s="7">
        <f>AVERAGE(vienna[TRB%])</f>
        <v>0.55930000000000002</v>
      </c>
      <c r="CU18" s="13">
        <f>_xlfn.RANK.EQ(all[[#This Row],[TRBp]],all[TRBp])</f>
        <v>2</v>
      </c>
      <c r="CV18" s="6">
        <f>AVERAGE(vienna[Poss])</f>
        <v>73.149000000000001</v>
      </c>
      <c r="CW18" s="13">
        <f>_xlfn.RANK.EQ(all[[#This Row],[Poss]],all[Poss])</f>
        <v>11</v>
      </c>
      <c r="CX18" s="7">
        <f>AVERAGE(vienna[AST%])</f>
        <v>0.64290000000000003</v>
      </c>
      <c r="CY18" s="13">
        <f>_xlfn.RANK.EQ(all[[#This Row],[ASTp]],all[ASTp])</f>
        <v>5</v>
      </c>
      <c r="CZ18" s="7">
        <f>AVERAGE(vienna[FTFGA%])</f>
        <v>0.33329999999999999</v>
      </c>
      <c r="DA18" s="13">
        <f>_xlfn.RANK.EQ(all[[#This Row],[FTFGAp]],all[FTFGAp])</f>
        <v>7</v>
      </c>
      <c r="DB18" s="7">
        <f>AVERAGE(vienna[TOV%])</f>
        <v>0.18479999999999999</v>
      </c>
      <c r="DC18" s="13">
        <f>_xlfn.RANK.EQ(all[[#This Row],[TOVp]],all[TOVp],1)</f>
        <v>15</v>
      </c>
      <c r="DD18" s="6">
        <f>AVERAGE(vienna[ORtg])</f>
        <v>117.1</v>
      </c>
      <c r="DE18" s="13">
        <f>_xlfn.RANK.EQ(all[[#This Row],[ORtg]],all[ORtg])</f>
        <v>9</v>
      </c>
      <c r="DF18" s="6">
        <f>AVERAGE(vienna[DRtg])</f>
        <v>115.7</v>
      </c>
      <c r="DG18" s="13">
        <f>_xlfn.RANK.EQ(all[[#This Row],[DRtg]],all[DRtg],1)</f>
        <v>10</v>
      </c>
      <c r="DH18" s="6">
        <f>AVERAGE(vienna[Pace])</f>
        <v>72.578500000000005</v>
      </c>
      <c r="DI18" s="13">
        <f>_xlfn.RANK.EQ(all[[#This Row],[Pace]],all[Pace])</f>
        <v>11</v>
      </c>
      <c r="DJ18" s="7">
        <f>AVERAGE(vienna[TS%op])</f>
        <v>0.57689999999999997</v>
      </c>
      <c r="DK18" s="13">
        <f>_xlfn.RANK.EQ(all[[#This Row],[TSp opp]],all[TSp opp],1)</f>
        <v>8</v>
      </c>
      <c r="DL18" s="7">
        <f>AVERAGE(vienna[eFG%op])</f>
        <v>0.55469999999999997</v>
      </c>
      <c r="DM18" s="13">
        <f>_xlfn.RANK.EQ(all[[#This Row],[eFGp opp]],all[eFGp opp],1)</f>
        <v>9</v>
      </c>
      <c r="DN18" s="7">
        <f>AVERAGE(vienna[ORB%op])</f>
        <v>0.3226</v>
      </c>
      <c r="DO18" s="13">
        <f>_xlfn.RANK.EQ(all[[#This Row],[ORBp opp]],all[ORBp opp],1)</f>
        <v>11</v>
      </c>
      <c r="DP18" s="7">
        <f>AVERAGE(vienna[DRB%op])</f>
        <v>0.57140000000000002</v>
      </c>
      <c r="DQ18" s="13">
        <f>_xlfn.RANK.EQ(all[[#This Row],[DRBp opp]],all[DRBp opp],1)</f>
        <v>3</v>
      </c>
      <c r="DR18" s="7">
        <f>AVERAGE(vienna[TRB%op])</f>
        <v>0.44069999999999998</v>
      </c>
      <c r="DS18" s="13">
        <f>_xlfn.RANK.EQ(all[[#This Row],[TRBp opp]],all[TRBp opp],1)</f>
        <v>2</v>
      </c>
      <c r="DT18" s="6">
        <f>AVERAGE(vienna[Possop])</f>
        <v>72.007999999999996</v>
      </c>
      <c r="DU18" s="13">
        <f>_xlfn.RANK.EQ(all[[#This Row],[Poss opp]],all[Poss opp],1)</f>
        <v>6</v>
      </c>
      <c r="DV18" s="7">
        <f>AVERAGE(vienna[AST%op])</f>
        <v>0.56669999999999998</v>
      </c>
      <c r="DW18" s="13">
        <f>_xlfn.RANK.EQ(all[[#This Row],[ASTp opp]],all[ASTp opp],1)</f>
        <v>8</v>
      </c>
      <c r="DX18" s="7">
        <f>AVERAGE(vienna[FTFGA%op])</f>
        <v>0.2031</v>
      </c>
      <c r="DY18" s="13">
        <f>_xlfn.RANK.EQ(all[[#This Row],[FTFGAp opp]],all[FTFGAp opp],1)</f>
        <v>5</v>
      </c>
      <c r="DZ18" s="7">
        <f>AVERAGE(vienna[TOV%op])</f>
        <v>0.1613</v>
      </c>
      <c r="EA18" s="13">
        <f>_xlfn.RANK.EQ(all[[#This Row],[TOVp opp]],all[TOVp opp])</f>
        <v>12</v>
      </c>
      <c r="EB18" s="6">
        <f>AVERAGE(vienna[ORtgop])</f>
        <v>115.7</v>
      </c>
      <c r="EC18" s="13">
        <f>_xlfn.RANK.EQ(all[[#This Row],[ORtg opp]],all[ORtg opp],1)</f>
        <v>10</v>
      </c>
      <c r="ED18" s="6">
        <f>AVERAGE(vienna[DRtgop])</f>
        <v>117.1</v>
      </c>
      <c r="EE18" s="13">
        <f>_xlfn.RANK.EQ(all[[#This Row],[DRtg opp]],all[DRtg opp])</f>
        <v>9</v>
      </c>
      <c r="EF18" s="6">
        <f>AVERAGE(vienna[Q1H])</f>
        <v>22</v>
      </c>
      <c r="EG18" s="13">
        <f>_xlfn.RANK.EQ(all[[#This Row],[Q1H]],all[Q1H])</f>
        <v>9</v>
      </c>
      <c r="EH18" s="6">
        <f>AVERAGE(vienna[Q2H])</f>
        <v>26</v>
      </c>
      <c r="EI18" s="13">
        <f>_xlfn.RANK.EQ(all[[#This Row],[Q2H]],all[Q2H])</f>
        <v>2</v>
      </c>
      <c r="EJ18" s="6">
        <f>AVERAGE(vienna[Q3H])</f>
        <v>17</v>
      </c>
      <c r="EK18" s="13">
        <f>_xlfn.RANK.EQ(all[[#This Row],[Q3H]],all[Q3H])</f>
        <v>14</v>
      </c>
      <c r="EL18" s="6">
        <f>AVERAGE(vienna[Q4H])</f>
        <v>20</v>
      </c>
      <c r="EM18" s="13">
        <f>_xlfn.RANK.EQ(all[[#This Row],[Q4H]],all[Q4H])</f>
        <v>10</v>
      </c>
      <c r="EN18" s="6">
        <f>AVERAGE(vienna[Q1A])</f>
        <v>18</v>
      </c>
      <c r="EO18" s="13">
        <f>_xlfn.RANK.EQ(all[[#This Row],[Q1A]],all[Q1A],1)</f>
        <v>4</v>
      </c>
      <c r="EP18" s="6">
        <f>AVERAGE(vienna[Q2A])</f>
        <v>19</v>
      </c>
      <c r="EQ18" s="13">
        <f>_xlfn.RANK.EQ(all[[#This Row],[Q2A]],all[Q2A],1)</f>
        <v>5</v>
      </c>
      <c r="ER18" s="6">
        <f>AVERAGE(vienna[Q3A])</f>
        <v>33</v>
      </c>
      <c r="ES18" s="13">
        <f>_xlfn.RANK.EQ(all[[#This Row],[Q3A]],all[Q3A],1)</f>
        <v>18</v>
      </c>
      <c r="ET18" s="6">
        <f>AVERAGE(vienna[Q4A])</f>
        <v>14</v>
      </c>
      <c r="EU18" s="13">
        <f>_xlfn.RANK.EQ(all[[#This Row],[Q4A]],all[Q4A],1)</f>
        <v>3</v>
      </c>
      <c r="EV18" s="6">
        <f>AVERAGE(vienna[FhalfH])</f>
        <v>48</v>
      </c>
      <c r="EW18" s="13">
        <f>_xlfn.RANK.EQ(all[[#This Row],[FHH]],all[FHH])</f>
        <v>5</v>
      </c>
      <c r="EX18" s="5">
        <f>AVERAGE(vienna[FhalfA])</f>
        <v>37</v>
      </c>
      <c r="EY18" s="13">
        <f>_xlfn.RANK.EQ(all[[#This Row],[FHA]],all[FHA],1)</f>
        <v>5</v>
      </c>
      <c r="EZ18" s="6">
        <f>AVERAGE(vienna[ShalfH])</f>
        <v>37</v>
      </c>
      <c r="FA18" s="13">
        <f>_xlfn.RANK.EQ(all[[#This Row],[SHH]],all[SHH])</f>
        <v>13</v>
      </c>
      <c r="FB18" s="6">
        <f>AVERAGE(vienna[ShalfA])</f>
        <v>47</v>
      </c>
      <c r="FC18" s="13">
        <f>_xlfn.RANK.EQ(all[[#This Row],[SHA]],all[SHA],1)</f>
        <v>15</v>
      </c>
      <c r="FD18" s="6" t="e">
        <f ca="1">AVERAGE(LARGE(OFFSET(vienna[Home_scored],COUNTA(vienna[Home_scored])-5, 0, 5, 1),2), LARGE(OFFSET(vienna[Home_scored],COUNTA(vienna[Home_scored])-5, 0, 5, 1),3),LARGE(OFFSET(vienna[Home_scored],COUNTA(vienna[Home_scored])-5, 0, 5, 1),4))</f>
        <v>#REF!</v>
      </c>
      <c r="FE18" s="6" t="e">
        <f ca="1">AVERAGE(LARGE(OFFSET(vienna[Away_scored],COUNTA(vienna[Away_scored])-5, 0, 5, 1),2), LARGE(OFFSET(vienna[Away_scored],COUNTA(vienna[Away_scored])-5, 0, 5, 1),3),LARGE(OFFSET(vienna[Away_scored],COUNTA(vienna[Away_scored])-5, 0, 5, 1),4))</f>
        <v>#REF!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8.6769230769230763</v>
      </c>
      <c r="FK18" s="6">
        <f>all[[#This Row],[Q1H]]+all[[#This Row],[Q1A]]</f>
        <v>40</v>
      </c>
      <c r="FL18" s="13">
        <f>_xlfn.RANK.EQ(all[[#This Row],[Q1T]],all[Q1T])</f>
        <v>14</v>
      </c>
      <c r="FM18" s="6">
        <f>all[[#This Row],[Q2H]]+all[[#This Row],[Q2A]]</f>
        <v>45</v>
      </c>
      <c r="FN18" s="13">
        <f>_xlfn.RANK.EQ(all[[#This Row],[Q2T]],all[Q2T])</f>
        <v>5</v>
      </c>
      <c r="FO18" s="6">
        <f>all[[#This Row],[Q3H]]+all[[#This Row],[Q3A]]</f>
        <v>50</v>
      </c>
      <c r="FP18" s="13">
        <f>_xlfn.RANK.EQ(all[[#This Row],[Q3T]],all[Q3T])</f>
        <v>2</v>
      </c>
      <c r="FQ18" s="6">
        <f>all[[#This Row],[Q4H]]+all[[#This Row],[Q4A]]</f>
        <v>34</v>
      </c>
      <c r="FR18" s="13">
        <f>_xlfn.RANK.EQ(all[[#This Row],[Q4T]],all[Q4T])</f>
        <v>14</v>
      </c>
      <c r="FS18" s="6">
        <f>all[[#This Row],[FHH]]+all[[#This Row],[FHA]]</f>
        <v>85</v>
      </c>
      <c r="FT18" s="13">
        <f>_xlfn.RANK.EQ(all[[#This Row],[FHT]],all[FHT])</f>
        <v>10</v>
      </c>
      <c r="FU18" s="6">
        <f>all[[#This Row],[SHH]]+all[[#This Row],[SHA]]</f>
        <v>84</v>
      </c>
      <c r="FV18" s="13">
        <f>_xlfn.RANK.EQ(all[[#This Row],[SHT]],all[SHT])</f>
        <v>9</v>
      </c>
      <c r="FW18" s="6">
        <f ca="1">SUM(INDIRECT(all[[#This Row],[Table name]]&amp;"[BetH]"))</f>
        <v>1.2000000000000002</v>
      </c>
      <c r="FX18" s="13">
        <f ca="1">_xlfn.RANK.EQ(all[[#This Row],[BetH]],all[BetH])</f>
        <v>3</v>
      </c>
      <c r="FY18" s="6">
        <f ca="1">SUM(INDIRECT(all[[#This Row],[Table name]]&amp;"[BetA]"))</f>
        <v>-1</v>
      </c>
      <c r="FZ18" s="13">
        <f ca="1">_xlfn.RANK.EQ(all[[#This Row],[BetA]],all[BetA])</f>
        <v>8</v>
      </c>
      <c r="GA18" s="13">
        <f ca="1">SUM(INDIRECT(all[[#This Row],[Table name]]&amp;"[Tover]"))</f>
        <v>1</v>
      </c>
      <c r="GB18" s="13">
        <f ca="1">_xlfn.RANK.EQ(all[[#This Row],[Tover]],all[Tover])</f>
        <v>1</v>
      </c>
      <c r="GC18" s="6">
        <f ca="1">AVERAGE(INDIRECT(all[[#This Row],[Table name]]&amp;"[Deviation]"))</f>
        <v>5</v>
      </c>
      <c r="GD18" s="13">
        <f ca="1">_xlfn.RANK.EQ(all[[#This Row],[Deviation]],all[Deviation],1)</f>
        <v>3</v>
      </c>
    </row>
    <row r="19" spans="1:186" x14ac:dyDescent="0.25">
      <c r="A19" s="9" t="s">
        <v>393</v>
      </c>
      <c r="B19" t="s">
        <v>393</v>
      </c>
      <c r="C19" t="s">
        <v>395</v>
      </c>
      <c r="D19" t="s">
        <v>394</v>
      </c>
      <c r="E19">
        <f>_xlfn.RANK.EQ(all[[#This Row],[AVG_RT]],all[AVG_RT],1)</f>
        <v>10</v>
      </c>
      <c r="F19" s="6">
        <f>AVERAGE(zadar[Home_scored])</f>
        <v>93</v>
      </c>
      <c r="G19" s="13">
        <f>_xlfn.RANK.EQ(all[[#This Row],[PM]],all[PM])</f>
        <v>4</v>
      </c>
      <c r="H19" s="6">
        <f>AVERAGE(zadar[Away_scored])</f>
        <v>96</v>
      </c>
      <c r="I19" s="13">
        <f>_xlfn.RANK.EQ(all[[#This Row],[PC]],all[PC],1)</f>
        <v>18</v>
      </c>
      <c r="J19" s="6">
        <f>AVERAGE(zadar[FGA])</f>
        <v>58</v>
      </c>
      <c r="K19" s="13">
        <f>_xlfn.RANK.EQ(all[[#This Row],[FGA]],all[FGA])</f>
        <v>14</v>
      </c>
      <c r="L19" s="6">
        <f>AVERAGE(zadar[FGM])</f>
        <v>27</v>
      </c>
      <c r="M19" s="13">
        <f>_xlfn.RANK.EQ(all[[#This Row],[FGM]],all[FGM])</f>
        <v>13</v>
      </c>
      <c r="N19" s="7">
        <f>AVERAGE(zadar[FGp])</f>
        <v>0.46550000000000002</v>
      </c>
      <c r="O19" s="13">
        <f>_xlfn.RANK.EQ(all[[#This Row],[FGp]],all[FGp])</f>
        <v>12</v>
      </c>
      <c r="P19" s="6">
        <f>AVERAGE(zadar[P2M])</f>
        <v>18</v>
      </c>
      <c r="Q19" s="13">
        <f>_xlfn.RANK.EQ(all[[#This Row],[P2M]],all[P2M])</f>
        <v>11</v>
      </c>
      <c r="R19" s="6">
        <f>AVERAGE(zadar[P2A])</f>
        <v>29</v>
      </c>
      <c r="S19" s="13">
        <f>_xlfn.RANK.EQ(all[[#This Row],[P2A]],all[P2A])</f>
        <v>17</v>
      </c>
      <c r="T19" s="7">
        <f>AVERAGE(zadar[P2p])</f>
        <v>0.62070000000000003</v>
      </c>
      <c r="U19" s="13">
        <f>_xlfn.RANK.EQ(all[[#This Row],[P2p]],all[P2p])</f>
        <v>3</v>
      </c>
      <c r="V19" s="6">
        <f>AVERAGE(zadar[P3M])</f>
        <v>9</v>
      </c>
      <c r="W19" s="13">
        <f>_xlfn.RANK.EQ(all[[#This Row],[P3M]],all[P3M])</f>
        <v>8</v>
      </c>
      <c r="X19" s="6">
        <f>AVERAGE(zadar[P3A])</f>
        <v>29</v>
      </c>
      <c r="Y19" s="13">
        <f>_xlfn.RANK.EQ(all[[#This Row],[P3A]],all[P3A])</f>
        <v>6</v>
      </c>
      <c r="Z19" s="7">
        <f>AVERAGE(zadar[P3p])</f>
        <v>0.31030000000000002</v>
      </c>
      <c r="AA19" s="13">
        <f>_xlfn.RANK.EQ(all[[#This Row],[P3p]],all[P3p])</f>
        <v>12</v>
      </c>
      <c r="AB19" s="6">
        <f>AVERAGE(zadar[FTM])</f>
        <v>30</v>
      </c>
      <c r="AC19" s="13">
        <f>_xlfn.RANK.EQ(all[[#This Row],[FTM]],all[FTM])</f>
        <v>1</v>
      </c>
      <c r="AD19" s="6">
        <f>AVERAGE(zadar[FTA])</f>
        <v>43</v>
      </c>
      <c r="AE19" s="13">
        <f>_xlfn.RANK.EQ(all[[#This Row],[FTA]],all[FTA])</f>
        <v>1</v>
      </c>
      <c r="AF19" s="7">
        <f>AVERAGE(zadar[FTp])</f>
        <v>0.69769999999999999</v>
      </c>
      <c r="AG19" s="13">
        <f>_xlfn.RANK.EQ(all[[#This Row],[FTp]],all[FTp])</f>
        <v>14</v>
      </c>
      <c r="AH19" s="6">
        <f>AVERAGE(zadar[ORB])</f>
        <v>12</v>
      </c>
      <c r="AI19" s="13">
        <f>_xlfn.RANK.EQ(all[[#This Row],[ORB]],all[ORB])</f>
        <v>6</v>
      </c>
      <c r="AJ19" s="6">
        <f>AVERAGE(zadar[DRB])</f>
        <v>23</v>
      </c>
      <c r="AK19" s="13">
        <f>_xlfn.RANK.EQ(all[[#This Row],[DRB]],all[DRB])</f>
        <v>9</v>
      </c>
      <c r="AL19" s="6">
        <f>AVERAGE(zadar[TRB])</f>
        <v>35</v>
      </c>
      <c r="AM19" s="13">
        <f>_xlfn.RANK.EQ(all[[#This Row],[TRB]],all[TRB])</f>
        <v>6</v>
      </c>
      <c r="AN19" s="6">
        <f>AVERAGE(zadar[AST])</f>
        <v>19</v>
      </c>
      <c r="AO19" s="13">
        <f>_xlfn.RANK.EQ(all[[#This Row],[AST]],all[AST])</f>
        <v>4</v>
      </c>
      <c r="AP19" s="6">
        <f>AVERAGE(zadar[STL])</f>
        <v>12</v>
      </c>
      <c r="AQ19" s="13">
        <f>_xlfn.RANK.EQ(all[[#This Row],[STL]],all[STL])</f>
        <v>3</v>
      </c>
      <c r="AR19" s="6">
        <f>AVERAGE(zadar[BLK])</f>
        <v>5</v>
      </c>
      <c r="AS19" s="13">
        <f>_xlfn.RANK.EQ(all[[#This Row],[BLK]],all[BLK])</f>
        <v>1</v>
      </c>
      <c r="AT19" s="6">
        <f>AVERAGE(zadar[TOV])</f>
        <v>14</v>
      </c>
      <c r="AU19" s="13">
        <f>_xlfn.RANK.EQ(all[[#This Row],[TOV]],all[TOV],1)</f>
        <v>7</v>
      </c>
      <c r="AV19" s="6">
        <f>AVERAGE(zadar[PF])</f>
        <v>21</v>
      </c>
      <c r="AW19" s="13">
        <f>_xlfn.RANK.EQ(all[[#This Row],[PF]],all[PF],1)</f>
        <v>4</v>
      </c>
      <c r="AX19" s="6">
        <f>AVERAGE(zadar[FGAop])</f>
        <v>69</v>
      </c>
      <c r="AY19" s="13">
        <f>_xlfn.RANK.EQ(all[[#This Row],[FGA opp]],all[FGA opp],1)</f>
        <v>16</v>
      </c>
      <c r="AZ19" s="6">
        <f>AVERAGE(zadar[FGMop])</f>
        <v>33</v>
      </c>
      <c r="BA19" s="13">
        <f>_xlfn.RANK.EQ(all[[#This Row],[FGM opp]],all[FGM opp],1)</f>
        <v>17</v>
      </c>
      <c r="BB19" s="7">
        <f>AVERAGE(zadar[FGpop])</f>
        <v>0.4783</v>
      </c>
      <c r="BC19" s="13">
        <f>_xlfn.RANK.EQ(all[[#This Row],[FGp opp]],all[FGp opp],1)</f>
        <v>10</v>
      </c>
      <c r="BD19" s="6">
        <f>AVERAGE(zadar[P2Mop])</f>
        <v>18</v>
      </c>
      <c r="BE19" s="13">
        <f>_xlfn.RANK.EQ(all[[#This Row],[P2M opp]],all[P2M opp],1)</f>
        <v>6</v>
      </c>
      <c r="BF19" s="6">
        <f>AVERAGE(zadar[P2Aop])</f>
        <v>39</v>
      </c>
      <c r="BG19" s="13">
        <f>_xlfn.RANK.EQ(all[[#This Row],[P2A opp]],all[P2A opp],1)</f>
        <v>10</v>
      </c>
      <c r="BH19">
        <f>AVERAGE(zadar[P2pop])</f>
        <v>0.46150000000000002</v>
      </c>
      <c r="BI19" s="13">
        <f>_xlfn.RANK.EQ(all[[#This Row],[P2p opp]],all[P2p opp],1)</f>
        <v>7</v>
      </c>
      <c r="BJ19" s="6">
        <f>AVERAGE(zadar[P3Mop])</f>
        <v>15</v>
      </c>
      <c r="BK19" s="13">
        <f>_xlfn.RANK.EQ(all[[#This Row],[P3M opp]],all[P3M opp],1)</f>
        <v>18</v>
      </c>
      <c r="BL19" s="6">
        <f>AVERAGE(zadar[P3Aop])</f>
        <v>30</v>
      </c>
      <c r="BM19" s="13">
        <f>_xlfn.RANK.EQ(all[[#This Row],[P3A opp]],all[P3A opp],1)</f>
        <v>14</v>
      </c>
      <c r="BN19" s="7">
        <f>AVERAGE(zadar[P3pop])</f>
        <v>0.5</v>
      </c>
      <c r="BO19" s="13">
        <f>_xlfn.RANK.EQ(all[[#This Row],[P3p opp]],all[P3p opp],1)</f>
        <v>17</v>
      </c>
      <c r="BP19" s="6">
        <f>AVERAGE(zadar[FTMop])</f>
        <v>15</v>
      </c>
      <c r="BQ19" s="13">
        <f>_xlfn.RANK.EQ(all[[#This Row],[FTM opp]],all[FTM opp],1)</f>
        <v>8</v>
      </c>
      <c r="BR19" s="6">
        <f>AVERAGE(zadar[FTAop])</f>
        <v>22</v>
      </c>
      <c r="BS19" s="13">
        <f>_xlfn.RANK.EQ(all[[#This Row],[FTA opp]],all[FTA opp],1)</f>
        <v>10</v>
      </c>
      <c r="BT19" s="7">
        <f>AVERAGE(zadar[FTpop])</f>
        <v>0.68179999999999996</v>
      </c>
      <c r="BU19" s="13">
        <f>_xlfn.RANK.EQ(all[[#This Row],[FTp opp]],all[FTp opp],1)</f>
        <v>7</v>
      </c>
      <c r="BV19" s="6">
        <f>AVERAGE(zadar[ORBop])</f>
        <v>16</v>
      </c>
      <c r="BW19" s="13">
        <f>_xlfn.RANK.EQ(all[[#This Row],[ORB opp]],all[ORB opp],1)</f>
        <v>15</v>
      </c>
      <c r="BX19" s="6">
        <f>AVERAGE(zadar[DRBop])</f>
        <v>25</v>
      </c>
      <c r="BY19" s="13">
        <f>_xlfn.RANK.EQ(all[[#This Row],[DRB opp]],all[DRB opp],1)</f>
        <v>12</v>
      </c>
      <c r="BZ19" s="6">
        <f>AVERAGE(zadar[TRBop])</f>
        <v>41</v>
      </c>
      <c r="CA19" s="13">
        <f>_xlfn.RANK.EQ(all[[#This Row],[TRB opp]],all[TRB opp],1)</f>
        <v>15</v>
      </c>
      <c r="CB19" s="6">
        <f>AVERAGE(zadar[ASTop])</f>
        <v>19</v>
      </c>
      <c r="CC19" s="13">
        <f>_xlfn.RANK.EQ(all[[#This Row],[AST opp]],all[AST opp],1)</f>
        <v>12</v>
      </c>
      <c r="CD19" s="6">
        <f>AVERAGE(zadar[STLop])</f>
        <v>9</v>
      </c>
      <c r="CE19" s="13">
        <f>_xlfn.RANK.EQ(all[[#This Row],[STL opp]],all[STL opp],1)</f>
        <v>12</v>
      </c>
      <c r="CF19" s="6">
        <f>AVERAGE(zadar[BLKop])</f>
        <v>2</v>
      </c>
      <c r="CG19" s="13">
        <f>_xlfn.RANK.EQ(all[[#This Row],[BLK opp]],all[BLK opp],1)</f>
        <v>7</v>
      </c>
      <c r="CH19" s="6">
        <f>AVERAGE(zadar[TOVop])</f>
        <v>17</v>
      </c>
      <c r="CI19" s="13">
        <f>_xlfn.RANK.EQ(all[[#This Row],[TOV opp]],all[TOV opp])</f>
        <v>4</v>
      </c>
      <c r="CJ19" s="6">
        <f>AVERAGE(zadar[PFop])</f>
        <v>32</v>
      </c>
      <c r="CK19" s="13">
        <f>_xlfn.RANK.EQ(all[[#This Row],[PF opp]],all[PF opp])</f>
        <v>1</v>
      </c>
      <c r="CL19" s="7">
        <f>AVERAGE(zadar[TS%])</f>
        <v>0.60450000000000004</v>
      </c>
      <c r="CM19" s="13">
        <f>_xlfn.RANK.EQ(all[[#This Row],[TSp]],all[TSp])</f>
        <v>9</v>
      </c>
      <c r="CN19" s="7">
        <f>AVERAGE(zadar[eFG%])</f>
        <v>0.54310000000000003</v>
      </c>
      <c r="CO19" s="13">
        <f>_xlfn.RANK.EQ(all[[#This Row],[eFGp]],all[eFGp])</f>
        <v>11</v>
      </c>
      <c r="CP19" s="7">
        <f>AVERAGE(zadar[ORB%])</f>
        <v>0.32429999999999998</v>
      </c>
      <c r="CQ19" s="13">
        <f>_xlfn.RANK.EQ(all[[#This Row],[ORBp]],all[ORBp])</f>
        <v>9</v>
      </c>
      <c r="CR19" s="7">
        <f>AVERAGE(zadar[DRB%])</f>
        <v>0.5897</v>
      </c>
      <c r="CS19" s="13">
        <f>_xlfn.RANK.EQ(all[[#This Row],[DRBp]],all[DRBp])</f>
        <v>14</v>
      </c>
      <c r="CT19" s="7">
        <f>AVERAGE(zadar[TRB%])</f>
        <v>0.46050000000000002</v>
      </c>
      <c r="CU19" s="13">
        <f>_xlfn.RANK.EQ(all[[#This Row],[TRBp]],all[TRBp])</f>
        <v>15</v>
      </c>
      <c r="CV19" s="6">
        <f>AVERAGE(zadar[Poss])</f>
        <v>77.826999999999998</v>
      </c>
      <c r="CW19" s="13">
        <f>_xlfn.RANK.EQ(all[[#This Row],[Poss]],all[Poss])</f>
        <v>4</v>
      </c>
      <c r="CX19" s="7">
        <f>AVERAGE(zadar[AST%])</f>
        <v>0.70369999999999999</v>
      </c>
      <c r="CY19" s="13">
        <f>_xlfn.RANK.EQ(all[[#This Row],[ASTp]],all[ASTp])</f>
        <v>3</v>
      </c>
      <c r="CZ19" s="7">
        <f>AVERAGE(zadar[FTFGA%])</f>
        <v>0.51719999999999999</v>
      </c>
      <c r="DA19" s="13">
        <f>_xlfn.RANK.EQ(all[[#This Row],[FTFGAp]],all[FTFGAp])</f>
        <v>1</v>
      </c>
      <c r="DB19" s="7">
        <f>AVERAGE(zadar[TOV%])</f>
        <v>0.154</v>
      </c>
      <c r="DC19" s="13">
        <f>_xlfn.RANK.EQ(all[[#This Row],[TOVp]],all[TOVp],1)</f>
        <v>6</v>
      </c>
      <c r="DD19" s="6">
        <f>AVERAGE(zadar[ORtg])</f>
        <v>118</v>
      </c>
      <c r="DE19" s="13">
        <f>_xlfn.RANK.EQ(all[[#This Row],[ORtg]],all[ORtg])</f>
        <v>7</v>
      </c>
      <c r="DF19" s="6">
        <f>AVERAGE(zadar[DRtg])</f>
        <v>121.8</v>
      </c>
      <c r="DG19" s="13">
        <f>_xlfn.RANK.EQ(all[[#This Row],[DRtg]],all[DRtg],1)</f>
        <v>17</v>
      </c>
      <c r="DH19" s="6">
        <f>AVERAGE(zadar[Pace])</f>
        <v>78.797499999999999</v>
      </c>
      <c r="DI19" s="13">
        <f>_xlfn.RANK.EQ(all[[#This Row],[Pace]],all[Pace])</f>
        <v>1</v>
      </c>
      <c r="DJ19" s="7">
        <f>AVERAGE(zadar[TS%op])</f>
        <v>0.61009999999999998</v>
      </c>
      <c r="DK19" s="13">
        <f>_xlfn.RANK.EQ(all[[#This Row],[TSp opp]],all[TSp opp],1)</f>
        <v>11</v>
      </c>
      <c r="DL19" s="7">
        <f>AVERAGE(zadar[eFG%op])</f>
        <v>0.58699999999999997</v>
      </c>
      <c r="DM19" s="13">
        <f>_xlfn.RANK.EQ(all[[#This Row],[eFGp opp]],all[eFGp opp],1)</f>
        <v>14</v>
      </c>
      <c r="DN19" s="7">
        <f>AVERAGE(zadar[ORB%op])</f>
        <v>0.4103</v>
      </c>
      <c r="DO19" s="13">
        <f>_xlfn.RANK.EQ(all[[#This Row],[ORBp opp]],all[ORBp opp],1)</f>
        <v>14</v>
      </c>
      <c r="DP19" s="7">
        <f>AVERAGE(zadar[DRB%op])</f>
        <v>0.67569999999999997</v>
      </c>
      <c r="DQ19" s="13">
        <f>_xlfn.RANK.EQ(all[[#This Row],[DRBp opp]],all[DRBp opp],1)</f>
        <v>9</v>
      </c>
      <c r="DR19" s="7">
        <f>AVERAGE(zadar[TRB%op])</f>
        <v>0.53949999999999998</v>
      </c>
      <c r="DS19" s="13">
        <f>_xlfn.RANK.EQ(all[[#This Row],[TRBp opp]],all[TRBp opp],1)</f>
        <v>15</v>
      </c>
      <c r="DT19" s="6">
        <f>AVERAGE(zadar[Possop])</f>
        <v>79.768000000000001</v>
      </c>
      <c r="DU19" s="13">
        <f>_xlfn.RANK.EQ(all[[#This Row],[Poss opp]],all[Poss opp],1)</f>
        <v>16</v>
      </c>
      <c r="DV19" s="7">
        <f>AVERAGE(zadar[AST%op])</f>
        <v>0.57579999999999998</v>
      </c>
      <c r="DW19" s="13">
        <f>_xlfn.RANK.EQ(all[[#This Row],[ASTp opp]],all[ASTp opp],1)</f>
        <v>9</v>
      </c>
      <c r="DX19" s="7">
        <f>AVERAGE(zadar[FTFGA%op])</f>
        <v>0.21740000000000001</v>
      </c>
      <c r="DY19" s="13">
        <f>_xlfn.RANK.EQ(all[[#This Row],[FTFGAp opp]],all[FTFGAp opp],1)</f>
        <v>8</v>
      </c>
      <c r="DZ19" s="7">
        <f>AVERAGE(zadar[TOV%op])</f>
        <v>0.1777</v>
      </c>
      <c r="EA19" s="13">
        <f>_xlfn.RANK.EQ(all[[#This Row],[TOVp opp]],all[TOVp opp])</f>
        <v>7</v>
      </c>
      <c r="EB19" s="6">
        <f>AVERAGE(zadar[ORtgop])</f>
        <v>121.8</v>
      </c>
      <c r="EC19" s="13">
        <f>_xlfn.RANK.EQ(all[[#This Row],[ORtg opp]],all[ORtg opp],1)</f>
        <v>17</v>
      </c>
      <c r="ED19" s="6">
        <f>AVERAGE(zadar[DRtgop])</f>
        <v>118</v>
      </c>
      <c r="EE19" s="13">
        <f>_xlfn.RANK.EQ(all[[#This Row],[DRtg opp]],all[DRtg opp])</f>
        <v>7</v>
      </c>
      <c r="EF19" s="6">
        <f>AVERAGE(zadar[Q1H])</f>
        <v>23</v>
      </c>
      <c r="EG19" s="13">
        <f>_xlfn.RANK.EQ(all[[#This Row],[Q1H]],all[Q1H])</f>
        <v>7</v>
      </c>
      <c r="EH19" s="6">
        <f>AVERAGE(zadar[Q2H])</f>
        <v>16</v>
      </c>
      <c r="EI19" s="13">
        <f>_xlfn.RANK.EQ(all[[#This Row],[Q2H]],all[Q2H])</f>
        <v>14</v>
      </c>
      <c r="EJ19" s="6">
        <f>AVERAGE(zadar[Q3H])</f>
        <v>26</v>
      </c>
      <c r="EK19" s="13">
        <f>_xlfn.RANK.EQ(all[[#This Row],[Q3H]],all[Q3H])</f>
        <v>2</v>
      </c>
      <c r="EL19" s="6">
        <f>AVERAGE(zadar[Q4H])</f>
        <v>28</v>
      </c>
      <c r="EM19" s="13">
        <f>_xlfn.RANK.EQ(all[[#This Row],[Q4H]],all[Q4H])</f>
        <v>2</v>
      </c>
      <c r="EN19" s="6">
        <f>AVERAGE(zadar[Q1A])</f>
        <v>20</v>
      </c>
      <c r="EO19" s="13">
        <f>_xlfn.RANK.EQ(all[[#This Row],[Q1A]],all[Q1A],1)</f>
        <v>7</v>
      </c>
      <c r="EP19" s="6">
        <f>AVERAGE(zadar[Q2A])</f>
        <v>28</v>
      </c>
      <c r="EQ19" s="13">
        <f>_xlfn.RANK.EQ(all[[#This Row],[Q2A]],all[Q2A],1)</f>
        <v>17</v>
      </c>
      <c r="ER19" s="6">
        <f>AVERAGE(zadar[Q3A])</f>
        <v>22</v>
      </c>
      <c r="ES19" s="13">
        <f>_xlfn.RANK.EQ(all[[#This Row],[Q3A]],all[Q3A],1)</f>
        <v>13</v>
      </c>
      <c r="ET19" s="6">
        <f>AVERAGE(zadar[Q4A])</f>
        <v>26</v>
      </c>
      <c r="EU19" s="13">
        <f>_xlfn.RANK.EQ(all[[#This Row],[Q4A]],all[Q4A],1)</f>
        <v>17</v>
      </c>
      <c r="EV19" s="6">
        <f>AVERAGE(zadar[FhalfH])</f>
        <v>39</v>
      </c>
      <c r="EW19" s="13">
        <f>_xlfn.RANK.EQ(all[[#This Row],[FHH]],all[FHH])</f>
        <v>14</v>
      </c>
      <c r="EX19" s="5">
        <f>AVERAGE(zadar[FhalfA])</f>
        <v>48</v>
      </c>
      <c r="EY19" s="13">
        <f>_xlfn.RANK.EQ(all[[#This Row],[FHA]],all[FHA],1)</f>
        <v>14</v>
      </c>
      <c r="EZ19" s="6">
        <f>AVERAGE(zadar[ShalfH])</f>
        <v>54</v>
      </c>
      <c r="FA19" s="13">
        <f>_xlfn.RANK.EQ(all[[#This Row],[SHH]],all[SHH])</f>
        <v>1</v>
      </c>
      <c r="FB19" s="6">
        <f>AVERAGE(zadar[ShalfA])</f>
        <v>48</v>
      </c>
      <c r="FC19" s="13">
        <f>_xlfn.RANK.EQ(all[[#This Row],[SHA]],all[SHA],1)</f>
        <v>16</v>
      </c>
      <c r="FD19" s="6" t="e">
        <f ca="1">AVERAGE(LARGE(OFFSET(zadar[Home_scored],COUNTA(zadar[Home_scored])-5, 0, 5, 1),2), LARGE(OFFSET(zadar[Home_scored],COUNTA(zadar[Home_scored])-5, 0, 5, 1),3),LARGE(OFFSET(zadar[Home_scored],COUNTA(zadar[Home_scored])-5, 0, 5, 1),4))</f>
        <v>#REF!</v>
      </c>
      <c r="FE19" s="6" t="e">
        <f ca="1">AVERAGE(LARGE(OFFSET(zadar[Away_scored],COUNTA(zadar[Away_scored])-5, 0, 5, 1),2), LARGE(OFFSET(zadar[Away_scored],COUNTA(zadar[Away_scored])-5, 0, 5, 1),3),LARGE(OFFSET(zadar[Away_scored],COUNTA(zadar[Away_scored])-5, 0, 5, 1),4))</f>
        <v>#REF!</v>
      </c>
      <c r="FF19" s="13">
        <f ca="1">COUNTIF(INDIRECT(all[[#This Row],[Table name]]&amp;"[result]"),"w")+COUNTIF(INDIRECT(all[[#This Row],[Table name]]&amp;"[result]"),"dw")</f>
        <v>0</v>
      </c>
      <c r="FG19" s="13">
        <f ca="1">COUNTIF(INDIRECT(all[[#This Row],[Table name]]&amp;"[result]"),"l")+COUNTIF(INDIRECT(all[[#This Row],[Table name]]&amp;"[result]"),"dl")</f>
        <v>1</v>
      </c>
      <c r="FH19" s="7">
        <f ca="1">all[[#This Row],[Wins]]/(all[[#This Row],[Wins]]+all[[#This Row],[Losses]])</f>
        <v>0</v>
      </c>
      <c r="FI19">
        <f ca="1">_xlfn.RANK.EQ(all[[#This Row],[rating]],all[rating])</f>
        <v>12</v>
      </c>
      <c r="FJ19" s="5">
        <f t="shared" si="0"/>
        <v>9.476923076923077</v>
      </c>
      <c r="FK19" s="6">
        <f>all[[#This Row],[Q1H]]+all[[#This Row],[Q1A]]</f>
        <v>43</v>
      </c>
      <c r="FL19" s="13">
        <f>_xlfn.RANK.EQ(all[[#This Row],[Q1T]],all[Q1T])</f>
        <v>10</v>
      </c>
      <c r="FM19" s="6">
        <f>all[[#This Row],[Q2H]]+all[[#This Row],[Q2A]]</f>
        <v>44</v>
      </c>
      <c r="FN19" s="13">
        <f>_xlfn.RANK.EQ(all[[#This Row],[Q2T]],all[Q2T])</f>
        <v>8</v>
      </c>
      <c r="FO19" s="6">
        <f>all[[#This Row],[Q3H]]+all[[#This Row],[Q3A]]</f>
        <v>48</v>
      </c>
      <c r="FP19" s="13">
        <f>_xlfn.RANK.EQ(all[[#This Row],[Q3T]],all[Q3T])</f>
        <v>4</v>
      </c>
      <c r="FQ19" s="6">
        <f>all[[#This Row],[Q4H]]+all[[#This Row],[Q4A]]</f>
        <v>54</v>
      </c>
      <c r="FR19" s="13">
        <f>_xlfn.RANK.EQ(all[[#This Row],[Q4T]],all[Q4T])</f>
        <v>1</v>
      </c>
      <c r="FS19" s="6">
        <f>all[[#This Row],[FHH]]+all[[#This Row],[FHA]]</f>
        <v>87</v>
      </c>
      <c r="FT19" s="13">
        <f>_xlfn.RANK.EQ(all[[#This Row],[FHT]],all[FHT])</f>
        <v>9</v>
      </c>
      <c r="FU19" s="6">
        <f>all[[#This Row],[SHH]]+all[[#This Row],[SHA]]</f>
        <v>102</v>
      </c>
      <c r="FV19" s="13">
        <f>_xlfn.RANK.EQ(all[[#This Row],[SHT]],all[SHT])</f>
        <v>1</v>
      </c>
      <c r="FW19" s="6">
        <f ca="1">SUM(INDIRECT(all[[#This Row],[Table name]]&amp;"[BetH]"))</f>
        <v>-1</v>
      </c>
      <c r="FX19" s="13">
        <f ca="1">_xlfn.RANK.EQ(all[[#This Row],[BetH]],all[BetH])</f>
        <v>12</v>
      </c>
      <c r="FY19" s="6">
        <f ca="1">SUM(INDIRECT(all[[#This Row],[Table name]]&amp;"[BetA]"))</f>
        <v>1.65</v>
      </c>
      <c r="FZ19" s="13">
        <f ca="1">_xlfn.RANK.EQ(all[[#This Row],[BetA]],all[BetA])</f>
        <v>2</v>
      </c>
      <c r="GA19" s="13">
        <f ca="1">SUM(INDIRECT(all[[#This Row],[Table name]]&amp;"[Tover]"))</f>
        <v>1</v>
      </c>
      <c r="GB19" s="13">
        <f ca="1">_xlfn.RANK.EQ(all[[#This Row],[Tover]],all[Tover])</f>
        <v>1</v>
      </c>
      <c r="GC19" s="6">
        <f ca="1">AVERAGE(INDIRECT(all[[#This Row],[Table name]]&amp;"[Deviation]"))</f>
        <v>26</v>
      </c>
      <c r="GD19" s="13">
        <f ca="1">_xlfn.RANK.EQ(all[[#This Row],[Deviation]],all[Deviation],1)</f>
        <v>17</v>
      </c>
    </row>
    <row r="22" spans="1:186" x14ac:dyDescent="0.25">
      <c r="A22" t="s">
        <v>76</v>
      </c>
      <c r="B22" t="s">
        <v>147</v>
      </c>
      <c r="C22" t="s">
        <v>148</v>
      </c>
      <c r="D22" t="s">
        <v>151</v>
      </c>
      <c r="E22" t="s">
        <v>152</v>
      </c>
      <c r="F22" t="s">
        <v>144</v>
      </c>
      <c r="G22" t="s">
        <v>161</v>
      </c>
      <c r="P22" t="s">
        <v>76</v>
      </c>
      <c r="Q22" t="s">
        <v>147</v>
      </c>
      <c r="R22" t="s">
        <v>148</v>
      </c>
      <c r="S22" t="s">
        <v>151</v>
      </c>
      <c r="T22" t="s">
        <v>152</v>
      </c>
      <c r="U22" t="s">
        <v>144</v>
      </c>
      <c r="V22" t="s">
        <v>161</v>
      </c>
    </row>
    <row r="23" spans="1:186" x14ac:dyDescent="0.25">
      <c r="A23" t="s">
        <v>306</v>
      </c>
      <c r="B23" t="s">
        <v>306</v>
      </c>
      <c r="C23" t="s">
        <v>307</v>
      </c>
      <c r="D23" s="13">
        <f ca="1">COUNTIF(INDIRECT(east[[#This Row],[Table name]]&amp;"[result]"),"w")+ COUNTIF(INDIRECT(east[[#This Row],[Table name]]&amp;"[result]"),"dw")</f>
        <v>1</v>
      </c>
      <c r="E23" s="13">
        <f ca="1">COUNTIF(INDIRECT(east[[#This Row],[Table name]]&amp;"[result]"),"l")+ COUNTIF(INDIRECT(east[[#This Row],[Table name]]&amp;"[result]"),"dl")</f>
        <v>0</v>
      </c>
      <c r="F23" s="7">
        <f ca="1">east[[#This Row],[Wins]]/(east[[#This Row],[Wins]]+east[[#This Row],[Losses]])</f>
        <v>1</v>
      </c>
      <c r="G23" s="13">
        <f ca="1">_xlfn.RANK.EQ(east[[#This Row],[rating]],east[rating])</f>
        <v>1</v>
      </c>
      <c r="P23" t="s">
        <v>343</v>
      </c>
      <c r="Q23" t="s">
        <v>343</v>
      </c>
      <c r="R23" t="s">
        <v>345</v>
      </c>
      <c r="S23" s="13">
        <f ca="1">COUNTIF(INDIRECT(west[[#This Row],[Table name]]&amp;"[result]"),"w")+ COUNTIF(INDIRECT(west[[#This Row],[Table name]]&amp;"[result]"),"dw")</f>
        <v>1</v>
      </c>
      <c r="T23" s="13">
        <f ca="1">COUNTIF(INDIRECT(west[[#This Row],[Table name]]&amp;"[result]"),"l")+ COUNTIF(INDIRECT(west[[#This Row],[Table name]]&amp;"[result]"),"dl")</f>
        <v>0</v>
      </c>
      <c r="U23" s="7">
        <f ca="1">west[[#This Row],[Wins]]/(west[[#This Row],[Wins]]+west[[#This Row],[Losses]])</f>
        <v>1</v>
      </c>
      <c r="V23" s="13">
        <f ca="1">_xlfn.RANK.EQ(west[[#This Row],[rating]],west[rating])</f>
        <v>1</v>
      </c>
    </row>
    <row r="24" spans="1:186" x14ac:dyDescent="0.25">
      <c r="A24" t="s">
        <v>322</v>
      </c>
      <c r="B24" t="s">
        <v>309</v>
      </c>
      <c r="C24" t="s">
        <v>310</v>
      </c>
      <c r="D24" s="13">
        <f ca="1">COUNTIF(INDIRECT(east[[#This Row],[Table name]]&amp;"[result]"),"w")+ COUNTIF(INDIRECT(east[[#This Row],[Table name]]&amp;"[result]"),"dw")</f>
        <v>0</v>
      </c>
      <c r="E24" s="13">
        <f ca="1">COUNTIF(INDIRECT(east[[#This Row],[Table name]]&amp;"[result]"),"l")+ COUNTIF(INDIRECT(east[[#This Row],[Table name]]&amp;"[result]"),"dl")</f>
        <v>1</v>
      </c>
      <c r="F24" s="7">
        <f ca="1">east[[#This Row],[Wins]]/(east[[#This Row],[Wins]]+east[[#This Row],[Losses]])</f>
        <v>0</v>
      </c>
      <c r="G24" s="13">
        <f ca="1">_xlfn.RANK.EQ(east[[#This Row],[rating]],east[rating])</f>
        <v>5</v>
      </c>
      <c r="P24" t="s">
        <v>323</v>
      </c>
      <c r="Q24" t="s">
        <v>312</v>
      </c>
      <c r="R24" t="s">
        <v>313</v>
      </c>
      <c r="S24" s="13">
        <f ca="1">COUNTIF(INDIRECT(west[[#This Row],[Table name]]&amp;"[result]"),"w")+ COUNTIF(INDIRECT(west[[#This Row],[Table name]]&amp;"[result]"),"dw")</f>
        <v>1</v>
      </c>
      <c r="T24" s="13">
        <f ca="1">COUNTIF(INDIRECT(west[[#This Row],[Table name]]&amp;"[result]"),"l")+ COUNTIF(INDIRECT(west[[#This Row],[Table name]]&amp;"[result]"),"dl")</f>
        <v>0</v>
      </c>
      <c r="U24" s="7">
        <f ca="1">west[[#This Row],[Wins]]/(west[[#This Row],[Wins]]+west[[#This Row],[Losses]])</f>
        <v>1</v>
      </c>
      <c r="V24" s="13">
        <f ca="1">_xlfn.RANK.EQ(west[[#This Row],[rating]],west[rating])</f>
        <v>1</v>
      </c>
    </row>
    <row r="25" spans="1:186" x14ac:dyDescent="0.25">
      <c r="A25" t="s">
        <v>348</v>
      </c>
      <c r="B25" t="s">
        <v>346</v>
      </c>
      <c r="C25" t="s">
        <v>349</v>
      </c>
      <c r="D25" s="13">
        <f ca="1">COUNTIF(INDIRECT(east[[#This Row],[Table name]]&amp;"[result]"),"w")+ COUNTIF(INDIRECT(east[[#This Row],[Table name]]&amp;"[result]"),"dw")</f>
        <v>1</v>
      </c>
      <c r="E25" s="13">
        <f ca="1">COUNTIF(INDIRECT(east[[#This Row],[Table name]]&amp;"[result]"),"l")+ COUNTIF(INDIRECT(east[[#This Row],[Table name]]&amp;"[result]"),"dl")</f>
        <v>0</v>
      </c>
      <c r="F25" s="7">
        <f ca="1">east[[#This Row],[Wins]]/(east[[#This Row],[Wins]]+east[[#This Row],[Losses]])</f>
        <v>1</v>
      </c>
      <c r="G25" s="13">
        <f ca="1">_xlfn.RANK.EQ(east[[#This Row],[rating]],east[rating])</f>
        <v>1</v>
      </c>
      <c r="P25" t="s">
        <v>350</v>
      </c>
      <c r="Q25" t="s">
        <v>350</v>
      </c>
      <c r="R25" t="s">
        <v>352</v>
      </c>
      <c r="S25" s="13">
        <f ca="1">COUNTIF(INDIRECT(west[[#This Row],[Table name]]&amp;"[result]"),"w")+ COUNTIF(INDIRECT(west[[#This Row],[Table name]]&amp;"[result]"),"dw")</f>
        <v>1</v>
      </c>
      <c r="T25" s="13">
        <f ca="1">COUNTIF(INDIRECT(west[[#This Row],[Table name]]&amp;"[result]"),"l")+ COUNTIF(INDIRECT(west[[#This Row],[Table name]]&amp;"[result]"),"dl")</f>
        <v>0</v>
      </c>
      <c r="U25" s="7">
        <f ca="1">west[[#This Row],[Wins]]/(west[[#This Row],[Wins]]+west[[#This Row],[Losses]])</f>
        <v>1</v>
      </c>
      <c r="V25" s="13">
        <f ca="1">_xlfn.RANK.EQ(west[[#This Row],[rating]],west[rating])</f>
        <v>1</v>
      </c>
    </row>
    <row r="26" spans="1:186" x14ac:dyDescent="0.25">
      <c r="A26" t="s">
        <v>360</v>
      </c>
      <c r="B26" t="s">
        <v>360</v>
      </c>
      <c r="C26" t="s">
        <v>362</v>
      </c>
      <c r="D26" s="13">
        <f ca="1">COUNTIF(INDIRECT(east[[#This Row],[Table name]]&amp;"[result]"),"w")+ COUNTIF(INDIRECT(east[[#This Row],[Table name]]&amp;"[result]"),"dw")</f>
        <v>0</v>
      </c>
      <c r="E26" s="13">
        <f ca="1">COUNTIF(INDIRECT(east[[#This Row],[Table name]]&amp;"[result]"),"l")+ COUNTIF(INDIRECT(east[[#This Row],[Table name]]&amp;"[result]"),"dl")</f>
        <v>1</v>
      </c>
      <c r="F26" s="7">
        <f ca="1">east[[#This Row],[Wins]]/(east[[#This Row],[Wins]]+east[[#This Row],[Losses]])</f>
        <v>0</v>
      </c>
      <c r="G26" s="13">
        <f ca="1">_xlfn.RANK.EQ(east[[#This Row],[rating]],east[rating])</f>
        <v>5</v>
      </c>
      <c r="P26" t="s">
        <v>356</v>
      </c>
      <c r="Q26" t="s">
        <v>353</v>
      </c>
      <c r="R26" t="s">
        <v>355</v>
      </c>
      <c r="S26" s="13">
        <f ca="1">COUNTIF(INDIRECT(west[[#This Row],[Table name]]&amp;"[result]"),"w")+ COUNTIF(INDIRECT(west[[#This Row],[Table name]]&amp;"[result]"),"dw")</f>
        <v>0</v>
      </c>
      <c r="T26" s="13">
        <f ca="1">COUNTIF(INDIRECT(west[[#This Row],[Table name]]&amp;"[result]"),"l")+ COUNTIF(INDIRECT(west[[#This Row],[Table name]]&amp;"[result]"),"dl")</f>
        <v>1</v>
      </c>
      <c r="U26" s="7">
        <f ca="1">west[[#This Row],[Wins]]/(west[[#This Row],[Wins]]+west[[#This Row],[Losses]])</f>
        <v>0</v>
      </c>
      <c r="V26" s="13">
        <f ca="1">_xlfn.RANK.EQ(west[[#This Row],[rating]],west[rating])</f>
        <v>8</v>
      </c>
    </row>
    <row r="27" spans="1:186" x14ac:dyDescent="0.25">
      <c r="A27" t="s">
        <v>365</v>
      </c>
      <c r="B27" t="s">
        <v>363</v>
      </c>
      <c r="C27" t="s">
        <v>366</v>
      </c>
      <c r="D27" s="13">
        <f ca="1">COUNTIF(INDIRECT(east[[#This Row],[Table name]]&amp;"[result]"),"w")+ COUNTIF(INDIRECT(east[[#This Row],[Table name]]&amp;"[result]"),"dw")</f>
        <v>1</v>
      </c>
      <c r="E27" s="13">
        <f ca="1">COUNTIF(INDIRECT(east[[#This Row],[Table name]]&amp;"[result]"),"l")+ COUNTIF(INDIRECT(east[[#This Row],[Table name]]&amp;"[result]"),"dl")</f>
        <v>0</v>
      </c>
      <c r="F27" s="7">
        <f ca="1">east[[#This Row],[Wins]]/(east[[#This Row],[Wins]]+east[[#This Row],[Losses]])</f>
        <v>1</v>
      </c>
      <c r="G27" s="13">
        <f ca="1">_xlfn.RANK.EQ(east[[#This Row],[rating]],east[rating])</f>
        <v>1</v>
      </c>
      <c r="P27" t="s">
        <v>357</v>
      </c>
      <c r="Q27" t="s">
        <v>357</v>
      </c>
      <c r="R27" t="s">
        <v>359</v>
      </c>
      <c r="S27" s="13">
        <f ca="1">COUNTIF(INDIRECT(west[[#This Row],[Table name]]&amp;"[result]"),"w")+ COUNTIF(INDIRECT(west[[#This Row],[Table name]]&amp;"[result]"),"dw")</f>
        <v>1</v>
      </c>
      <c r="T27" s="13">
        <f ca="1">COUNTIF(INDIRECT(west[[#This Row],[Table name]]&amp;"[result]"),"l")+ COUNTIF(INDIRECT(west[[#This Row],[Table name]]&amp;"[result]"),"dl")</f>
        <v>0</v>
      </c>
      <c r="U27" s="7">
        <f ca="1">west[[#This Row],[Wins]]/(west[[#This Row],[Wins]]+west[[#This Row],[Losses]])</f>
        <v>1</v>
      </c>
      <c r="V27" s="13">
        <f ca="1">_xlfn.RANK.EQ(west[[#This Row],[rating]],west[rating])</f>
        <v>1</v>
      </c>
    </row>
    <row r="28" spans="1:186" x14ac:dyDescent="0.25">
      <c r="A28" t="s">
        <v>373</v>
      </c>
      <c r="B28" t="s">
        <v>371</v>
      </c>
      <c r="C28" t="s">
        <v>374</v>
      </c>
      <c r="D28" s="13">
        <f ca="1">COUNTIF(INDIRECT(east[[#This Row],[Table name]]&amp;"[result]"),"w")+ COUNTIF(INDIRECT(east[[#This Row],[Table name]]&amp;"[result]"),"dw")</f>
        <v>0</v>
      </c>
      <c r="E28" s="13">
        <f ca="1">COUNTIF(INDIRECT(east[[#This Row],[Table name]]&amp;"[result]"),"l")+ COUNTIF(INDIRECT(east[[#This Row],[Table name]]&amp;"[result]"),"dl")</f>
        <v>1</v>
      </c>
      <c r="F28" s="7">
        <f ca="1">east[[#This Row],[Wins]]/(east[[#This Row],[Wins]]+east[[#This Row],[Losses]])</f>
        <v>0</v>
      </c>
      <c r="G28" s="13">
        <f ca="1">_xlfn.RANK.EQ(east[[#This Row],[rating]],east[rating])</f>
        <v>5</v>
      </c>
      <c r="P28" t="s">
        <v>369</v>
      </c>
      <c r="Q28" t="s">
        <v>367</v>
      </c>
      <c r="R28" t="s">
        <v>370</v>
      </c>
      <c r="S28" s="13">
        <f ca="1">COUNTIF(INDIRECT(west[[#This Row],[Table name]]&amp;"[result]"),"w")+ COUNTIF(INDIRECT(west[[#This Row],[Table name]]&amp;"[result]"),"dw")</f>
        <v>1</v>
      </c>
      <c r="T28" s="13">
        <f ca="1">COUNTIF(INDIRECT(west[[#This Row],[Table name]]&amp;"[result]"),"l")+ COUNTIF(INDIRECT(west[[#This Row],[Table name]]&amp;"[result]"),"dl")</f>
        <v>0</v>
      </c>
      <c r="U28" s="7">
        <f ca="1">west[[#This Row],[Wins]]/(west[[#This Row],[Wins]]+west[[#This Row],[Losses]])</f>
        <v>1</v>
      </c>
      <c r="V28" s="13">
        <f ca="1">_xlfn.RANK.EQ(west[[#This Row],[rating]],west[rating])</f>
        <v>1</v>
      </c>
    </row>
    <row r="29" spans="1:186" x14ac:dyDescent="0.25">
      <c r="A29" t="s">
        <v>380</v>
      </c>
      <c r="B29" t="s">
        <v>378</v>
      </c>
      <c r="C29" t="s">
        <v>381</v>
      </c>
      <c r="D29" s="13">
        <f ca="1">COUNTIF(INDIRECT(east[[#This Row],[Table name]]&amp;"[result]"),"w")+ COUNTIF(INDIRECT(east[[#This Row],[Table name]]&amp;"[result]"),"dw")</f>
        <v>0</v>
      </c>
      <c r="E29" s="13">
        <f ca="1">COUNTIF(INDIRECT(east[[#This Row],[Table name]]&amp;"[result]"),"l")+ COUNTIF(INDIRECT(east[[#This Row],[Table name]]&amp;"[result]"),"dl")</f>
        <v>1</v>
      </c>
      <c r="F29" s="7">
        <f ca="1">east[[#This Row],[Wins]]/(east[[#This Row],[Wins]]+east[[#This Row],[Losses]])</f>
        <v>0</v>
      </c>
      <c r="G29" s="13">
        <f ca="1">_xlfn.RANK.EQ(east[[#This Row],[rating]],east[rating])</f>
        <v>5</v>
      </c>
      <c r="P29" t="s">
        <v>375</v>
      </c>
      <c r="Q29" t="s">
        <v>375</v>
      </c>
      <c r="R29" t="s">
        <v>377</v>
      </c>
      <c r="S29" s="13">
        <f ca="1">COUNTIF(INDIRECT(west[[#This Row],[Table name]]&amp;"[result]"),"w")+ COUNTIF(INDIRECT(west[[#This Row],[Table name]]&amp;"[result]"),"dw")</f>
        <v>0</v>
      </c>
      <c r="T29" s="13">
        <f ca="1">COUNTIF(INDIRECT(west[[#This Row],[Table name]]&amp;"[result]"),"l")+ COUNTIF(INDIRECT(west[[#This Row],[Table name]]&amp;"[result]"),"dl")</f>
        <v>1</v>
      </c>
      <c r="U29" s="7">
        <f ca="1">west[[#This Row],[Wins]]/(west[[#This Row],[Wins]]+west[[#This Row],[Losses]])</f>
        <v>0</v>
      </c>
      <c r="V29" s="13">
        <f ca="1">_xlfn.RANK.EQ(west[[#This Row],[rating]],west[rating])</f>
        <v>8</v>
      </c>
    </row>
    <row r="30" spans="1:186" x14ac:dyDescent="0.25">
      <c r="A30" t="s">
        <v>391</v>
      </c>
      <c r="B30" t="s">
        <v>389</v>
      </c>
      <c r="C30" t="s">
        <v>392</v>
      </c>
      <c r="D30" s="13">
        <f ca="1">COUNTIF(INDIRECT(east[[#This Row],[Table name]]&amp;"[result]"),"w")+ COUNTIF(INDIRECT(east[[#This Row],[Table name]]&amp;"[result]"),"dw")</f>
        <v>1</v>
      </c>
      <c r="E30" s="13">
        <f ca="1">COUNTIF(INDIRECT(east[[#This Row],[Table name]]&amp;"[result]"),"l")+ COUNTIF(INDIRECT(east[[#This Row],[Table name]]&amp;"[result]"),"dl")</f>
        <v>0</v>
      </c>
      <c r="F30" s="7">
        <f ca="1">east[[#This Row],[Wins]]/(east[[#This Row],[Wins]]+east[[#This Row],[Losses]])</f>
        <v>1</v>
      </c>
      <c r="G30" s="13">
        <f ca="1">_xlfn.RANK.EQ(east[[#This Row],[rating]],east[rating])</f>
        <v>1</v>
      </c>
      <c r="P30" t="s">
        <v>382</v>
      </c>
      <c r="Q30" t="s">
        <v>382</v>
      </c>
      <c r="R30" t="s">
        <v>384</v>
      </c>
      <c r="S30" s="13">
        <f ca="1">COUNTIF(INDIRECT(west[[#This Row],[Table name]]&amp;"[result]"),"w")+ COUNTIF(INDIRECT(west[[#This Row],[Table name]]&amp;"[result]"),"dw")</f>
        <v>1</v>
      </c>
      <c r="T30" s="13">
        <f ca="1">COUNTIF(INDIRECT(west[[#This Row],[Table name]]&amp;"[result]"),"l")+ COUNTIF(INDIRECT(west[[#This Row],[Table name]]&amp;"[result]"),"dl")</f>
        <v>0</v>
      </c>
      <c r="U30" s="7">
        <f ca="1">west[[#This Row],[Wins]]/(west[[#This Row],[Wins]]+west[[#This Row],[Losses]])</f>
        <v>1</v>
      </c>
      <c r="V30" s="13">
        <f ca="1">_xlfn.RANK.EQ(west[[#This Row],[rating]],west[rating])</f>
        <v>1</v>
      </c>
    </row>
    <row r="31" spans="1:186" x14ac:dyDescent="0.25">
      <c r="A31" t="s">
        <v>393</v>
      </c>
      <c r="B31" t="s">
        <v>393</v>
      </c>
      <c r="C31" t="s">
        <v>395</v>
      </c>
      <c r="D31" s="13">
        <f ca="1">COUNTIF(INDIRECT(east[[#This Row],[Table name]]&amp;"[result]"),"w")+ COUNTIF(INDIRECT(east[[#This Row],[Table name]]&amp;"[result]"),"dw")</f>
        <v>0</v>
      </c>
      <c r="E31" s="13">
        <f ca="1">COUNTIF(INDIRECT(east[[#This Row],[Table name]]&amp;"[result]"),"l")+ COUNTIF(INDIRECT(east[[#This Row],[Table name]]&amp;"[result]"),"dl")</f>
        <v>1</v>
      </c>
      <c r="F31" s="7">
        <f ca="1">east[[#This Row],[Wins]]/(east[[#This Row],[Wins]]+east[[#This Row],[Losses]])</f>
        <v>0</v>
      </c>
      <c r="G31" s="13">
        <f ca="1">_xlfn.RANK.EQ(east[[#This Row],[rating]],east[rating])</f>
        <v>5</v>
      </c>
      <c r="P31" t="s">
        <v>387</v>
      </c>
      <c r="Q31" t="s">
        <v>385</v>
      </c>
      <c r="R31" t="s">
        <v>388</v>
      </c>
      <c r="S31" s="13">
        <f ca="1">COUNTIF(INDIRECT(west[[#This Row],[Table name]]&amp;"[result]"),"w")+ COUNTIF(INDIRECT(west[[#This Row],[Table name]]&amp;"[result]"),"dw")</f>
        <v>1</v>
      </c>
      <c r="T31" s="13">
        <f ca="1">COUNTIF(INDIRECT(west[[#This Row],[Table name]]&amp;"[result]"),"l")+ COUNTIF(INDIRECT(west[[#This Row],[Table name]]&amp;"[result]"),"dl")</f>
        <v>0</v>
      </c>
      <c r="U31" s="7">
        <f ca="1">west[[#This Row],[Wins]]/(west[[#This Row],[Wins]]+west[[#This Row],[Losses]])</f>
        <v>1</v>
      </c>
      <c r="V31" s="13">
        <f ca="1">_xlfn.RANK.EQ(west[[#This Row],[rating]],west[rating])</f>
        <v>1</v>
      </c>
    </row>
  </sheetData>
  <phoneticPr fontId="11" type="noConversion"/>
  <hyperlinks>
    <hyperlink ref="A2" location="borac!A1" display="Borac" xr:uid="{7E67056C-E69B-4B99-9E7C-1E95C987D10A}"/>
    <hyperlink ref="A3" location="buducnost!A1" display="Buducnost" xr:uid="{D39765DA-57E2-4DA1-9B91-D9184BAEB169}"/>
    <hyperlink ref="A4" location="'cedevita'!A1" display="Cedevita" xr:uid="{863A25B5-452E-45BB-BB0B-D04765B79058}"/>
    <hyperlink ref="A6" location="'crvena'!A1" display="CrvenaZv" xr:uid="{BD3B24AD-29C1-4A12-B69F-08E60D566FA2}"/>
    <hyperlink ref="A7" location="dubai!A1" display="Dubai" xr:uid="{00ED8605-CCD8-4BB4-9B87-03BF2FA0B71C}"/>
    <hyperlink ref="A8" location="beograd!A1" display="FMPBeo" xr:uid="{76E77D2A-E95F-44CA-BD0A-1959A8D1C041}"/>
    <hyperlink ref="A5" location="'cluj'!A1" display="Cluj" xr:uid="{A8E51E79-3339-42C4-94C5-38C82067F30C}"/>
    <hyperlink ref="A9" location="igokea!A1" display="Igokea" xr:uid="{5FE215C1-A388-4043-B1B9-4B17254EBE91}"/>
    <hyperlink ref="A10" location="ilirija!A1" display="Ilirija" xr:uid="{0E94EE91-1202-4339-83F1-B5212CE18172}"/>
    <hyperlink ref="A11" location="bosna!A1" display="KKBosna" xr:uid="{FA067299-1EBA-4F07-9BED-D378F5925AF1}"/>
    <hyperlink ref="A12" location="krka!A1" display="KKKrka" xr:uid="{B7D709F4-B8CE-4169-86FA-BE961A70F2BB}"/>
    <hyperlink ref="A13" location="mega!A1" display="Mega" xr:uid="{595584D4-1FFB-41C3-8590-A71E746369E0}"/>
    <hyperlink ref="A14" location="partizan!A1" display="Partizan" xr:uid="{D1E6B54C-E353-4B41-877C-4DF7E5D63F08}"/>
    <hyperlink ref="A15" location="subotica!A1" display="Subotica" xr:uid="{42300E43-A697-42B4-8AAE-3C89CE0CF2D9}"/>
    <hyperlink ref="A16" location="split!A1" display="Split" xr:uid="{ED992989-F724-4964-9F9F-4945E791F178}"/>
    <hyperlink ref="A17" location="studentski!A1" display="Studentski" xr:uid="{7F0B1C46-7799-4A07-B823-848CE0DDE452}"/>
    <hyperlink ref="A18" location="vienna!A1" display="Vienna" xr:uid="{678F60F6-4B7A-4229-8BF3-B9293EAFC9B3}"/>
    <hyperlink ref="A19" location="zadar!A1" display="Zadar" xr:uid="{ED42356B-068F-45F2-A182-D92FA4EA7462}"/>
  </hyperlinks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321</v>
      </c>
      <c r="B4" s="2" t="s">
        <v>304</v>
      </c>
      <c r="C4" s="2" t="s">
        <v>73</v>
      </c>
      <c r="D4" s="3">
        <v>45931</v>
      </c>
      <c r="E4" s="2" t="s">
        <v>140</v>
      </c>
      <c r="F4" s="2" t="s">
        <v>316</v>
      </c>
      <c r="G4" s="2" t="s">
        <v>139</v>
      </c>
      <c r="H4" s="2">
        <v>79</v>
      </c>
      <c r="I4" s="2">
        <v>85</v>
      </c>
      <c r="J4" s="2">
        <v>29</v>
      </c>
      <c r="K4" s="2">
        <v>58</v>
      </c>
      <c r="L4" s="2">
        <v>0.5</v>
      </c>
      <c r="M4" s="2">
        <v>20</v>
      </c>
      <c r="N4" s="2">
        <v>26</v>
      </c>
      <c r="O4" s="2">
        <v>0.76919999999999999</v>
      </c>
      <c r="P4" s="2">
        <v>9</v>
      </c>
      <c r="Q4" s="2">
        <v>32</v>
      </c>
      <c r="R4" s="2">
        <v>0.28129999999999999</v>
      </c>
      <c r="S4" s="2">
        <v>12</v>
      </c>
      <c r="T4" s="2">
        <v>15</v>
      </c>
      <c r="U4" s="2">
        <v>0.8</v>
      </c>
      <c r="V4" s="2">
        <v>6</v>
      </c>
      <c r="W4" s="2">
        <v>23</v>
      </c>
      <c r="X4" s="2">
        <v>29</v>
      </c>
      <c r="Y4" s="2">
        <v>18</v>
      </c>
      <c r="Z4" s="2">
        <v>10</v>
      </c>
      <c r="AA4" s="2">
        <v>3</v>
      </c>
      <c r="AB4" s="2">
        <v>12</v>
      </c>
      <c r="AC4" s="2">
        <v>23</v>
      </c>
      <c r="AD4" s="2">
        <v>30</v>
      </c>
      <c r="AE4" s="2">
        <v>60</v>
      </c>
      <c r="AF4" s="2">
        <v>0.5</v>
      </c>
      <c r="AG4" s="2">
        <v>20</v>
      </c>
      <c r="AH4" s="2">
        <v>38</v>
      </c>
      <c r="AI4" s="2">
        <v>0.52629999999999999</v>
      </c>
      <c r="AJ4" s="2">
        <v>10</v>
      </c>
      <c r="AK4" s="2">
        <v>22</v>
      </c>
      <c r="AL4" s="2">
        <v>0.45450000000000002</v>
      </c>
      <c r="AM4" s="2">
        <v>15</v>
      </c>
      <c r="AN4" s="2">
        <v>16</v>
      </c>
      <c r="AO4" s="2">
        <v>0.9375</v>
      </c>
      <c r="AP4" s="2">
        <v>6</v>
      </c>
      <c r="AQ4" s="2">
        <v>29</v>
      </c>
      <c r="AR4" s="2">
        <v>35</v>
      </c>
      <c r="AS4" s="2">
        <v>19</v>
      </c>
      <c r="AT4" s="2">
        <v>5</v>
      </c>
      <c r="AU4" s="2">
        <v>1</v>
      </c>
      <c r="AV4" s="2">
        <v>14</v>
      </c>
      <c r="AW4" s="2">
        <v>20</v>
      </c>
      <c r="AX4" s="2">
        <v>0.61150000000000004</v>
      </c>
      <c r="AY4" s="2">
        <v>0.5776</v>
      </c>
      <c r="AZ4" s="2">
        <v>0.1714</v>
      </c>
      <c r="BA4" s="2">
        <v>0.79310000000000003</v>
      </c>
      <c r="BB4" s="2">
        <v>0.4531</v>
      </c>
      <c r="BC4" s="4">
        <v>69.58</v>
      </c>
      <c r="BD4" s="2">
        <v>0.62070000000000003</v>
      </c>
      <c r="BE4" s="2">
        <v>0.2069</v>
      </c>
      <c r="BF4" s="2">
        <v>0.15670000000000001</v>
      </c>
      <c r="BG4" s="2">
        <v>109.4</v>
      </c>
      <c r="BH4" s="2">
        <v>117.7</v>
      </c>
      <c r="BI4" s="2">
        <v>72.238500000000002</v>
      </c>
      <c r="BJ4" s="2">
        <v>0.63390000000000002</v>
      </c>
      <c r="BK4" s="2">
        <v>0.58330000000000004</v>
      </c>
      <c r="BL4" s="2">
        <v>0.2069</v>
      </c>
      <c r="BM4" s="2">
        <v>0.8286</v>
      </c>
      <c r="BN4" s="2">
        <v>0.54690000000000005</v>
      </c>
      <c r="BO4" s="4">
        <v>74.897000000000006</v>
      </c>
      <c r="BP4" s="2">
        <v>0.63329999999999997</v>
      </c>
      <c r="BQ4" s="2">
        <v>0.25</v>
      </c>
      <c r="BR4" s="2">
        <v>0.17280000000000001</v>
      </c>
      <c r="BS4" s="2">
        <v>117.7</v>
      </c>
      <c r="BT4" s="2">
        <v>109.4</v>
      </c>
      <c r="BU4" s="2">
        <v>19</v>
      </c>
      <c r="BV4" s="2">
        <v>24</v>
      </c>
      <c r="BW4" s="2">
        <v>14</v>
      </c>
      <c r="BX4" s="2">
        <v>22</v>
      </c>
      <c r="BY4" s="2">
        <v>22</v>
      </c>
      <c r="BZ4" s="2">
        <v>13</v>
      </c>
      <c r="CA4" s="2">
        <v>20</v>
      </c>
      <c r="CB4" s="2">
        <v>30</v>
      </c>
      <c r="CC4" s="2">
        <v>43</v>
      </c>
      <c r="CD4" s="2">
        <v>36</v>
      </c>
      <c r="CE4" s="2">
        <v>35</v>
      </c>
      <c r="CF4" s="2">
        <v>50</v>
      </c>
      <c r="CG4" s="2">
        <v>1.43</v>
      </c>
      <c r="CH4" s="2">
        <v>2.9</v>
      </c>
      <c r="CI4" s="2">
        <v>-5.5</v>
      </c>
      <c r="CJ4" s="2">
        <v>5.5</v>
      </c>
      <c r="CK4" s="2">
        <v>167.5</v>
      </c>
      <c r="CL4" s="2" t="s">
        <v>337</v>
      </c>
      <c r="CM4" s="4" t="e">
        <f>VLOOKUP(cedevita[[#This Row],[Away_team]],all[[Full name]:[Abbr]],3,FALSE)</f>
        <v>#N/A</v>
      </c>
      <c r="CN4" s="4">
        <f>IF(OR(cedevita[[#This Row],[Result]]="w",cedevita[[#This Row],[Result]]="dw"),cedevita[[#This Row],[win]]-1,-1)</f>
        <v>-1</v>
      </c>
      <c r="CO4" s="4">
        <f>IF(OR(cedevita[[#This Row],[Result]]="L",cedevita[[#This Row],[Result]]="dl"),cedevita[[#This Row],[lose]]-1,-1)</f>
        <v>1.9</v>
      </c>
      <c r="CP4" s="4">
        <f>IF(OR((cedevita[[#This Row],[Home_scored]]+cedevita[[#This Row],[Away_scored]])&gt;cedevita[[#This Row],[total]],OR(cedevita[[#This Row],[Result]]="dw",cedevita[[#This Row],[Result]]="dl")),1,0)</f>
        <v>0</v>
      </c>
      <c r="CQ4" s="4">
        <f>ABS((cedevita[[#This Row],[Home_scored]]+cedevita[[#This Row],[Away_scored]])-cedevita[[#This Row],[total]])+0.5</f>
        <v>4</v>
      </c>
    </row>
  </sheetData>
  <conditionalFormatting sqref="A4">
    <cfRule type="expression" dxfId="401" priority="1">
      <formula>SUMPRODUCT(--ISERROR(B4:CL4))&gt;0</formula>
    </cfRule>
  </conditionalFormatting>
  <conditionalFormatting sqref="B4">
    <cfRule type="uniqueValues" dxfId="400" priority="434"/>
  </conditionalFormatting>
  <conditionalFormatting sqref="D4">
    <cfRule type="duplicateValues" dxfId="399" priority="435"/>
  </conditionalFormatting>
  <conditionalFormatting sqref="H4">
    <cfRule type="expression" dxfId="398" priority="3">
      <formula>H4=BU4+BV4+BW4+BX4</formula>
    </cfRule>
  </conditionalFormatting>
  <conditionalFormatting sqref="I4">
    <cfRule type="expression" dxfId="39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321</v>
      </c>
      <c r="B4" s="2" t="s">
        <v>305</v>
      </c>
      <c r="C4" s="2" t="s">
        <v>73</v>
      </c>
      <c r="D4" s="3">
        <v>45931</v>
      </c>
      <c r="E4" s="2" t="s">
        <v>140</v>
      </c>
      <c r="F4" s="2" t="s">
        <v>317</v>
      </c>
      <c r="G4" s="2" t="s">
        <v>75</v>
      </c>
      <c r="H4" s="2">
        <v>79</v>
      </c>
      <c r="I4" s="2">
        <v>48</v>
      </c>
      <c r="J4" s="2">
        <v>26</v>
      </c>
      <c r="K4" s="2">
        <v>66</v>
      </c>
      <c r="L4" s="2">
        <v>0.39389999999999997</v>
      </c>
      <c r="M4" s="2">
        <v>16</v>
      </c>
      <c r="N4" s="2">
        <v>32</v>
      </c>
      <c r="O4" s="2">
        <v>0.5</v>
      </c>
      <c r="P4" s="2">
        <v>10</v>
      </c>
      <c r="Q4" s="2">
        <v>34</v>
      </c>
      <c r="R4" s="2">
        <v>0.29409999999999997</v>
      </c>
      <c r="S4" s="2">
        <v>17</v>
      </c>
      <c r="T4" s="2">
        <v>23</v>
      </c>
      <c r="U4" s="2">
        <v>0.73909999999999998</v>
      </c>
      <c r="V4" s="2">
        <v>18</v>
      </c>
      <c r="W4" s="2">
        <v>30</v>
      </c>
      <c r="X4" s="2">
        <v>48</v>
      </c>
      <c r="Y4" s="2">
        <v>16</v>
      </c>
      <c r="Z4" s="2">
        <v>11</v>
      </c>
      <c r="AA4" s="2">
        <v>0</v>
      </c>
      <c r="AB4" s="2">
        <v>12</v>
      </c>
      <c r="AC4" s="2">
        <v>19</v>
      </c>
      <c r="AD4" s="2">
        <v>16</v>
      </c>
      <c r="AE4" s="2">
        <v>60</v>
      </c>
      <c r="AF4" s="2">
        <v>0.26669999999999999</v>
      </c>
      <c r="AG4" s="2">
        <v>12</v>
      </c>
      <c r="AH4" s="2">
        <v>33</v>
      </c>
      <c r="AI4" s="2">
        <v>0.36359999999999998</v>
      </c>
      <c r="AJ4" s="2">
        <v>4</v>
      </c>
      <c r="AK4" s="2">
        <v>27</v>
      </c>
      <c r="AL4" s="2">
        <v>0.14810000000000001</v>
      </c>
      <c r="AM4" s="2">
        <v>12</v>
      </c>
      <c r="AN4" s="2">
        <v>14</v>
      </c>
      <c r="AO4" s="2">
        <v>0.85709999999999997</v>
      </c>
      <c r="AP4" s="2">
        <v>14</v>
      </c>
      <c r="AQ4" s="2">
        <v>26</v>
      </c>
      <c r="AR4" s="2">
        <v>40</v>
      </c>
      <c r="AS4" s="2">
        <v>8</v>
      </c>
      <c r="AT4" s="2">
        <v>4</v>
      </c>
      <c r="AU4" s="2">
        <v>2</v>
      </c>
      <c r="AV4" s="2">
        <v>16</v>
      </c>
      <c r="AW4" s="2">
        <v>22</v>
      </c>
      <c r="AX4" s="2">
        <v>0.51890000000000003</v>
      </c>
      <c r="AY4" s="2">
        <v>0.46970000000000001</v>
      </c>
      <c r="AZ4" s="2">
        <v>0.40910000000000002</v>
      </c>
      <c r="BA4" s="2">
        <v>0.68179999999999996</v>
      </c>
      <c r="BB4" s="2">
        <v>0.54549999999999998</v>
      </c>
      <c r="BC4" s="4">
        <v>71.150000000000006</v>
      </c>
      <c r="BD4" s="2">
        <v>0.61539999999999995</v>
      </c>
      <c r="BE4" s="2">
        <v>0.2576</v>
      </c>
      <c r="BF4" s="2">
        <v>0.13619999999999999</v>
      </c>
      <c r="BG4" s="2">
        <v>115.9</v>
      </c>
      <c r="BH4" s="2">
        <v>70.400000000000006</v>
      </c>
      <c r="BI4" s="2">
        <v>68.135999999999996</v>
      </c>
      <c r="BJ4" s="2">
        <v>0.36280000000000001</v>
      </c>
      <c r="BK4" s="2">
        <v>0.3</v>
      </c>
      <c r="BL4" s="2">
        <v>0.31819999999999998</v>
      </c>
      <c r="BM4" s="2">
        <v>0.59089999999999998</v>
      </c>
      <c r="BN4" s="2">
        <v>0.45450000000000002</v>
      </c>
      <c r="BO4" s="4">
        <v>65.122</v>
      </c>
      <c r="BP4" s="2">
        <v>0.5</v>
      </c>
      <c r="BQ4" s="2">
        <v>0.2</v>
      </c>
      <c r="BR4" s="2">
        <v>0.19470000000000001</v>
      </c>
      <c r="BS4" s="2">
        <v>70.400000000000006</v>
      </c>
      <c r="BT4" s="2">
        <v>115.9</v>
      </c>
      <c r="BU4" s="2">
        <v>23</v>
      </c>
      <c r="BV4" s="2">
        <v>17</v>
      </c>
      <c r="BW4" s="2">
        <v>17</v>
      </c>
      <c r="BX4" s="2">
        <v>22</v>
      </c>
      <c r="BY4" s="2">
        <v>10</v>
      </c>
      <c r="BZ4" s="2">
        <v>20</v>
      </c>
      <c r="CA4" s="2">
        <v>10</v>
      </c>
      <c r="CB4" s="2">
        <v>8</v>
      </c>
      <c r="CC4" s="2">
        <v>40</v>
      </c>
      <c r="CD4" s="2">
        <v>39</v>
      </c>
      <c r="CE4" s="2">
        <v>30</v>
      </c>
      <c r="CF4" s="2">
        <v>18</v>
      </c>
      <c r="CG4" s="2">
        <v>1.95</v>
      </c>
      <c r="CH4" s="2">
        <v>1.87</v>
      </c>
      <c r="CI4" s="2">
        <v>1.5</v>
      </c>
      <c r="CJ4" s="2">
        <v>-1.5</v>
      </c>
      <c r="CK4" s="2">
        <v>164.5</v>
      </c>
      <c r="CL4" s="2" t="s">
        <v>341</v>
      </c>
      <c r="CM4" s="4" t="e">
        <f>VLOOKUP(cluj[[#This Row],[Away_team]],all[[Full name]:[Abbr]],3,FALSE)</f>
        <v>#N/A</v>
      </c>
      <c r="CN4" s="4">
        <f>IF(OR(cluj[[#This Row],[Result]]="w",cluj[[#This Row],[Result]]="dw"),cluj[[#This Row],[win]]-1,-1)</f>
        <v>0.95</v>
      </c>
      <c r="CO4" s="4">
        <f>IF(OR(cluj[[#This Row],[Result]]="L",cluj[[#This Row],[Result]]="dl"),cluj[[#This Row],[lose]]-1,-1)</f>
        <v>-1</v>
      </c>
      <c r="CP4" s="4">
        <f>IF(OR((cluj[[#This Row],[Home_scored]]+cluj[[#This Row],[Away_scored]])&gt;cluj[[#This Row],[total]],OR(cluj[[#This Row],[Result]]="dw",cluj[[#This Row],[Result]]="dl")),1,0)</f>
        <v>0</v>
      </c>
      <c r="CQ4" s="4">
        <f>ABS((cluj[[#This Row],[Home_scored]]+cluj[[#This Row],[Away_scored]])-cluj[[#This Row],[total]])+0.5</f>
        <v>38</v>
      </c>
    </row>
  </sheetData>
  <conditionalFormatting sqref="A4">
    <cfRule type="expression" dxfId="396" priority="1">
      <formula>SUMPRODUCT(--ISERROR(B4:CL4))&gt;0</formula>
    </cfRule>
  </conditionalFormatting>
  <conditionalFormatting sqref="B4">
    <cfRule type="uniqueValues" dxfId="395" priority="446"/>
  </conditionalFormatting>
  <conditionalFormatting sqref="D4">
    <cfRule type="duplicateValues" dxfId="394" priority="447"/>
  </conditionalFormatting>
  <conditionalFormatting sqref="H4">
    <cfRule type="expression" dxfId="393" priority="3">
      <formula>H4=BU4+BV4+BW4+BX4</formula>
    </cfRule>
  </conditionalFormatting>
  <conditionalFormatting sqref="I4">
    <cfRule type="expression" dxfId="39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321</v>
      </c>
      <c r="B4" s="2" t="s">
        <v>306</v>
      </c>
      <c r="C4" s="2" t="s">
        <v>73</v>
      </c>
      <c r="D4" s="3">
        <v>45932</v>
      </c>
      <c r="E4" s="2" t="s">
        <v>140</v>
      </c>
      <c r="F4" s="2" t="s">
        <v>328</v>
      </c>
      <c r="G4" s="2" t="s">
        <v>75</v>
      </c>
      <c r="H4" s="2">
        <v>86</v>
      </c>
      <c r="I4" s="2">
        <v>59</v>
      </c>
      <c r="J4" s="2">
        <v>31</v>
      </c>
      <c r="K4" s="2">
        <v>61</v>
      </c>
      <c r="L4" s="2">
        <v>0.50819999999999999</v>
      </c>
      <c r="M4" s="2">
        <v>21</v>
      </c>
      <c r="N4" s="2">
        <v>39</v>
      </c>
      <c r="O4" s="2">
        <v>0.53849999999999998</v>
      </c>
      <c r="P4" s="2">
        <v>10</v>
      </c>
      <c r="Q4" s="2">
        <v>22</v>
      </c>
      <c r="R4" s="2">
        <v>0.45450000000000002</v>
      </c>
      <c r="S4" s="2">
        <v>14</v>
      </c>
      <c r="T4" s="2">
        <v>18</v>
      </c>
      <c r="U4" s="2">
        <v>0.77780000000000005</v>
      </c>
      <c r="V4" s="2">
        <v>8</v>
      </c>
      <c r="W4" s="2">
        <v>33</v>
      </c>
      <c r="X4" s="2">
        <v>41</v>
      </c>
      <c r="Y4" s="2">
        <v>17</v>
      </c>
      <c r="Z4" s="2">
        <v>6</v>
      </c>
      <c r="AA4" s="2">
        <v>3</v>
      </c>
      <c r="AB4" s="2">
        <v>12</v>
      </c>
      <c r="AC4" s="2">
        <v>23</v>
      </c>
      <c r="AD4" s="2">
        <v>24</v>
      </c>
      <c r="AE4" s="2">
        <v>65</v>
      </c>
      <c r="AF4" s="2">
        <v>0.36919999999999997</v>
      </c>
      <c r="AG4" s="2">
        <v>17</v>
      </c>
      <c r="AH4" s="2">
        <v>42</v>
      </c>
      <c r="AI4" s="2">
        <v>0.40479999999999999</v>
      </c>
      <c r="AJ4" s="2">
        <v>7</v>
      </c>
      <c r="AK4" s="2">
        <v>23</v>
      </c>
      <c r="AL4" s="2">
        <v>0.30430000000000001</v>
      </c>
      <c r="AM4" s="2">
        <v>4</v>
      </c>
      <c r="AN4" s="2">
        <v>11</v>
      </c>
      <c r="AO4" s="2">
        <v>0.36359999999999998</v>
      </c>
      <c r="AP4" s="2">
        <v>13</v>
      </c>
      <c r="AQ4" s="2">
        <v>22</v>
      </c>
      <c r="AR4" s="2">
        <v>35</v>
      </c>
      <c r="AS4" s="2">
        <v>11</v>
      </c>
      <c r="AT4" s="2">
        <v>7</v>
      </c>
      <c r="AU4" s="2">
        <v>3</v>
      </c>
      <c r="AV4" s="2">
        <v>15</v>
      </c>
      <c r="AW4" s="2">
        <v>23</v>
      </c>
      <c r="AX4" s="2">
        <v>0.62390000000000001</v>
      </c>
      <c r="AY4" s="2">
        <v>0.59019999999999995</v>
      </c>
      <c r="AZ4" s="2">
        <v>0.26669999999999999</v>
      </c>
      <c r="BA4" s="2">
        <v>0.71740000000000004</v>
      </c>
      <c r="BB4" s="2">
        <v>0.53949999999999998</v>
      </c>
      <c r="BC4" s="4">
        <v>73.936999999999998</v>
      </c>
      <c r="BD4" s="2">
        <v>0.5484</v>
      </c>
      <c r="BE4" s="2">
        <v>0.22950000000000001</v>
      </c>
      <c r="BF4" s="2">
        <v>0.14829999999999999</v>
      </c>
      <c r="BG4" s="2">
        <v>121.1</v>
      </c>
      <c r="BH4" s="2">
        <v>83.1</v>
      </c>
      <c r="BI4" s="2">
        <v>71.021000000000001</v>
      </c>
      <c r="BJ4" s="2">
        <v>0.4224</v>
      </c>
      <c r="BK4" s="2">
        <v>0.42309999999999998</v>
      </c>
      <c r="BL4" s="2">
        <v>0.28260000000000002</v>
      </c>
      <c r="BM4" s="2">
        <v>0.73329999999999995</v>
      </c>
      <c r="BN4" s="2">
        <v>0.46050000000000002</v>
      </c>
      <c r="BO4" s="4">
        <v>68.105000000000004</v>
      </c>
      <c r="BP4" s="2">
        <v>0.45829999999999999</v>
      </c>
      <c r="BQ4" s="2">
        <v>6.1499999999999999E-2</v>
      </c>
      <c r="BR4" s="2">
        <v>0.17680000000000001</v>
      </c>
      <c r="BS4" s="2">
        <v>83.1</v>
      </c>
      <c r="BT4" s="2">
        <v>121.1</v>
      </c>
      <c r="BU4" s="2">
        <v>20</v>
      </c>
      <c r="BV4" s="2">
        <v>26</v>
      </c>
      <c r="BW4" s="2">
        <v>20</v>
      </c>
      <c r="BX4" s="2">
        <v>20</v>
      </c>
      <c r="BY4" s="2">
        <v>12</v>
      </c>
      <c r="BZ4" s="2">
        <v>13</v>
      </c>
      <c r="CA4" s="2">
        <v>16</v>
      </c>
      <c r="CB4" s="2">
        <v>18</v>
      </c>
      <c r="CC4" s="2">
        <v>46</v>
      </c>
      <c r="CD4" s="2">
        <v>40</v>
      </c>
      <c r="CE4" s="2">
        <v>25</v>
      </c>
      <c r="CF4" s="2">
        <v>34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342</v>
      </c>
      <c r="CM4" s="4" t="e">
        <f>VLOOKUP(crvena[[#This Row],[Away_team]],all[[Full name]:[Abbr]],3,FALSE)</f>
        <v>#N/A</v>
      </c>
      <c r="CN4" s="4">
        <f>IF(OR(crvena[[#This Row],[Result]]="w",crvena[[#This Row],[Result]]="dw"),crvena[[#This Row],[win]]-1,-1)</f>
        <v>0.5</v>
      </c>
      <c r="CO4" s="4">
        <f>IF(OR(crvena[[#This Row],[Result]]="L",crvena[[#This Row],[Result]]="dl"),crvena[[#This Row],[lose]]-1,-1)</f>
        <v>-1</v>
      </c>
      <c r="CP4" s="4">
        <f>IF(OR((crvena[[#This Row],[Home_scored]]+crvena[[#This Row],[Away_scored]])&gt;crvena[[#This Row],[total]],OR(crvena[[#This Row],[Result]]="dw",crvena[[#This Row],[Result]]="dl")),1,0)</f>
        <v>0</v>
      </c>
      <c r="CQ4" s="4">
        <f>ABS((crvena[[#This Row],[Home_scored]]+crvena[[#This Row],[Away_scored]])-crvena[[#This Row],[total]])+0.5</f>
        <v>22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449"/>
  </conditionalFormatting>
  <conditionalFormatting sqref="D4">
    <cfRule type="duplicateValues" dxfId="389" priority="450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321</v>
      </c>
      <c r="B4" s="2" t="s">
        <v>309</v>
      </c>
      <c r="C4" s="2" t="s">
        <v>73</v>
      </c>
      <c r="D4" s="3">
        <v>45931</v>
      </c>
      <c r="E4" s="2" t="s">
        <v>74</v>
      </c>
      <c r="F4" s="2" t="s">
        <v>329</v>
      </c>
      <c r="G4" s="2" t="s">
        <v>75</v>
      </c>
      <c r="H4" s="2">
        <v>76</v>
      </c>
      <c r="I4" s="2">
        <v>69</v>
      </c>
      <c r="J4" s="2">
        <v>22</v>
      </c>
      <c r="K4" s="2">
        <v>58</v>
      </c>
      <c r="L4" s="2">
        <v>0.37930000000000003</v>
      </c>
      <c r="M4" s="2">
        <v>16</v>
      </c>
      <c r="N4" s="2">
        <v>37</v>
      </c>
      <c r="O4" s="2">
        <v>0.43240000000000001</v>
      </c>
      <c r="P4" s="2">
        <v>6</v>
      </c>
      <c r="Q4" s="2">
        <v>21</v>
      </c>
      <c r="R4" s="2">
        <v>0.28570000000000001</v>
      </c>
      <c r="S4" s="2">
        <v>26</v>
      </c>
      <c r="T4" s="2">
        <v>29</v>
      </c>
      <c r="U4" s="2">
        <v>0.89659999999999995</v>
      </c>
      <c r="V4" s="2">
        <v>11</v>
      </c>
      <c r="W4" s="2">
        <v>23</v>
      </c>
      <c r="X4" s="2">
        <v>34</v>
      </c>
      <c r="Y4" s="2">
        <v>12</v>
      </c>
      <c r="Z4" s="2">
        <v>13</v>
      </c>
      <c r="AA4" s="2">
        <v>0</v>
      </c>
      <c r="AB4" s="2">
        <v>15</v>
      </c>
      <c r="AC4" s="2">
        <v>21</v>
      </c>
      <c r="AD4" s="2">
        <v>26</v>
      </c>
      <c r="AE4" s="2">
        <v>54</v>
      </c>
      <c r="AF4" s="2">
        <v>0.48149999999999998</v>
      </c>
      <c r="AG4" s="2">
        <v>17</v>
      </c>
      <c r="AH4" s="2">
        <v>38</v>
      </c>
      <c r="AI4" s="2">
        <v>0.44740000000000002</v>
      </c>
      <c r="AJ4" s="2">
        <v>9</v>
      </c>
      <c r="AK4" s="2">
        <v>16</v>
      </c>
      <c r="AL4" s="2">
        <v>0.5625</v>
      </c>
      <c r="AM4" s="2">
        <v>8</v>
      </c>
      <c r="AN4" s="2">
        <v>13</v>
      </c>
      <c r="AO4" s="2">
        <v>0.61539999999999995</v>
      </c>
      <c r="AP4" s="2">
        <v>8</v>
      </c>
      <c r="AQ4" s="2">
        <v>25</v>
      </c>
      <c r="AR4" s="2">
        <v>33</v>
      </c>
      <c r="AS4" s="2">
        <v>17</v>
      </c>
      <c r="AT4" s="2">
        <v>7</v>
      </c>
      <c r="AU4" s="2">
        <v>4</v>
      </c>
      <c r="AV4" s="2">
        <v>22</v>
      </c>
      <c r="AW4" s="2">
        <v>29</v>
      </c>
      <c r="AX4" s="2">
        <v>0.53700000000000003</v>
      </c>
      <c r="AY4" s="2">
        <v>0.43099999999999999</v>
      </c>
      <c r="AZ4" s="2">
        <v>0.30559999999999998</v>
      </c>
      <c r="BA4" s="2">
        <v>0.7419</v>
      </c>
      <c r="BB4" s="2">
        <v>0.50749999999999995</v>
      </c>
      <c r="BC4" s="4">
        <v>72.138000000000005</v>
      </c>
      <c r="BD4" s="2">
        <v>0.54549999999999998</v>
      </c>
      <c r="BE4" s="2">
        <v>0.44829999999999998</v>
      </c>
      <c r="BF4" s="2">
        <v>0.1749</v>
      </c>
      <c r="BG4" s="2">
        <v>104.1</v>
      </c>
      <c r="BH4" s="2">
        <v>94.5</v>
      </c>
      <c r="BI4" s="2">
        <v>73.037499999999994</v>
      </c>
      <c r="BJ4" s="2">
        <v>0.57769999999999999</v>
      </c>
      <c r="BK4" s="2">
        <v>0.56479999999999997</v>
      </c>
      <c r="BL4" s="2">
        <v>0.2581</v>
      </c>
      <c r="BM4" s="2">
        <v>0.69440000000000002</v>
      </c>
      <c r="BN4" s="2">
        <v>0.49249999999999999</v>
      </c>
      <c r="BO4" s="4">
        <v>73.936999999999998</v>
      </c>
      <c r="BP4" s="2">
        <v>0.65380000000000005</v>
      </c>
      <c r="BQ4" s="2">
        <v>0.14810000000000001</v>
      </c>
      <c r="BR4" s="2">
        <v>0.26919999999999999</v>
      </c>
      <c r="BS4" s="2">
        <v>94.5</v>
      </c>
      <c r="BT4" s="2">
        <v>104.1</v>
      </c>
      <c r="BU4" s="2">
        <v>29</v>
      </c>
      <c r="BV4" s="2">
        <v>13</v>
      </c>
      <c r="BW4" s="2">
        <v>19</v>
      </c>
      <c r="BX4" s="2">
        <v>15</v>
      </c>
      <c r="BY4" s="2">
        <v>18</v>
      </c>
      <c r="BZ4" s="2">
        <v>9</v>
      </c>
      <c r="CA4" s="2">
        <v>22</v>
      </c>
      <c r="CB4" s="2">
        <v>20</v>
      </c>
      <c r="CC4" s="2">
        <v>42</v>
      </c>
      <c r="CD4" s="2">
        <v>34</v>
      </c>
      <c r="CE4" s="2">
        <v>27</v>
      </c>
      <c r="CF4" s="2">
        <v>42</v>
      </c>
      <c r="CG4" s="2">
        <v>1.95</v>
      </c>
      <c r="CH4" s="2">
        <v>1.87</v>
      </c>
      <c r="CI4" s="2">
        <v>1.5</v>
      </c>
      <c r="CJ4" s="2">
        <v>-1.5</v>
      </c>
      <c r="CK4" s="2">
        <v>167.5</v>
      </c>
      <c r="CL4" s="2" t="s">
        <v>339</v>
      </c>
      <c r="CM4" s="4" t="e">
        <f>VLOOKUP(dubai[[#This Row],[Away_team]],all[[Full name]:[Abbr]],3,FALSE)</f>
        <v>#N/A</v>
      </c>
      <c r="CN4" s="4">
        <f>IF(OR(dubai[[#This Row],[Result]]="w",dubai[[#This Row],[Result]]="dw"),dubai[[#This Row],[win]]-1,-1)</f>
        <v>0.95</v>
      </c>
      <c r="CO4" s="4">
        <f>IF(OR(dubai[[#This Row],[Result]]="L",dubai[[#This Row],[Result]]="dl"),dubai[[#This Row],[lose]]-1,-1)</f>
        <v>-1</v>
      </c>
      <c r="CP4" s="4">
        <f>IF(OR((dubai[[#This Row],[Home_scored]]+dubai[[#This Row],[Away_scored]])&gt;dubai[[#This Row],[total]],OR(dubai[[#This Row],[Result]]="dw",dubai[[#This Row],[Result]]="dl")),1,0)</f>
        <v>0</v>
      </c>
      <c r="CQ4" s="4">
        <f>ABS((dubai[[#This Row],[Home_scored]]+dubai[[#This Row],[Away_scored]])-dubai[[#This Row],[total]])+0.5</f>
        <v>23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443"/>
  </conditionalFormatting>
  <conditionalFormatting sqref="D4">
    <cfRule type="duplicateValues" dxfId="384" priority="444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396</v>
      </c>
      <c r="B4" s="2" t="s">
        <v>353</v>
      </c>
      <c r="C4" s="3" t="s">
        <v>73</v>
      </c>
      <c r="D4" s="3">
        <v>45933</v>
      </c>
      <c r="E4" s="2" t="s">
        <v>140</v>
      </c>
      <c r="F4" s="2" t="s">
        <v>357</v>
      </c>
      <c r="G4" s="2" t="s">
        <v>139</v>
      </c>
      <c r="H4" s="2">
        <v>88</v>
      </c>
      <c r="I4" s="2">
        <v>92</v>
      </c>
      <c r="J4" s="2">
        <v>26</v>
      </c>
      <c r="K4" s="2">
        <v>68</v>
      </c>
      <c r="L4" s="2">
        <v>0.38240000000000002</v>
      </c>
      <c r="M4" s="2">
        <v>17</v>
      </c>
      <c r="N4" s="2">
        <v>41</v>
      </c>
      <c r="O4" s="2">
        <v>0.41460000000000002</v>
      </c>
      <c r="P4" s="2">
        <v>9</v>
      </c>
      <c r="Q4" s="2">
        <v>27</v>
      </c>
      <c r="R4" s="2">
        <v>0.33329999999999999</v>
      </c>
      <c r="S4" s="2">
        <v>27</v>
      </c>
      <c r="T4" s="2">
        <v>34</v>
      </c>
      <c r="U4" s="2">
        <v>0.79410000000000003</v>
      </c>
      <c r="V4" s="2">
        <v>19</v>
      </c>
      <c r="W4" s="2">
        <v>14</v>
      </c>
      <c r="X4" s="2">
        <v>33</v>
      </c>
      <c r="Y4" s="2">
        <v>9</v>
      </c>
      <c r="Z4" s="2">
        <v>12</v>
      </c>
      <c r="AA4" s="2">
        <v>2</v>
      </c>
      <c r="AB4" s="2">
        <v>12</v>
      </c>
      <c r="AC4" s="2">
        <v>30</v>
      </c>
      <c r="AD4" s="2">
        <v>32</v>
      </c>
      <c r="AE4" s="2">
        <v>62</v>
      </c>
      <c r="AF4" s="2">
        <v>0.5161</v>
      </c>
      <c r="AG4" s="2">
        <v>26</v>
      </c>
      <c r="AH4" s="2">
        <v>44</v>
      </c>
      <c r="AI4" s="2">
        <v>0.59089999999999998</v>
      </c>
      <c r="AJ4" s="2">
        <v>6</v>
      </c>
      <c r="AK4" s="2">
        <v>18</v>
      </c>
      <c r="AL4" s="2">
        <v>0.33329999999999999</v>
      </c>
      <c r="AM4" s="2">
        <v>22</v>
      </c>
      <c r="AN4" s="2">
        <v>29</v>
      </c>
      <c r="AO4" s="2">
        <v>0.75860000000000005</v>
      </c>
      <c r="AP4" s="2">
        <v>10</v>
      </c>
      <c r="AQ4" s="2">
        <v>22</v>
      </c>
      <c r="AR4" s="2">
        <v>32</v>
      </c>
      <c r="AS4" s="2">
        <v>28</v>
      </c>
      <c r="AT4" s="2">
        <v>3</v>
      </c>
      <c r="AU4" s="2">
        <v>3</v>
      </c>
      <c r="AV4" s="2">
        <v>17</v>
      </c>
      <c r="AW4" s="2">
        <v>27</v>
      </c>
      <c r="AX4" s="2">
        <v>0.53039999999999998</v>
      </c>
      <c r="AY4" s="2">
        <v>0.44850000000000001</v>
      </c>
      <c r="AZ4" s="2">
        <v>0.46339999999999998</v>
      </c>
      <c r="BA4" s="2">
        <v>0.58330000000000004</v>
      </c>
      <c r="BB4" s="2">
        <v>0.50770000000000004</v>
      </c>
      <c r="BC4" s="4">
        <v>67.724999999999994</v>
      </c>
      <c r="BD4" s="2">
        <v>0.34620000000000001</v>
      </c>
      <c r="BE4" s="2">
        <v>0.39710000000000001</v>
      </c>
      <c r="BF4" s="2">
        <v>0.12640000000000001</v>
      </c>
      <c r="BG4" s="2">
        <v>118.7</v>
      </c>
      <c r="BH4" s="2">
        <v>124.1</v>
      </c>
      <c r="BI4" s="2">
        <v>74.147000000000006</v>
      </c>
      <c r="BJ4" s="2">
        <v>0.61529999999999996</v>
      </c>
      <c r="BK4" s="2">
        <v>0.5645</v>
      </c>
      <c r="BL4" s="2">
        <v>0.41670000000000001</v>
      </c>
      <c r="BM4" s="2">
        <v>0.53659999999999997</v>
      </c>
      <c r="BN4" s="2">
        <v>0.49230000000000002</v>
      </c>
      <c r="BO4" s="4">
        <v>80.569000000000003</v>
      </c>
      <c r="BP4" s="2">
        <v>0.875</v>
      </c>
      <c r="BQ4" s="2">
        <v>0.3548</v>
      </c>
      <c r="BR4" s="2">
        <v>0.18529999999999999</v>
      </c>
      <c r="BS4" s="2">
        <v>124.1</v>
      </c>
      <c r="BT4" s="2">
        <v>118.7</v>
      </c>
      <c r="BU4" s="2">
        <v>20</v>
      </c>
      <c r="BV4" s="2">
        <v>25</v>
      </c>
      <c r="BW4" s="2">
        <v>19</v>
      </c>
      <c r="BX4" s="2">
        <v>24</v>
      </c>
      <c r="BY4" s="2">
        <v>28</v>
      </c>
      <c r="BZ4" s="2">
        <v>21</v>
      </c>
      <c r="CA4" s="2">
        <v>20</v>
      </c>
      <c r="CB4" s="2">
        <v>23</v>
      </c>
      <c r="CC4" s="2">
        <v>45</v>
      </c>
      <c r="CD4" s="2">
        <v>43</v>
      </c>
      <c r="CE4" s="2">
        <v>49</v>
      </c>
      <c r="CF4" s="2">
        <v>43</v>
      </c>
      <c r="CG4" s="2">
        <v>3.25</v>
      </c>
      <c r="CH4" s="2">
        <v>1.3</v>
      </c>
      <c r="CI4" s="2">
        <v>7.5</v>
      </c>
      <c r="CJ4" s="2">
        <v>-7.5</v>
      </c>
      <c r="CK4" s="2">
        <v>165.5</v>
      </c>
      <c r="CL4" s="2" t="s">
        <v>397</v>
      </c>
      <c r="CM4" s="4" t="str">
        <f>VLOOKUP(beograd[[#This Row],[Away_team]],all[[Full name]:[Abbr]],3,FALSE)</f>
        <v>IGO</v>
      </c>
      <c r="CN4" s="4">
        <f>IF(OR(beograd[[#This Row],[Result]]="w",beograd[[#This Row],[Result]]="dw"),beograd[[#This Row],[win]]-1,-1)</f>
        <v>-1</v>
      </c>
      <c r="CO4" s="4">
        <f>IF(OR(beograd[[#This Row],[Result]]="L",beograd[[#This Row],[Result]]="dl"),beograd[[#This Row],[lose]]-1,-1)</f>
        <v>0.30000000000000004</v>
      </c>
      <c r="CP4" s="4">
        <f>IF(OR((beograd[[#This Row],[Home_scored]]+beograd[[#This Row],[Away_scored]])&gt;beograd[[#This Row],[total]],OR(beograd[[#This Row],[Result]]="dw",beograd[[#This Row],[Result]]="dl")),1,0)</f>
        <v>1</v>
      </c>
      <c r="CQ4" s="4">
        <f>ABS((beograd[[#This Row],[Home_scored]]+beograd[[#This Row],[Away_scored]])-beograd[[#This Row],[total]])+0.5</f>
        <v>15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437"/>
  </conditionalFormatting>
  <conditionalFormatting sqref="D4">
    <cfRule type="duplicateValues" dxfId="379" priority="438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396</v>
      </c>
      <c r="B4" s="2" t="s">
        <v>357</v>
      </c>
      <c r="C4" s="3" t="s">
        <v>73</v>
      </c>
      <c r="D4" s="3">
        <v>45933</v>
      </c>
      <c r="E4" s="2" t="s">
        <v>74</v>
      </c>
      <c r="F4" s="2" t="s">
        <v>353</v>
      </c>
      <c r="G4" s="2" t="s">
        <v>75</v>
      </c>
      <c r="H4" s="2">
        <v>92</v>
      </c>
      <c r="I4" s="2">
        <v>88</v>
      </c>
      <c r="J4" s="2">
        <v>32</v>
      </c>
      <c r="K4" s="2">
        <v>62</v>
      </c>
      <c r="L4" s="2">
        <v>0.5161</v>
      </c>
      <c r="M4" s="2">
        <v>26</v>
      </c>
      <c r="N4" s="2">
        <v>44</v>
      </c>
      <c r="O4" s="2">
        <v>0.59089999999999998</v>
      </c>
      <c r="P4" s="2">
        <v>6</v>
      </c>
      <c r="Q4" s="2">
        <v>18</v>
      </c>
      <c r="R4" s="2">
        <v>0.33329999999999999</v>
      </c>
      <c r="S4" s="2">
        <v>22</v>
      </c>
      <c r="T4" s="2">
        <v>29</v>
      </c>
      <c r="U4" s="2">
        <v>0.75860000000000005</v>
      </c>
      <c r="V4" s="2">
        <v>10</v>
      </c>
      <c r="W4" s="2">
        <v>22</v>
      </c>
      <c r="X4" s="2">
        <v>32</v>
      </c>
      <c r="Y4" s="2">
        <v>28</v>
      </c>
      <c r="Z4" s="2">
        <v>3</v>
      </c>
      <c r="AA4" s="2">
        <v>3</v>
      </c>
      <c r="AB4" s="2">
        <v>17</v>
      </c>
      <c r="AC4" s="2">
        <v>27</v>
      </c>
      <c r="AD4" s="2">
        <v>26</v>
      </c>
      <c r="AE4" s="2">
        <v>68</v>
      </c>
      <c r="AF4" s="2">
        <v>0.38240000000000002</v>
      </c>
      <c r="AG4" s="2">
        <v>17</v>
      </c>
      <c r="AH4" s="2">
        <v>41</v>
      </c>
      <c r="AI4" s="2">
        <v>0.41460000000000002</v>
      </c>
      <c r="AJ4" s="2">
        <v>9</v>
      </c>
      <c r="AK4" s="2">
        <v>27</v>
      </c>
      <c r="AL4" s="2">
        <v>0.33329999999999999</v>
      </c>
      <c r="AM4" s="2">
        <v>27</v>
      </c>
      <c r="AN4" s="2">
        <v>34</v>
      </c>
      <c r="AO4" s="2">
        <v>0.79410000000000003</v>
      </c>
      <c r="AP4" s="2">
        <v>19</v>
      </c>
      <c r="AQ4" s="2">
        <v>14</v>
      </c>
      <c r="AR4" s="2">
        <v>33</v>
      </c>
      <c r="AS4" s="2">
        <v>9</v>
      </c>
      <c r="AT4" s="2">
        <v>12</v>
      </c>
      <c r="AU4" s="2">
        <v>2</v>
      </c>
      <c r="AV4" s="2">
        <v>12</v>
      </c>
      <c r="AW4" s="2">
        <v>30</v>
      </c>
      <c r="AX4" s="2">
        <v>0.61529999999999996</v>
      </c>
      <c r="AY4" s="2">
        <v>0.5645</v>
      </c>
      <c r="AZ4" s="2">
        <v>0.41670000000000001</v>
      </c>
      <c r="BA4" s="2">
        <v>0.53659999999999997</v>
      </c>
      <c r="BB4" s="2">
        <v>0.49230000000000002</v>
      </c>
      <c r="BC4" s="4">
        <v>80.569000000000003</v>
      </c>
      <c r="BD4" s="2">
        <v>0.875</v>
      </c>
      <c r="BE4" s="2">
        <v>0.3548</v>
      </c>
      <c r="BF4" s="2">
        <v>0.18529999999999999</v>
      </c>
      <c r="BG4" s="2">
        <v>124.1</v>
      </c>
      <c r="BH4" s="2">
        <v>118.7</v>
      </c>
      <c r="BI4" s="2">
        <v>74.147000000000006</v>
      </c>
      <c r="BJ4" s="2">
        <v>0.53039999999999998</v>
      </c>
      <c r="BK4" s="2">
        <v>0.44850000000000001</v>
      </c>
      <c r="BL4" s="2">
        <v>0.46339999999999998</v>
      </c>
      <c r="BM4" s="2">
        <v>0.58330000000000004</v>
      </c>
      <c r="BN4" s="2">
        <v>0.50770000000000004</v>
      </c>
      <c r="BO4" s="4">
        <v>67.724999999999994</v>
      </c>
      <c r="BP4" s="2">
        <v>0.34620000000000001</v>
      </c>
      <c r="BQ4" s="2">
        <v>0.39710000000000001</v>
      </c>
      <c r="BR4" s="2">
        <v>0.12640000000000001</v>
      </c>
      <c r="BS4" s="2">
        <v>118.7</v>
      </c>
      <c r="BT4" s="2">
        <v>124.1</v>
      </c>
      <c r="BU4" s="2">
        <v>28</v>
      </c>
      <c r="BV4" s="2">
        <v>21</v>
      </c>
      <c r="BW4" s="2">
        <v>20</v>
      </c>
      <c r="BX4" s="2">
        <v>23</v>
      </c>
      <c r="BY4" s="2">
        <v>20</v>
      </c>
      <c r="BZ4" s="2">
        <v>25</v>
      </c>
      <c r="CA4" s="2">
        <v>19</v>
      </c>
      <c r="CB4" s="2">
        <v>24</v>
      </c>
      <c r="CC4" s="2">
        <v>49</v>
      </c>
      <c r="CD4" s="2">
        <v>43</v>
      </c>
      <c r="CE4" s="2">
        <v>45</v>
      </c>
      <c r="CF4" s="2">
        <v>43</v>
      </c>
      <c r="CG4" s="2">
        <v>1.3</v>
      </c>
      <c r="CH4" s="2">
        <v>3.25</v>
      </c>
      <c r="CI4" s="2">
        <v>-7.5</v>
      </c>
      <c r="CJ4" s="2">
        <v>7.5</v>
      </c>
      <c r="CK4" s="2">
        <v>165.5</v>
      </c>
      <c r="CL4" s="2" t="s">
        <v>397</v>
      </c>
      <c r="CM4" s="4" t="str">
        <f>VLOOKUP(igokea[[#This Row],[Away_team]],all[[Full name]:[Abbr]],3,FALSE)</f>
        <v>BEO</v>
      </c>
      <c r="CN4" s="4">
        <f>IF(OR(igokea[[#This Row],[Result]]="w",igokea[[#This Row],[Result]]="dw"),igokea[[#This Row],[win]]-1,-1)</f>
        <v>0.30000000000000004</v>
      </c>
      <c r="CO4" s="4">
        <f>IF(OR(igokea[[#This Row],[Result]]="L",igokea[[#This Row],[Result]]="dl"),igokea[[#This Row],[lose]]-1,-1)</f>
        <v>-1</v>
      </c>
      <c r="CP4" s="4">
        <f>IF(OR((igokea[[#This Row],[Home_scored]]+igokea[[#This Row],[Away_scored]])&gt;igokea[[#This Row],[total]],OR(igokea[[#This Row],[Result]]="dw",igokea[[#This Row],[Result]]="dl")),1,0)</f>
        <v>1</v>
      </c>
      <c r="CQ4" s="4">
        <f>ABS((igokea[[#This Row],[Home_scored]]+igokea[[#This Row],[Away_scored]])-igokea[[#This Row],[total]])+0.5</f>
        <v>15</v>
      </c>
    </row>
  </sheetData>
  <conditionalFormatting sqref="A4">
    <cfRule type="expression" dxfId="376" priority="1">
      <formula>SUMPRODUCT(--ISERROR(B4:CL4))&gt;0</formula>
    </cfRule>
  </conditionalFormatting>
  <conditionalFormatting sqref="B4">
    <cfRule type="uniqueValues" dxfId="375" priority="392"/>
  </conditionalFormatting>
  <conditionalFormatting sqref="D4">
    <cfRule type="duplicateValues" dxfId="374" priority="393"/>
  </conditionalFormatting>
  <conditionalFormatting sqref="H4">
    <cfRule type="expression" dxfId="373" priority="3">
      <formula>H4=BU4+BV4+BW4+BX4</formula>
    </cfRule>
  </conditionalFormatting>
  <conditionalFormatting sqref="I4">
    <cfRule type="expression" dxfId="37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396</v>
      </c>
      <c r="B4" s="2" t="s">
        <v>360</v>
      </c>
      <c r="C4" s="3" t="s">
        <v>73</v>
      </c>
      <c r="D4" s="3">
        <v>45933</v>
      </c>
      <c r="E4" s="2" t="s">
        <v>140</v>
      </c>
      <c r="F4" s="2" t="s">
        <v>389</v>
      </c>
      <c r="G4" s="2" t="s">
        <v>139</v>
      </c>
      <c r="H4" s="2">
        <v>84</v>
      </c>
      <c r="I4" s="2">
        <v>85</v>
      </c>
      <c r="J4" s="2">
        <v>30</v>
      </c>
      <c r="K4" s="2">
        <v>64</v>
      </c>
      <c r="L4" s="2">
        <v>0.46879999999999999</v>
      </c>
      <c r="M4" s="2">
        <v>19</v>
      </c>
      <c r="N4" s="2">
        <v>32</v>
      </c>
      <c r="O4" s="2">
        <v>0.59379999999999999</v>
      </c>
      <c r="P4" s="2">
        <v>11</v>
      </c>
      <c r="Q4" s="2">
        <v>32</v>
      </c>
      <c r="R4" s="2">
        <v>0.34379999999999999</v>
      </c>
      <c r="S4" s="2">
        <v>13</v>
      </c>
      <c r="T4" s="2">
        <v>20</v>
      </c>
      <c r="U4" s="2">
        <v>0.65</v>
      </c>
      <c r="V4" s="2">
        <v>10</v>
      </c>
      <c r="W4" s="2">
        <v>16</v>
      </c>
      <c r="X4" s="2">
        <v>26</v>
      </c>
      <c r="Y4" s="2">
        <v>17</v>
      </c>
      <c r="Z4" s="2">
        <v>6</v>
      </c>
      <c r="AA4" s="2">
        <v>0</v>
      </c>
      <c r="AB4" s="2">
        <v>14</v>
      </c>
      <c r="AC4" s="2">
        <v>26</v>
      </c>
      <c r="AD4" s="2">
        <v>28</v>
      </c>
      <c r="AE4" s="2">
        <v>60</v>
      </c>
      <c r="AF4" s="2">
        <v>0.4667</v>
      </c>
      <c r="AG4" s="2">
        <v>19</v>
      </c>
      <c r="AH4" s="2">
        <v>32</v>
      </c>
      <c r="AI4" s="2">
        <v>0.59379999999999999</v>
      </c>
      <c r="AJ4" s="2">
        <v>9</v>
      </c>
      <c r="AK4" s="2">
        <v>28</v>
      </c>
      <c r="AL4" s="2">
        <v>0.32140000000000002</v>
      </c>
      <c r="AM4" s="2">
        <v>20</v>
      </c>
      <c r="AN4" s="2">
        <v>24</v>
      </c>
      <c r="AO4" s="2">
        <v>0.83330000000000004</v>
      </c>
      <c r="AP4" s="2">
        <v>12</v>
      </c>
      <c r="AQ4" s="2">
        <v>21</v>
      </c>
      <c r="AR4" s="2">
        <v>33</v>
      </c>
      <c r="AS4" s="2">
        <v>18</v>
      </c>
      <c r="AT4" s="2">
        <v>2</v>
      </c>
      <c r="AU4" s="2">
        <v>1</v>
      </c>
      <c r="AV4" s="2">
        <v>16</v>
      </c>
      <c r="AW4" s="2">
        <v>24</v>
      </c>
      <c r="AX4" s="2">
        <v>0.57689999999999997</v>
      </c>
      <c r="AY4" s="2">
        <v>0.55469999999999997</v>
      </c>
      <c r="AZ4" s="2">
        <v>0.3226</v>
      </c>
      <c r="BA4" s="2">
        <v>0.57140000000000002</v>
      </c>
      <c r="BB4" s="2">
        <v>0.44069999999999998</v>
      </c>
      <c r="BC4" s="4">
        <v>72.007999999999996</v>
      </c>
      <c r="BD4" s="2">
        <v>0.56669999999999998</v>
      </c>
      <c r="BE4" s="2">
        <v>0.2031</v>
      </c>
      <c r="BF4" s="2">
        <v>0.1613</v>
      </c>
      <c r="BG4" s="2">
        <v>115.7</v>
      </c>
      <c r="BH4" s="2">
        <v>117.1</v>
      </c>
      <c r="BI4" s="2">
        <v>72.578500000000005</v>
      </c>
      <c r="BJ4" s="2">
        <v>0.60229999999999995</v>
      </c>
      <c r="BK4" s="2">
        <v>0.54169999999999996</v>
      </c>
      <c r="BL4" s="2">
        <v>0.42859999999999998</v>
      </c>
      <c r="BM4" s="2">
        <v>0.6774</v>
      </c>
      <c r="BN4" s="2">
        <v>0.55930000000000002</v>
      </c>
      <c r="BO4" s="4">
        <v>73.149000000000001</v>
      </c>
      <c r="BP4" s="2">
        <v>0.64290000000000003</v>
      </c>
      <c r="BQ4" s="2">
        <v>0.33329999999999999</v>
      </c>
      <c r="BR4" s="2">
        <v>0.18479999999999999</v>
      </c>
      <c r="BS4" s="2">
        <v>117.1</v>
      </c>
      <c r="BT4" s="2">
        <v>115.7</v>
      </c>
      <c r="BU4" s="2">
        <v>18</v>
      </c>
      <c r="BV4" s="2">
        <v>19</v>
      </c>
      <c r="BW4" s="2">
        <v>33</v>
      </c>
      <c r="BX4" s="2">
        <v>14</v>
      </c>
      <c r="BY4" s="2">
        <v>22</v>
      </c>
      <c r="BZ4" s="2">
        <v>26</v>
      </c>
      <c r="CA4" s="2">
        <v>17</v>
      </c>
      <c r="CB4" s="2">
        <v>20</v>
      </c>
      <c r="CC4" s="2">
        <v>37</v>
      </c>
      <c r="CD4" s="2">
        <v>47</v>
      </c>
      <c r="CE4" s="2">
        <v>48</v>
      </c>
      <c r="CF4" s="2">
        <v>37</v>
      </c>
      <c r="CG4" s="2">
        <v>1.63</v>
      </c>
      <c r="CH4" s="2">
        <v>2.2000000000000002</v>
      </c>
      <c r="CI4" s="2">
        <v>-2.5</v>
      </c>
      <c r="CJ4" s="2">
        <v>2.5</v>
      </c>
      <c r="CK4" s="2">
        <v>164.5</v>
      </c>
      <c r="CL4" s="2" t="s">
        <v>398</v>
      </c>
      <c r="CM4" s="4" t="str">
        <f>VLOOKUP(ilirija[[#This Row],[Away_team]],all[[Full name]:[Abbr]],3,FALSE)</f>
        <v>VIE</v>
      </c>
      <c r="CN4" s="4">
        <f>IF(OR(ilirija[[#This Row],[Result]]="w",ilirija[[#This Row],[Result]]="dw"),ilirija[[#This Row],[win]]-1,-1)</f>
        <v>-1</v>
      </c>
      <c r="CO4" s="4">
        <f>IF(OR(ilirija[[#This Row],[Result]]="L",ilirija[[#This Row],[Result]]="dl"),ilirija[[#This Row],[lose]]-1,-1)</f>
        <v>1.2000000000000002</v>
      </c>
      <c r="CP4" s="4">
        <f>IF(OR((ilirija[[#This Row],[Home_scored]]+ilirija[[#This Row],[Away_scored]])&gt;ilirija[[#This Row],[total]],OR(ilirija[[#This Row],[Result]]="dw",ilirija[[#This Row],[Result]]="dl")),1,0)</f>
        <v>1</v>
      </c>
      <c r="CQ4" s="4">
        <f>ABS((ilirija[[#This Row],[Home_scored]]+ilirija[[#This Row],[Away_scored]])-ilirija[[#This Row],[total]])+0.5</f>
        <v>5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425"/>
  </conditionalFormatting>
  <conditionalFormatting sqref="D4">
    <cfRule type="duplicateValues" dxfId="369" priority="426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103</vt:i4>
      </vt:variant>
    </vt:vector>
  </HeadingPairs>
  <TitlesOfParts>
    <vt:vector size="124" baseType="lpstr">
      <vt:lpstr>borac</vt:lpstr>
      <vt:lpstr>buducnost</vt:lpstr>
      <vt:lpstr>cedevita</vt:lpstr>
      <vt:lpstr>cluj</vt:lpstr>
      <vt:lpstr>crvena</vt:lpstr>
      <vt:lpstr>dubai</vt:lpstr>
      <vt:lpstr>beograd</vt:lpstr>
      <vt:lpstr>igokea</vt:lpstr>
      <vt:lpstr>ilirija</vt:lpstr>
      <vt:lpstr>bosna</vt:lpstr>
      <vt:lpstr>krka</vt:lpstr>
      <vt:lpstr>mega</vt:lpstr>
      <vt:lpstr>partizan</vt:lpstr>
      <vt:lpstr>subotica</vt:lpstr>
      <vt:lpstr>split</vt:lpstr>
      <vt:lpstr>studentski</vt:lpstr>
      <vt:lpstr>vienna</vt:lpstr>
      <vt:lpstr>zadar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2025-10-04T07:19:20Z</dcterms:modified>
</cp:coreProperties>
</file>