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1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oma\OneDrive\Desktop\season_2026\excel\"/>
    </mc:Choice>
  </mc:AlternateContent>
  <xr:revisionPtr revIDLastSave="0" documentId="13_ncr:1_{1F52631A-B156-4944-A369-D3CAC6128CCE}" xr6:coauthVersionLast="47" xr6:coauthVersionMax="47" xr10:uidLastSave="{00000000-0000-0000-0000-000000000000}"/>
  <bookViews>
    <workbookView xWindow="17355" yWindow="45" windowWidth="11460" windowHeight="15360" firstSheet="3" activeTab="5" xr2:uid="{74FD0FEB-B018-44C3-8CED-8B56A1FD284B}"/>
  </bookViews>
  <sheets>
    <sheet name="bourg" sheetId="1" r:id="rId1"/>
    <sheet name="chalon" sheetId="3" r:id="rId2"/>
    <sheet name="cholet" sheetId="4" r:id="rId3"/>
    <sheet name="dijon" sheetId="5" r:id="rId4"/>
    <sheet name="dunker" sheetId="6" r:id="rId5"/>
    <sheet name="leman" sheetId="7" r:id="rId6"/>
    <sheet name="portel" sheetId="8" r:id="rId7"/>
    <sheet name="boulazac" sheetId="9" r:id="rId8"/>
    <sheet name="limoneg" sheetId="10" r:id="rId9"/>
    <sheet name="lyon" sheetId="11" r:id="rId10"/>
    <sheet name="monaco" sheetId="12" r:id="rId11"/>
    <sheet name="nancy" sheetId="13" r:id="rId12"/>
    <sheet name="nantere" sheetId="14" r:id="rId13"/>
    <sheet name="paris" sheetId="15" r:id="rId14"/>
    <sheet name="saintQ" sheetId="16" r:id="rId15"/>
    <sheet name="strasbourg" sheetId="17" r:id="rId16"/>
    <sheet name="check_data" sheetId="36" r:id="rId17"/>
    <sheet name="PvP" sheetId="35" r:id="rId18"/>
    <sheet name="all_data" sheetId="2" r:id="rId19"/>
  </sheets>
  <definedNames>
    <definedName name="allowed">last5[Away_scored]</definedName>
    <definedName name="allowed_a">last5away[Away_scored]</definedName>
    <definedName name="AST">last5[AST]</definedName>
    <definedName name="ast_a">last5away[AST]</definedName>
    <definedName name="astp">last5[AST%]</definedName>
    <definedName name="astp_a">last5away[AST%]</definedName>
    <definedName name="Away_scored">last5[Away_scored]</definedName>
    <definedName name="Away_scored_a">last5away[Away_scored]</definedName>
    <definedName name="beta">last5[BetA]</definedName>
    <definedName name="beta_a">last5away[BetA]</definedName>
    <definedName name="beth">last5[BetH]</definedName>
    <definedName name="beth_a">last5away[BetH]</definedName>
    <definedName name="BLK">last5[BLK]</definedName>
    <definedName name="blk_a">last5away[BLK]</definedName>
    <definedName name="deviation">last5[Deviation]</definedName>
    <definedName name="deviation_a">last5away[Deviation]</definedName>
    <definedName name="DRB">last5[DRB]</definedName>
    <definedName name="drb_a">last5away[DRB]</definedName>
    <definedName name="drtg">last5[DRtg]</definedName>
    <definedName name="drtg_a">last5away[DRtg]</definedName>
    <definedName name="efgp">last5[eFG%]</definedName>
    <definedName name="efgp_a">last5away[eFG%]</definedName>
    <definedName name="efgpo">last5[eFG%op]</definedName>
    <definedName name="efgpo_a">last5away[eFG%op]</definedName>
    <definedName name="FGA">last5[FGA]</definedName>
    <definedName name="FGA_a">last5away[FGA]</definedName>
    <definedName name="FGM">last5[FGM]</definedName>
    <definedName name="FGM_a">last5away[FGM]</definedName>
    <definedName name="FGp">last5[FGp]</definedName>
    <definedName name="FGp_a">last5away[FGp]</definedName>
    <definedName name="fht">last5[FHT]</definedName>
    <definedName name="fht_a">last5away[FHT]</definedName>
    <definedName name="FTA">last5[FTA]</definedName>
    <definedName name="fta_a">last5away[FTA]</definedName>
    <definedName name="ftfga">last5[FTFGA%]</definedName>
    <definedName name="ftfga_a">last5away[FTFGA%]</definedName>
    <definedName name="ftfgao">last5[FTFGA%op]</definedName>
    <definedName name="ftfgao_a">last5away[FTFGA%op]</definedName>
    <definedName name="FTM">last5[FTM]</definedName>
    <definedName name="ftm_a">last5away[FTM]</definedName>
    <definedName name="FTp">last5[FTp]</definedName>
    <definedName name="ftp_a">last5away[FTp]</definedName>
    <definedName name="Home_scored">last5[Home_scored]</definedName>
    <definedName name="Home_scored_a">last5away[Home_scored]</definedName>
    <definedName name="ORB">last5[ORB]</definedName>
    <definedName name="orb_a">last5away[ORB]</definedName>
    <definedName name="orbp">last5[ORB%]</definedName>
    <definedName name="orbp_a">last5away[ORB%]</definedName>
    <definedName name="orbpo">last5[ORB%op]</definedName>
    <definedName name="orbpo_a">last5away[ORB%op]</definedName>
    <definedName name="ortg">last5[ORtg]</definedName>
    <definedName name="ortg_a">last5away[ORtg]</definedName>
    <definedName name="P2A">last5[P2A]</definedName>
    <definedName name="P2A_a">last5away[P2A]</definedName>
    <definedName name="P2M">last5[P2M]</definedName>
    <definedName name="P2M_a">last5away[P2M]</definedName>
    <definedName name="P2p">last5[P2p]</definedName>
    <definedName name="p2p_a">last5away[P2p]</definedName>
    <definedName name="P3A">last5[P3A]</definedName>
    <definedName name="p3a_a">last5away[P3A]</definedName>
    <definedName name="P3M">last5[P3M]</definedName>
    <definedName name="p3m_a">last5away[P3M]</definedName>
    <definedName name="P3p">last5[P3p]</definedName>
    <definedName name="p3p_a">last5away[P3p]</definedName>
    <definedName name="pace">last5[Pace]</definedName>
    <definedName name="pace_a">last5away[Pace]</definedName>
    <definedName name="pf">last5[PF]</definedName>
    <definedName name="pf_a">last5away[PF]</definedName>
    <definedName name="poss">last5[Poss]</definedName>
    <definedName name="poss_a">last5away[Poss]</definedName>
    <definedName name="Q1T">last5[Q1T]</definedName>
    <definedName name="q1t_a">last5away[Q1T]</definedName>
    <definedName name="q2t">last5[Q2T]</definedName>
    <definedName name="q2t_a">last5away[Q2T]</definedName>
    <definedName name="q3t">last5[Q3T]</definedName>
    <definedName name="q3t_a">last5away[Q3T]</definedName>
    <definedName name="q4t">last5[Q4T]</definedName>
    <definedName name="q4t_a">last5away[Q4T]</definedName>
    <definedName name="Result">last5[Result]</definedName>
    <definedName name="result_a">last5away[Result]</definedName>
    <definedName name="scored">last5[Home_scored]</definedName>
    <definedName name="scored_a">last5away[Home_scored]</definedName>
    <definedName name="sht">last5[SHT]</definedName>
    <definedName name="sht_a">last5away[SHT]</definedName>
    <definedName name="STL">last5[STL]</definedName>
    <definedName name="stl_a">last5away[STL]</definedName>
    <definedName name="TeamsName">all[Team]</definedName>
    <definedName name="total">last5[total]</definedName>
    <definedName name="total_a">last5away[total]</definedName>
    <definedName name="tov">last5[TOV]</definedName>
    <definedName name="tov_a">last5away[TOV]</definedName>
    <definedName name="tover">last5[Tover]</definedName>
    <definedName name="tover_a">last5away[Tover]</definedName>
    <definedName name="tovp">last5[TOV%]</definedName>
    <definedName name="tovp_a">last5away[TOV%]</definedName>
    <definedName name="tovpo">last5[TOV%op]</definedName>
    <definedName name="tovpo_a">last5away[TOV%op]</definedName>
    <definedName name="TRB">last5[TRB]</definedName>
    <definedName name="trb_a">last5away[TRB]</definedName>
    <definedName name="trbp">last5[TRB%]</definedName>
    <definedName name="trbp_a">last5away[TRB%]</definedName>
    <definedName name="tsp">last5[TS%]</definedName>
    <definedName name="tsp_a">last5away[TS%]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M45" i="12" l="1"/>
  <c r="CN45" i="12"/>
  <c r="CO45" i="12"/>
  <c r="CP45" i="12"/>
  <c r="CQ45" i="12"/>
  <c r="CM44" i="15"/>
  <c r="CN44" i="15"/>
  <c r="CO44" i="15"/>
  <c r="CP44" i="15"/>
  <c r="CQ44" i="15"/>
  <c r="CM43" i="15"/>
  <c r="CN43" i="15"/>
  <c r="CO43" i="15"/>
  <c r="CP43" i="15"/>
  <c r="CQ43" i="15"/>
  <c r="CM44" i="12"/>
  <c r="CN44" i="12"/>
  <c r="CO44" i="12"/>
  <c r="CP44" i="12"/>
  <c r="CQ44" i="12"/>
  <c r="CM42" i="15"/>
  <c r="CN42" i="15"/>
  <c r="CO42" i="15"/>
  <c r="CP42" i="15"/>
  <c r="CQ42" i="15"/>
  <c r="CM43" i="12"/>
  <c r="CN43" i="12"/>
  <c r="CO43" i="12"/>
  <c r="CP43" i="12"/>
  <c r="CQ43" i="12"/>
  <c r="CM42" i="12"/>
  <c r="CN42" i="12"/>
  <c r="CO42" i="12"/>
  <c r="CP42" i="12"/>
  <c r="CQ42" i="12"/>
  <c r="CM41" i="15"/>
  <c r="CN41" i="15"/>
  <c r="CO41" i="15"/>
  <c r="CP41" i="15"/>
  <c r="CQ41" i="15"/>
  <c r="CM41" i="12"/>
  <c r="CN41" i="12"/>
  <c r="CO41" i="12"/>
  <c r="CP41" i="12"/>
  <c r="CQ41" i="12"/>
  <c r="CM40" i="15"/>
  <c r="CN40" i="15"/>
  <c r="CO40" i="15"/>
  <c r="CP40" i="15"/>
  <c r="CQ40" i="15"/>
  <c r="CM40" i="11"/>
  <c r="CN40" i="11"/>
  <c r="CO40" i="11"/>
  <c r="CP40" i="11"/>
  <c r="CQ40" i="11"/>
  <c r="CM40" i="12"/>
  <c r="CN40" i="12"/>
  <c r="CO40" i="12"/>
  <c r="CP40" i="12"/>
  <c r="CQ40" i="12"/>
  <c r="CM39" i="15"/>
  <c r="CN39" i="15"/>
  <c r="CO39" i="15"/>
  <c r="CP39" i="15"/>
  <c r="CQ39" i="15"/>
  <c r="CM38" i="1"/>
  <c r="CN38" i="1"/>
  <c r="CO38" i="1"/>
  <c r="CP38" i="1"/>
  <c r="CQ38" i="1"/>
  <c r="CM39" i="11"/>
  <c r="CN39" i="11"/>
  <c r="CO39" i="11"/>
  <c r="CP39" i="11"/>
  <c r="CQ39" i="11"/>
  <c r="CM39" i="12"/>
  <c r="CN39" i="12"/>
  <c r="CO39" i="12"/>
  <c r="CP39" i="12"/>
  <c r="CQ39" i="12"/>
  <c r="CM37" i="1"/>
  <c r="CN37" i="1"/>
  <c r="CO37" i="1"/>
  <c r="CP37" i="1"/>
  <c r="CQ37" i="1"/>
  <c r="CM38" i="15"/>
  <c r="CN38" i="15"/>
  <c r="CO38" i="15"/>
  <c r="CP38" i="15"/>
  <c r="CQ38" i="15"/>
  <c r="CM38" i="12"/>
  <c r="CN38" i="12"/>
  <c r="CO38" i="12"/>
  <c r="CP38" i="12"/>
  <c r="CQ38" i="12"/>
  <c r="CM38" i="11"/>
  <c r="CN38" i="11"/>
  <c r="CO38" i="11"/>
  <c r="CP38" i="11"/>
  <c r="CQ38" i="11"/>
  <c r="CM36" i="1"/>
  <c r="CN36" i="1"/>
  <c r="CO36" i="1"/>
  <c r="CP36" i="1"/>
  <c r="CQ36" i="1"/>
  <c r="CM37" i="15"/>
  <c r="CN37" i="15"/>
  <c r="CO37" i="15"/>
  <c r="CP37" i="15"/>
  <c r="CQ37" i="15"/>
  <c r="CM37" i="12"/>
  <c r="CN37" i="12"/>
  <c r="CO37" i="12"/>
  <c r="CP37" i="12"/>
  <c r="CQ37" i="12"/>
  <c r="CM37" i="11"/>
  <c r="CN37" i="11"/>
  <c r="CO37" i="11"/>
  <c r="CP37" i="11"/>
  <c r="CQ37" i="11"/>
  <c r="CM36" i="12"/>
  <c r="CN36" i="12"/>
  <c r="CO36" i="12"/>
  <c r="CP36" i="12"/>
  <c r="CQ36" i="12"/>
  <c r="CM37" i="3"/>
  <c r="CN37" i="3"/>
  <c r="CO37" i="3"/>
  <c r="CP37" i="3"/>
  <c r="CQ37" i="3"/>
  <c r="CM36" i="11"/>
  <c r="CN36" i="11"/>
  <c r="CO36" i="11"/>
  <c r="CP36" i="11"/>
  <c r="CQ36" i="11"/>
  <c r="CM36" i="15"/>
  <c r="CN36" i="15"/>
  <c r="CO36" i="15"/>
  <c r="CP36" i="15"/>
  <c r="CQ36" i="15"/>
  <c r="CM35" i="12"/>
  <c r="CN35" i="12"/>
  <c r="CO35" i="12"/>
  <c r="CP35" i="12"/>
  <c r="CQ35" i="12"/>
  <c r="CM35" i="15"/>
  <c r="CN35" i="15"/>
  <c r="CO35" i="15"/>
  <c r="CP35" i="15"/>
  <c r="CQ35" i="15"/>
  <c r="CM35" i="11"/>
  <c r="CN35" i="11"/>
  <c r="CO35" i="11"/>
  <c r="CP35" i="11"/>
  <c r="CQ35" i="11"/>
  <c r="CM36" i="3"/>
  <c r="CN36" i="3"/>
  <c r="CO36" i="3"/>
  <c r="CP36" i="3"/>
  <c r="CQ36" i="3"/>
  <c r="CM34" i="12"/>
  <c r="CN34" i="12"/>
  <c r="CO34" i="12"/>
  <c r="CP34" i="12"/>
  <c r="CQ34" i="12"/>
  <c r="CM35" i="4"/>
  <c r="CN35" i="4"/>
  <c r="CO35" i="4"/>
  <c r="CP35" i="4"/>
  <c r="CQ35" i="4"/>
  <c r="CM35" i="1"/>
  <c r="CN35" i="1"/>
  <c r="CO35" i="1"/>
  <c r="CP35" i="1"/>
  <c r="CQ35" i="1"/>
  <c r="CM34" i="15"/>
  <c r="CN34" i="15"/>
  <c r="CO34" i="15"/>
  <c r="CP34" i="15"/>
  <c r="CQ34" i="15"/>
  <c r="CM35" i="3"/>
  <c r="CN35" i="3"/>
  <c r="CO35" i="3"/>
  <c r="CP35" i="3"/>
  <c r="CQ35" i="3"/>
  <c r="CM34" i="11"/>
  <c r="CN34" i="11"/>
  <c r="CO34" i="11"/>
  <c r="CP34" i="11"/>
  <c r="CQ34" i="11"/>
  <c r="CM34" i="1" l="1"/>
  <c r="CN34" i="1"/>
  <c r="CO34" i="1"/>
  <c r="CP34" i="1"/>
  <c r="CQ34" i="1"/>
  <c r="CM34" i="4"/>
  <c r="CN34" i="4"/>
  <c r="CO34" i="4"/>
  <c r="CP34" i="4"/>
  <c r="CQ34" i="4"/>
  <c r="CM35" i="16"/>
  <c r="CN35" i="16"/>
  <c r="CO35" i="16"/>
  <c r="CP35" i="16"/>
  <c r="CQ35" i="16"/>
  <c r="CM34" i="16"/>
  <c r="CN34" i="16"/>
  <c r="CO34" i="16"/>
  <c r="CP34" i="16"/>
  <c r="CQ34" i="16"/>
  <c r="CM34" i="13"/>
  <c r="CN34" i="13"/>
  <c r="CO34" i="13"/>
  <c r="CP34" i="13"/>
  <c r="CQ34" i="13"/>
  <c r="CM34" i="3"/>
  <c r="CN34" i="3"/>
  <c r="CO34" i="3"/>
  <c r="CP34" i="3"/>
  <c r="CQ34" i="3"/>
  <c r="CM33" i="6"/>
  <c r="CN33" i="6"/>
  <c r="CO33" i="6"/>
  <c r="CP33" i="6"/>
  <c r="CQ33" i="6"/>
  <c r="CM33" i="17"/>
  <c r="CN33" i="17"/>
  <c r="CO33" i="17"/>
  <c r="CP33" i="17"/>
  <c r="CQ33" i="17"/>
  <c r="CM33" i="15"/>
  <c r="CN33" i="15"/>
  <c r="CO33" i="15"/>
  <c r="CP33" i="15"/>
  <c r="CQ33" i="15"/>
  <c r="CM33" i="13"/>
  <c r="CN33" i="13"/>
  <c r="CO33" i="13"/>
  <c r="CP33" i="13"/>
  <c r="CQ33" i="13"/>
  <c r="CM33" i="11"/>
  <c r="CN33" i="11"/>
  <c r="CO33" i="11"/>
  <c r="CP33" i="11"/>
  <c r="CQ33" i="11"/>
  <c r="CM33" i="16"/>
  <c r="CN33" i="16"/>
  <c r="CO33" i="16"/>
  <c r="CP33" i="16"/>
  <c r="CQ33" i="16"/>
  <c r="CM33" i="10"/>
  <c r="CN33" i="10"/>
  <c r="CO33" i="10"/>
  <c r="CP33" i="10"/>
  <c r="CQ33" i="10"/>
  <c r="CM33" i="14"/>
  <c r="CN33" i="14"/>
  <c r="CO33" i="14"/>
  <c r="CP33" i="14"/>
  <c r="CQ33" i="14"/>
  <c r="CM33" i="8"/>
  <c r="CN33" i="8"/>
  <c r="CO33" i="8"/>
  <c r="CP33" i="8"/>
  <c r="CQ33" i="8"/>
  <c r="CM33" i="9"/>
  <c r="CN33" i="9"/>
  <c r="CO33" i="9"/>
  <c r="CP33" i="9"/>
  <c r="CQ33" i="9"/>
  <c r="CM33" i="4"/>
  <c r="CN33" i="4"/>
  <c r="CO33" i="4"/>
  <c r="CP33" i="4"/>
  <c r="CQ33" i="4"/>
  <c r="CM33" i="1"/>
  <c r="CN33" i="1"/>
  <c r="CO33" i="1"/>
  <c r="CP33" i="1"/>
  <c r="CQ33" i="1"/>
  <c r="CM33" i="12"/>
  <c r="CN33" i="12"/>
  <c r="CO33" i="12"/>
  <c r="CP33" i="12"/>
  <c r="CQ33" i="12"/>
  <c r="CM33" i="3"/>
  <c r="CN33" i="3"/>
  <c r="CO33" i="3"/>
  <c r="CP33" i="3"/>
  <c r="CQ33" i="3"/>
  <c r="CM32" i="15"/>
  <c r="CN32" i="15"/>
  <c r="CO32" i="15"/>
  <c r="CP32" i="15"/>
  <c r="CQ32" i="15"/>
  <c r="CM32" i="12"/>
  <c r="CN32" i="12"/>
  <c r="CO32" i="12"/>
  <c r="CP32" i="12"/>
  <c r="CQ32" i="12"/>
  <c r="CM32" i="9"/>
  <c r="CN32" i="9"/>
  <c r="CO32" i="9"/>
  <c r="CP32" i="9"/>
  <c r="CQ32" i="9"/>
  <c r="CM32" i="11" l="1"/>
  <c r="CN32" i="11"/>
  <c r="CO32" i="11"/>
  <c r="CP32" i="11"/>
  <c r="CQ32" i="11"/>
  <c r="CM32" i="1"/>
  <c r="CN32" i="1"/>
  <c r="CO32" i="1"/>
  <c r="CP32" i="1"/>
  <c r="CQ32" i="1"/>
  <c r="CM31" i="12"/>
  <c r="CN31" i="12"/>
  <c r="CO31" i="12"/>
  <c r="CP31" i="12"/>
  <c r="CQ31" i="12"/>
  <c r="CM32" i="17"/>
  <c r="CN32" i="17"/>
  <c r="CO32" i="17"/>
  <c r="CP32" i="17"/>
  <c r="CQ32" i="17"/>
  <c r="CM32" i="14"/>
  <c r="CN32" i="14"/>
  <c r="CO32" i="14"/>
  <c r="CP32" i="14"/>
  <c r="CQ32" i="14"/>
  <c r="CM32" i="8"/>
  <c r="CN32" i="8"/>
  <c r="CO32" i="8"/>
  <c r="CP32" i="8"/>
  <c r="CQ32" i="8"/>
  <c r="CM31" i="15"/>
  <c r="CN31" i="15"/>
  <c r="CO31" i="15"/>
  <c r="CP31" i="15"/>
  <c r="CQ31" i="15"/>
  <c r="CM32" i="3"/>
  <c r="CN32" i="3"/>
  <c r="CO32" i="3"/>
  <c r="CP32" i="3"/>
  <c r="CQ32" i="3"/>
  <c r="CM32" i="6"/>
  <c r="CN32" i="6"/>
  <c r="CO32" i="6"/>
  <c r="CP32" i="6"/>
  <c r="CQ32" i="6"/>
  <c r="CM32" i="10"/>
  <c r="CN32" i="10"/>
  <c r="CO32" i="10"/>
  <c r="CP32" i="10"/>
  <c r="CQ32" i="10"/>
  <c r="CM32" i="13"/>
  <c r="CN32" i="13"/>
  <c r="CO32" i="13"/>
  <c r="CP32" i="13"/>
  <c r="CQ32" i="13"/>
  <c r="CM32" i="4"/>
  <c r="CN32" i="4"/>
  <c r="CO32" i="4"/>
  <c r="CP32" i="4"/>
  <c r="CQ32" i="4"/>
  <c r="CM31" i="9"/>
  <c r="CN31" i="9"/>
  <c r="CO31" i="9"/>
  <c r="CP31" i="9"/>
  <c r="CQ31" i="9"/>
  <c r="CM32" i="16"/>
  <c r="CN32" i="16"/>
  <c r="CO32" i="16"/>
  <c r="CP32" i="16"/>
  <c r="CQ32" i="16"/>
  <c r="CM31" i="11"/>
  <c r="CN31" i="11"/>
  <c r="CO31" i="11"/>
  <c r="CP31" i="11"/>
  <c r="CQ31" i="11"/>
  <c r="CM31" i="4"/>
  <c r="CN31" i="4"/>
  <c r="CO31" i="4"/>
  <c r="CP31" i="4"/>
  <c r="CQ31" i="4"/>
  <c r="CM30" i="15"/>
  <c r="CN30" i="15"/>
  <c r="CO30" i="15"/>
  <c r="CP30" i="15"/>
  <c r="CQ30" i="15"/>
  <c r="CM31" i="10"/>
  <c r="CN31" i="10"/>
  <c r="CO31" i="10"/>
  <c r="CP31" i="10"/>
  <c r="CQ31" i="10"/>
  <c r="CM31" i="8"/>
  <c r="CN31" i="8"/>
  <c r="CO31" i="8"/>
  <c r="CP31" i="8"/>
  <c r="CQ31" i="8"/>
  <c r="CM31" i="1"/>
  <c r="CN31" i="1"/>
  <c r="CO31" i="1"/>
  <c r="CP31" i="1"/>
  <c r="CQ31" i="1"/>
  <c r="CM31" i="6"/>
  <c r="CN31" i="6"/>
  <c r="CO31" i="6"/>
  <c r="CP31" i="6"/>
  <c r="CQ31" i="6"/>
  <c r="CM31" i="16"/>
  <c r="CN31" i="16"/>
  <c r="CO31" i="16"/>
  <c r="CP31" i="16"/>
  <c r="CQ31" i="16"/>
  <c r="CM31" i="17"/>
  <c r="CN31" i="17"/>
  <c r="CO31" i="17"/>
  <c r="CP31" i="17"/>
  <c r="CQ31" i="17"/>
  <c r="CM31" i="3"/>
  <c r="CN31" i="3"/>
  <c r="CO31" i="3"/>
  <c r="CP31" i="3"/>
  <c r="CQ31" i="3"/>
  <c r="CM31" i="14"/>
  <c r="CN31" i="14"/>
  <c r="CO31" i="14"/>
  <c r="CP31" i="14"/>
  <c r="CQ31" i="14"/>
  <c r="CM31" i="13"/>
  <c r="CN31" i="13"/>
  <c r="CO31" i="13"/>
  <c r="CP31" i="13"/>
  <c r="CQ31" i="13"/>
  <c r="CM30" i="1"/>
  <c r="CN30" i="1"/>
  <c r="CO30" i="1"/>
  <c r="CP30" i="1"/>
  <c r="CQ30" i="1"/>
  <c r="CM30" i="4"/>
  <c r="CN30" i="4"/>
  <c r="CO30" i="4"/>
  <c r="CP30" i="4"/>
  <c r="CQ30" i="4"/>
  <c r="CM30" i="8"/>
  <c r="CN30" i="8"/>
  <c r="CO30" i="8"/>
  <c r="CP30" i="8"/>
  <c r="CQ30" i="8"/>
  <c r="CM30" i="16"/>
  <c r="CN30" i="16"/>
  <c r="CO30" i="16"/>
  <c r="CP30" i="16"/>
  <c r="CQ30" i="16"/>
  <c r="CM30" i="6"/>
  <c r="CN30" i="6"/>
  <c r="CO30" i="6"/>
  <c r="CP30" i="6"/>
  <c r="CQ30" i="6"/>
  <c r="CM30" i="10"/>
  <c r="CN30" i="10"/>
  <c r="CO30" i="10"/>
  <c r="CP30" i="10"/>
  <c r="CQ30" i="10"/>
  <c r="CM30" i="12"/>
  <c r="CN30" i="12"/>
  <c r="CO30" i="12"/>
  <c r="CP30" i="12"/>
  <c r="CQ30" i="12"/>
  <c r="CM30" i="14"/>
  <c r="CN30" i="14"/>
  <c r="CO30" i="14"/>
  <c r="CP30" i="14"/>
  <c r="CQ30" i="14"/>
  <c r="CM30" i="3"/>
  <c r="CN30" i="3"/>
  <c r="CO30" i="3"/>
  <c r="CP30" i="3"/>
  <c r="CQ30" i="3"/>
  <c r="CM30" i="9"/>
  <c r="CN30" i="9"/>
  <c r="CO30" i="9"/>
  <c r="CP30" i="9"/>
  <c r="CQ30" i="9"/>
  <c r="CM30" i="17"/>
  <c r="CN30" i="17"/>
  <c r="CO30" i="17"/>
  <c r="CP30" i="17"/>
  <c r="CQ30" i="17"/>
  <c r="CM30" i="13"/>
  <c r="CN30" i="13"/>
  <c r="CO30" i="13"/>
  <c r="CP30" i="13"/>
  <c r="CQ30" i="13"/>
  <c r="CM30" i="11"/>
  <c r="CN30" i="11"/>
  <c r="CO30" i="11"/>
  <c r="CP30" i="11"/>
  <c r="CQ30" i="11"/>
  <c r="CM29" i="6"/>
  <c r="CN29" i="6"/>
  <c r="CO29" i="6"/>
  <c r="CP29" i="6"/>
  <c r="CQ29" i="6"/>
  <c r="CM29" i="10"/>
  <c r="CN29" i="10"/>
  <c r="CO29" i="10"/>
  <c r="CP29" i="10"/>
  <c r="CQ29" i="10"/>
  <c r="CM29" i="3"/>
  <c r="CN29" i="3"/>
  <c r="CO29" i="3"/>
  <c r="CP29" i="3"/>
  <c r="CQ29" i="3"/>
  <c r="CM29" i="15"/>
  <c r="CN29" i="15"/>
  <c r="CO29" i="15"/>
  <c r="CP29" i="15"/>
  <c r="CQ29" i="15"/>
  <c r="CM29" i="12"/>
  <c r="CN29" i="12"/>
  <c r="CO29" i="12"/>
  <c r="CP29" i="12"/>
  <c r="CQ29" i="12"/>
  <c r="CM29" i="9"/>
  <c r="CN29" i="9"/>
  <c r="CO29" i="9"/>
  <c r="CP29" i="9"/>
  <c r="CQ29" i="9"/>
  <c r="CM29" i="14"/>
  <c r="CN29" i="14"/>
  <c r="CO29" i="14"/>
  <c r="CP29" i="14"/>
  <c r="CQ29" i="14"/>
  <c r="CM29" i="8"/>
  <c r="CN29" i="8"/>
  <c r="CO29" i="8"/>
  <c r="CP29" i="8"/>
  <c r="CQ29" i="8"/>
  <c r="CM29" i="13"/>
  <c r="CN29" i="13"/>
  <c r="CO29" i="13"/>
  <c r="CP29" i="13"/>
  <c r="CQ29" i="13"/>
  <c r="CM29" i="4"/>
  <c r="CN29" i="4"/>
  <c r="CO29" i="4"/>
  <c r="CP29" i="4"/>
  <c r="CQ29" i="4"/>
  <c r="CM29" i="16"/>
  <c r="CN29" i="16"/>
  <c r="CO29" i="16"/>
  <c r="CP29" i="16"/>
  <c r="CQ29" i="16"/>
  <c r="CM29" i="17"/>
  <c r="CN29" i="17"/>
  <c r="CO29" i="17"/>
  <c r="CP29" i="17"/>
  <c r="CQ29" i="17"/>
  <c r="CM29" i="1"/>
  <c r="CN29" i="1"/>
  <c r="CO29" i="1"/>
  <c r="CP29" i="1"/>
  <c r="CQ29" i="1"/>
  <c r="CM29" i="11"/>
  <c r="CN29" i="11"/>
  <c r="CO29" i="11"/>
  <c r="CP29" i="11"/>
  <c r="CQ29" i="11"/>
  <c r="CM28" i="11"/>
  <c r="CN28" i="11"/>
  <c r="CO28" i="11"/>
  <c r="CP28" i="11"/>
  <c r="CQ28" i="11"/>
  <c r="CM28" i="8"/>
  <c r="CN28" i="8"/>
  <c r="CO28" i="8"/>
  <c r="CP28" i="8"/>
  <c r="CQ28" i="8"/>
  <c r="CM28" i="6"/>
  <c r="CN28" i="6"/>
  <c r="CO28" i="6"/>
  <c r="CP28" i="6"/>
  <c r="CQ28" i="6"/>
  <c r="CM28" i="14"/>
  <c r="CN28" i="14"/>
  <c r="CO28" i="14"/>
  <c r="CP28" i="14"/>
  <c r="CQ28" i="14"/>
  <c r="CM28" i="4"/>
  <c r="CN28" i="4"/>
  <c r="CO28" i="4"/>
  <c r="CP28" i="4"/>
  <c r="CQ28" i="4"/>
  <c r="CM28" i="13"/>
  <c r="CN28" i="13"/>
  <c r="CO28" i="13"/>
  <c r="CP28" i="13"/>
  <c r="CQ28" i="13"/>
  <c r="CM28" i="3"/>
  <c r="CN28" i="3"/>
  <c r="CO28" i="3"/>
  <c r="CP28" i="3"/>
  <c r="CQ28" i="3"/>
  <c r="CM28" i="17"/>
  <c r="CN28" i="17"/>
  <c r="CO28" i="17"/>
  <c r="CP28" i="17"/>
  <c r="CQ28" i="17"/>
  <c r="CM28" i="16"/>
  <c r="CN28" i="16"/>
  <c r="CO28" i="16"/>
  <c r="CP28" i="16"/>
  <c r="CQ28" i="16"/>
  <c r="CM28" i="12"/>
  <c r="CN28" i="12"/>
  <c r="CO28" i="12"/>
  <c r="CP28" i="12"/>
  <c r="CQ28" i="12"/>
  <c r="CM28" i="15"/>
  <c r="CN28" i="15"/>
  <c r="CO28" i="15"/>
  <c r="CP28" i="15"/>
  <c r="CQ28" i="15"/>
  <c r="CM28" i="1"/>
  <c r="CN28" i="1"/>
  <c r="CO28" i="1"/>
  <c r="CP28" i="1"/>
  <c r="CQ28" i="1"/>
  <c r="CM28" i="10"/>
  <c r="CN28" i="10"/>
  <c r="CO28" i="10"/>
  <c r="CP28" i="10"/>
  <c r="CQ28" i="10"/>
  <c r="CM28" i="9"/>
  <c r="CN28" i="9"/>
  <c r="CO28" i="9"/>
  <c r="CP28" i="9"/>
  <c r="CQ28" i="9"/>
  <c r="CM27" i="16"/>
  <c r="CN27" i="16"/>
  <c r="CO27" i="16"/>
  <c r="CP27" i="16"/>
  <c r="CQ27" i="16"/>
  <c r="CM27" i="11"/>
  <c r="CN27" i="11"/>
  <c r="CO27" i="11"/>
  <c r="CP27" i="11"/>
  <c r="CQ27" i="11"/>
  <c r="CM27" i="15"/>
  <c r="CN27" i="15"/>
  <c r="CO27" i="15"/>
  <c r="CP27" i="15"/>
  <c r="CQ27" i="15"/>
  <c r="CM27" i="8"/>
  <c r="CN27" i="8"/>
  <c r="CO27" i="8"/>
  <c r="CP27" i="8"/>
  <c r="CQ27" i="8"/>
  <c r="CM27" i="6"/>
  <c r="CN27" i="6"/>
  <c r="CO27" i="6"/>
  <c r="CP27" i="6"/>
  <c r="CQ27" i="6"/>
  <c r="CM27" i="17"/>
  <c r="CN27" i="17"/>
  <c r="CO27" i="17"/>
  <c r="CP27" i="17"/>
  <c r="CQ27" i="17"/>
  <c r="CM27" i="10"/>
  <c r="CN27" i="10"/>
  <c r="CO27" i="10"/>
  <c r="CP27" i="10"/>
  <c r="CQ27" i="10"/>
  <c r="CM27" i="4"/>
  <c r="CN27" i="4"/>
  <c r="CO27" i="4"/>
  <c r="CP27" i="4"/>
  <c r="CQ27" i="4"/>
  <c r="CM27" i="3"/>
  <c r="CN27" i="3"/>
  <c r="CO27" i="3"/>
  <c r="CP27" i="3"/>
  <c r="CQ27" i="3"/>
  <c r="CM27" i="14"/>
  <c r="CN27" i="14"/>
  <c r="CO27" i="14"/>
  <c r="CP27" i="14"/>
  <c r="CQ27" i="14"/>
  <c r="CM27" i="12"/>
  <c r="CN27" i="12"/>
  <c r="CO27" i="12"/>
  <c r="CP27" i="12"/>
  <c r="CQ27" i="12"/>
  <c r="CM27" i="1"/>
  <c r="CN27" i="1"/>
  <c r="CO27" i="1"/>
  <c r="CP27" i="1"/>
  <c r="CQ27" i="1"/>
  <c r="CM27" i="13"/>
  <c r="CN27" i="13"/>
  <c r="CO27" i="13"/>
  <c r="CP27" i="13"/>
  <c r="CQ27" i="13"/>
  <c r="CM27" i="9"/>
  <c r="CN27" i="9"/>
  <c r="CO27" i="9"/>
  <c r="CP27" i="9"/>
  <c r="CQ27" i="9"/>
  <c r="CM26" i="3"/>
  <c r="CN26" i="3"/>
  <c r="CO26" i="3"/>
  <c r="CP26" i="3"/>
  <c r="CQ26" i="3"/>
  <c r="CM26" i="11"/>
  <c r="CN26" i="11"/>
  <c r="CO26" i="11"/>
  <c r="CP26" i="11"/>
  <c r="CQ26" i="11"/>
  <c r="CM26" i="6"/>
  <c r="CN26" i="6"/>
  <c r="CO26" i="6"/>
  <c r="CP26" i="6"/>
  <c r="CQ26" i="6"/>
  <c r="CM26" i="15"/>
  <c r="CN26" i="15"/>
  <c r="CO26" i="15"/>
  <c r="CP26" i="15"/>
  <c r="CQ26" i="15"/>
  <c r="CM26" i="12"/>
  <c r="CN26" i="12"/>
  <c r="CO26" i="12"/>
  <c r="CP26" i="12"/>
  <c r="CQ26" i="12"/>
  <c r="CM26" i="8"/>
  <c r="CN26" i="8"/>
  <c r="CO26" i="8"/>
  <c r="CP26" i="8"/>
  <c r="CQ26" i="8"/>
  <c r="CM26" i="16"/>
  <c r="CN26" i="16"/>
  <c r="CO26" i="16"/>
  <c r="CP26" i="16"/>
  <c r="CQ26" i="16"/>
  <c r="CM26" i="4"/>
  <c r="CN26" i="4"/>
  <c r="CO26" i="4"/>
  <c r="CP26" i="4"/>
  <c r="CQ26" i="4"/>
  <c r="CM26" i="17"/>
  <c r="CN26" i="17"/>
  <c r="CO26" i="17"/>
  <c r="CP26" i="17"/>
  <c r="CQ26" i="17"/>
  <c r="CM26" i="13"/>
  <c r="CN26" i="13"/>
  <c r="CO26" i="13"/>
  <c r="CP26" i="13"/>
  <c r="CQ26" i="13"/>
  <c r="CM26" i="9"/>
  <c r="CN26" i="9"/>
  <c r="CO26" i="9"/>
  <c r="CP26" i="9"/>
  <c r="CQ26" i="9"/>
  <c r="CM26" i="1"/>
  <c r="CN26" i="1"/>
  <c r="CO26" i="1"/>
  <c r="CP26" i="1"/>
  <c r="CQ26" i="1"/>
  <c r="CM26" i="10"/>
  <c r="CN26" i="10"/>
  <c r="CO26" i="10"/>
  <c r="CP26" i="10"/>
  <c r="CQ26" i="10"/>
  <c r="CM26" i="14"/>
  <c r="CN26" i="14"/>
  <c r="CO26" i="14"/>
  <c r="CP26" i="14"/>
  <c r="CQ26" i="14"/>
  <c r="CM25" i="11"/>
  <c r="CN25" i="11"/>
  <c r="CO25" i="11"/>
  <c r="CP25" i="11"/>
  <c r="CQ25" i="11"/>
  <c r="CM25" i="12"/>
  <c r="CN25" i="12"/>
  <c r="CO25" i="12"/>
  <c r="CP25" i="12"/>
  <c r="CQ25" i="12"/>
  <c r="CM25" i="14"/>
  <c r="CN25" i="14"/>
  <c r="CO25" i="14"/>
  <c r="CP25" i="14"/>
  <c r="CQ25" i="14"/>
  <c r="CM25" i="16"/>
  <c r="CN25" i="16"/>
  <c r="CO25" i="16"/>
  <c r="CP25" i="16"/>
  <c r="CQ25" i="16"/>
  <c r="CM25" i="13"/>
  <c r="CN25" i="13"/>
  <c r="CO25" i="13"/>
  <c r="CP25" i="13"/>
  <c r="CQ25" i="13"/>
  <c r="CM25" i="6"/>
  <c r="CN25" i="6"/>
  <c r="CO25" i="6"/>
  <c r="CP25" i="6"/>
  <c r="CQ25" i="6"/>
  <c r="CM25" i="9"/>
  <c r="CN25" i="9"/>
  <c r="CO25" i="9"/>
  <c r="CP25" i="9"/>
  <c r="CQ25" i="9"/>
  <c r="CM25" i="4"/>
  <c r="CN25" i="4"/>
  <c r="CO25" i="4"/>
  <c r="CP25" i="4"/>
  <c r="CQ25" i="4"/>
  <c r="CM25" i="8"/>
  <c r="CN25" i="8"/>
  <c r="CO25" i="8"/>
  <c r="CP25" i="8"/>
  <c r="CQ25" i="8"/>
  <c r="CM25" i="3"/>
  <c r="CN25" i="3"/>
  <c r="CO25" i="3"/>
  <c r="CP25" i="3"/>
  <c r="CQ25" i="3"/>
  <c r="CM25" i="1"/>
  <c r="CN25" i="1"/>
  <c r="CO25" i="1"/>
  <c r="CP25" i="1"/>
  <c r="CQ25" i="1"/>
  <c r="CM25" i="10"/>
  <c r="CN25" i="10"/>
  <c r="CO25" i="10"/>
  <c r="CP25" i="10"/>
  <c r="CQ25" i="10"/>
  <c r="CM25" i="15"/>
  <c r="CN25" i="15"/>
  <c r="CO25" i="15"/>
  <c r="CP25" i="15"/>
  <c r="CQ25" i="15"/>
  <c r="CM25" i="17"/>
  <c r="CN25" i="17"/>
  <c r="CO25" i="17"/>
  <c r="CP25" i="17"/>
  <c r="CQ25" i="17"/>
  <c r="CM24" i="15"/>
  <c r="CN24" i="15"/>
  <c r="CO24" i="15"/>
  <c r="CP24" i="15"/>
  <c r="CQ24" i="15"/>
  <c r="CM24" i="12"/>
  <c r="CN24" i="12"/>
  <c r="CO24" i="12"/>
  <c r="CP24" i="12"/>
  <c r="CQ24" i="12"/>
  <c r="CM24" i="11"/>
  <c r="CN24" i="11"/>
  <c r="CO24" i="11"/>
  <c r="CP24" i="11"/>
  <c r="CQ24" i="11"/>
  <c r="CM24" i="14"/>
  <c r="CN24" i="14"/>
  <c r="CO24" i="14"/>
  <c r="CP24" i="14"/>
  <c r="CQ24" i="14"/>
  <c r="CM24" i="3"/>
  <c r="CN24" i="3"/>
  <c r="CO24" i="3"/>
  <c r="CP24" i="3"/>
  <c r="CQ24" i="3"/>
  <c r="CM24" i="9"/>
  <c r="CN24" i="9"/>
  <c r="CO24" i="9"/>
  <c r="CP24" i="9"/>
  <c r="CQ24" i="9"/>
  <c r="CM24" i="6"/>
  <c r="CN24" i="6"/>
  <c r="CO24" i="6"/>
  <c r="CP24" i="6"/>
  <c r="CQ24" i="6"/>
  <c r="CM24" i="1"/>
  <c r="CN24" i="1"/>
  <c r="CO24" i="1"/>
  <c r="CP24" i="1"/>
  <c r="CQ24" i="1"/>
  <c r="CM24" i="4"/>
  <c r="CN24" i="4"/>
  <c r="CO24" i="4"/>
  <c r="CP24" i="4"/>
  <c r="CQ24" i="4"/>
  <c r="CM24" i="16"/>
  <c r="CN24" i="16"/>
  <c r="CO24" i="16"/>
  <c r="CP24" i="16"/>
  <c r="CQ24" i="16"/>
  <c r="CM24" i="17"/>
  <c r="CN24" i="17"/>
  <c r="CO24" i="17"/>
  <c r="CP24" i="17"/>
  <c r="CQ24" i="17"/>
  <c r="CM24" i="10"/>
  <c r="CN24" i="10"/>
  <c r="CO24" i="10"/>
  <c r="CP24" i="10"/>
  <c r="CQ24" i="10"/>
  <c r="CM24" i="8"/>
  <c r="CN24" i="8"/>
  <c r="CO24" i="8"/>
  <c r="CP24" i="8"/>
  <c r="CQ24" i="8"/>
  <c r="CM24" i="13"/>
  <c r="CN24" i="13"/>
  <c r="CO24" i="13"/>
  <c r="CP24" i="13"/>
  <c r="CQ24" i="13"/>
  <c r="CM23" i="12"/>
  <c r="CN23" i="12"/>
  <c r="CO23" i="12"/>
  <c r="CP23" i="12"/>
  <c r="CQ23" i="12"/>
  <c r="CM23" i="4"/>
  <c r="CN23" i="4"/>
  <c r="CO23" i="4"/>
  <c r="CP23" i="4"/>
  <c r="CQ23" i="4"/>
  <c r="CM23" i="9"/>
  <c r="CN23" i="9"/>
  <c r="CO23" i="9"/>
  <c r="CP23" i="9"/>
  <c r="CQ23" i="9"/>
  <c r="CM23" i="11"/>
  <c r="CN23" i="11"/>
  <c r="CO23" i="11"/>
  <c r="CP23" i="11"/>
  <c r="CQ23" i="11"/>
  <c r="CM23" i="16"/>
  <c r="CN23" i="16"/>
  <c r="CO23" i="16"/>
  <c r="CP23" i="16"/>
  <c r="CQ23" i="16"/>
  <c r="CM23" i="15"/>
  <c r="CN23" i="15"/>
  <c r="CO23" i="15"/>
  <c r="CP23" i="15"/>
  <c r="CQ23" i="15"/>
  <c r="CM23" i="3"/>
  <c r="CN23" i="3"/>
  <c r="CO23" i="3"/>
  <c r="CP23" i="3"/>
  <c r="CQ23" i="3"/>
  <c r="CM23" i="10"/>
  <c r="CN23" i="10"/>
  <c r="CO23" i="10"/>
  <c r="CP23" i="10"/>
  <c r="CQ23" i="10"/>
  <c r="CM23" i="13"/>
  <c r="CN23" i="13"/>
  <c r="CO23" i="13"/>
  <c r="CP23" i="13"/>
  <c r="CQ23" i="13"/>
  <c r="CM23" i="1"/>
  <c r="CN23" i="1"/>
  <c r="CO23" i="1"/>
  <c r="CP23" i="1"/>
  <c r="CQ23" i="1"/>
  <c r="CM23" i="6"/>
  <c r="CN23" i="6"/>
  <c r="CO23" i="6"/>
  <c r="CP23" i="6"/>
  <c r="CQ23" i="6"/>
  <c r="CM23" i="14"/>
  <c r="CN23" i="14"/>
  <c r="CO23" i="14"/>
  <c r="CP23" i="14"/>
  <c r="CQ23" i="14"/>
  <c r="CM23" i="17"/>
  <c r="CN23" i="17"/>
  <c r="CO23" i="17"/>
  <c r="CP23" i="17"/>
  <c r="CQ23" i="17"/>
  <c r="CM23" i="8"/>
  <c r="CN23" i="8"/>
  <c r="CO23" i="8"/>
  <c r="CP23" i="8"/>
  <c r="CQ23" i="8"/>
  <c r="CM22" i="11"/>
  <c r="CN22" i="11"/>
  <c r="CO22" i="11"/>
  <c r="CP22" i="11"/>
  <c r="CQ22" i="11"/>
  <c r="CM22" i="15"/>
  <c r="CN22" i="15"/>
  <c r="CO22" i="15"/>
  <c r="CP22" i="15"/>
  <c r="CQ22" i="15"/>
  <c r="CM22" i="12"/>
  <c r="CN22" i="12"/>
  <c r="CO22" i="12"/>
  <c r="CP22" i="12"/>
  <c r="CQ22" i="12"/>
  <c r="CM22" i="17"/>
  <c r="CN22" i="17"/>
  <c r="CO22" i="17"/>
  <c r="CP22" i="17"/>
  <c r="CQ22" i="17"/>
  <c r="CM22" i="13"/>
  <c r="CN22" i="13"/>
  <c r="CO22" i="13"/>
  <c r="CP22" i="13"/>
  <c r="CQ22" i="13"/>
  <c r="CM22" i="10"/>
  <c r="CN22" i="10"/>
  <c r="CO22" i="10"/>
  <c r="CP22" i="10"/>
  <c r="CQ22" i="10"/>
  <c r="CM22" i="3"/>
  <c r="CN22" i="3"/>
  <c r="CO22" i="3"/>
  <c r="CP22" i="3"/>
  <c r="CQ22" i="3"/>
  <c r="CM22" i="14"/>
  <c r="CN22" i="14"/>
  <c r="CO22" i="14"/>
  <c r="CP22" i="14"/>
  <c r="CQ22" i="14"/>
  <c r="CM22" i="1"/>
  <c r="CN22" i="1"/>
  <c r="CO22" i="1"/>
  <c r="CP22" i="1"/>
  <c r="CQ22" i="1"/>
  <c r="CM22" i="16"/>
  <c r="CN22" i="16"/>
  <c r="CO22" i="16"/>
  <c r="CP22" i="16"/>
  <c r="CQ22" i="16"/>
  <c r="CM22" i="8"/>
  <c r="CN22" i="8"/>
  <c r="CO22" i="8"/>
  <c r="CP22" i="8"/>
  <c r="CQ22" i="8"/>
  <c r="CM22" i="9"/>
  <c r="CN22" i="9"/>
  <c r="CO22" i="9"/>
  <c r="CP22" i="9"/>
  <c r="CQ22" i="9"/>
  <c r="CM22" i="4"/>
  <c r="CN22" i="4"/>
  <c r="CO22" i="4"/>
  <c r="CP22" i="4"/>
  <c r="CQ22" i="4"/>
  <c r="CM22" i="6"/>
  <c r="CN22" i="6"/>
  <c r="CO22" i="6"/>
  <c r="CP22" i="6"/>
  <c r="CQ22" i="6"/>
  <c r="CM21" i="6"/>
  <c r="CN21" i="6"/>
  <c r="CO21" i="6"/>
  <c r="CP21" i="6"/>
  <c r="CQ21" i="6"/>
  <c r="CM21" i="12"/>
  <c r="CN21" i="12"/>
  <c r="CO21" i="12"/>
  <c r="CP21" i="12"/>
  <c r="CQ21" i="12"/>
  <c r="CM21" i="3"/>
  <c r="CN21" i="3"/>
  <c r="CO21" i="3"/>
  <c r="CP21" i="3"/>
  <c r="CQ21" i="3"/>
  <c r="CM21" i="1"/>
  <c r="CN21" i="1"/>
  <c r="CO21" i="1"/>
  <c r="CP21" i="1"/>
  <c r="CQ21" i="1"/>
  <c r="CM21" i="17"/>
  <c r="CN21" i="17"/>
  <c r="CO21" i="17"/>
  <c r="CP21" i="17"/>
  <c r="CQ21" i="17"/>
  <c r="CM21" i="4"/>
  <c r="CN21" i="4"/>
  <c r="CO21" i="4"/>
  <c r="CP21" i="4"/>
  <c r="CQ21" i="4"/>
  <c r="CM21" i="15"/>
  <c r="CN21" i="15"/>
  <c r="CO21" i="15"/>
  <c r="CP21" i="15"/>
  <c r="CQ21" i="15"/>
  <c r="CM21" i="14"/>
  <c r="CN21" i="14"/>
  <c r="CO21" i="14"/>
  <c r="CP21" i="14"/>
  <c r="CQ21" i="14"/>
  <c r="CM21" i="11"/>
  <c r="CN21" i="11"/>
  <c r="CO21" i="11"/>
  <c r="CP21" i="11"/>
  <c r="CQ21" i="11"/>
  <c r="CM21" i="10"/>
  <c r="CN21" i="10"/>
  <c r="CO21" i="10"/>
  <c r="CP21" i="10"/>
  <c r="CQ21" i="10"/>
  <c r="CM21" i="16"/>
  <c r="CN21" i="16"/>
  <c r="CO21" i="16"/>
  <c r="CP21" i="16"/>
  <c r="CQ21" i="16"/>
  <c r="CM21" i="13"/>
  <c r="CN21" i="13"/>
  <c r="CO21" i="13"/>
  <c r="CP21" i="13"/>
  <c r="CQ21" i="13"/>
  <c r="CM21" i="9"/>
  <c r="CN21" i="9"/>
  <c r="CO21" i="9"/>
  <c r="CP21" i="9"/>
  <c r="CQ21" i="9"/>
  <c r="CM21" i="8"/>
  <c r="CN21" i="8"/>
  <c r="CO21" i="8"/>
  <c r="CP21" i="8"/>
  <c r="CQ21" i="8"/>
  <c r="CM20" i="4"/>
  <c r="CN20" i="4"/>
  <c r="CO20" i="4"/>
  <c r="CP20" i="4"/>
  <c r="CQ20" i="4"/>
  <c r="CM20" i="15"/>
  <c r="CN20" i="15"/>
  <c r="CO20" i="15"/>
  <c r="CP20" i="15"/>
  <c r="CQ20" i="15"/>
  <c r="CM20" i="17"/>
  <c r="CN20" i="17"/>
  <c r="CO20" i="17"/>
  <c r="CP20" i="17"/>
  <c r="CQ20" i="17"/>
  <c r="CM20" i="11"/>
  <c r="CN20" i="11"/>
  <c r="CO20" i="11"/>
  <c r="CP20" i="11"/>
  <c r="CQ20" i="11"/>
  <c r="CM20" i="12"/>
  <c r="CN20" i="12"/>
  <c r="CO20" i="12"/>
  <c r="CP20" i="12"/>
  <c r="CQ20" i="12"/>
  <c r="CM20" i="13"/>
  <c r="CN20" i="13"/>
  <c r="CO20" i="13"/>
  <c r="CP20" i="13"/>
  <c r="CQ20" i="13"/>
  <c r="CM20" i="14"/>
  <c r="CN20" i="14"/>
  <c r="CO20" i="14"/>
  <c r="CP20" i="14"/>
  <c r="CQ20" i="14"/>
  <c r="CM20" i="1"/>
  <c r="CN20" i="1"/>
  <c r="CO20" i="1"/>
  <c r="CP20" i="1"/>
  <c r="CQ20" i="1"/>
  <c r="CM20" i="16"/>
  <c r="CN20" i="16"/>
  <c r="CO20" i="16"/>
  <c r="CP20" i="16"/>
  <c r="CQ20" i="16"/>
  <c r="CM20" i="8"/>
  <c r="CN20" i="8"/>
  <c r="CO20" i="8"/>
  <c r="CP20" i="8"/>
  <c r="CQ20" i="8"/>
  <c r="CM20" i="9"/>
  <c r="CN20" i="9"/>
  <c r="CO20" i="9"/>
  <c r="CP20" i="9"/>
  <c r="CQ20" i="9"/>
  <c r="CM20" i="6"/>
  <c r="CN20" i="6"/>
  <c r="CO20" i="6"/>
  <c r="CP20" i="6"/>
  <c r="CQ20" i="6"/>
  <c r="CM20" i="10"/>
  <c r="CN20" i="10"/>
  <c r="CO20" i="10"/>
  <c r="CP20" i="10"/>
  <c r="CQ20" i="10"/>
  <c r="CM20" i="3"/>
  <c r="CN20" i="3"/>
  <c r="CO20" i="3"/>
  <c r="CP20" i="3"/>
  <c r="CQ20" i="3"/>
  <c r="CM19" i="6"/>
  <c r="CN19" i="6"/>
  <c r="CO19" i="6"/>
  <c r="CP19" i="6"/>
  <c r="CQ19" i="6"/>
  <c r="CM19" i="11"/>
  <c r="CN19" i="11"/>
  <c r="CO19" i="11"/>
  <c r="CP19" i="11"/>
  <c r="CQ19" i="11"/>
  <c r="CM19" i="13"/>
  <c r="CN19" i="13"/>
  <c r="CO19" i="13"/>
  <c r="CP19" i="13"/>
  <c r="CQ19" i="13"/>
  <c r="CM19" i="12"/>
  <c r="CN19" i="12"/>
  <c r="CO19" i="12"/>
  <c r="CP19" i="12"/>
  <c r="CQ19" i="12"/>
  <c r="CM19" i="15"/>
  <c r="CN19" i="15"/>
  <c r="CO19" i="15"/>
  <c r="CP19" i="15"/>
  <c r="CQ19" i="15"/>
  <c r="CM19" i="9"/>
  <c r="CN19" i="9"/>
  <c r="CO19" i="9"/>
  <c r="CP19" i="9"/>
  <c r="CQ19" i="9"/>
  <c r="CM19" i="14"/>
  <c r="CN19" i="14"/>
  <c r="CO19" i="14"/>
  <c r="CP19" i="14"/>
  <c r="CQ19" i="14"/>
  <c r="CM19" i="8"/>
  <c r="CN19" i="8"/>
  <c r="CO19" i="8"/>
  <c r="CP19" i="8"/>
  <c r="CQ19" i="8"/>
  <c r="CM19" i="3"/>
  <c r="CN19" i="3"/>
  <c r="CO19" i="3"/>
  <c r="CP19" i="3"/>
  <c r="CQ19" i="3"/>
  <c r="CM19" i="16"/>
  <c r="CN19" i="16"/>
  <c r="CO19" i="16"/>
  <c r="CP19" i="16"/>
  <c r="CQ19" i="16"/>
  <c r="CM19" i="10"/>
  <c r="CN19" i="10"/>
  <c r="CO19" i="10"/>
  <c r="CP19" i="10"/>
  <c r="CQ19" i="10"/>
  <c r="CM19" i="4"/>
  <c r="CN19" i="4"/>
  <c r="CO19" i="4"/>
  <c r="CP19" i="4"/>
  <c r="CQ19" i="4"/>
  <c r="CM19" i="1"/>
  <c r="CN19" i="1"/>
  <c r="CO19" i="1"/>
  <c r="CP19" i="1"/>
  <c r="CQ19" i="1"/>
  <c r="CM19" i="17"/>
  <c r="CN19" i="17"/>
  <c r="CO19" i="17"/>
  <c r="CP19" i="17"/>
  <c r="CQ19" i="17"/>
  <c r="CM18" i="1"/>
  <c r="CN18" i="1"/>
  <c r="CO18" i="1"/>
  <c r="CP18" i="1"/>
  <c r="CQ18" i="1"/>
  <c r="CM18" i="15"/>
  <c r="CN18" i="15"/>
  <c r="CO18" i="15"/>
  <c r="CP18" i="15"/>
  <c r="CQ18" i="15"/>
  <c r="CM18" i="8"/>
  <c r="CN18" i="8"/>
  <c r="CO18" i="8"/>
  <c r="CP18" i="8"/>
  <c r="CQ18" i="8"/>
  <c r="CM18" i="10"/>
  <c r="CN18" i="10"/>
  <c r="CO18" i="10"/>
  <c r="CP18" i="10"/>
  <c r="CQ18" i="10"/>
  <c r="CM18" i="11"/>
  <c r="CN18" i="11"/>
  <c r="CO18" i="11"/>
  <c r="CP18" i="11"/>
  <c r="CQ18" i="11"/>
  <c r="CM18" i="12"/>
  <c r="CN18" i="12"/>
  <c r="CO18" i="12"/>
  <c r="CP18" i="12"/>
  <c r="CQ18" i="12"/>
  <c r="CM18" i="14"/>
  <c r="CN18" i="14"/>
  <c r="CO18" i="14"/>
  <c r="CP18" i="14"/>
  <c r="CQ18" i="14"/>
  <c r="CM18" i="9"/>
  <c r="CN18" i="9"/>
  <c r="CO18" i="9"/>
  <c r="CP18" i="9"/>
  <c r="CQ18" i="9"/>
  <c r="CM18" i="3"/>
  <c r="CN18" i="3"/>
  <c r="CO18" i="3"/>
  <c r="CP18" i="3"/>
  <c r="CQ18" i="3"/>
  <c r="CM18" i="17"/>
  <c r="CN18" i="17"/>
  <c r="CO18" i="17"/>
  <c r="CP18" i="17"/>
  <c r="CQ18" i="17"/>
  <c r="CM18" i="16"/>
  <c r="CN18" i="16"/>
  <c r="CO18" i="16"/>
  <c r="CP18" i="16"/>
  <c r="CQ18" i="16"/>
  <c r="CM18" i="4"/>
  <c r="CN18" i="4"/>
  <c r="CO18" i="4"/>
  <c r="CP18" i="4"/>
  <c r="CQ18" i="4"/>
  <c r="CM18" i="13"/>
  <c r="CN18" i="13"/>
  <c r="CO18" i="13"/>
  <c r="CP18" i="13"/>
  <c r="CQ18" i="13"/>
  <c r="CM18" i="6"/>
  <c r="CN18" i="6"/>
  <c r="CO18" i="6"/>
  <c r="CP18" i="6"/>
  <c r="CQ18" i="6"/>
  <c r="CM17" i="3"/>
  <c r="CN17" i="3"/>
  <c r="CO17" i="3"/>
  <c r="CP17" i="3"/>
  <c r="CQ17" i="3"/>
  <c r="CM17" i="12"/>
  <c r="CN17" i="12"/>
  <c r="CO17" i="12"/>
  <c r="CP17" i="12"/>
  <c r="CQ17" i="12"/>
  <c r="CM17" i="11"/>
  <c r="CN17" i="11"/>
  <c r="CO17" i="11"/>
  <c r="CP17" i="11"/>
  <c r="CQ17" i="11"/>
  <c r="CM17" i="9"/>
  <c r="CN17" i="9"/>
  <c r="CO17" i="9"/>
  <c r="CP17" i="9"/>
  <c r="CQ17" i="9"/>
  <c r="CQ13" i="8"/>
  <c r="CQ14" i="8"/>
  <c r="CQ15" i="8"/>
  <c r="CQ16" i="8"/>
  <c r="CQ17" i="8"/>
  <c r="CP13" i="8"/>
  <c r="CP14" i="8"/>
  <c r="CP15" i="8"/>
  <c r="CP16" i="8"/>
  <c r="CP17" i="8"/>
  <c r="CO13" i="8"/>
  <c r="CO14" i="8"/>
  <c r="CO15" i="8"/>
  <c r="CO16" i="8"/>
  <c r="CO17" i="8"/>
  <c r="CN13" i="8"/>
  <c r="CN14" i="8"/>
  <c r="CN15" i="8"/>
  <c r="CN16" i="8"/>
  <c r="CN17" i="8"/>
  <c r="CM13" i="8"/>
  <c r="CM14" i="8"/>
  <c r="CM15" i="8"/>
  <c r="CM16" i="8"/>
  <c r="CM17" i="8"/>
  <c r="CQ12" i="4"/>
  <c r="CQ13" i="4"/>
  <c r="CQ14" i="4"/>
  <c r="CQ15" i="4"/>
  <c r="CQ16" i="4"/>
  <c r="CQ17" i="4"/>
  <c r="CP12" i="4"/>
  <c r="CP13" i="4"/>
  <c r="CP14" i="4"/>
  <c r="CP15" i="4"/>
  <c r="CP16" i="4"/>
  <c r="CP17" i="4"/>
  <c r="CO12" i="4"/>
  <c r="CO13" i="4"/>
  <c r="CO14" i="4"/>
  <c r="CO15" i="4"/>
  <c r="CO16" i="4"/>
  <c r="CO17" i="4"/>
  <c r="CN12" i="4"/>
  <c r="CN13" i="4"/>
  <c r="CN14" i="4"/>
  <c r="CN15" i="4"/>
  <c r="CN16" i="4"/>
  <c r="CN17" i="4"/>
  <c r="CM12" i="4"/>
  <c r="CM13" i="4"/>
  <c r="CM14" i="4"/>
  <c r="CM15" i="4"/>
  <c r="CM16" i="4"/>
  <c r="CM17" i="4"/>
  <c r="CM17" i="16"/>
  <c r="CN17" i="16"/>
  <c r="CO17" i="16"/>
  <c r="CP17" i="16"/>
  <c r="CQ17" i="16"/>
  <c r="CM17" i="1"/>
  <c r="CN17" i="1"/>
  <c r="CO17" i="1"/>
  <c r="CP17" i="1"/>
  <c r="CQ17" i="1"/>
  <c r="CM17" i="6"/>
  <c r="CN17" i="6"/>
  <c r="CO17" i="6"/>
  <c r="CP17" i="6"/>
  <c r="CQ17" i="6"/>
  <c r="CM17" i="13"/>
  <c r="CN17" i="13"/>
  <c r="CO17" i="13"/>
  <c r="CP17" i="13"/>
  <c r="CQ17" i="13"/>
  <c r="CM17" i="14"/>
  <c r="CN17" i="14"/>
  <c r="CO17" i="14"/>
  <c r="CP17" i="14"/>
  <c r="CQ17" i="14"/>
  <c r="CM17" i="17"/>
  <c r="CN17" i="17"/>
  <c r="CO17" i="17"/>
  <c r="CP17" i="17"/>
  <c r="CQ17" i="17"/>
  <c r="CM17" i="10"/>
  <c r="CN17" i="10"/>
  <c r="CO17" i="10"/>
  <c r="CP17" i="10"/>
  <c r="CQ17" i="10"/>
  <c r="CM17" i="15"/>
  <c r="CN17" i="15"/>
  <c r="CO17" i="15"/>
  <c r="CP17" i="15"/>
  <c r="CQ17" i="15"/>
  <c r="CM16" i="1"/>
  <c r="CN16" i="1"/>
  <c r="CO16" i="1"/>
  <c r="CP16" i="1"/>
  <c r="CQ16" i="1"/>
  <c r="CM16" i="13"/>
  <c r="CN16" i="13"/>
  <c r="CO16" i="13"/>
  <c r="CP16" i="13"/>
  <c r="CQ16" i="13"/>
  <c r="CM16" i="15"/>
  <c r="CN16" i="15"/>
  <c r="CO16" i="15"/>
  <c r="CP16" i="15"/>
  <c r="CQ16" i="15"/>
  <c r="CM16" i="11"/>
  <c r="CN16" i="11"/>
  <c r="CO16" i="11"/>
  <c r="CP16" i="11"/>
  <c r="CQ16" i="11"/>
  <c r="CM16" i="6"/>
  <c r="CN16" i="6"/>
  <c r="CO16" i="6"/>
  <c r="CP16" i="6"/>
  <c r="CQ16" i="6"/>
  <c r="CM16" i="3"/>
  <c r="CN16" i="3"/>
  <c r="CO16" i="3"/>
  <c r="CP16" i="3"/>
  <c r="CQ16" i="3"/>
  <c r="CM16" i="12"/>
  <c r="CN16" i="12"/>
  <c r="CO16" i="12"/>
  <c r="CP16" i="12"/>
  <c r="CQ16" i="12"/>
  <c r="CM16" i="10"/>
  <c r="CN16" i="10"/>
  <c r="CO16" i="10"/>
  <c r="CP16" i="10"/>
  <c r="CQ16" i="10"/>
  <c r="CM16" i="9"/>
  <c r="CN16" i="9"/>
  <c r="CO16" i="9"/>
  <c r="CP16" i="9"/>
  <c r="CQ16" i="9"/>
  <c r="CM16" i="16"/>
  <c r="CN16" i="16"/>
  <c r="CO16" i="16"/>
  <c r="CP16" i="16"/>
  <c r="CQ16" i="16"/>
  <c r="CM16" i="14"/>
  <c r="CN16" i="14"/>
  <c r="CO16" i="14"/>
  <c r="CP16" i="14"/>
  <c r="CQ16" i="14"/>
  <c r="CM16" i="17"/>
  <c r="CN16" i="17"/>
  <c r="CO16" i="17"/>
  <c r="CP16" i="17"/>
  <c r="CQ16" i="17"/>
  <c r="CM15" i="11"/>
  <c r="CN15" i="11"/>
  <c r="CO15" i="11"/>
  <c r="CP15" i="11"/>
  <c r="CQ15" i="11"/>
  <c r="CM15" i="13"/>
  <c r="CN15" i="13"/>
  <c r="CO15" i="13"/>
  <c r="CP15" i="13"/>
  <c r="CQ15" i="13"/>
  <c r="CM15" i="15"/>
  <c r="CN15" i="15"/>
  <c r="CO15" i="15"/>
  <c r="CP15" i="15"/>
  <c r="CQ15" i="15"/>
  <c r="CM15" i="14"/>
  <c r="CN15" i="14"/>
  <c r="CO15" i="14"/>
  <c r="CP15" i="14"/>
  <c r="CQ15" i="14"/>
  <c r="CM15" i="6"/>
  <c r="CN15" i="6"/>
  <c r="CO15" i="6"/>
  <c r="CP15" i="6"/>
  <c r="CQ15" i="6"/>
  <c r="CM15" i="12"/>
  <c r="CN15" i="12"/>
  <c r="CO15" i="12"/>
  <c r="CP15" i="12"/>
  <c r="CQ15" i="12"/>
  <c r="CM15" i="1"/>
  <c r="CN15" i="1"/>
  <c r="CO15" i="1"/>
  <c r="CP15" i="1"/>
  <c r="CQ15" i="1"/>
  <c r="CM15" i="10"/>
  <c r="CN15" i="10"/>
  <c r="CO15" i="10"/>
  <c r="CP15" i="10"/>
  <c r="CQ15" i="10"/>
  <c r="CM15" i="16"/>
  <c r="CN15" i="16"/>
  <c r="CO15" i="16"/>
  <c r="CP15" i="16"/>
  <c r="CQ15" i="16"/>
  <c r="CM15" i="3"/>
  <c r="CN15" i="3"/>
  <c r="CO15" i="3"/>
  <c r="CP15" i="3"/>
  <c r="CQ15" i="3"/>
  <c r="CM15" i="17"/>
  <c r="CN15" i="17"/>
  <c r="CO15" i="17"/>
  <c r="CP15" i="17"/>
  <c r="CQ15" i="17"/>
  <c r="CM15" i="9"/>
  <c r="CN15" i="9"/>
  <c r="CO15" i="9"/>
  <c r="CP15" i="9"/>
  <c r="CQ15" i="9"/>
  <c r="CM14" i="12"/>
  <c r="CN14" i="12"/>
  <c r="CO14" i="12"/>
  <c r="CP14" i="12"/>
  <c r="CQ14" i="12"/>
  <c r="CM14" i="15"/>
  <c r="CN14" i="15"/>
  <c r="CO14" i="15"/>
  <c r="CP14" i="15"/>
  <c r="CQ14" i="15"/>
  <c r="CM14" i="10"/>
  <c r="CN14" i="10"/>
  <c r="CO14" i="10"/>
  <c r="CP14" i="10"/>
  <c r="CQ14" i="10"/>
  <c r="CM14" i="11"/>
  <c r="CN14" i="11"/>
  <c r="CO14" i="11"/>
  <c r="CP14" i="11"/>
  <c r="CQ14" i="11"/>
  <c r="CM14" i="6"/>
  <c r="CN14" i="6"/>
  <c r="CO14" i="6"/>
  <c r="CP14" i="6"/>
  <c r="CQ14" i="6"/>
  <c r="CM14" i="9"/>
  <c r="CN14" i="9"/>
  <c r="CO14" i="9"/>
  <c r="CP14" i="9"/>
  <c r="CQ14" i="9"/>
  <c r="CM14" i="17"/>
  <c r="CN14" i="17"/>
  <c r="CO14" i="17"/>
  <c r="CP14" i="17"/>
  <c r="CQ14" i="17"/>
  <c r="CM14" i="1"/>
  <c r="CN14" i="1"/>
  <c r="CO14" i="1"/>
  <c r="CP14" i="1"/>
  <c r="CQ14" i="1"/>
  <c r="CM14" i="13"/>
  <c r="CN14" i="13"/>
  <c r="CO14" i="13"/>
  <c r="CP14" i="13"/>
  <c r="CQ14" i="13"/>
  <c r="CM14" i="14"/>
  <c r="CN14" i="14"/>
  <c r="CO14" i="14"/>
  <c r="CP14" i="14"/>
  <c r="CQ14" i="14"/>
  <c r="CM14" i="16"/>
  <c r="CN14" i="16"/>
  <c r="CO14" i="16"/>
  <c r="CP14" i="16"/>
  <c r="CQ14" i="16"/>
  <c r="CM14" i="3"/>
  <c r="CN14" i="3"/>
  <c r="CO14" i="3"/>
  <c r="CP14" i="3"/>
  <c r="CQ14" i="3"/>
  <c r="CM5" i="17"/>
  <c r="CM6" i="17"/>
  <c r="CM7" i="17"/>
  <c r="CM8" i="17"/>
  <c r="CM9" i="17"/>
  <c r="CM10" i="17"/>
  <c r="CM11" i="17"/>
  <c r="CM12" i="17"/>
  <c r="CM13" i="17"/>
  <c r="CN5" i="17"/>
  <c r="CN6" i="17"/>
  <c r="CN7" i="17"/>
  <c r="CN8" i="17"/>
  <c r="CN9" i="17"/>
  <c r="CN10" i="17"/>
  <c r="CN11" i="17"/>
  <c r="CN12" i="17"/>
  <c r="CN13" i="17"/>
  <c r="CO5" i="17"/>
  <c r="CO6" i="17"/>
  <c r="CO7" i="17"/>
  <c r="CO8" i="17"/>
  <c r="CO9" i="17"/>
  <c r="CO10" i="17"/>
  <c r="CO11" i="17"/>
  <c r="CO12" i="17"/>
  <c r="CO13" i="17"/>
  <c r="CP5" i="17"/>
  <c r="CP6" i="17"/>
  <c r="CP7" i="17"/>
  <c r="CP8" i="17"/>
  <c r="CP9" i="17"/>
  <c r="CP10" i="17"/>
  <c r="CP11" i="17"/>
  <c r="CP12" i="17"/>
  <c r="CP13" i="17"/>
  <c r="CQ5" i="17"/>
  <c r="CQ6" i="17"/>
  <c r="CQ7" i="17"/>
  <c r="CQ8" i="17"/>
  <c r="CQ9" i="17"/>
  <c r="CQ10" i="17"/>
  <c r="CQ11" i="17"/>
  <c r="CQ12" i="17"/>
  <c r="CQ13" i="17"/>
  <c r="CM5" i="16"/>
  <c r="CM6" i="16"/>
  <c r="CM7" i="16"/>
  <c r="CM8" i="16"/>
  <c r="CM9" i="16"/>
  <c r="CM10" i="16"/>
  <c r="CM11" i="16"/>
  <c r="CM12" i="16"/>
  <c r="CM13" i="16"/>
  <c r="CN5" i="16"/>
  <c r="CN6" i="16"/>
  <c r="CN7" i="16"/>
  <c r="CN8" i="16"/>
  <c r="CN9" i="16"/>
  <c r="CN10" i="16"/>
  <c r="CN11" i="16"/>
  <c r="CN12" i="16"/>
  <c r="CN13" i="16"/>
  <c r="CO5" i="16"/>
  <c r="CO6" i="16"/>
  <c r="CO7" i="16"/>
  <c r="CO8" i="16"/>
  <c r="CO9" i="16"/>
  <c r="CO10" i="16"/>
  <c r="CO11" i="16"/>
  <c r="CO12" i="16"/>
  <c r="CO13" i="16"/>
  <c r="CP5" i="16"/>
  <c r="CP6" i="16"/>
  <c r="CP7" i="16"/>
  <c r="CP8" i="16"/>
  <c r="CP9" i="16"/>
  <c r="CP10" i="16"/>
  <c r="CP11" i="16"/>
  <c r="CP12" i="16"/>
  <c r="CP13" i="16"/>
  <c r="CQ5" i="16"/>
  <c r="CQ6" i="16"/>
  <c r="CQ7" i="16"/>
  <c r="CQ8" i="16"/>
  <c r="CQ9" i="16"/>
  <c r="CQ10" i="16"/>
  <c r="CQ11" i="16"/>
  <c r="CQ12" i="16"/>
  <c r="CQ13" i="16"/>
  <c r="CM5" i="15"/>
  <c r="CM6" i="15"/>
  <c r="CM7" i="15"/>
  <c r="CM8" i="15"/>
  <c r="CM9" i="15"/>
  <c r="CM10" i="15"/>
  <c r="CM11" i="15"/>
  <c r="CM12" i="15"/>
  <c r="CM13" i="15"/>
  <c r="CN5" i="15"/>
  <c r="CN6" i="15"/>
  <c r="CN7" i="15"/>
  <c r="CN8" i="15"/>
  <c r="CN9" i="15"/>
  <c r="CN10" i="15"/>
  <c r="CN11" i="15"/>
  <c r="CN12" i="15"/>
  <c r="CN13" i="15"/>
  <c r="CO5" i="15"/>
  <c r="CO6" i="15"/>
  <c r="CO7" i="15"/>
  <c r="CO8" i="15"/>
  <c r="CO9" i="15"/>
  <c r="CO10" i="15"/>
  <c r="CO11" i="15"/>
  <c r="CO12" i="15"/>
  <c r="CO13" i="15"/>
  <c r="CP5" i="15"/>
  <c r="CP6" i="15"/>
  <c r="CP7" i="15"/>
  <c r="CP8" i="15"/>
  <c r="CP9" i="15"/>
  <c r="CP10" i="15"/>
  <c r="CP11" i="15"/>
  <c r="CP12" i="15"/>
  <c r="CP13" i="15"/>
  <c r="CQ5" i="15"/>
  <c r="CQ6" i="15"/>
  <c r="CQ7" i="15"/>
  <c r="CQ8" i="15"/>
  <c r="CQ9" i="15"/>
  <c r="CQ10" i="15"/>
  <c r="CQ11" i="15"/>
  <c r="CQ12" i="15"/>
  <c r="CQ13" i="15"/>
  <c r="CM5" i="14"/>
  <c r="CM6" i="14"/>
  <c r="CM7" i="14"/>
  <c r="CM8" i="14"/>
  <c r="CM9" i="14"/>
  <c r="CM10" i="14"/>
  <c r="CM11" i="14"/>
  <c r="CM12" i="14"/>
  <c r="CM13" i="14"/>
  <c r="CN5" i="14"/>
  <c r="CN6" i="14"/>
  <c r="CN7" i="14"/>
  <c r="CN8" i="14"/>
  <c r="CN9" i="14"/>
  <c r="CN10" i="14"/>
  <c r="CN11" i="14"/>
  <c r="CN12" i="14"/>
  <c r="CN13" i="14"/>
  <c r="CO5" i="14"/>
  <c r="CO6" i="14"/>
  <c r="CO7" i="14"/>
  <c r="CO8" i="14"/>
  <c r="CO9" i="14"/>
  <c r="CO10" i="14"/>
  <c r="CO11" i="14"/>
  <c r="CO12" i="14"/>
  <c r="CO13" i="14"/>
  <c r="CP5" i="14"/>
  <c r="CP6" i="14"/>
  <c r="CP7" i="14"/>
  <c r="CP8" i="14"/>
  <c r="CP9" i="14"/>
  <c r="CP10" i="14"/>
  <c r="CP11" i="14"/>
  <c r="CP12" i="14"/>
  <c r="CP13" i="14"/>
  <c r="CQ5" i="14"/>
  <c r="CQ6" i="14"/>
  <c r="CQ7" i="14"/>
  <c r="CQ8" i="14"/>
  <c r="CQ9" i="14"/>
  <c r="CQ10" i="14"/>
  <c r="CQ11" i="14"/>
  <c r="CQ12" i="14"/>
  <c r="CQ13" i="14"/>
  <c r="CM5" i="13"/>
  <c r="CM6" i="13"/>
  <c r="CM7" i="13"/>
  <c r="CM8" i="13"/>
  <c r="CM9" i="13"/>
  <c r="CM10" i="13"/>
  <c r="CM11" i="13"/>
  <c r="CM12" i="13"/>
  <c r="CM13" i="13"/>
  <c r="CN5" i="13"/>
  <c r="CN6" i="13"/>
  <c r="CN7" i="13"/>
  <c r="CN8" i="13"/>
  <c r="CN9" i="13"/>
  <c r="CN10" i="13"/>
  <c r="CN11" i="13"/>
  <c r="CN12" i="13"/>
  <c r="CN13" i="13"/>
  <c r="CO5" i="13"/>
  <c r="CO6" i="13"/>
  <c r="CO7" i="13"/>
  <c r="CO8" i="13"/>
  <c r="CO9" i="13"/>
  <c r="CO10" i="13"/>
  <c r="CO11" i="13"/>
  <c r="CO12" i="13"/>
  <c r="CO13" i="13"/>
  <c r="CP5" i="13"/>
  <c r="CP6" i="13"/>
  <c r="CP7" i="13"/>
  <c r="CP8" i="13"/>
  <c r="CP9" i="13"/>
  <c r="CP10" i="13"/>
  <c r="CP11" i="13"/>
  <c r="CP12" i="13"/>
  <c r="CP13" i="13"/>
  <c r="CQ5" i="13"/>
  <c r="CQ6" i="13"/>
  <c r="CQ7" i="13"/>
  <c r="CQ8" i="13"/>
  <c r="CQ9" i="13"/>
  <c r="CQ10" i="13"/>
  <c r="CQ11" i="13"/>
  <c r="CQ12" i="13"/>
  <c r="CQ13" i="13"/>
  <c r="CM5" i="12"/>
  <c r="CM6" i="12"/>
  <c r="CM7" i="12"/>
  <c r="CM8" i="12"/>
  <c r="CM9" i="12"/>
  <c r="CM10" i="12"/>
  <c r="CM11" i="12"/>
  <c r="CM12" i="12"/>
  <c r="CM13" i="12"/>
  <c r="CN5" i="12"/>
  <c r="CN6" i="12"/>
  <c r="CN7" i="12"/>
  <c r="CN8" i="12"/>
  <c r="CN9" i="12"/>
  <c r="CN10" i="12"/>
  <c r="CN11" i="12"/>
  <c r="CN12" i="12"/>
  <c r="CN13" i="12"/>
  <c r="CO5" i="12"/>
  <c r="CO6" i="12"/>
  <c r="CO7" i="12"/>
  <c r="CO8" i="12"/>
  <c r="CO9" i="12"/>
  <c r="CO10" i="12"/>
  <c r="CO11" i="12"/>
  <c r="CO12" i="12"/>
  <c r="CO13" i="12"/>
  <c r="CP5" i="12"/>
  <c r="CP6" i="12"/>
  <c r="CP7" i="12"/>
  <c r="CP8" i="12"/>
  <c r="CP9" i="12"/>
  <c r="CP10" i="12"/>
  <c r="CP11" i="12"/>
  <c r="CP12" i="12"/>
  <c r="CP13" i="12"/>
  <c r="CQ5" i="12"/>
  <c r="CQ6" i="12"/>
  <c r="CQ7" i="12"/>
  <c r="CQ8" i="12"/>
  <c r="CQ9" i="12"/>
  <c r="CQ10" i="12"/>
  <c r="CQ11" i="12"/>
  <c r="CQ12" i="12"/>
  <c r="CQ13" i="12"/>
  <c r="CM5" i="11"/>
  <c r="CM6" i="11"/>
  <c r="CM7" i="11"/>
  <c r="CM8" i="11"/>
  <c r="CM9" i="11"/>
  <c r="CM10" i="11"/>
  <c r="CM11" i="11"/>
  <c r="CM12" i="11"/>
  <c r="CM13" i="11"/>
  <c r="CN5" i="11"/>
  <c r="CN6" i="11"/>
  <c r="CN7" i="11"/>
  <c r="CN8" i="11"/>
  <c r="CN9" i="11"/>
  <c r="CN10" i="11"/>
  <c r="CN11" i="11"/>
  <c r="CN12" i="11"/>
  <c r="CN13" i="11"/>
  <c r="CO5" i="11"/>
  <c r="CO6" i="11"/>
  <c r="CO7" i="11"/>
  <c r="CO8" i="11"/>
  <c r="CO9" i="11"/>
  <c r="CO10" i="11"/>
  <c r="CO11" i="11"/>
  <c r="CO12" i="11"/>
  <c r="CO13" i="11"/>
  <c r="CP5" i="11"/>
  <c r="CP6" i="11"/>
  <c r="CP7" i="11"/>
  <c r="CP8" i="11"/>
  <c r="CP9" i="11"/>
  <c r="CP10" i="11"/>
  <c r="CP11" i="11"/>
  <c r="CP12" i="11"/>
  <c r="CP13" i="11"/>
  <c r="CQ5" i="11"/>
  <c r="CQ6" i="11"/>
  <c r="CQ7" i="11"/>
  <c r="CQ8" i="11"/>
  <c r="CQ9" i="11"/>
  <c r="CQ10" i="11"/>
  <c r="CQ11" i="11"/>
  <c r="CQ12" i="11"/>
  <c r="CQ13" i="11"/>
  <c r="CM5" i="10"/>
  <c r="CM6" i="10"/>
  <c r="CM7" i="10"/>
  <c r="CM8" i="10"/>
  <c r="CM9" i="10"/>
  <c r="CM10" i="10"/>
  <c r="CM11" i="10"/>
  <c r="CM12" i="10"/>
  <c r="CM13" i="10"/>
  <c r="CN5" i="10"/>
  <c r="CN6" i="10"/>
  <c r="CN7" i="10"/>
  <c r="CN8" i="10"/>
  <c r="CN9" i="10"/>
  <c r="CN10" i="10"/>
  <c r="CN11" i="10"/>
  <c r="CN12" i="10"/>
  <c r="CN13" i="10"/>
  <c r="CO5" i="10"/>
  <c r="CO6" i="10"/>
  <c r="CO7" i="10"/>
  <c r="CO8" i="10"/>
  <c r="CO9" i="10"/>
  <c r="CO10" i="10"/>
  <c r="CO11" i="10"/>
  <c r="CO12" i="10"/>
  <c r="CO13" i="10"/>
  <c r="CP5" i="10"/>
  <c r="CP6" i="10"/>
  <c r="CP7" i="10"/>
  <c r="CP8" i="10"/>
  <c r="CP9" i="10"/>
  <c r="CP10" i="10"/>
  <c r="CP11" i="10"/>
  <c r="CP12" i="10"/>
  <c r="CP13" i="10"/>
  <c r="CQ5" i="10"/>
  <c r="CQ6" i="10"/>
  <c r="CQ7" i="10"/>
  <c r="CQ8" i="10"/>
  <c r="CQ9" i="10"/>
  <c r="CQ10" i="10"/>
  <c r="CQ11" i="10"/>
  <c r="CQ12" i="10"/>
  <c r="CQ13" i="10"/>
  <c r="CM5" i="9"/>
  <c r="CM6" i="9"/>
  <c r="CM7" i="9"/>
  <c r="CM8" i="9"/>
  <c r="CM9" i="9"/>
  <c r="CM10" i="9"/>
  <c r="CM11" i="9"/>
  <c r="CM12" i="9"/>
  <c r="CM13" i="9"/>
  <c r="CN5" i="9"/>
  <c r="CN6" i="9"/>
  <c r="CN7" i="9"/>
  <c r="CN8" i="9"/>
  <c r="CN9" i="9"/>
  <c r="CN10" i="9"/>
  <c r="CN11" i="9"/>
  <c r="CN12" i="9"/>
  <c r="CN13" i="9"/>
  <c r="CO5" i="9"/>
  <c r="CO6" i="9"/>
  <c r="CO7" i="9"/>
  <c r="CO8" i="9"/>
  <c r="CO9" i="9"/>
  <c r="CO10" i="9"/>
  <c r="CO11" i="9"/>
  <c r="CO12" i="9"/>
  <c r="CO13" i="9"/>
  <c r="CP5" i="9"/>
  <c r="CP6" i="9"/>
  <c r="CP7" i="9"/>
  <c r="CP8" i="9"/>
  <c r="CP9" i="9"/>
  <c r="CP10" i="9"/>
  <c r="CP11" i="9"/>
  <c r="CP12" i="9"/>
  <c r="CP13" i="9"/>
  <c r="CQ5" i="9"/>
  <c r="CQ6" i="9"/>
  <c r="CQ7" i="9"/>
  <c r="CQ8" i="9"/>
  <c r="CQ9" i="9"/>
  <c r="CQ10" i="9"/>
  <c r="CQ11" i="9"/>
  <c r="CQ12" i="9"/>
  <c r="CQ13" i="9"/>
  <c r="CM5" i="8"/>
  <c r="CM6" i="8"/>
  <c r="CM7" i="8"/>
  <c r="CM8" i="8"/>
  <c r="CM9" i="8"/>
  <c r="CM10" i="8"/>
  <c r="CM11" i="8"/>
  <c r="CM12" i="8"/>
  <c r="CN5" i="8"/>
  <c r="CN6" i="8"/>
  <c r="CN7" i="8"/>
  <c r="CN8" i="8"/>
  <c r="CN9" i="8"/>
  <c r="CN10" i="8"/>
  <c r="CN11" i="8"/>
  <c r="CN12" i="8"/>
  <c r="CO5" i="8"/>
  <c r="CO6" i="8"/>
  <c r="CO7" i="8"/>
  <c r="CO8" i="8"/>
  <c r="CO9" i="8"/>
  <c r="CO10" i="8"/>
  <c r="CO11" i="8"/>
  <c r="CO12" i="8"/>
  <c r="CP5" i="8"/>
  <c r="CP6" i="8"/>
  <c r="CP7" i="8"/>
  <c r="CP8" i="8"/>
  <c r="CP9" i="8"/>
  <c r="CP10" i="8"/>
  <c r="CP11" i="8"/>
  <c r="CP12" i="8"/>
  <c r="CQ5" i="8"/>
  <c r="CQ6" i="8"/>
  <c r="CQ7" i="8"/>
  <c r="CQ8" i="8"/>
  <c r="CQ9" i="8"/>
  <c r="CQ10" i="8"/>
  <c r="CQ11" i="8"/>
  <c r="CQ12" i="8"/>
  <c r="CM5" i="6"/>
  <c r="CM6" i="6"/>
  <c r="CM7" i="6"/>
  <c r="CM8" i="6"/>
  <c r="CM9" i="6"/>
  <c r="CM10" i="6"/>
  <c r="CM11" i="6"/>
  <c r="CM12" i="6"/>
  <c r="CM13" i="6"/>
  <c r="CN5" i="6"/>
  <c r="CN6" i="6"/>
  <c r="CN7" i="6"/>
  <c r="CN8" i="6"/>
  <c r="CN9" i="6"/>
  <c r="CN10" i="6"/>
  <c r="CN11" i="6"/>
  <c r="CN12" i="6"/>
  <c r="CN13" i="6"/>
  <c r="CO5" i="6"/>
  <c r="CO6" i="6"/>
  <c r="CO7" i="6"/>
  <c r="CO8" i="6"/>
  <c r="CO9" i="6"/>
  <c r="CO10" i="6"/>
  <c r="CO11" i="6"/>
  <c r="CO12" i="6"/>
  <c r="CO13" i="6"/>
  <c r="CP5" i="6"/>
  <c r="CP6" i="6"/>
  <c r="CP7" i="6"/>
  <c r="CP8" i="6"/>
  <c r="CP9" i="6"/>
  <c r="CP10" i="6"/>
  <c r="CP11" i="6"/>
  <c r="CP12" i="6"/>
  <c r="CP13" i="6"/>
  <c r="CQ5" i="6"/>
  <c r="CQ6" i="6"/>
  <c r="CQ7" i="6"/>
  <c r="CQ8" i="6"/>
  <c r="CQ9" i="6"/>
  <c r="CQ10" i="6"/>
  <c r="CQ11" i="6"/>
  <c r="CQ12" i="6"/>
  <c r="CQ13" i="6"/>
  <c r="CM5" i="4"/>
  <c r="CM6" i="4"/>
  <c r="CM7" i="4"/>
  <c r="CM8" i="4"/>
  <c r="CM9" i="4"/>
  <c r="CM10" i="4"/>
  <c r="CM11" i="4"/>
  <c r="CN5" i="4"/>
  <c r="CN6" i="4"/>
  <c r="CN7" i="4"/>
  <c r="CN8" i="4"/>
  <c r="CN9" i="4"/>
  <c r="CN10" i="4"/>
  <c r="CN11" i="4"/>
  <c r="CO5" i="4"/>
  <c r="CO6" i="4"/>
  <c r="CO7" i="4"/>
  <c r="CO8" i="4"/>
  <c r="CO9" i="4"/>
  <c r="CO10" i="4"/>
  <c r="CO11" i="4"/>
  <c r="CP5" i="4"/>
  <c r="CP6" i="4"/>
  <c r="CP7" i="4"/>
  <c r="CP8" i="4"/>
  <c r="CP9" i="4"/>
  <c r="CP10" i="4"/>
  <c r="CP11" i="4"/>
  <c r="CQ5" i="4"/>
  <c r="CQ6" i="4"/>
  <c r="CQ7" i="4"/>
  <c r="CQ8" i="4"/>
  <c r="CQ9" i="4"/>
  <c r="CQ10" i="4"/>
  <c r="CQ11" i="4"/>
  <c r="CM5" i="3"/>
  <c r="CM6" i="3"/>
  <c r="CM7" i="3"/>
  <c r="CM8" i="3"/>
  <c r="CM9" i="3"/>
  <c r="CM10" i="3"/>
  <c r="CM11" i="3"/>
  <c r="CM12" i="3"/>
  <c r="CM13" i="3"/>
  <c r="CN5" i="3"/>
  <c r="CN6" i="3"/>
  <c r="CN7" i="3"/>
  <c r="CN8" i="3"/>
  <c r="CN9" i="3"/>
  <c r="CN10" i="3"/>
  <c r="CN11" i="3"/>
  <c r="CN12" i="3"/>
  <c r="CN13" i="3"/>
  <c r="CO5" i="3"/>
  <c r="CO6" i="3"/>
  <c r="CO7" i="3"/>
  <c r="CO8" i="3"/>
  <c r="CO9" i="3"/>
  <c r="CO10" i="3"/>
  <c r="CO11" i="3"/>
  <c r="CO12" i="3"/>
  <c r="CO13" i="3"/>
  <c r="CP5" i="3"/>
  <c r="CP6" i="3"/>
  <c r="CP7" i="3"/>
  <c r="CP8" i="3"/>
  <c r="CP9" i="3"/>
  <c r="CP10" i="3"/>
  <c r="CP11" i="3"/>
  <c r="CP12" i="3"/>
  <c r="CP13" i="3"/>
  <c r="CQ5" i="3"/>
  <c r="CQ6" i="3"/>
  <c r="CQ7" i="3"/>
  <c r="CQ8" i="3"/>
  <c r="CQ9" i="3"/>
  <c r="CQ10" i="3"/>
  <c r="CQ11" i="3"/>
  <c r="CQ12" i="3"/>
  <c r="CQ13" i="3"/>
  <c r="CM5" i="1"/>
  <c r="CM6" i="1"/>
  <c r="CM7" i="1"/>
  <c r="CM8" i="1"/>
  <c r="CM9" i="1"/>
  <c r="CM10" i="1"/>
  <c r="CM11" i="1"/>
  <c r="CM12" i="1"/>
  <c r="CM13" i="1"/>
  <c r="CN5" i="1"/>
  <c r="CN6" i="1"/>
  <c r="CN7" i="1"/>
  <c r="CN8" i="1"/>
  <c r="CN9" i="1"/>
  <c r="CN10" i="1"/>
  <c r="CN11" i="1"/>
  <c r="CN12" i="1"/>
  <c r="CN13" i="1"/>
  <c r="CO5" i="1"/>
  <c r="CO6" i="1"/>
  <c r="CO7" i="1"/>
  <c r="CO8" i="1"/>
  <c r="CO9" i="1"/>
  <c r="CO10" i="1"/>
  <c r="CO11" i="1"/>
  <c r="CO12" i="1"/>
  <c r="CO13" i="1"/>
  <c r="CP5" i="1"/>
  <c r="CP6" i="1"/>
  <c r="CP7" i="1"/>
  <c r="CP8" i="1"/>
  <c r="CP9" i="1"/>
  <c r="CP10" i="1"/>
  <c r="CP11" i="1"/>
  <c r="CP12" i="1"/>
  <c r="CP13" i="1"/>
  <c r="CQ5" i="1"/>
  <c r="CQ6" i="1"/>
  <c r="CQ7" i="1"/>
  <c r="CQ8" i="1"/>
  <c r="CQ9" i="1"/>
  <c r="CQ10" i="1"/>
  <c r="CQ11" i="1"/>
  <c r="CQ12" i="1"/>
  <c r="CQ13" i="1"/>
  <c r="CQ4" i="1"/>
  <c r="CP4" i="1"/>
  <c r="CO4" i="1"/>
  <c r="CN4" i="1"/>
  <c r="CQ4" i="3"/>
  <c r="CP4" i="3"/>
  <c r="CO4" i="3"/>
  <c r="CN4" i="3"/>
  <c r="CQ4" i="4"/>
  <c r="CP4" i="4"/>
  <c r="CO4" i="4"/>
  <c r="CN4" i="4"/>
  <c r="CQ4" i="5"/>
  <c r="CP4" i="5"/>
  <c r="CO4" i="5"/>
  <c r="CN4" i="5"/>
  <c r="CQ4" i="6"/>
  <c r="CP4" i="6"/>
  <c r="CO4" i="6"/>
  <c r="CN4" i="6"/>
  <c r="CQ4" i="7"/>
  <c r="CP4" i="7"/>
  <c r="CO4" i="7"/>
  <c r="CN4" i="7"/>
  <c r="CQ4" i="8"/>
  <c r="CP4" i="8"/>
  <c r="CO4" i="8"/>
  <c r="CN4" i="8"/>
  <c r="CQ4" i="9"/>
  <c r="CP4" i="9"/>
  <c r="CO4" i="9"/>
  <c r="CN4" i="9"/>
  <c r="CQ4" i="10"/>
  <c r="CP4" i="10"/>
  <c r="CO4" i="10"/>
  <c r="CN4" i="10"/>
  <c r="CQ4" i="11"/>
  <c r="CP4" i="11"/>
  <c r="CO4" i="11"/>
  <c r="CN4" i="11"/>
  <c r="CQ4" i="12"/>
  <c r="CP4" i="12"/>
  <c r="CO4" i="12"/>
  <c r="CN4" i="12"/>
  <c r="CQ4" i="13"/>
  <c r="CP4" i="13"/>
  <c r="CO4" i="13"/>
  <c r="CN4" i="13"/>
  <c r="CQ4" i="14"/>
  <c r="CP4" i="14"/>
  <c r="CO4" i="14"/>
  <c r="CN4" i="14"/>
  <c r="CQ4" i="15"/>
  <c r="CP4" i="15"/>
  <c r="CO4" i="15"/>
  <c r="CN4" i="15"/>
  <c r="CQ4" i="16"/>
  <c r="CP4" i="16"/>
  <c r="CO4" i="16"/>
  <c r="CN4" i="16"/>
  <c r="CQ4" i="17"/>
  <c r="CP4" i="17"/>
  <c r="CO4" i="17"/>
  <c r="CN4" i="17"/>
  <c r="GA10" i="2"/>
  <c r="FW10" i="2"/>
  <c r="FW2" i="2"/>
  <c r="GC8" i="2"/>
  <c r="FW12" i="2"/>
  <c r="FW4" i="2"/>
  <c r="FW5" i="2"/>
  <c r="GA17" i="2"/>
  <c r="FW15" i="2"/>
  <c r="GC6" i="2"/>
  <c r="FW7" i="2"/>
  <c r="FW14" i="2"/>
  <c r="GA11" i="2"/>
  <c r="FW3" i="2"/>
  <c r="FY14" i="2"/>
  <c r="GA16" i="2"/>
  <c r="GA13" i="2"/>
  <c r="FY15" i="2"/>
  <c r="FW13" i="2"/>
  <c r="GC17" i="2"/>
  <c r="GC12" i="2"/>
  <c r="FY3" i="2"/>
  <c r="FY5" i="2"/>
  <c r="FY7" i="2"/>
  <c r="GC10" i="2"/>
  <c r="FW6" i="2"/>
  <c r="GA8" i="2"/>
  <c r="GA14" i="2"/>
  <c r="GA2" i="2"/>
  <c r="FY16" i="2"/>
  <c r="GA7" i="2"/>
  <c r="GA4" i="2"/>
  <c r="GA9" i="2"/>
  <c r="GA3" i="2"/>
  <c r="FY6" i="2"/>
  <c r="GC11" i="2"/>
  <c r="GC9" i="2"/>
  <c r="GC15" i="2"/>
  <c r="FY11" i="2"/>
  <c r="GC2" i="2"/>
  <c r="FY8" i="2"/>
  <c r="GA5" i="2"/>
  <c r="GA15" i="2"/>
  <c r="GC5" i="2"/>
  <c r="GC13" i="2"/>
  <c r="FY9" i="2"/>
  <c r="FW16" i="2"/>
  <c r="GC4" i="2"/>
  <c r="GA12" i="2"/>
  <c r="FY17" i="2"/>
  <c r="FY2" i="2"/>
  <c r="FY12" i="2"/>
  <c r="FW9" i="2"/>
  <c r="GC14" i="2"/>
  <c r="GC16" i="2"/>
  <c r="FW8" i="2"/>
  <c r="GC7" i="2"/>
  <c r="GC3" i="2"/>
  <c r="FY4" i="2"/>
  <c r="GA6" i="2"/>
  <c r="FW17" i="2"/>
  <c r="FW11" i="2"/>
  <c r="FY13" i="2"/>
  <c r="GD17" i="2" l="1"/>
  <c r="GD5" i="2"/>
  <c r="GD16" i="2"/>
  <c r="GD12" i="2"/>
  <c r="GD8" i="2"/>
  <c r="GD4" i="2"/>
  <c r="GD9" i="2"/>
  <c r="GD15" i="2"/>
  <c r="GD11" i="2"/>
  <c r="GD7" i="2"/>
  <c r="GD3" i="2"/>
  <c r="GD13" i="2"/>
  <c r="GD14" i="2"/>
  <c r="GD10" i="2"/>
  <c r="GD6" i="2"/>
  <c r="GD2" i="2"/>
  <c r="GB17" i="2"/>
  <c r="GB5" i="2"/>
  <c r="GB16" i="2"/>
  <c r="GB12" i="2"/>
  <c r="GB8" i="2"/>
  <c r="GB4" i="2"/>
  <c r="GB13" i="2"/>
  <c r="GB15" i="2"/>
  <c r="GB11" i="2"/>
  <c r="GB7" i="2"/>
  <c r="GB3" i="2"/>
  <c r="GB9" i="2"/>
  <c r="GB14" i="2"/>
  <c r="GB10" i="2"/>
  <c r="GB6" i="2"/>
  <c r="GB2" i="2"/>
  <c r="FX16" i="2"/>
  <c r="FX9" i="2"/>
  <c r="FX2" i="2"/>
  <c r="FX11" i="2"/>
  <c r="FX6" i="2"/>
  <c r="FX12" i="2"/>
  <c r="FX7" i="2"/>
  <c r="FX8" i="2"/>
  <c r="FX13" i="2"/>
  <c r="FX4" i="2"/>
  <c r="FX3" i="2"/>
  <c r="FX14" i="2"/>
  <c r="FX5" i="2"/>
  <c r="FX15" i="2"/>
  <c r="FX10" i="2"/>
  <c r="FX17" i="2"/>
  <c r="F11" i="2"/>
  <c r="F16" i="2"/>
  <c r="F8" i="2"/>
  <c r="F7" i="2"/>
  <c r="F15" i="2"/>
  <c r="F2" i="2"/>
  <c r="F14" i="2"/>
  <c r="F13" i="2"/>
  <c r="F3" i="2"/>
  <c r="F12" i="2"/>
  <c r="F10" i="2"/>
  <c r="F5" i="2"/>
  <c r="F4" i="2"/>
  <c r="F6" i="2"/>
  <c r="F17" i="2"/>
  <c r="F9" i="2"/>
  <c r="CM4" i="3"/>
  <c r="CM4" i="10"/>
  <c r="CM4" i="8"/>
  <c r="CM4" i="6"/>
  <c r="CM4" i="7"/>
  <c r="CM4" i="17"/>
  <c r="CM4" i="5"/>
  <c r="FY10" i="2"/>
  <c r="FZ16" i="2" l="1"/>
  <c r="FZ2" i="2"/>
  <c r="FZ15" i="2"/>
  <c r="FZ14" i="2"/>
  <c r="FZ5" i="2"/>
  <c r="FZ9" i="2"/>
  <c r="FZ12" i="2"/>
  <c r="FZ10" i="2"/>
  <c r="FZ17" i="2"/>
  <c r="FZ8" i="2"/>
  <c r="FZ7" i="2"/>
  <c r="FZ11" i="2"/>
  <c r="FZ13" i="2"/>
  <c r="FZ6" i="2"/>
  <c r="FZ4" i="2"/>
  <c r="FZ3" i="2"/>
  <c r="B49" i="35"/>
  <c r="B50" i="35"/>
  <c r="B33" i="35"/>
  <c r="B32" i="35"/>
  <c r="I7" i="35" l="1"/>
  <c r="M7" i="35"/>
  <c r="K7" i="35"/>
  <c r="O7" i="35"/>
  <c r="A7" i="35"/>
  <c r="E7" i="35"/>
  <c r="C7" i="35"/>
  <c r="G7" i="35"/>
  <c r="CM4" i="16"/>
  <c r="CM4" i="15"/>
  <c r="CM4" i="14"/>
  <c r="CM4" i="13"/>
  <c r="CM4" i="12"/>
  <c r="CM4" i="11"/>
  <c r="CM4" i="9"/>
  <c r="CM4" i="4"/>
  <c r="CM4" i="1"/>
  <c r="CW30" i="35"/>
  <c r="CV47" i="35"/>
  <c r="CT48" i="35"/>
  <c r="CT47" i="35"/>
  <c r="CW51" i="35"/>
  <c r="CW45" i="35"/>
  <c r="CU28" i="35"/>
  <c r="CU47" i="35"/>
  <c r="CV28" i="35"/>
  <c r="CV46" i="35"/>
  <c r="CW29" i="35"/>
  <c r="CT30" i="35"/>
  <c r="CV27" i="35"/>
  <c r="CW27" i="35"/>
  <c r="CV44" i="35"/>
  <c r="CW28" i="35"/>
  <c r="CU48" i="35"/>
  <c r="CW44" i="35"/>
  <c r="CU44" i="35"/>
  <c r="CV34" i="35"/>
  <c r="CU30" i="35"/>
  <c r="CT29" i="35"/>
  <c r="CU34" i="35"/>
  <c r="CU45" i="35"/>
  <c r="CT45" i="35"/>
  <c r="CW34" i="35"/>
  <c r="CT46" i="35"/>
  <c r="CV31" i="35"/>
  <c r="CV30" i="35"/>
  <c r="CW31" i="35"/>
  <c r="CV45" i="35"/>
  <c r="CU31" i="35"/>
  <c r="CV48" i="35"/>
  <c r="CW47" i="35"/>
  <c r="CU29" i="35"/>
  <c r="CV29" i="35"/>
  <c r="CT28" i="35"/>
  <c r="CU51" i="35"/>
  <c r="CU46" i="35"/>
  <c r="CT34" i="35"/>
  <c r="CU27" i="35"/>
  <c r="CW46" i="35"/>
  <c r="CT31" i="35"/>
  <c r="CT27" i="35"/>
  <c r="CT44" i="35"/>
  <c r="CT51" i="35"/>
  <c r="CV51" i="35"/>
  <c r="CW48" i="35"/>
  <c r="CW50" i="35" l="1"/>
  <c r="CW49" i="35"/>
  <c r="CU52" i="35"/>
  <c r="CT35" i="35"/>
  <c r="CU50" i="35"/>
  <c r="CU49" i="35"/>
  <c r="CT32" i="35"/>
  <c r="CT33" i="35"/>
  <c r="CW35" i="35"/>
  <c r="CU35" i="35"/>
  <c r="CT49" i="35"/>
  <c r="CT50" i="35"/>
  <c r="CV52" i="35"/>
  <c r="CU33" i="35"/>
  <c r="CU32" i="35"/>
  <c r="CW33" i="35"/>
  <c r="CW32" i="35"/>
  <c r="CV50" i="35"/>
  <c r="CV49" i="35"/>
  <c r="CT52" i="35"/>
  <c r="CW52" i="35"/>
  <c r="CV32" i="35"/>
  <c r="CV33" i="35"/>
  <c r="CV35" i="35"/>
  <c r="EL12" i="2"/>
  <c r="DF12" i="2"/>
  <c r="CN12" i="2"/>
  <c r="CH12" i="2"/>
  <c r="BX12" i="2"/>
  <c r="AJ12" i="2"/>
  <c r="AD12" i="2"/>
  <c r="FD12" i="2"/>
  <c r="BX10" i="2"/>
  <c r="AJ10" i="2"/>
  <c r="CZ10" i="2"/>
  <c r="BD10" i="2"/>
  <c r="AD10" i="2"/>
  <c r="DD12" i="2"/>
  <c r="DL12" i="2"/>
  <c r="EX6" i="2"/>
  <c r="CN6" i="2"/>
  <c r="AR6" i="2"/>
  <c r="CX6" i="2"/>
  <c r="CP6" i="2"/>
  <c r="BZ6" i="2"/>
  <c r="BX6" i="2"/>
  <c r="AD6" i="2"/>
  <c r="EX11" i="2"/>
  <c r="EL11" i="2"/>
  <c r="DV11" i="2"/>
  <c r="DT11" i="2"/>
  <c r="DD11" i="2"/>
  <c r="CN11" i="2"/>
  <c r="CF11" i="2"/>
  <c r="BZ11" i="2"/>
  <c r="BH11" i="2"/>
  <c r="AT11" i="2"/>
  <c r="AJ11" i="2"/>
  <c r="AD11" i="2"/>
  <c r="FD11" i="2"/>
  <c r="DL11" i="2"/>
  <c r="DT3" i="2"/>
  <c r="DF3" i="2"/>
  <c r="CX3" i="2"/>
  <c r="CV3" i="2"/>
  <c r="CN3" i="2"/>
  <c r="BX3" i="2"/>
  <c r="EL3" i="2"/>
  <c r="ED3" i="2"/>
  <c r="DN3" i="2"/>
  <c r="CF3" i="2"/>
  <c r="AR3" i="2"/>
  <c r="EX4" i="2"/>
  <c r="AJ4" i="2"/>
  <c r="T14" i="2"/>
  <c r="CN14" i="2"/>
  <c r="AJ14" i="2"/>
  <c r="CP10" i="2"/>
  <c r="AL10" i="2"/>
  <c r="BL10" i="2"/>
  <c r="CB10" i="2"/>
  <c r="EX5" i="2"/>
  <c r="ET5" i="2"/>
  <c r="DV5" i="2"/>
  <c r="CH5" i="2"/>
  <c r="EB15" i="2"/>
  <c r="DT15" i="2"/>
  <c r="DL15" i="2"/>
  <c r="DD15" i="2"/>
  <c r="CV15" i="2"/>
  <c r="CN15" i="2"/>
  <c r="BX15" i="2"/>
  <c r="BH15" i="2"/>
  <c r="T15" i="2"/>
  <c r="CF15" i="2"/>
  <c r="AR15" i="2"/>
  <c r="FD15" i="2"/>
  <c r="DT14" i="2"/>
  <c r="DV14" i="2"/>
  <c r="CP14" i="2"/>
  <c r="BR14" i="2"/>
  <c r="J14" i="2"/>
  <c r="DF2" i="2"/>
  <c r="DT13" i="2"/>
  <c r="DL13" i="2"/>
  <c r="CV13" i="2"/>
  <c r="BX13" i="2"/>
  <c r="AR13" i="2"/>
  <c r="AJ13" i="2"/>
  <c r="T13" i="2"/>
  <c r="EL13" i="2"/>
  <c r="EB13" i="2"/>
  <c r="DD13" i="2"/>
  <c r="CP13" i="2"/>
  <c r="CF13" i="2"/>
  <c r="BH13" i="2"/>
  <c r="AD13" i="2"/>
  <c r="DR6" i="2"/>
  <c r="CL6" i="2"/>
  <c r="L6" i="2"/>
  <c r="DT7" i="2"/>
  <c r="DL7" i="2"/>
  <c r="CN7" i="2"/>
  <c r="CF7" i="2"/>
  <c r="AR7" i="2"/>
  <c r="AJ7" i="2"/>
  <c r="BZ7" i="2"/>
  <c r="EX8" i="2"/>
  <c r="DL8" i="2"/>
  <c r="BX8" i="2"/>
  <c r="BH8" i="2"/>
  <c r="AR8" i="2"/>
  <c r="J16" i="2"/>
  <c r="P16" i="2"/>
  <c r="H16" i="2"/>
  <c r="EN5" i="2"/>
  <c r="DX5" i="2"/>
  <c r="DH5" i="2"/>
  <c r="CR5" i="2"/>
  <c r="CB5" i="2"/>
  <c r="BL5" i="2"/>
  <c r="AN5" i="2"/>
  <c r="X5" i="2"/>
  <c r="CJ7" i="2"/>
  <c r="BX7" i="2"/>
  <c r="BD7" i="2"/>
  <c r="P7" i="2"/>
  <c r="EN7" i="2"/>
  <c r="EF7" i="2"/>
  <c r="DX7" i="2"/>
  <c r="DP7" i="2"/>
  <c r="DH7" i="2"/>
  <c r="CZ7" i="2"/>
  <c r="AV7" i="2"/>
  <c r="AN7" i="2"/>
  <c r="H7" i="2"/>
  <c r="CP11" i="2"/>
  <c r="AJ15" i="2"/>
  <c r="FD2" i="2"/>
  <c r="DV12" i="2"/>
  <c r="BZ12" i="2"/>
  <c r="BR12" i="2"/>
  <c r="CN13" i="2"/>
  <c r="DF13" i="2"/>
  <c r="CX13" i="2"/>
  <c r="AL13" i="2"/>
  <c r="AX17" i="2"/>
  <c r="DN6" i="2"/>
  <c r="AT6" i="2"/>
  <c r="CH10" i="2"/>
  <c r="AT10" i="2"/>
  <c r="DN15" i="2"/>
  <c r="EL8" i="2"/>
  <c r="DF8" i="2"/>
  <c r="CP8" i="2"/>
  <c r="FD8" i="2"/>
  <c r="DN4" i="2"/>
  <c r="CP4" i="2"/>
  <c r="BP4" i="2"/>
  <c r="AT4" i="2"/>
  <c r="AD4" i="2"/>
  <c r="EP2" i="2"/>
  <c r="DR2" i="2"/>
  <c r="CD2" i="2"/>
  <c r="L2" i="2"/>
  <c r="AX9" i="2"/>
  <c r="EL16" i="2"/>
  <c r="DV16" i="2"/>
  <c r="CP16" i="2"/>
  <c r="AL16" i="2"/>
  <c r="AD16" i="2"/>
  <c r="FD16" i="2"/>
  <c r="AT17" i="2"/>
  <c r="DN13" i="2"/>
  <c r="CH13" i="2"/>
  <c r="EL14" i="2"/>
  <c r="DF14" i="2"/>
  <c r="BZ14" i="2"/>
  <c r="AL14" i="2"/>
  <c r="AD14" i="2"/>
  <c r="ET3" i="2"/>
  <c r="CH3" i="2"/>
  <c r="CP12" i="2"/>
  <c r="CP7" i="2"/>
  <c r="BR7" i="2"/>
  <c r="ED8" i="2"/>
  <c r="DV8" i="2"/>
  <c r="CX8" i="2"/>
  <c r="BZ8" i="2"/>
  <c r="DV15" i="2"/>
  <c r="CP15" i="2"/>
  <c r="DN12" i="2"/>
  <c r="EL6" i="2"/>
  <c r="CP3" i="2"/>
  <c r="AL11" i="2"/>
  <c r="BZ3" i="2"/>
  <c r="AL6" i="2"/>
  <c r="FE17" i="2"/>
  <c r="FD17" i="2"/>
  <c r="ET17" i="2"/>
  <c r="EP17" i="2"/>
  <c r="EN17" i="2"/>
  <c r="EL17" i="2"/>
  <c r="EH17" i="2"/>
  <c r="EF17" i="2"/>
  <c r="ED17" i="2"/>
  <c r="DZ17" i="2"/>
  <c r="DX17" i="2"/>
  <c r="DV17" i="2"/>
  <c r="DR17" i="2"/>
  <c r="DP17" i="2"/>
  <c r="DN17" i="2"/>
  <c r="DJ17" i="2"/>
  <c r="DH17" i="2"/>
  <c r="DF17" i="2"/>
  <c r="DB17" i="2"/>
  <c r="CZ17" i="2"/>
  <c r="CX17" i="2"/>
  <c r="CT17" i="2"/>
  <c r="CR17" i="2"/>
  <c r="CP17" i="2"/>
  <c r="CL17" i="2"/>
  <c r="CJ17" i="2"/>
  <c r="CH17" i="2"/>
  <c r="CD17" i="2"/>
  <c r="CB17" i="2"/>
  <c r="BZ17" i="2"/>
  <c r="BV17" i="2"/>
  <c r="BR17" i="2"/>
  <c r="BL17" i="2"/>
  <c r="BJ17" i="2"/>
  <c r="BF17" i="2"/>
  <c r="BD17" i="2"/>
  <c r="AZ17" i="2"/>
  <c r="AV17" i="2"/>
  <c r="AP17" i="2"/>
  <c r="AN17" i="2"/>
  <c r="AL17" i="2"/>
  <c r="AH17" i="2"/>
  <c r="AD17" i="2"/>
  <c r="X17" i="2"/>
  <c r="V17" i="2"/>
  <c r="R17" i="2"/>
  <c r="P17" i="2"/>
  <c r="L17" i="2"/>
  <c r="H17" i="2"/>
  <c r="FE16" i="2"/>
  <c r="EP16" i="2"/>
  <c r="EN16" i="2"/>
  <c r="EH16" i="2"/>
  <c r="EF16" i="2"/>
  <c r="DZ16" i="2"/>
  <c r="DX16" i="2"/>
  <c r="DR16" i="2"/>
  <c r="DP16" i="2"/>
  <c r="DJ16" i="2"/>
  <c r="DH16" i="2"/>
  <c r="DF16" i="2"/>
  <c r="DB16" i="2"/>
  <c r="CZ16" i="2"/>
  <c r="CT16" i="2"/>
  <c r="CR16" i="2"/>
  <c r="CL16" i="2"/>
  <c r="CJ16" i="2"/>
  <c r="CD16" i="2"/>
  <c r="CB16" i="2"/>
  <c r="BZ16" i="2"/>
  <c r="BV16" i="2"/>
  <c r="BR16" i="2"/>
  <c r="BL16" i="2"/>
  <c r="BJ16" i="2"/>
  <c r="BF16" i="2"/>
  <c r="BD16" i="2"/>
  <c r="AZ16" i="2"/>
  <c r="AV16" i="2"/>
  <c r="AP16" i="2"/>
  <c r="AN16" i="2"/>
  <c r="AH16" i="2"/>
  <c r="X16" i="2"/>
  <c r="R16" i="2"/>
  <c r="L16" i="2"/>
  <c r="FE15" i="2"/>
  <c r="ET15" i="2"/>
  <c r="EP15" i="2"/>
  <c r="EN15" i="2"/>
  <c r="EL15" i="2"/>
  <c r="EH15" i="2"/>
  <c r="EF15" i="2"/>
  <c r="DZ15" i="2"/>
  <c r="DX15" i="2"/>
  <c r="DR15" i="2"/>
  <c r="DP15" i="2"/>
  <c r="DJ15" i="2"/>
  <c r="DH15" i="2"/>
  <c r="DB15" i="2"/>
  <c r="CZ15" i="2"/>
  <c r="CT15" i="2"/>
  <c r="CR15" i="2"/>
  <c r="CL15" i="2"/>
  <c r="CJ15" i="2"/>
  <c r="CH15" i="2"/>
  <c r="CD15" i="2"/>
  <c r="CB15" i="2"/>
  <c r="BZ15" i="2"/>
  <c r="BV15" i="2"/>
  <c r="BR15" i="2"/>
  <c r="BL15" i="2"/>
  <c r="BF15" i="2"/>
  <c r="BD15" i="2"/>
  <c r="AZ15" i="2"/>
  <c r="AV15" i="2"/>
  <c r="AP15" i="2"/>
  <c r="AN15" i="2"/>
  <c r="AL15" i="2"/>
  <c r="AH15" i="2"/>
  <c r="X15" i="2"/>
  <c r="R15" i="2"/>
  <c r="P15" i="2"/>
  <c r="L15" i="2"/>
  <c r="H15" i="2"/>
  <c r="FE14" i="2"/>
  <c r="FD14" i="2"/>
  <c r="ET14" i="2"/>
  <c r="EP14" i="2"/>
  <c r="EN14" i="2"/>
  <c r="EH14" i="2"/>
  <c r="EF14" i="2"/>
  <c r="ED14" i="2"/>
  <c r="DZ14" i="2"/>
  <c r="DX14" i="2"/>
  <c r="DR14" i="2"/>
  <c r="DP14" i="2"/>
  <c r="DN14" i="2"/>
  <c r="DJ14" i="2"/>
  <c r="DH14" i="2"/>
  <c r="DB14" i="2"/>
  <c r="CZ14" i="2"/>
  <c r="CX14" i="2"/>
  <c r="CT14" i="2"/>
  <c r="CR14" i="2"/>
  <c r="CL14" i="2"/>
  <c r="CJ14" i="2"/>
  <c r="CH14" i="2"/>
  <c r="CD14" i="2"/>
  <c r="CB14" i="2"/>
  <c r="BV14" i="2"/>
  <c r="BL14" i="2"/>
  <c r="BF14" i="2"/>
  <c r="BD14" i="2"/>
  <c r="AZ14" i="2"/>
  <c r="AV14" i="2"/>
  <c r="AT14" i="2"/>
  <c r="AP14" i="2"/>
  <c r="AN14" i="2"/>
  <c r="AH14" i="2"/>
  <c r="X14" i="2"/>
  <c r="R14" i="2"/>
  <c r="P14" i="2"/>
  <c r="L14" i="2"/>
  <c r="H14" i="2"/>
  <c r="FE13" i="2"/>
  <c r="ET13" i="2"/>
  <c r="EP13" i="2"/>
  <c r="EN13" i="2"/>
  <c r="EH13" i="2"/>
  <c r="EF13" i="2"/>
  <c r="DZ13" i="2"/>
  <c r="DX13" i="2"/>
  <c r="DR13" i="2"/>
  <c r="DP13" i="2"/>
  <c r="DJ13" i="2"/>
  <c r="DH13" i="2"/>
  <c r="DB13" i="2"/>
  <c r="CZ13" i="2"/>
  <c r="CT13" i="2"/>
  <c r="CR13" i="2"/>
  <c r="CL13" i="2"/>
  <c r="CJ13" i="2"/>
  <c r="CD13" i="2"/>
  <c r="CB13" i="2"/>
  <c r="BV13" i="2"/>
  <c r="BL13" i="2"/>
  <c r="BF13" i="2"/>
  <c r="BD13" i="2"/>
  <c r="AZ13" i="2"/>
  <c r="AV13" i="2"/>
  <c r="AP13" i="2"/>
  <c r="AN13" i="2"/>
  <c r="AH13" i="2"/>
  <c r="X13" i="2"/>
  <c r="R13" i="2"/>
  <c r="P13" i="2"/>
  <c r="L13" i="2"/>
  <c r="H13" i="2"/>
  <c r="FE12" i="2"/>
  <c r="EP12" i="2"/>
  <c r="EN12" i="2"/>
  <c r="EH12" i="2"/>
  <c r="EF12" i="2"/>
  <c r="DZ12" i="2"/>
  <c r="DX12" i="2"/>
  <c r="DR12" i="2"/>
  <c r="DP12" i="2"/>
  <c r="DJ12" i="2"/>
  <c r="DH12" i="2"/>
  <c r="DB12" i="2"/>
  <c r="CZ12" i="2"/>
  <c r="CT12" i="2"/>
  <c r="CR12" i="2"/>
  <c r="CL12" i="2"/>
  <c r="CJ12" i="2"/>
  <c r="CD12" i="2"/>
  <c r="CB12" i="2"/>
  <c r="BV12" i="2"/>
  <c r="BL12" i="2"/>
  <c r="BF12" i="2"/>
  <c r="BD12" i="2"/>
  <c r="AZ12" i="2"/>
  <c r="AV12" i="2"/>
  <c r="AP12" i="2"/>
  <c r="AN12" i="2"/>
  <c r="AH12" i="2"/>
  <c r="X12" i="2"/>
  <c r="R12" i="2"/>
  <c r="P12" i="2"/>
  <c r="L12" i="2"/>
  <c r="H12" i="2"/>
  <c r="FE11" i="2"/>
  <c r="EP11" i="2"/>
  <c r="EN11" i="2"/>
  <c r="EH11" i="2"/>
  <c r="EF11" i="2"/>
  <c r="DZ11" i="2"/>
  <c r="DX11" i="2"/>
  <c r="DR11" i="2"/>
  <c r="DP11" i="2"/>
  <c r="DJ11" i="2"/>
  <c r="DH11" i="2"/>
  <c r="DF11" i="2"/>
  <c r="DB11" i="2"/>
  <c r="CZ11" i="2"/>
  <c r="CT11" i="2"/>
  <c r="CR11" i="2"/>
  <c r="CL11" i="2"/>
  <c r="CJ11" i="2"/>
  <c r="CD11" i="2"/>
  <c r="CB11" i="2"/>
  <c r="BV11" i="2"/>
  <c r="BL11" i="2"/>
  <c r="BJ11" i="2"/>
  <c r="BF11" i="2"/>
  <c r="BD11" i="2"/>
  <c r="AZ11" i="2"/>
  <c r="AV11" i="2"/>
  <c r="AP11" i="2"/>
  <c r="AN11" i="2"/>
  <c r="AH11" i="2"/>
  <c r="X11" i="2"/>
  <c r="R11" i="2"/>
  <c r="P11" i="2"/>
  <c r="L11" i="2"/>
  <c r="H11" i="2"/>
  <c r="CJ10" i="2"/>
  <c r="CD10" i="2"/>
  <c r="BZ10" i="2"/>
  <c r="BV10" i="2"/>
  <c r="BR10" i="2"/>
  <c r="BF10" i="2"/>
  <c r="AZ10" i="2"/>
  <c r="AP10" i="2"/>
  <c r="AN10" i="2"/>
  <c r="AH10" i="2"/>
  <c r="X10" i="2"/>
  <c r="R10" i="2"/>
  <c r="L10" i="2"/>
  <c r="FE9" i="2"/>
  <c r="ET9" i="2"/>
  <c r="EP9" i="2"/>
  <c r="EN9" i="2"/>
  <c r="EH9" i="2"/>
  <c r="EF9" i="2"/>
  <c r="ED9" i="2"/>
  <c r="DZ9" i="2"/>
  <c r="DX9" i="2"/>
  <c r="DR9" i="2"/>
  <c r="DP9" i="2"/>
  <c r="DJ9" i="2"/>
  <c r="DH9" i="2"/>
  <c r="DF9" i="2"/>
  <c r="DB9" i="2"/>
  <c r="CZ9" i="2"/>
  <c r="CT9" i="2"/>
  <c r="CR9" i="2"/>
  <c r="CP9" i="2"/>
  <c r="CL9" i="2"/>
  <c r="CJ9" i="2"/>
  <c r="CD9" i="2"/>
  <c r="CB9" i="2"/>
  <c r="BZ9" i="2"/>
  <c r="BV9" i="2"/>
  <c r="BR9" i="2"/>
  <c r="BL9" i="2"/>
  <c r="BJ9" i="2"/>
  <c r="BF9" i="2"/>
  <c r="BD9" i="2"/>
  <c r="AZ9" i="2"/>
  <c r="AV9" i="2"/>
  <c r="AT9" i="2"/>
  <c r="AP9" i="2"/>
  <c r="AN9" i="2"/>
  <c r="AH9" i="2"/>
  <c r="X9" i="2"/>
  <c r="R9" i="2"/>
  <c r="P9" i="2"/>
  <c r="L9" i="2"/>
  <c r="H9" i="2"/>
  <c r="FE8" i="2"/>
  <c r="EP8" i="2"/>
  <c r="EN8" i="2"/>
  <c r="EH8" i="2"/>
  <c r="EF8" i="2"/>
  <c r="DZ8" i="2"/>
  <c r="DX8" i="2"/>
  <c r="DR8" i="2"/>
  <c r="DP8" i="2"/>
  <c r="DJ8" i="2"/>
  <c r="DH8" i="2"/>
  <c r="DB8" i="2"/>
  <c r="CZ8" i="2"/>
  <c r="CT8" i="2"/>
  <c r="CR8" i="2"/>
  <c r="CL8" i="2"/>
  <c r="CJ8" i="2"/>
  <c r="CD8" i="2"/>
  <c r="CB8" i="2"/>
  <c r="BV8" i="2"/>
  <c r="BL8" i="2"/>
  <c r="BJ8" i="2"/>
  <c r="BF8" i="2"/>
  <c r="BD8" i="2"/>
  <c r="AZ8" i="2"/>
  <c r="AV8" i="2"/>
  <c r="AP8" i="2"/>
  <c r="AN8" i="2"/>
  <c r="AH8" i="2"/>
  <c r="AD8" i="2"/>
  <c r="X8" i="2"/>
  <c r="V8" i="2"/>
  <c r="R8" i="2"/>
  <c r="P8" i="2"/>
  <c r="L8" i="2"/>
  <c r="H8" i="2"/>
  <c r="FE7" i="2"/>
  <c r="FD7" i="2"/>
  <c r="EP7" i="2"/>
  <c r="EL7" i="2"/>
  <c r="EH7" i="2"/>
  <c r="DZ7" i="2"/>
  <c r="DV7" i="2"/>
  <c r="DR7" i="2"/>
  <c r="DJ7" i="2"/>
  <c r="DF7" i="2"/>
  <c r="DB7" i="2"/>
  <c r="CX7" i="2"/>
  <c r="CT7" i="2"/>
  <c r="CR7" i="2"/>
  <c r="CL7" i="2"/>
  <c r="CH7" i="2"/>
  <c r="CD7" i="2"/>
  <c r="CB7" i="2"/>
  <c r="BV7" i="2"/>
  <c r="BL7" i="2"/>
  <c r="BF7" i="2"/>
  <c r="AZ7" i="2"/>
  <c r="AT7" i="2"/>
  <c r="AP7" i="2"/>
  <c r="AH7" i="2"/>
  <c r="R7" i="2"/>
  <c r="L7" i="2"/>
  <c r="FE6" i="2"/>
  <c r="FD6" i="2"/>
  <c r="ET6" i="2"/>
  <c r="EP6" i="2"/>
  <c r="EN6" i="2"/>
  <c r="EH6" i="2"/>
  <c r="EF6" i="2"/>
  <c r="DZ6" i="2"/>
  <c r="DX6" i="2"/>
  <c r="DV6" i="2"/>
  <c r="DP6" i="2"/>
  <c r="DH6" i="2"/>
  <c r="CZ6" i="2"/>
  <c r="CR6" i="2"/>
  <c r="CJ6" i="2"/>
  <c r="CH6" i="2"/>
  <c r="CD6" i="2"/>
  <c r="CB6" i="2"/>
  <c r="BV6" i="2"/>
  <c r="BR6" i="2"/>
  <c r="BL6" i="2"/>
  <c r="BJ6" i="2"/>
  <c r="BD6" i="2"/>
  <c r="AV6" i="2"/>
  <c r="AN6" i="2"/>
  <c r="X6" i="2"/>
  <c r="P6" i="2"/>
  <c r="H6" i="2"/>
  <c r="FE5" i="2"/>
  <c r="FD5" i="2"/>
  <c r="EP5" i="2"/>
  <c r="EH5" i="2"/>
  <c r="EF5" i="2"/>
  <c r="ED5" i="2"/>
  <c r="DZ5" i="2"/>
  <c r="DR5" i="2"/>
  <c r="DP5" i="2"/>
  <c r="DN5" i="2"/>
  <c r="DJ5" i="2"/>
  <c r="DF5" i="2"/>
  <c r="DB5" i="2"/>
  <c r="CZ5" i="2"/>
  <c r="CT5" i="2"/>
  <c r="CP5" i="2"/>
  <c r="CL5" i="2"/>
  <c r="CJ5" i="2"/>
  <c r="CD5" i="2"/>
  <c r="BV5" i="2"/>
  <c r="BF5" i="2"/>
  <c r="BD5" i="2"/>
  <c r="AZ5" i="2"/>
  <c r="AV5" i="2"/>
  <c r="AT5" i="2"/>
  <c r="AP5" i="2"/>
  <c r="AL5" i="2"/>
  <c r="AH5" i="2"/>
  <c r="AD5" i="2"/>
  <c r="V5" i="2"/>
  <c r="R5" i="2"/>
  <c r="P5" i="2"/>
  <c r="L5" i="2"/>
  <c r="H5" i="2"/>
  <c r="FE4" i="2"/>
  <c r="FD4" i="2"/>
  <c r="ET4" i="2"/>
  <c r="EP4" i="2"/>
  <c r="EN4" i="2"/>
  <c r="EL4" i="2"/>
  <c r="EH4" i="2"/>
  <c r="EF4" i="2"/>
  <c r="ED4" i="2"/>
  <c r="DZ4" i="2"/>
  <c r="DX4" i="2"/>
  <c r="DV4" i="2"/>
  <c r="DR4" i="2"/>
  <c r="DP4" i="2"/>
  <c r="DJ4" i="2"/>
  <c r="DH4" i="2"/>
  <c r="DF4" i="2"/>
  <c r="DB4" i="2"/>
  <c r="CZ4" i="2"/>
  <c r="CX4" i="2"/>
  <c r="CT4" i="2"/>
  <c r="CR4" i="2"/>
  <c r="CL4" i="2"/>
  <c r="CJ4" i="2"/>
  <c r="CH4" i="2"/>
  <c r="CD4" i="2"/>
  <c r="CB4" i="2"/>
  <c r="BZ4" i="2"/>
  <c r="BV4" i="2"/>
  <c r="BR4" i="2"/>
  <c r="BL4" i="2"/>
  <c r="BJ4" i="2"/>
  <c r="BF4" i="2"/>
  <c r="BD4" i="2"/>
  <c r="AZ4" i="2"/>
  <c r="AV4" i="2"/>
  <c r="AP4" i="2"/>
  <c r="AN4" i="2"/>
  <c r="AL4" i="2"/>
  <c r="AH4" i="2"/>
  <c r="X4" i="2"/>
  <c r="R4" i="2"/>
  <c r="P4" i="2"/>
  <c r="L4" i="2"/>
  <c r="H4" i="2"/>
  <c r="FE3" i="2"/>
  <c r="FD3" i="2"/>
  <c r="EP3" i="2"/>
  <c r="EN3" i="2"/>
  <c r="EH3" i="2"/>
  <c r="EF3" i="2"/>
  <c r="DZ3" i="2"/>
  <c r="DX3" i="2"/>
  <c r="DR3" i="2"/>
  <c r="DP3" i="2"/>
  <c r="DJ3" i="2"/>
  <c r="DH3" i="2"/>
  <c r="DB3" i="2"/>
  <c r="CZ3" i="2"/>
  <c r="CT3" i="2"/>
  <c r="CR3" i="2"/>
  <c r="CL3" i="2"/>
  <c r="CJ3" i="2"/>
  <c r="CD3" i="2"/>
  <c r="CB3" i="2"/>
  <c r="BV3" i="2"/>
  <c r="BR3" i="2"/>
  <c r="BL3" i="2"/>
  <c r="BF3" i="2"/>
  <c r="BD3" i="2"/>
  <c r="AZ3" i="2"/>
  <c r="AV3" i="2"/>
  <c r="AP3" i="2"/>
  <c r="AN3" i="2"/>
  <c r="AH3" i="2"/>
  <c r="X3" i="2"/>
  <c r="R3" i="2"/>
  <c r="P3" i="2"/>
  <c r="L3" i="2"/>
  <c r="H3" i="2"/>
  <c r="R2" i="2"/>
  <c r="FE2" i="2"/>
  <c r="ET2" i="2"/>
  <c r="EN2" i="2"/>
  <c r="EL2" i="2"/>
  <c r="EF2" i="2"/>
  <c r="ED2" i="2"/>
  <c r="DZ2" i="2"/>
  <c r="DX2" i="2"/>
  <c r="DP2" i="2"/>
  <c r="DJ2" i="2"/>
  <c r="DH2" i="2"/>
  <c r="DB2" i="2"/>
  <c r="CZ2" i="2"/>
  <c r="CX2" i="2"/>
  <c r="CR2" i="2"/>
  <c r="CP2" i="2"/>
  <c r="CL2" i="2"/>
  <c r="CJ2" i="2"/>
  <c r="CH2" i="2"/>
  <c r="CB2" i="2"/>
  <c r="BZ2" i="2"/>
  <c r="BL2" i="2"/>
  <c r="BJ2" i="2"/>
  <c r="BD2" i="2"/>
  <c r="AV2" i="2"/>
  <c r="AN2" i="2"/>
  <c r="X2" i="2"/>
  <c r="P2" i="2"/>
  <c r="H2" i="2"/>
  <c r="O19" i="35" l="1"/>
  <c r="M19" i="35"/>
  <c r="FM14" i="2"/>
  <c r="FK13" i="2"/>
  <c r="FM12" i="2"/>
  <c r="FK6" i="2"/>
  <c r="FQ2" i="2"/>
  <c r="FM16" i="2"/>
  <c r="FQ15" i="2"/>
  <c r="FM6" i="2"/>
  <c r="FM7" i="2"/>
  <c r="FK8" i="2"/>
  <c r="FK9" i="2"/>
  <c r="FM13" i="2"/>
  <c r="FM15" i="2"/>
  <c r="FQ6" i="2"/>
  <c r="FK17" i="2"/>
  <c r="FK3" i="2"/>
  <c r="FM4" i="2"/>
  <c r="FK5" i="2"/>
  <c r="FM8" i="2"/>
  <c r="FM9" i="2"/>
  <c r="FK11" i="2"/>
  <c r="FK15" i="2"/>
  <c r="FM17" i="2"/>
  <c r="FK4" i="2"/>
  <c r="FK2" i="2"/>
  <c r="FM3" i="2"/>
  <c r="FQ4" i="2"/>
  <c r="FM5" i="2"/>
  <c r="FM11" i="2"/>
  <c r="FK12" i="2"/>
  <c r="FK14" i="2"/>
  <c r="FK16" i="2"/>
  <c r="FQ17" i="2"/>
  <c r="FQ14" i="2"/>
  <c r="FK7" i="2"/>
  <c r="FQ13" i="2"/>
  <c r="FQ3" i="2"/>
  <c r="BE2" i="2"/>
  <c r="CC2" i="2"/>
  <c r="CE5" i="2"/>
  <c r="CK6" i="2"/>
  <c r="AO9" i="2"/>
  <c r="BM9" i="2"/>
  <c r="DA13" i="2"/>
  <c r="CE8" i="2"/>
  <c r="CC9" i="2"/>
  <c r="CE15" i="2"/>
  <c r="CC16" i="2"/>
  <c r="BM17" i="2"/>
  <c r="CE2" i="2"/>
  <c r="BM3" i="2"/>
  <c r="CK5" i="2"/>
  <c r="BE6" i="2"/>
  <c r="CC7" i="2"/>
  <c r="CK13" i="2"/>
  <c r="CK14" i="2"/>
  <c r="BM16" i="2"/>
  <c r="CC17" i="2"/>
  <c r="CK7" i="2"/>
  <c r="CC5" i="2"/>
  <c r="DA10" i="2"/>
  <c r="CC3" i="2"/>
  <c r="CE11" i="2"/>
  <c r="BM13" i="2"/>
  <c r="AO14" i="2"/>
  <c r="CE3" i="2"/>
  <c r="CK4" i="2"/>
  <c r="BE5" i="2"/>
  <c r="DA5" i="2"/>
  <c r="CC6" i="2"/>
  <c r="CE7" i="2"/>
  <c r="BM8" i="2"/>
  <c r="CK8" i="2"/>
  <c r="DA8" i="2"/>
  <c r="BE9" i="2"/>
  <c r="CE9" i="2"/>
  <c r="BM11" i="2"/>
  <c r="CK11" i="2"/>
  <c r="DA11" i="2"/>
  <c r="BE14" i="2"/>
  <c r="CC14" i="2"/>
  <c r="DA14" i="2"/>
  <c r="AO15" i="2"/>
  <c r="BE15" i="2"/>
  <c r="AO16" i="2"/>
  <c r="BE16" i="2"/>
  <c r="CE16" i="2"/>
  <c r="AO17" i="2"/>
  <c r="BE17" i="2"/>
  <c r="CE17" i="2"/>
  <c r="DA17" i="2"/>
  <c r="AO7" i="2"/>
  <c r="CC10" i="2"/>
  <c r="AO12" i="2"/>
  <c r="AO2" i="2"/>
  <c r="BM2" i="2"/>
  <c r="CK2" i="2"/>
  <c r="CK3" i="2"/>
  <c r="DA3" i="2"/>
  <c r="BM4" i="2"/>
  <c r="CC4" i="2"/>
  <c r="DA4" i="2"/>
  <c r="AO6" i="2"/>
  <c r="BM6" i="2"/>
  <c r="CE6" i="2"/>
  <c r="DA6" i="2"/>
  <c r="BM7" i="2"/>
  <c r="AO8" i="2"/>
  <c r="BE8" i="2"/>
  <c r="CK9" i="2"/>
  <c r="CE10" i="2"/>
  <c r="AO11" i="2"/>
  <c r="BE11" i="2"/>
  <c r="CE12" i="2"/>
  <c r="AO13" i="2"/>
  <c r="BE13" i="2"/>
  <c r="CC13" i="2"/>
  <c r="CE14" i="2"/>
  <c r="CK15" i="2"/>
  <c r="DA15" i="2"/>
  <c r="CK16" i="2"/>
  <c r="DA16" i="2"/>
  <c r="BE7" i="2"/>
  <c r="AO5" i="2"/>
  <c r="BM10" i="2"/>
  <c r="BE12" i="2"/>
  <c r="CC12" i="2"/>
  <c r="DA2" i="2"/>
  <c r="AO3" i="2"/>
  <c r="BE3" i="2"/>
  <c r="AO4" i="2"/>
  <c r="BE4" i="2"/>
  <c r="CE4" i="2"/>
  <c r="CC8" i="2"/>
  <c r="DA9" i="2"/>
  <c r="AO10" i="2"/>
  <c r="CK10" i="2"/>
  <c r="CC11" i="2"/>
  <c r="BM12" i="2"/>
  <c r="CK12" i="2"/>
  <c r="DA12" i="2"/>
  <c r="CE13" i="2"/>
  <c r="BM14" i="2"/>
  <c r="BM15" i="2"/>
  <c r="CC15" i="2"/>
  <c r="CK17" i="2"/>
  <c r="DA7" i="2"/>
  <c r="BM5" i="2"/>
  <c r="BE10" i="2"/>
  <c r="AT12" i="2"/>
  <c r="BJ10" i="2"/>
  <c r="V10" i="2"/>
  <c r="DF6" i="2"/>
  <c r="BR11" i="2"/>
  <c r="DV3" i="2"/>
  <c r="AD3" i="2"/>
  <c r="CX10" i="2"/>
  <c r="DB10" i="2"/>
  <c r="CT10" i="2"/>
  <c r="AV10" i="2"/>
  <c r="P10" i="2"/>
  <c r="Q8" i="2" s="1"/>
  <c r="CR10" i="2"/>
  <c r="CS10" i="2" s="1"/>
  <c r="BR5" i="2"/>
  <c r="BZ5" i="2"/>
  <c r="CX5" i="2"/>
  <c r="EL5" i="2"/>
  <c r="FQ5" i="2" s="1"/>
  <c r="BJ5" i="2"/>
  <c r="ED15" i="2"/>
  <c r="EJ14" i="2"/>
  <c r="ER14" i="2"/>
  <c r="DN2" i="2"/>
  <c r="J2" i="2"/>
  <c r="BR2" i="2"/>
  <c r="DV2" i="2"/>
  <c r="AX11" i="2"/>
  <c r="DV13" i="2"/>
  <c r="R6" i="2"/>
  <c r="AH6" i="2"/>
  <c r="AP6" i="2"/>
  <c r="AZ6" i="2"/>
  <c r="BF6" i="2"/>
  <c r="CT6" i="2"/>
  <c r="DB6" i="2"/>
  <c r="DJ6" i="2"/>
  <c r="EJ8" i="2"/>
  <c r="AX5" i="2"/>
  <c r="BH7" i="2"/>
  <c r="X7" i="2"/>
  <c r="Y8" i="2" s="1"/>
  <c r="AB2" i="2"/>
  <c r="ED12" i="2"/>
  <c r="EV17" i="2"/>
  <c r="EZ17" i="2"/>
  <c r="J17" i="2"/>
  <c r="AD15" i="2"/>
  <c r="AT15" i="2"/>
  <c r="DF15" i="2"/>
  <c r="T2" i="2"/>
  <c r="AP2" i="2"/>
  <c r="BF2" i="2"/>
  <c r="AH2" i="2"/>
  <c r="AZ2" i="2"/>
  <c r="BV2" i="2"/>
  <c r="CT2" i="2"/>
  <c r="EH2" i="2"/>
  <c r="FM2" i="2" s="1"/>
  <c r="EL9" i="2"/>
  <c r="FQ9" i="2" s="1"/>
  <c r="FD9" i="2"/>
  <c r="DV9" i="2"/>
  <c r="EV16" i="2"/>
  <c r="EZ16" i="2"/>
  <c r="BZ13" i="2"/>
  <c r="ER13" i="2"/>
  <c r="FD13" i="2"/>
  <c r="EZ8" i="2"/>
  <c r="EV8" i="2"/>
  <c r="FS8" i="2" s="1"/>
  <c r="DD14" i="2"/>
  <c r="DL14" i="2"/>
  <c r="EX14" i="2"/>
  <c r="V14" i="2"/>
  <c r="BJ14" i="2"/>
  <c r="ER3" i="2"/>
  <c r="AJ3" i="2"/>
  <c r="EV5" i="2"/>
  <c r="FS5" i="2" s="1"/>
  <c r="EZ5" i="2"/>
  <c r="FB5" i="2"/>
  <c r="AD9" i="2"/>
  <c r="DN9" i="2"/>
  <c r="J9" i="2"/>
  <c r="V9" i="2"/>
  <c r="AL9" i="2"/>
  <c r="CH9" i="2"/>
  <c r="CX9" i="2"/>
  <c r="AL12" i="2"/>
  <c r="ET12" i="2"/>
  <c r="FQ12" i="2" s="1"/>
  <c r="CX12" i="2"/>
  <c r="BP14" i="2"/>
  <c r="CF14" i="2"/>
  <c r="BX14" i="2"/>
  <c r="BH6" i="2"/>
  <c r="AX7" i="2"/>
  <c r="V7" i="2"/>
  <c r="AD7" i="2"/>
  <c r="AL7" i="2"/>
  <c r="DN7" i="2"/>
  <c r="ED7" i="2"/>
  <c r="ET7" i="2"/>
  <c r="FQ7" i="2" s="1"/>
  <c r="DD7" i="2"/>
  <c r="BJ7" i="2"/>
  <c r="AT13" i="2"/>
  <c r="BR13" i="2"/>
  <c r="ED13" i="2"/>
  <c r="V13" i="2"/>
  <c r="BJ13" i="2"/>
  <c r="FB8" i="2"/>
  <c r="AT8" i="2"/>
  <c r="AJ8" i="2"/>
  <c r="DT8" i="2"/>
  <c r="BP8" i="2"/>
  <c r="V16" i="2"/>
  <c r="AX16" i="2"/>
  <c r="AT16" i="2"/>
  <c r="CH16" i="2"/>
  <c r="CX16" i="2"/>
  <c r="DN16" i="2"/>
  <c r="ED16" i="2"/>
  <c r="ET16" i="2"/>
  <c r="FQ16" i="2" s="1"/>
  <c r="AX14" i="2"/>
  <c r="V15" i="2"/>
  <c r="BJ15" i="2"/>
  <c r="CX15" i="2"/>
  <c r="AB15" i="2"/>
  <c r="BP15" i="2"/>
  <c r="T7" i="2"/>
  <c r="ED6" i="2"/>
  <c r="AB6" i="2"/>
  <c r="BP6" i="2"/>
  <c r="AJ6" i="2"/>
  <c r="DT6" i="2"/>
  <c r="DD6" i="2"/>
  <c r="T6" i="2"/>
  <c r="EX3" i="2"/>
  <c r="T3" i="2"/>
  <c r="AR4" i="2"/>
  <c r="EV4" i="2"/>
  <c r="FS4" i="2" s="1"/>
  <c r="EZ4" i="2"/>
  <c r="FB4" i="2"/>
  <c r="V4" i="2"/>
  <c r="AB8" i="2"/>
  <c r="ER8" i="2"/>
  <c r="AX8" i="2"/>
  <c r="BT8" i="2"/>
  <c r="CF8" i="2"/>
  <c r="J8" i="2"/>
  <c r="DD8" i="2"/>
  <c r="CN8" i="2"/>
  <c r="ER11" i="2"/>
  <c r="CH11" i="2"/>
  <c r="CX11" i="2"/>
  <c r="DN11" i="2"/>
  <c r="ED11" i="2"/>
  <c r="ET11" i="2"/>
  <c r="FQ11" i="2" s="1"/>
  <c r="V11" i="2"/>
  <c r="EV11" i="2"/>
  <c r="FS11" i="2" s="1"/>
  <c r="EZ11" i="2"/>
  <c r="J11" i="2"/>
  <c r="AB10" i="2"/>
  <c r="CN10" i="2"/>
  <c r="AJ2" i="2"/>
  <c r="AR2" i="2"/>
  <c r="BP3" i="2"/>
  <c r="EV3" i="2"/>
  <c r="EZ3" i="2"/>
  <c r="BH3" i="2"/>
  <c r="DD3" i="2"/>
  <c r="DL3" i="2"/>
  <c r="EB3" i="2"/>
  <c r="V3" i="2"/>
  <c r="AB3" i="2"/>
  <c r="AL3" i="2"/>
  <c r="AT3" i="2"/>
  <c r="EJ3" i="2"/>
  <c r="BJ3" i="2"/>
  <c r="ER15" i="2"/>
  <c r="AB4" i="2"/>
  <c r="J4" i="2"/>
  <c r="CF4" i="2"/>
  <c r="CN4" i="2"/>
  <c r="CV4" i="2"/>
  <c r="DT4" i="2"/>
  <c r="EB4" i="2"/>
  <c r="ER4" i="2"/>
  <c r="AF4" i="2"/>
  <c r="AX4" i="2"/>
  <c r="BX4" i="2"/>
  <c r="DD4" i="2"/>
  <c r="DL4" i="2"/>
  <c r="EJ4" i="2"/>
  <c r="EX12" i="2"/>
  <c r="EV12" i="2"/>
  <c r="EZ12" i="2"/>
  <c r="FB12" i="2"/>
  <c r="ER12" i="2"/>
  <c r="CV7" i="2"/>
  <c r="EB7" i="2"/>
  <c r="V6" i="2"/>
  <c r="EV6" i="2"/>
  <c r="FS6" i="2" s="1"/>
  <c r="EZ6" i="2"/>
  <c r="CF6" i="2"/>
  <c r="DL6" i="2"/>
  <c r="ER6" i="2"/>
  <c r="J6" i="2"/>
  <c r="EJ6" i="2"/>
  <c r="CV6" i="2"/>
  <c r="EB6" i="2"/>
  <c r="AB14" i="2"/>
  <c r="AR14" i="2"/>
  <c r="CV14" i="2"/>
  <c r="EB14" i="2"/>
  <c r="BH14" i="2"/>
  <c r="N14" i="2"/>
  <c r="BT14" i="2"/>
  <c r="EV14" i="2"/>
  <c r="Z14" i="2"/>
  <c r="AF14" i="2"/>
  <c r="BN14" i="2"/>
  <c r="EZ14" i="2"/>
  <c r="FB14" i="2"/>
  <c r="BB16" i="2"/>
  <c r="EX16" i="2"/>
  <c r="Z16" i="2"/>
  <c r="N16" i="2"/>
  <c r="BN16" i="2"/>
  <c r="T16" i="2"/>
  <c r="AB16" i="2"/>
  <c r="AJ16" i="2"/>
  <c r="AR16" i="2"/>
  <c r="BH16" i="2"/>
  <c r="BP16" i="2"/>
  <c r="BX16" i="2"/>
  <c r="CF16" i="2"/>
  <c r="CN16" i="2"/>
  <c r="CV16" i="2"/>
  <c r="DD16" i="2"/>
  <c r="DL16" i="2"/>
  <c r="DT16" i="2"/>
  <c r="EB16" i="2"/>
  <c r="EJ16" i="2"/>
  <c r="ER16" i="2"/>
  <c r="AL8" i="2"/>
  <c r="BR8" i="2"/>
  <c r="CH8" i="2"/>
  <c r="DN8" i="2"/>
  <c r="ET8" i="2"/>
  <c r="FQ8" i="2" s="1"/>
  <c r="T8" i="2"/>
  <c r="CV8" i="2"/>
  <c r="EB8" i="2"/>
  <c r="AF8" i="2"/>
  <c r="Z8" i="2"/>
  <c r="BN8" i="2"/>
  <c r="EX9" i="2"/>
  <c r="BT9" i="2"/>
  <c r="N9" i="2"/>
  <c r="Z9" i="2"/>
  <c r="EV9" i="2"/>
  <c r="BB9" i="2"/>
  <c r="BN9" i="2"/>
  <c r="AF9" i="2"/>
  <c r="EZ9" i="2"/>
  <c r="T9" i="2"/>
  <c r="AJ9" i="2"/>
  <c r="AR9" i="2"/>
  <c r="BH9" i="2"/>
  <c r="BP9" i="2"/>
  <c r="BX9" i="2"/>
  <c r="CF9" i="2"/>
  <c r="CN9" i="2"/>
  <c r="CV9" i="2"/>
  <c r="DD9" i="2"/>
  <c r="DL9" i="2"/>
  <c r="DT9" i="2"/>
  <c r="EB9" i="2"/>
  <c r="EJ9" i="2"/>
  <c r="ER9" i="2"/>
  <c r="AB9" i="2"/>
  <c r="J5" i="2"/>
  <c r="Z5" i="2"/>
  <c r="BB5" i="2"/>
  <c r="BN5" i="2"/>
  <c r="T5" i="2"/>
  <c r="AB5" i="2"/>
  <c r="AJ5" i="2"/>
  <c r="AR5" i="2"/>
  <c r="BH5" i="2"/>
  <c r="BP5" i="2"/>
  <c r="BX5" i="2"/>
  <c r="CF5" i="2"/>
  <c r="CN5" i="2"/>
  <c r="CV5" i="2"/>
  <c r="DD5" i="2"/>
  <c r="DL5" i="2"/>
  <c r="DT5" i="2"/>
  <c r="EB5" i="2"/>
  <c r="EJ5" i="2"/>
  <c r="ER5" i="2"/>
  <c r="AF11" i="2"/>
  <c r="BT11" i="2"/>
  <c r="Z11" i="2"/>
  <c r="BN11" i="2"/>
  <c r="AR11" i="2"/>
  <c r="BX11" i="2"/>
  <c r="EB11" i="2"/>
  <c r="EJ11" i="2"/>
  <c r="T11" i="2"/>
  <c r="AB11" i="2"/>
  <c r="BP11" i="2"/>
  <c r="CV11" i="2"/>
  <c r="EX17" i="2"/>
  <c r="Z17" i="2"/>
  <c r="BN17" i="2"/>
  <c r="T17" i="2"/>
  <c r="AB17" i="2"/>
  <c r="AJ17" i="2"/>
  <c r="AR17" i="2"/>
  <c r="BH17" i="2"/>
  <c r="BP17" i="2"/>
  <c r="BX17" i="2"/>
  <c r="CF17" i="2"/>
  <c r="CN17" i="2"/>
  <c r="CV17" i="2"/>
  <c r="DD17" i="2"/>
  <c r="DL17" i="2"/>
  <c r="DT17" i="2"/>
  <c r="EB17" i="2"/>
  <c r="EJ17" i="2"/>
  <c r="ER17" i="2"/>
  <c r="AB13" i="2"/>
  <c r="BP13" i="2"/>
  <c r="Z13" i="2"/>
  <c r="EV13" i="2"/>
  <c r="BN13" i="2"/>
  <c r="EZ13" i="2"/>
  <c r="J13" i="2"/>
  <c r="AX13" i="2"/>
  <c r="EX13" i="2"/>
  <c r="EJ13" i="2"/>
  <c r="BT3" i="2"/>
  <c r="AF3" i="2"/>
  <c r="N3" i="2"/>
  <c r="Z3" i="2"/>
  <c r="BB3" i="2"/>
  <c r="BN3" i="2"/>
  <c r="J3" i="2"/>
  <c r="AX3" i="2"/>
  <c r="J12" i="2"/>
  <c r="AX12" i="2"/>
  <c r="Z12" i="2"/>
  <c r="BN12" i="2"/>
  <c r="CF12" i="2"/>
  <c r="T12" i="2"/>
  <c r="AB12" i="2"/>
  <c r="AR12" i="2"/>
  <c r="BH12" i="2"/>
  <c r="BP12" i="2"/>
  <c r="CV12" i="2"/>
  <c r="DT12" i="2"/>
  <c r="EB12" i="2"/>
  <c r="EJ12" i="2"/>
  <c r="V12" i="2"/>
  <c r="BJ12" i="2"/>
  <c r="T10" i="2"/>
  <c r="BH10" i="2"/>
  <c r="BP10" i="2"/>
  <c r="CF10" i="2"/>
  <c r="AR10" i="2"/>
  <c r="BT10" i="2"/>
  <c r="BN10" i="2"/>
  <c r="Z10" i="2"/>
  <c r="AF10" i="2"/>
  <c r="J10" i="2"/>
  <c r="AX10" i="2"/>
  <c r="Z15" i="2"/>
  <c r="EV15" i="2"/>
  <c r="BN15" i="2"/>
  <c r="EZ15" i="2"/>
  <c r="J15" i="2"/>
  <c r="AX15" i="2"/>
  <c r="EX15" i="2"/>
  <c r="EJ15" i="2"/>
  <c r="BH4" i="2"/>
  <c r="T4" i="2"/>
  <c r="BT4" i="2"/>
  <c r="Z4" i="2"/>
  <c r="BN4" i="2"/>
  <c r="Z7" i="2"/>
  <c r="BN7" i="2"/>
  <c r="J7" i="2"/>
  <c r="EX7" i="2"/>
  <c r="ER7" i="2"/>
  <c r="BB7" i="2"/>
  <c r="BT7" i="2"/>
  <c r="EV7" i="2"/>
  <c r="AF7" i="2"/>
  <c r="EZ7" i="2"/>
  <c r="AB7" i="2"/>
  <c r="BP7" i="2"/>
  <c r="EJ7" i="2"/>
  <c r="AX6" i="2"/>
  <c r="AF6" i="2"/>
  <c r="BN6" i="2"/>
  <c r="N6" i="2"/>
  <c r="BB6" i="2"/>
  <c r="Z6" i="2"/>
  <c r="EX2" i="2"/>
  <c r="N2" i="2"/>
  <c r="Z2" i="2"/>
  <c r="EV2" i="2"/>
  <c r="BN2" i="2"/>
  <c r="EZ2" i="2"/>
  <c r="V2" i="2"/>
  <c r="AD2" i="2"/>
  <c r="AL2" i="2"/>
  <c r="AT2" i="2"/>
  <c r="AX2" i="2"/>
  <c r="BH2" i="2"/>
  <c r="BP2" i="2"/>
  <c r="BX2" i="2"/>
  <c r="CF2" i="2"/>
  <c r="CN2" i="2"/>
  <c r="CV2" i="2"/>
  <c r="DD2" i="2"/>
  <c r="DL2" i="2"/>
  <c r="DT2" i="2"/>
  <c r="EB2" i="2"/>
  <c r="EJ2" i="2"/>
  <c r="ER2" i="2"/>
  <c r="FS9" i="2" l="1"/>
  <c r="FO7" i="2"/>
  <c r="FS3" i="2"/>
  <c r="FO15" i="2"/>
  <c r="FO13" i="2"/>
  <c r="FS7" i="2"/>
  <c r="FO3" i="2"/>
  <c r="FO17" i="2"/>
  <c r="FO5" i="2"/>
  <c r="FU4" i="2"/>
  <c r="FU5" i="2"/>
  <c r="FS14" i="2"/>
  <c r="FO12" i="2"/>
  <c r="FS13" i="2"/>
  <c r="FO6" i="2"/>
  <c r="FU8" i="2"/>
  <c r="FO14" i="2"/>
  <c r="FU14" i="2"/>
  <c r="FS12" i="2"/>
  <c r="FS2" i="2"/>
  <c r="FO2" i="2"/>
  <c r="FS15" i="2"/>
  <c r="FO9" i="2"/>
  <c r="FU12" i="2"/>
  <c r="FS16" i="2"/>
  <c r="FS17" i="2"/>
  <c r="FO11" i="2"/>
  <c r="FO16" i="2"/>
  <c r="FO4" i="2"/>
  <c r="FO8" i="2"/>
  <c r="BW5" i="2"/>
  <c r="AI16" i="2"/>
  <c r="AW12" i="2"/>
  <c r="AW13" i="2"/>
  <c r="DC7" i="2"/>
  <c r="DC2" i="2"/>
  <c r="Y13" i="2"/>
  <c r="M5" i="2"/>
  <c r="CS8" i="2"/>
  <c r="CS4" i="2"/>
  <c r="DC3" i="2"/>
  <c r="DC14" i="2"/>
  <c r="CS5" i="2"/>
  <c r="AW8" i="2"/>
  <c r="DC9" i="2"/>
  <c r="AM16" i="2"/>
  <c r="CQ13" i="2"/>
  <c r="CY8" i="2"/>
  <c r="CU8" i="2"/>
  <c r="AW2" i="2"/>
  <c r="BG16" i="2"/>
  <c r="BG10" i="2"/>
  <c r="Y6" i="2"/>
  <c r="AW4" i="2"/>
  <c r="CS7" i="2"/>
  <c r="BY13" i="2"/>
  <c r="AE4" i="2"/>
  <c r="AA6" i="2"/>
  <c r="AC7" i="2"/>
  <c r="K7" i="2"/>
  <c r="AY10" i="2"/>
  <c r="BQ10" i="2"/>
  <c r="W12" i="2"/>
  <c r="BA15" i="2"/>
  <c r="CU10" i="2"/>
  <c r="AW17" i="2"/>
  <c r="AW14" i="2"/>
  <c r="Q16" i="2"/>
  <c r="Q12" i="2"/>
  <c r="BO10" i="2"/>
  <c r="AC12" i="2"/>
  <c r="BY17" i="2"/>
  <c r="AK5" i="2"/>
  <c r="AC9" i="2"/>
  <c r="BI9" i="2"/>
  <c r="AK16" i="2"/>
  <c r="AA14" i="2"/>
  <c r="K4" i="2"/>
  <c r="CI11" i="2"/>
  <c r="U7" i="2"/>
  <c r="W16" i="2"/>
  <c r="BS13" i="2"/>
  <c r="AE7" i="2"/>
  <c r="BY14" i="2"/>
  <c r="CI9" i="2"/>
  <c r="BK14" i="2"/>
  <c r="CA13" i="2"/>
  <c r="AE15" i="2"/>
  <c r="AC2" i="2"/>
  <c r="AU12" i="2"/>
  <c r="CA15" i="2"/>
  <c r="AY2" i="2"/>
  <c r="AY9" i="2"/>
  <c r="K10" i="2"/>
  <c r="BI10" i="2"/>
  <c r="BQ12" i="2"/>
  <c r="U12" i="2"/>
  <c r="AY12" i="2"/>
  <c r="BO3" i="2"/>
  <c r="AY13" i="2"/>
  <c r="BQ17" i="2"/>
  <c r="AC17" i="2"/>
  <c r="BQ11" i="2"/>
  <c r="AA11" i="2"/>
  <c r="BQ5" i="2"/>
  <c r="AC5" i="2"/>
  <c r="AA5" i="2"/>
  <c r="CG9" i="2"/>
  <c r="AS9" i="2"/>
  <c r="AA9" i="2"/>
  <c r="BO8" i="2"/>
  <c r="CI8" i="2"/>
  <c r="CI10" i="2"/>
  <c r="CI14" i="2"/>
  <c r="CI12" i="2"/>
  <c r="CI2" i="2"/>
  <c r="CI3" i="2"/>
  <c r="CI15" i="2"/>
  <c r="BQ16" i="2"/>
  <c r="AC16" i="2"/>
  <c r="AA16" i="2"/>
  <c r="W6" i="2"/>
  <c r="AC4" i="2"/>
  <c r="BK3" i="2"/>
  <c r="BK8" i="2"/>
  <c r="BK6" i="2"/>
  <c r="BK17" i="2"/>
  <c r="BK2" i="2"/>
  <c r="BK4" i="2"/>
  <c r="BK11" i="2"/>
  <c r="BK9" i="2"/>
  <c r="AC3" i="2"/>
  <c r="BQ3" i="2"/>
  <c r="AC10" i="2"/>
  <c r="CG8" i="2"/>
  <c r="AC8" i="2"/>
  <c r="U6" i="2"/>
  <c r="CQ15" i="2"/>
  <c r="CU17" i="2"/>
  <c r="BK16" i="2"/>
  <c r="M15" i="2"/>
  <c r="BS10" i="2"/>
  <c r="CA9" i="2"/>
  <c r="BI13" i="2"/>
  <c r="BW8" i="2"/>
  <c r="CI7" i="2"/>
  <c r="BS3" i="2"/>
  <c r="CI5" i="2"/>
  <c r="BS12" i="2"/>
  <c r="CY13" i="2"/>
  <c r="CO2" i="2"/>
  <c r="CO6" i="2"/>
  <c r="CO12" i="2"/>
  <c r="CO15" i="2"/>
  <c r="CO11" i="2"/>
  <c r="CO7" i="2"/>
  <c r="CO14" i="2"/>
  <c r="K3" i="2"/>
  <c r="BO13" i="2"/>
  <c r="AK17" i="2"/>
  <c r="BO11" i="2"/>
  <c r="CO9" i="2"/>
  <c r="BI14" i="2"/>
  <c r="AK6" i="2"/>
  <c r="BK15" i="2"/>
  <c r="AY14" i="2"/>
  <c r="AQ2" i="2"/>
  <c r="AQ10" i="2"/>
  <c r="AQ9" i="2"/>
  <c r="AQ17" i="2"/>
  <c r="AQ8" i="2"/>
  <c r="AQ7" i="2"/>
  <c r="AQ15" i="2"/>
  <c r="AQ4" i="2"/>
  <c r="AQ5" i="2"/>
  <c r="AQ14" i="2"/>
  <c r="AQ12" i="2"/>
  <c r="AQ16" i="2"/>
  <c r="AQ11" i="2"/>
  <c r="AQ13" i="2"/>
  <c r="BA6" i="2"/>
  <c r="BS5" i="2"/>
  <c r="CO13" i="2"/>
  <c r="CO3" i="2"/>
  <c r="AE13" i="2"/>
  <c r="CI13" i="2"/>
  <c r="AS8" i="2"/>
  <c r="CA8" i="2"/>
  <c r="CG2" i="2"/>
  <c r="CG3" i="2"/>
  <c r="CG11" i="2"/>
  <c r="CG7" i="2"/>
  <c r="CG15" i="2"/>
  <c r="CG13" i="2"/>
  <c r="W2" i="2"/>
  <c r="W5" i="2"/>
  <c r="W8" i="2"/>
  <c r="W17" i="2"/>
  <c r="AA2" i="2"/>
  <c r="AY6" i="2"/>
  <c r="BO7" i="2"/>
  <c r="BO15" i="2"/>
  <c r="BY2" i="2"/>
  <c r="BY8" i="2"/>
  <c r="BY3" i="2"/>
  <c r="BY15" i="2"/>
  <c r="BY6" i="2"/>
  <c r="BY10" i="2"/>
  <c r="BY7" i="2"/>
  <c r="AU2" i="2"/>
  <c r="AU11" i="2"/>
  <c r="AU7" i="2"/>
  <c r="AU17" i="2"/>
  <c r="AU5" i="2"/>
  <c r="AU6" i="2"/>
  <c r="AU9" i="2"/>
  <c r="AU10" i="2"/>
  <c r="AA7" i="2"/>
  <c r="U4" i="2"/>
  <c r="AY15" i="2"/>
  <c r="AS10" i="2"/>
  <c r="U10" i="2"/>
  <c r="BI12" i="2"/>
  <c r="CG12" i="2"/>
  <c r="K12" i="2"/>
  <c r="K13" i="2"/>
  <c r="AA13" i="2"/>
  <c r="CO17" i="2"/>
  <c r="BI17" i="2"/>
  <c r="U17" i="2"/>
  <c r="AC11" i="2"/>
  <c r="BY11" i="2"/>
  <c r="CO5" i="2"/>
  <c r="BI5" i="2"/>
  <c r="U5" i="2"/>
  <c r="K5" i="2"/>
  <c r="BY9" i="2"/>
  <c r="AK9" i="2"/>
  <c r="BO9" i="2"/>
  <c r="AA8" i="2"/>
  <c r="U8" i="2"/>
  <c r="BS8" i="2"/>
  <c r="CO16" i="2"/>
  <c r="BI16" i="2"/>
  <c r="U16" i="2"/>
  <c r="BO14" i="2"/>
  <c r="CG6" i="2"/>
  <c r="CO4" i="2"/>
  <c r="W3" i="2"/>
  <c r="BI3" i="2"/>
  <c r="AS2" i="2"/>
  <c r="AS7" i="2"/>
  <c r="AS15" i="2"/>
  <c r="AS13" i="2"/>
  <c r="AS3" i="2"/>
  <c r="CO8" i="2"/>
  <c r="M12" i="2"/>
  <c r="M11" i="2"/>
  <c r="M17" i="2"/>
  <c r="M3" i="2"/>
  <c r="M10" i="2"/>
  <c r="M14" i="2"/>
  <c r="M4" i="2"/>
  <c r="M6" i="2"/>
  <c r="M8" i="2"/>
  <c r="M2" i="2"/>
  <c r="W4" i="2"/>
  <c r="AS4" i="2"/>
  <c r="AC6" i="2"/>
  <c r="CY14" i="2"/>
  <c r="BI11" i="2"/>
  <c r="CQ11" i="2"/>
  <c r="M9" i="2"/>
  <c r="M13" i="2"/>
  <c r="BY12" i="2"/>
  <c r="AS6" i="2"/>
  <c r="CQ14" i="2"/>
  <c r="M16" i="2"/>
  <c r="S7" i="2"/>
  <c r="CI4" i="2"/>
  <c r="BI2" i="2"/>
  <c r="BI8" i="2"/>
  <c r="AE2" i="2"/>
  <c r="AE6" i="2"/>
  <c r="AE12" i="2"/>
  <c r="AE16" i="2"/>
  <c r="AE5" i="2"/>
  <c r="AE14" i="2"/>
  <c r="AE8" i="2"/>
  <c r="AE11" i="2"/>
  <c r="AE10" i="2"/>
  <c r="AA4" i="2"/>
  <c r="AA12" i="2"/>
  <c r="AC13" i="2"/>
  <c r="AA17" i="2"/>
  <c r="BY5" i="2"/>
  <c r="BY16" i="2"/>
  <c r="AC14" i="2"/>
  <c r="AY4" i="2"/>
  <c r="AM3" i="2"/>
  <c r="CO10" i="2"/>
  <c r="K11" i="2"/>
  <c r="K8" i="2"/>
  <c r="CY16" i="2"/>
  <c r="BQ8" i="2"/>
  <c r="BW2" i="2"/>
  <c r="BW9" i="2"/>
  <c r="BW11" i="2"/>
  <c r="BW16" i="2"/>
  <c r="BW13" i="2"/>
  <c r="BW10" i="2"/>
  <c r="BW12" i="2"/>
  <c r="BW14" i="2"/>
  <c r="BW6" i="2"/>
  <c r="BW4" i="2"/>
  <c r="BW15" i="2"/>
  <c r="BW3" i="2"/>
  <c r="BW7" i="2"/>
  <c r="BW17" i="2"/>
  <c r="AY11" i="2"/>
  <c r="BK5" i="2"/>
  <c r="BS11" i="2"/>
  <c r="AY17" i="2"/>
  <c r="CI6" i="2"/>
  <c r="AE17" i="2"/>
  <c r="AU14" i="2"/>
  <c r="BI15" i="2"/>
  <c r="BQ2" i="2"/>
  <c r="BQ4" i="2"/>
  <c r="AM2" i="2"/>
  <c r="AM6" i="2"/>
  <c r="AM10" i="2"/>
  <c r="AM5" i="2"/>
  <c r="AM4" i="2"/>
  <c r="AM13" i="2"/>
  <c r="AM15" i="2"/>
  <c r="AM14" i="2"/>
  <c r="AM11" i="2"/>
  <c r="BO2" i="2"/>
  <c r="BO6" i="2"/>
  <c r="BQ7" i="2"/>
  <c r="BO4" i="2"/>
  <c r="BI4" i="2"/>
  <c r="K15" i="2"/>
  <c r="AA15" i="2"/>
  <c r="AA10" i="2"/>
  <c r="CG10" i="2"/>
  <c r="BK12" i="2"/>
  <c r="AS12" i="2"/>
  <c r="BO12" i="2"/>
  <c r="AY3" i="2"/>
  <c r="AA3" i="2"/>
  <c r="BQ13" i="2"/>
  <c r="CG17" i="2"/>
  <c r="AS17" i="2"/>
  <c r="BO17" i="2"/>
  <c r="U11" i="2"/>
  <c r="AS11" i="2"/>
  <c r="CG5" i="2"/>
  <c r="AS5" i="2"/>
  <c r="BO5" i="2"/>
  <c r="BQ9" i="2"/>
  <c r="U9" i="2"/>
  <c r="AM8" i="2"/>
  <c r="CG16" i="2"/>
  <c r="AS16" i="2"/>
  <c r="BO16" i="2"/>
  <c r="AS14" i="2"/>
  <c r="K6" i="2"/>
  <c r="BY4" i="2"/>
  <c r="CG4" i="2"/>
  <c r="AU3" i="2"/>
  <c r="AK2" i="2"/>
  <c r="AK13" i="2"/>
  <c r="AK10" i="2"/>
  <c r="AK15" i="2"/>
  <c r="AK12" i="2"/>
  <c r="AK14" i="2"/>
  <c r="AK4" i="2"/>
  <c r="W11" i="2"/>
  <c r="CY11" i="2"/>
  <c r="AY8" i="2"/>
  <c r="U3" i="2"/>
  <c r="CY15" i="2"/>
  <c r="AY16" i="2"/>
  <c r="AU8" i="2"/>
  <c r="AM7" i="2"/>
  <c r="BI6" i="2"/>
  <c r="CY12" i="2"/>
  <c r="CY9" i="2"/>
  <c r="K9" i="2"/>
  <c r="CU2" i="2"/>
  <c r="CU4" i="2"/>
  <c r="CU3" i="2"/>
  <c r="CU7" i="2"/>
  <c r="CU16" i="2"/>
  <c r="CU12" i="2"/>
  <c r="CU13" i="2"/>
  <c r="CU5" i="2"/>
  <c r="CU11" i="2"/>
  <c r="CU9" i="2"/>
  <c r="CU14" i="2"/>
  <c r="BG2" i="2"/>
  <c r="BG4" i="2"/>
  <c r="BG14" i="2"/>
  <c r="BG3" i="2"/>
  <c r="BG17" i="2"/>
  <c r="BG8" i="2"/>
  <c r="BG7" i="2"/>
  <c r="BG5" i="2"/>
  <c r="BG15" i="2"/>
  <c r="AU15" i="2"/>
  <c r="AY5" i="2"/>
  <c r="S3" i="2"/>
  <c r="BG13" i="2"/>
  <c r="BG11" i="2"/>
  <c r="M7" i="2"/>
  <c r="CA6" i="2"/>
  <c r="CI17" i="2"/>
  <c r="BG12" i="2"/>
  <c r="BG9" i="2"/>
  <c r="AK11" i="2"/>
  <c r="AU4" i="2"/>
  <c r="CU15" i="2"/>
  <c r="CA10" i="2"/>
  <c r="S9" i="2"/>
  <c r="S8" i="2"/>
  <c r="AM17" i="2"/>
  <c r="CQ10" i="2"/>
  <c r="AK7" i="2"/>
  <c r="BA17" i="2"/>
  <c r="BA14" i="2"/>
  <c r="S10" i="2"/>
  <c r="AQ3" i="2"/>
  <c r="BQ6" i="2"/>
  <c r="BQ15" i="2"/>
  <c r="W15" i="2"/>
  <c r="CI16" i="2"/>
  <c r="BK13" i="2"/>
  <c r="AU13" i="2"/>
  <c r="W7" i="2"/>
  <c r="CG14" i="2"/>
  <c r="AM12" i="2"/>
  <c r="AM9" i="2"/>
  <c r="AE9" i="2"/>
  <c r="W14" i="2"/>
  <c r="BA2" i="2"/>
  <c r="U2" i="2"/>
  <c r="K17" i="2"/>
  <c r="Y7" i="2"/>
  <c r="DC6" i="2"/>
  <c r="AQ6" i="2"/>
  <c r="DC10" i="2"/>
  <c r="AE3" i="2"/>
  <c r="CQ6" i="2"/>
  <c r="K14" i="2"/>
  <c r="AI17" i="2"/>
  <c r="DC16" i="2"/>
  <c r="AW16" i="2"/>
  <c r="AI14" i="2"/>
  <c r="Y12" i="2"/>
  <c r="BS6" i="2"/>
  <c r="AW5" i="2"/>
  <c r="S4" i="2"/>
  <c r="Q3" i="2"/>
  <c r="AW7" i="2"/>
  <c r="Q17" i="2"/>
  <c r="CS14" i="2"/>
  <c r="Y14" i="2"/>
  <c r="DC11" i="2"/>
  <c r="AI10" i="2"/>
  <c r="BA4" i="2"/>
  <c r="BA3" i="2"/>
  <c r="BA13" i="2"/>
  <c r="Y5" i="2"/>
  <c r="CQ17" i="2"/>
  <c r="BS16" i="2"/>
  <c r="S15" i="2"/>
  <c r="BA11" i="2"/>
  <c r="BA10" i="2"/>
  <c r="BS9" i="2"/>
  <c r="CS6" i="2"/>
  <c r="CS15" i="2"/>
  <c r="CQ9" i="2"/>
  <c r="CA11" i="2"/>
  <c r="BS14" i="2"/>
  <c r="Q14" i="2"/>
  <c r="Y3" i="2"/>
  <c r="BA7" i="2"/>
  <c r="S2" i="2"/>
  <c r="AC15" i="2"/>
  <c r="AU16" i="2"/>
  <c r="AK8" i="2"/>
  <c r="W13" i="2"/>
  <c r="BK7" i="2"/>
  <c r="AY7" i="2"/>
  <c r="BQ14" i="2"/>
  <c r="W9" i="2"/>
  <c r="AK3" i="2"/>
  <c r="AI2" i="2"/>
  <c r="BI7" i="2"/>
  <c r="CU6" i="2"/>
  <c r="AI6" i="2"/>
  <c r="BS2" i="2"/>
  <c r="CY5" i="2"/>
  <c r="Q10" i="2"/>
  <c r="CY10" i="2"/>
  <c r="W10" i="2"/>
  <c r="CA7" i="2"/>
  <c r="K16" i="2"/>
  <c r="CQ8" i="2"/>
  <c r="CQ16" i="2"/>
  <c r="CA17" i="2"/>
  <c r="S17" i="2"/>
  <c r="Y16" i="2"/>
  <c r="DC15" i="2"/>
  <c r="AW15" i="2"/>
  <c r="S13" i="2"/>
  <c r="CS11" i="2"/>
  <c r="S11" i="2"/>
  <c r="AW9" i="2"/>
  <c r="AW6" i="2"/>
  <c r="AI5" i="2"/>
  <c r="BS4" i="2"/>
  <c r="DC13" i="2"/>
  <c r="CA12" i="2"/>
  <c r="DC17" i="2"/>
  <c r="S16" i="2"/>
  <c r="CS13" i="2"/>
  <c r="Q13" i="2"/>
  <c r="S12" i="2"/>
  <c r="Q11" i="2"/>
  <c r="Y9" i="2"/>
  <c r="DC8" i="2"/>
  <c r="AI3" i="2"/>
  <c r="Q7" i="2"/>
  <c r="CA14" i="2"/>
  <c r="CA3" i="2"/>
  <c r="Y17" i="2"/>
  <c r="S14" i="2"/>
  <c r="AI13" i="2"/>
  <c r="AI11" i="2"/>
  <c r="Y10" i="2"/>
  <c r="BA8" i="2"/>
  <c r="AI7" i="2"/>
  <c r="CS2" i="2"/>
  <c r="CS16" i="2"/>
  <c r="BS15" i="2"/>
  <c r="DC12" i="2"/>
  <c r="Y11" i="2"/>
  <c r="BA5" i="2"/>
  <c r="CY6" i="2"/>
  <c r="U14" i="2"/>
  <c r="CY17" i="2"/>
  <c r="AW11" i="2"/>
  <c r="Q9" i="2"/>
  <c r="CY4" i="2"/>
  <c r="CQ12" i="2"/>
  <c r="BA9" i="2"/>
  <c r="CQ2" i="2"/>
  <c r="BG6" i="2"/>
  <c r="S6" i="2"/>
  <c r="K2" i="2"/>
  <c r="CA5" i="2"/>
  <c r="AW10" i="2"/>
  <c r="BK10" i="2"/>
  <c r="CY3" i="2"/>
  <c r="U15" i="2"/>
  <c r="CQ4" i="2"/>
  <c r="BS7" i="2"/>
  <c r="CA16" i="2"/>
  <c r="AI15" i="2"/>
  <c r="AI9" i="2"/>
  <c r="CQ5" i="2"/>
  <c r="Q5" i="2"/>
  <c r="DC4" i="2"/>
  <c r="CA2" i="2"/>
  <c r="CQ3" i="2"/>
  <c r="CS17" i="2"/>
  <c r="Y15" i="2"/>
  <c r="CY7" i="2"/>
  <c r="DC5" i="2"/>
  <c r="Q4" i="2"/>
  <c r="CY2" i="2"/>
  <c r="CS12" i="2"/>
  <c r="BS17" i="2"/>
  <c r="CS9" i="2"/>
  <c r="AI8" i="2"/>
  <c r="AI4" i="2"/>
  <c r="AW3" i="2"/>
  <c r="Y2" i="2"/>
  <c r="BA16" i="2"/>
  <c r="Q15" i="2"/>
  <c r="AI12" i="2"/>
  <c r="S5" i="2"/>
  <c r="Y4" i="2"/>
  <c r="U13" i="2"/>
  <c r="CQ7" i="2"/>
  <c r="BA12" i="2"/>
  <c r="CA4" i="2"/>
  <c r="Q6" i="2"/>
  <c r="CS3" i="2"/>
  <c r="Q2" i="2"/>
  <c r="CV10" i="2"/>
  <c r="CW10" i="2" s="1"/>
  <c r="FB17" i="2"/>
  <c r="FU17" i="2" s="1"/>
  <c r="FB16" i="2"/>
  <c r="FU16" i="2" s="1"/>
  <c r="FB11" i="2"/>
  <c r="FU11" i="2" s="1"/>
  <c r="AF2" i="2"/>
  <c r="FB3" i="2"/>
  <c r="FU3" i="2" s="1"/>
  <c r="FB6" i="2"/>
  <c r="FU6" i="2" s="1"/>
  <c r="BT6" i="2"/>
  <c r="BB14" i="2"/>
  <c r="AF16" i="2"/>
  <c r="BT16" i="2"/>
  <c r="BB8" i="2"/>
  <c r="N8" i="2"/>
  <c r="FB9" i="2"/>
  <c r="FU9" i="2" s="1"/>
  <c r="N5" i="2"/>
  <c r="BT5" i="2"/>
  <c r="AF5" i="2"/>
  <c r="BB11" i="2"/>
  <c r="N11" i="2"/>
  <c r="AF17" i="2"/>
  <c r="BT17" i="2"/>
  <c r="BB17" i="2"/>
  <c r="N17" i="2"/>
  <c r="BT13" i="2"/>
  <c r="FB13" i="2"/>
  <c r="FU13" i="2" s="1"/>
  <c r="N13" i="2"/>
  <c r="AF13" i="2"/>
  <c r="BB13" i="2"/>
  <c r="BT12" i="2"/>
  <c r="AF12" i="2"/>
  <c r="BB12" i="2"/>
  <c r="N12" i="2"/>
  <c r="BB10" i="2"/>
  <c r="N10" i="2"/>
  <c r="AF15" i="2"/>
  <c r="N15" i="2"/>
  <c r="FB15" i="2"/>
  <c r="FU15" i="2" s="1"/>
  <c r="BT15" i="2"/>
  <c r="BB15" i="2"/>
  <c r="BB4" i="2"/>
  <c r="N4" i="2"/>
  <c r="N7" i="2"/>
  <c r="FB7" i="2"/>
  <c r="FU7" i="2" s="1"/>
  <c r="BB2" i="2"/>
  <c r="BT2" i="2"/>
  <c r="FB2" i="2"/>
  <c r="FU2" i="2" s="1"/>
  <c r="CW6" i="2" l="1"/>
  <c r="BC15" i="2"/>
  <c r="AG15" i="2"/>
  <c r="BU11" i="2"/>
  <c r="CW7" i="2"/>
  <c r="CW9" i="2"/>
  <c r="CW15" i="2"/>
  <c r="CW16" i="2"/>
  <c r="CW11" i="2"/>
  <c r="O9" i="2"/>
  <c r="O2" i="2"/>
  <c r="CW14" i="2"/>
  <c r="AG3" i="2"/>
  <c r="BC6" i="2"/>
  <c r="AG4" i="2"/>
  <c r="CW12" i="2"/>
  <c r="AG17" i="2"/>
  <c r="BU9" i="2"/>
  <c r="AG11" i="2"/>
  <c r="BC5" i="2"/>
  <c r="AG6" i="2"/>
  <c r="AG9" i="2"/>
  <c r="O7" i="2"/>
  <c r="BU15" i="2"/>
  <c r="O10" i="2"/>
  <c r="AG12" i="2"/>
  <c r="O13" i="2"/>
  <c r="O17" i="2"/>
  <c r="BC11" i="2"/>
  <c r="BU5" i="2"/>
  <c r="BC8" i="2"/>
  <c r="AG16" i="2"/>
  <c r="O14" i="2"/>
  <c r="BC9" i="2"/>
  <c r="CW13" i="2"/>
  <c r="CW2" i="2"/>
  <c r="BU8" i="2"/>
  <c r="BU14" i="2"/>
  <c r="BU3" i="2"/>
  <c r="BU4" i="2"/>
  <c r="CW4" i="2"/>
  <c r="CW8" i="2"/>
  <c r="CW5" i="2"/>
  <c r="BC7" i="2"/>
  <c r="BC12" i="2"/>
  <c r="O11" i="2"/>
  <c r="O8" i="2"/>
  <c r="O6" i="2"/>
  <c r="BU2" i="2"/>
  <c r="O4" i="2"/>
  <c r="BC10" i="2"/>
  <c r="BU12" i="2"/>
  <c r="BC17" i="2"/>
  <c r="O5" i="2"/>
  <c r="BC14" i="2"/>
  <c r="AG14" i="2"/>
  <c r="BC3" i="2"/>
  <c r="AG7" i="2"/>
  <c r="O16" i="2"/>
  <c r="CW17" i="2"/>
  <c r="AG13" i="2"/>
  <c r="AG5" i="2"/>
  <c r="BU16" i="2"/>
  <c r="BU10" i="2"/>
  <c r="BC2" i="2"/>
  <c r="BC4" i="2"/>
  <c r="O15" i="2"/>
  <c r="O12" i="2"/>
  <c r="BC13" i="2"/>
  <c r="BU13" i="2"/>
  <c r="BU17" i="2"/>
  <c r="BU6" i="2"/>
  <c r="AG2" i="2"/>
  <c r="BC16" i="2"/>
  <c r="AG8" i="2"/>
  <c r="CW3" i="2"/>
  <c r="O3" i="2"/>
  <c r="AG10" i="2"/>
  <c r="BU7" i="2"/>
  <c r="EH10" i="2"/>
  <c r="EL10" i="2"/>
  <c r="ET10" i="2"/>
  <c r="EN10" i="2"/>
  <c r="EF10" i="2"/>
  <c r="EJ10" i="2"/>
  <c r="ER10" i="2"/>
  <c r="EP10" i="2"/>
  <c r="FO10" i="2" l="1"/>
  <c r="FK10" i="2"/>
  <c r="FM10" i="2"/>
  <c r="FQ10" i="2"/>
  <c r="EQ10" i="2"/>
  <c r="EQ8" i="2"/>
  <c r="EQ9" i="2"/>
  <c r="EQ12" i="2"/>
  <c r="EQ15" i="2"/>
  <c r="EQ13" i="2"/>
  <c r="EQ16" i="2"/>
  <c r="EQ2" i="2"/>
  <c r="EQ7" i="2"/>
  <c r="EQ14" i="2"/>
  <c r="EQ6" i="2"/>
  <c r="EQ4" i="2"/>
  <c r="EQ5" i="2"/>
  <c r="EQ3" i="2"/>
  <c r="EQ17" i="2"/>
  <c r="EQ11" i="2"/>
  <c r="ES10" i="2"/>
  <c r="ES6" i="2"/>
  <c r="ES12" i="2"/>
  <c r="ES15" i="2"/>
  <c r="ES3" i="2"/>
  <c r="ES13" i="2"/>
  <c r="ES2" i="2"/>
  <c r="ES5" i="2"/>
  <c r="ES16" i="2"/>
  <c r="ES8" i="2"/>
  <c r="ES7" i="2"/>
  <c r="ES17" i="2"/>
  <c r="ES14" i="2"/>
  <c r="ES9" i="2"/>
  <c r="ES11" i="2"/>
  <c r="ES4" i="2"/>
  <c r="EU10" i="2"/>
  <c r="EU13" i="2"/>
  <c r="EU17" i="2"/>
  <c r="EU14" i="2"/>
  <c r="EU16" i="2"/>
  <c r="EU11" i="2"/>
  <c r="EU15" i="2"/>
  <c r="EU2" i="2"/>
  <c r="EU8" i="2"/>
  <c r="EU9" i="2"/>
  <c r="EU4" i="2"/>
  <c r="EU12" i="2"/>
  <c r="EU5" i="2"/>
  <c r="EU7" i="2"/>
  <c r="EU3" i="2"/>
  <c r="EU6" i="2"/>
  <c r="EM10" i="2"/>
  <c r="EM4" i="2"/>
  <c r="EM3" i="2"/>
  <c r="EM17" i="2"/>
  <c r="EM7" i="2"/>
  <c r="EM16" i="2"/>
  <c r="EM2" i="2"/>
  <c r="EM5" i="2"/>
  <c r="EM8" i="2"/>
  <c r="EM12" i="2"/>
  <c r="EM9" i="2"/>
  <c r="EM14" i="2"/>
  <c r="EM15" i="2"/>
  <c r="EM13" i="2"/>
  <c r="EM11" i="2"/>
  <c r="EM6" i="2"/>
  <c r="EO10" i="2"/>
  <c r="EO6" i="2"/>
  <c r="EO13" i="2"/>
  <c r="EO9" i="2"/>
  <c r="EO3" i="2"/>
  <c r="EO2" i="2"/>
  <c r="EO14" i="2"/>
  <c r="EO12" i="2"/>
  <c r="EO4" i="2"/>
  <c r="EO5" i="2"/>
  <c r="EO15" i="2"/>
  <c r="EO8" i="2"/>
  <c r="EO7" i="2"/>
  <c r="EO11" i="2"/>
  <c r="EO16" i="2"/>
  <c r="EO17" i="2"/>
  <c r="EK10" i="2"/>
  <c r="EK12" i="2"/>
  <c r="EK17" i="2"/>
  <c r="EK7" i="2"/>
  <c r="EK3" i="2"/>
  <c r="EK14" i="2"/>
  <c r="EK16" i="2"/>
  <c r="EK15" i="2"/>
  <c r="EK2" i="2"/>
  <c r="EK6" i="2"/>
  <c r="EK5" i="2"/>
  <c r="EK11" i="2"/>
  <c r="EK4" i="2"/>
  <c r="EK8" i="2"/>
  <c r="EK9" i="2"/>
  <c r="EK13" i="2"/>
  <c r="EG10" i="2"/>
  <c r="EG13" i="2"/>
  <c r="EG4" i="2"/>
  <c r="EG11" i="2"/>
  <c r="EG12" i="2"/>
  <c r="EG16" i="2"/>
  <c r="EG2" i="2"/>
  <c r="EG14" i="2"/>
  <c r="EG7" i="2"/>
  <c r="EG6" i="2"/>
  <c r="EG8" i="2"/>
  <c r="EG17" i="2"/>
  <c r="EG5" i="2"/>
  <c r="EG3" i="2"/>
  <c r="EG15" i="2"/>
  <c r="EG9" i="2"/>
  <c r="EI10" i="2"/>
  <c r="EI8" i="2"/>
  <c r="EI15" i="2"/>
  <c r="EI5" i="2"/>
  <c r="EI7" i="2"/>
  <c r="EI16" i="2"/>
  <c r="EI14" i="2"/>
  <c r="EI4" i="2"/>
  <c r="EI12" i="2"/>
  <c r="EI17" i="2"/>
  <c r="EI9" i="2"/>
  <c r="EI6" i="2"/>
  <c r="EI3" i="2"/>
  <c r="EI2" i="2"/>
  <c r="EI11" i="2"/>
  <c r="EI13" i="2"/>
  <c r="DX10" i="2"/>
  <c r="FB10" i="2"/>
  <c r="EV10" i="2"/>
  <c r="EX10" i="2"/>
  <c r="DL10" i="2"/>
  <c r="EZ10" i="2"/>
  <c r="DP10" i="2"/>
  <c r="FR10" i="2" l="1"/>
  <c r="FR11" i="2"/>
  <c r="FR14" i="2"/>
  <c r="FR4" i="2"/>
  <c r="FR15" i="2"/>
  <c r="FR2" i="2"/>
  <c r="FR7" i="2"/>
  <c r="FR16" i="2"/>
  <c r="FR9" i="2"/>
  <c r="FR12" i="2"/>
  <c r="FR8" i="2"/>
  <c r="FR6" i="2"/>
  <c r="FR13" i="2"/>
  <c r="FR5" i="2"/>
  <c r="FR17" i="2"/>
  <c r="FR3" i="2"/>
  <c r="FL10" i="2"/>
  <c r="FL13" i="2"/>
  <c r="FL8" i="2"/>
  <c r="FL7" i="2"/>
  <c r="FL5" i="2"/>
  <c r="FL2" i="2"/>
  <c r="FL6" i="2"/>
  <c r="FL4" i="2"/>
  <c r="FL17" i="2"/>
  <c r="FL3" i="2"/>
  <c r="FL16" i="2"/>
  <c r="FL14" i="2"/>
  <c r="FL15" i="2"/>
  <c r="FL12" i="2"/>
  <c r="FL11" i="2"/>
  <c r="FL9" i="2"/>
  <c r="FN10" i="2"/>
  <c r="FN11" i="2"/>
  <c r="FN5" i="2"/>
  <c r="FN8" i="2"/>
  <c r="FN7" i="2"/>
  <c r="FN12" i="2"/>
  <c r="FN6" i="2"/>
  <c r="FN16" i="2"/>
  <c r="FN3" i="2"/>
  <c r="FN4" i="2"/>
  <c r="FN15" i="2"/>
  <c r="FN9" i="2"/>
  <c r="FN14" i="2"/>
  <c r="FN2" i="2"/>
  <c r="FN17" i="2"/>
  <c r="FN13" i="2"/>
  <c r="FP10" i="2"/>
  <c r="FP8" i="2"/>
  <c r="FP5" i="2"/>
  <c r="FP16" i="2"/>
  <c r="FP3" i="2"/>
  <c r="FP15" i="2"/>
  <c r="FP11" i="2"/>
  <c r="FP17" i="2"/>
  <c r="FP4" i="2"/>
  <c r="FP6" i="2"/>
  <c r="FP9" i="2"/>
  <c r="FP2" i="2"/>
  <c r="FP7" i="2"/>
  <c r="FP14" i="2"/>
  <c r="FP13" i="2"/>
  <c r="FP12" i="2"/>
  <c r="FU10" i="2"/>
  <c r="FS10" i="2"/>
  <c r="DQ10" i="2"/>
  <c r="DQ7" i="2"/>
  <c r="DQ14" i="2"/>
  <c r="DQ2" i="2"/>
  <c r="DQ13" i="2"/>
  <c r="DQ8" i="2"/>
  <c r="DQ5" i="2"/>
  <c r="DQ4" i="2"/>
  <c r="DQ17" i="2"/>
  <c r="DQ9" i="2"/>
  <c r="DQ3" i="2"/>
  <c r="DQ15" i="2"/>
  <c r="DQ6" i="2"/>
  <c r="DQ11" i="2"/>
  <c r="DQ12" i="2"/>
  <c r="DQ16" i="2"/>
  <c r="FA10" i="2"/>
  <c r="FA5" i="2"/>
  <c r="FA7" i="2"/>
  <c r="FA12" i="2"/>
  <c r="FA9" i="2"/>
  <c r="FA8" i="2"/>
  <c r="FA17" i="2"/>
  <c r="FA11" i="2"/>
  <c r="FA2" i="2"/>
  <c r="FA4" i="2"/>
  <c r="FA16" i="2"/>
  <c r="FA6" i="2"/>
  <c r="FA3" i="2"/>
  <c r="FA14" i="2"/>
  <c r="FA15" i="2"/>
  <c r="FA13" i="2"/>
  <c r="EW10" i="2"/>
  <c r="EW2" i="2"/>
  <c r="EW14" i="2"/>
  <c r="EW4" i="2"/>
  <c r="EW9" i="2"/>
  <c r="EW12" i="2"/>
  <c r="EW5" i="2"/>
  <c r="EW6" i="2"/>
  <c r="EW17" i="2"/>
  <c r="EW3" i="2"/>
  <c r="EW13" i="2"/>
  <c r="EW7" i="2"/>
  <c r="EW16" i="2"/>
  <c r="EW8" i="2"/>
  <c r="EW15" i="2"/>
  <c r="EW11" i="2"/>
  <c r="DM10" i="2"/>
  <c r="DM9" i="2"/>
  <c r="DM6" i="2"/>
  <c r="DM4" i="2"/>
  <c r="DM11" i="2"/>
  <c r="DM5" i="2"/>
  <c r="DM16" i="2"/>
  <c r="DM3" i="2"/>
  <c r="DM2" i="2"/>
  <c r="DM15" i="2"/>
  <c r="DM8" i="2"/>
  <c r="DM14" i="2"/>
  <c r="DM7" i="2"/>
  <c r="DM12" i="2"/>
  <c r="DM13" i="2"/>
  <c r="DM17" i="2"/>
  <c r="FC10" i="2"/>
  <c r="FC6" i="2"/>
  <c r="FC5" i="2"/>
  <c r="FC9" i="2"/>
  <c r="FC17" i="2"/>
  <c r="FC11" i="2"/>
  <c r="FC12" i="2"/>
  <c r="FC15" i="2"/>
  <c r="FC3" i="2"/>
  <c r="FC14" i="2"/>
  <c r="FC7" i="2"/>
  <c r="FC8" i="2"/>
  <c r="FC2" i="2"/>
  <c r="FC4" i="2"/>
  <c r="FC13" i="2"/>
  <c r="FC16" i="2"/>
  <c r="EY10" i="2"/>
  <c r="EY6" i="2"/>
  <c r="EY17" i="2"/>
  <c r="EY3" i="2"/>
  <c r="EY16" i="2"/>
  <c r="EY2" i="2"/>
  <c r="EY5" i="2"/>
  <c r="EY11" i="2"/>
  <c r="EY13" i="2"/>
  <c r="EY12" i="2"/>
  <c r="EY8" i="2"/>
  <c r="EY4" i="2"/>
  <c r="EY7" i="2"/>
  <c r="EY9" i="2"/>
  <c r="EY15" i="2"/>
  <c r="EY14" i="2"/>
  <c r="DY10" i="2"/>
  <c r="DY2" i="2"/>
  <c r="DY4" i="2"/>
  <c r="DY9" i="2"/>
  <c r="DY5" i="2"/>
  <c r="DY8" i="2"/>
  <c r="DY16" i="2"/>
  <c r="DY12" i="2"/>
  <c r="DY6" i="2"/>
  <c r="DY15" i="2"/>
  <c r="DY17" i="2"/>
  <c r="DY7" i="2"/>
  <c r="DY11" i="2"/>
  <c r="DY3" i="2"/>
  <c r="DY14" i="2"/>
  <c r="DY13" i="2"/>
  <c r="DV10" i="2"/>
  <c r="DN10" i="2"/>
  <c r="DT10" i="2"/>
  <c r="DR10" i="2"/>
  <c r="DZ10" i="2"/>
  <c r="FV10" i="2" l="1"/>
  <c r="FV2" i="2"/>
  <c r="FV3" i="2"/>
  <c r="FV16" i="2"/>
  <c r="FV14" i="2"/>
  <c r="FV4" i="2"/>
  <c r="FV13" i="2"/>
  <c r="FV8" i="2"/>
  <c r="FV6" i="2"/>
  <c r="FV5" i="2"/>
  <c r="FV11" i="2"/>
  <c r="FV15" i="2"/>
  <c r="FV12" i="2"/>
  <c r="FV7" i="2"/>
  <c r="FV17" i="2"/>
  <c r="FV9" i="2"/>
  <c r="FT10" i="2"/>
  <c r="FT6" i="2"/>
  <c r="FT7" i="2"/>
  <c r="FT5" i="2"/>
  <c r="FT3" i="2"/>
  <c r="FT11" i="2"/>
  <c r="FT8" i="2"/>
  <c r="FT16" i="2"/>
  <c r="FT9" i="2"/>
  <c r="FT13" i="2"/>
  <c r="FT15" i="2"/>
  <c r="FT12" i="2"/>
  <c r="FT14" i="2"/>
  <c r="FT4" i="2"/>
  <c r="FT2" i="2"/>
  <c r="FT17" i="2"/>
  <c r="DS10" i="2"/>
  <c r="DS16" i="2"/>
  <c r="DS3" i="2"/>
  <c r="DS14" i="2"/>
  <c r="DS4" i="2"/>
  <c r="DS7" i="2"/>
  <c r="DS12" i="2"/>
  <c r="DS17" i="2"/>
  <c r="DS6" i="2"/>
  <c r="DS9" i="2"/>
  <c r="DS2" i="2"/>
  <c r="DS8" i="2"/>
  <c r="DS5" i="2"/>
  <c r="DS15" i="2"/>
  <c r="DS13" i="2"/>
  <c r="DS11" i="2"/>
  <c r="DW10" i="2"/>
  <c r="DW12" i="2"/>
  <c r="DW8" i="2"/>
  <c r="DW7" i="2"/>
  <c r="DW13" i="2"/>
  <c r="DW6" i="2"/>
  <c r="DW2" i="2"/>
  <c r="DW16" i="2"/>
  <c r="DW17" i="2"/>
  <c r="DW15" i="2"/>
  <c r="DW5" i="2"/>
  <c r="DW9" i="2"/>
  <c r="DW4" i="2"/>
  <c r="DW3" i="2"/>
  <c r="DW11" i="2"/>
  <c r="DW14" i="2"/>
  <c r="DU10" i="2"/>
  <c r="DU5" i="2"/>
  <c r="DU16" i="2"/>
  <c r="DU3" i="2"/>
  <c r="DU13" i="2"/>
  <c r="DU17" i="2"/>
  <c r="DU15" i="2"/>
  <c r="DU2" i="2"/>
  <c r="DU7" i="2"/>
  <c r="DU6" i="2"/>
  <c r="DU8" i="2"/>
  <c r="DU11" i="2"/>
  <c r="DU14" i="2"/>
  <c r="DU4" i="2"/>
  <c r="DU9" i="2"/>
  <c r="DU12" i="2"/>
  <c r="EA10" i="2"/>
  <c r="EA7" i="2"/>
  <c r="EA14" i="2"/>
  <c r="EA16" i="2"/>
  <c r="EA3" i="2"/>
  <c r="EA8" i="2"/>
  <c r="EA15" i="2"/>
  <c r="EA6" i="2"/>
  <c r="EA5" i="2"/>
  <c r="EA2" i="2"/>
  <c r="EA11" i="2"/>
  <c r="EA4" i="2"/>
  <c r="EA17" i="2"/>
  <c r="EA9" i="2"/>
  <c r="EA12" i="2"/>
  <c r="EA13" i="2"/>
  <c r="DO10" i="2"/>
  <c r="DO2" i="2"/>
  <c r="DO11" i="2"/>
  <c r="DO14" i="2"/>
  <c r="DO7" i="2"/>
  <c r="DO15" i="2"/>
  <c r="DO8" i="2"/>
  <c r="DO4" i="2"/>
  <c r="DO5" i="2"/>
  <c r="DO13" i="2"/>
  <c r="DO16" i="2"/>
  <c r="DO12" i="2"/>
  <c r="DO3" i="2"/>
  <c r="DO9" i="2"/>
  <c r="DO6" i="2"/>
  <c r="DO17" i="2"/>
  <c r="FD10" i="2"/>
  <c r="DJ10" i="2"/>
  <c r="H10" i="2"/>
  <c r="FE10" i="2"/>
  <c r="DH10" i="2"/>
  <c r="I10" i="2" l="1"/>
  <c r="I11" i="2"/>
  <c r="I16" i="2"/>
  <c r="I9" i="2"/>
  <c r="I6" i="2"/>
  <c r="I7" i="2"/>
  <c r="I5" i="2"/>
  <c r="I14" i="2"/>
  <c r="I12" i="2"/>
  <c r="I17" i="2"/>
  <c r="I13" i="2"/>
  <c r="I2" i="2"/>
  <c r="I3" i="2"/>
  <c r="I8" i="2"/>
  <c r="I4" i="2"/>
  <c r="I15" i="2"/>
  <c r="DK10" i="2"/>
  <c r="DK4" i="2"/>
  <c r="DK6" i="2"/>
  <c r="DK17" i="2"/>
  <c r="DK2" i="2"/>
  <c r="DK15" i="2"/>
  <c r="DK11" i="2"/>
  <c r="DK8" i="2"/>
  <c r="DK12" i="2"/>
  <c r="DK7" i="2"/>
  <c r="DK13" i="2"/>
  <c r="DK16" i="2"/>
  <c r="DK14" i="2"/>
  <c r="DK3" i="2"/>
  <c r="DK9" i="2"/>
  <c r="DK5" i="2"/>
  <c r="DI10" i="2"/>
  <c r="DI15" i="2"/>
  <c r="DI2" i="2"/>
  <c r="DI12" i="2"/>
  <c r="DI6" i="2"/>
  <c r="DI8" i="2"/>
  <c r="DI17" i="2"/>
  <c r="DI16" i="2"/>
  <c r="DI3" i="2"/>
  <c r="DI7" i="2"/>
  <c r="DI13" i="2"/>
  <c r="DI5" i="2"/>
  <c r="DI11" i="2"/>
  <c r="DI4" i="2"/>
  <c r="DI14" i="2"/>
  <c r="DI9" i="2"/>
  <c r="DD10" i="2"/>
  <c r="CL10" i="2"/>
  <c r="EB10" i="2"/>
  <c r="ED10" i="2"/>
  <c r="DF10" i="2"/>
  <c r="EC10" i="2" l="1"/>
  <c r="EC17" i="2"/>
  <c r="EC13" i="2"/>
  <c r="EC15" i="2"/>
  <c r="EC4" i="2"/>
  <c r="EC5" i="2"/>
  <c r="EC14" i="2"/>
  <c r="EC8" i="2"/>
  <c r="EC3" i="2"/>
  <c r="EC6" i="2"/>
  <c r="EC16" i="2"/>
  <c r="EC2" i="2"/>
  <c r="EC9" i="2"/>
  <c r="EC11" i="2"/>
  <c r="EC12" i="2"/>
  <c r="EC7" i="2"/>
  <c r="EE10" i="2"/>
  <c r="EE4" i="2"/>
  <c r="EE8" i="2"/>
  <c r="EE17" i="2"/>
  <c r="EE13" i="2"/>
  <c r="EE12" i="2"/>
  <c r="EE14" i="2"/>
  <c r="EE9" i="2"/>
  <c r="EE5" i="2"/>
  <c r="EE16" i="2"/>
  <c r="EE7" i="2"/>
  <c r="EE15" i="2"/>
  <c r="EE11" i="2"/>
  <c r="EE3" i="2"/>
  <c r="EE2" i="2"/>
  <c r="EE6" i="2"/>
  <c r="CM10" i="2"/>
  <c r="CM17" i="2"/>
  <c r="CM8" i="2"/>
  <c r="CM9" i="2"/>
  <c r="CM15" i="2"/>
  <c r="CM6" i="2"/>
  <c r="CM12" i="2"/>
  <c r="CM14" i="2"/>
  <c r="CM4" i="2"/>
  <c r="CM11" i="2"/>
  <c r="CM2" i="2"/>
  <c r="CM16" i="2"/>
  <c r="CM13" i="2"/>
  <c r="CM3" i="2"/>
  <c r="CM7" i="2"/>
  <c r="CM5" i="2"/>
  <c r="DG10" i="2"/>
  <c r="DG8" i="2"/>
  <c r="DG14" i="2"/>
  <c r="DG12" i="2"/>
  <c r="DG5" i="2"/>
  <c r="DG2" i="2"/>
  <c r="DG9" i="2"/>
  <c r="DG16" i="2"/>
  <c r="DG6" i="2"/>
  <c r="DG11" i="2"/>
  <c r="DG3" i="2"/>
  <c r="DG15" i="2"/>
  <c r="DG13" i="2"/>
  <c r="DG7" i="2"/>
  <c r="DG4" i="2"/>
  <c r="DG17" i="2"/>
  <c r="DE10" i="2"/>
  <c r="DE16" i="2"/>
  <c r="DE13" i="2"/>
  <c r="DE14" i="2"/>
  <c r="DE15" i="2"/>
  <c r="DE9" i="2"/>
  <c r="DE17" i="2"/>
  <c r="DE11" i="2"/>
  <c r="DE6" i="2"/>
  <c r="DE5" i="2"/>
  <c r="DE2" i="2"/>
  <c r="DE12" i="2"/>
  <c r="DE4" i="2"/>
  <c r="DE3" i="2"/>
  <c r="DE8" i="2"/>
  <c r="DE7" i="2"/>
  <c r="G10" i="2" l="1"/>
  <c r="FJ10" i="2" s="1"/>
  <c r="G3" i="2"/>
  <c r="FJ3" i="2" s="1"/>
  <c r="G6" i="2"/>
  <c r="FJ6" i="2" s="1"/>
  <c r="G9" i="2"/>
  <c r="FJ9" i="2" s="1"/>
  <c r="G8" i="2"/>
  <c r="FJ8" i="2" s="1"/>
  <c r="G4" i="2"/>
  <c r="FJ4" i="2" s="1"/>
  <c r="G7" i="2"/>
  <c r="FJ7" i="2" s="1"/>
  <c r="G17" i="2"/>
  <c r="FJ17" i="2" s="1"/>
  <c r="G12" i="2"/>
  <c r="FJ12" i="2" s="1"/>
  <c r="G11" i="2"/>
  <c r="FJ11" i="2" s="1"/>
  <c r="G15" i="2"/>
  <c r="FJ15" i="2" s="1"/>
  <c r="G5" i="2"/>
  <c r="FJ5" i="2" s="1"/>
  <c r="G14" i="2"/>
  <c r="FJ14" i="2" s="1"/>
  <c r="G13" i="2"/>
  <c r="FJ13" i="2" s="1"/>
  <c r="G16" i="2"/>
  <c r="FJ16" i="2" s="1"/>
  <c r="G2" i="2"/>
  <c r="FJ2" i="2" s="1"/>
  <c r="E17" i="2" l="1"/>
  <c r="E8" i="2"/>
  <c r="E2" i="2"/>
  <c r="E6" i="2"/>
  <c r="E11" i="2"/>
  <c r="E4" i="2"/>
  <c r="E9" i="2"/>
  <c r="E3" i="2"/>
  <c r="E16" i="2"/>
  <c r="E13" i="2"/>
  <c r="E14" i="2"/>
  <c r="E5" i="2"/>
  <c r="E10" i="2"/>
  <c r="E7" i="2"/>
  <c r="E15" i="2"/>
  <c r="E12" i="2"/>
  <c r="B35" i="35" l="1"/>
  <c r="B52" i="35"/>
  <c r="K47" i="35" l="1"/>
  <c r="T31" i="35"/>
  <c r="BA46" i="35"/>
  <c r="X30" i="35"/>
  <c r="BN27" i="35"/>
  <c r="AR28" i="35"/>
  <c r="D31" i="35"/>
  <c r="BT34" i="35"/>
  <c r="BL29" i="35"/>
  <c r="O48" i="35"/>
  <c r="BL45" i="35"/>
  <c r="BH44" i="35"/>
  <c r="R45" i="35"/>
  <c r="BG46" i="35"/>
  <c r="CD30" i="35"/>
  <c r="S44" i="35"/>
  <c r="CB48" i="35"/>
  <c r="O27" i="35"/>
  <c r="Q44" i="35"/>
  <c r="BO44" i="35"/>
  <c r="AN51" i="35"/>
  <c r="CM48" i="35"/>
  <c r="A46" i="35"/>
  <c r="CJ45" i="35"/>
  <c r="BB27" i="35"/>
  <c r="BJ34" i="35"/>
  <c r="X28" i="35"/>
  <c r="BO34" i="35"/>
  <c r="U31" i="35"/>
  <c r="I47" i="35"/>
  <c r="AS34" i="35"/>
  <c r="AJ28" i="35"/>
  <c r="CM31" i="35"/>
  <c r="I27" i="35"/>
  <c r="CM30" i="35"/>
  <c r="BM48" i="35"/>
  <c r="E34" i="35"/>
  <c r="BO45" i="35"/>
  <c r="CB47" i="35"/>
  <c r="CC31" i="35"/>
  <c r="K29" i="35"/>
  <c r="BI45" i="35"/>
  <c r="CD51" i="35"/>
  <c r="AE27" i="35"/>
  <c r="AJ46" i="35"/>
  <c r="BC51" i="35"/>
  <c r="A30" i="35"/>
  <c r="I29" i="35"/>
  <c r="B29" i="35"/>
  <c r="Q27" i="35"/>
  <c r="CG31" i="35"/>
  <c r="D34" i="35"/>
  <c r="AW44" i="35"/>
  <c r="BD51" i="35"/>
  <c r="CB34" i="35"/>
  <c r="BM34" i="35"/>
  <c r="AV46" i="35"/>
  <c r="AG51" i="35"/>
  <c r="H27" i="35"/>
  <c r="BB44" i="35"/>
  <c r="AL45" i="35"/>
  <c r="BH29" i="35"/>
  <c r="AQ29" i="35"/>
  <c r="CF34" i="35"/>
  <c r="CD28" i="35"/>
  <c r="AU29" i="35"/>
  <c r="AP28" i="35"/>
  <c r="F29" i="35"/>
  <c r="BO27" i="35"/>
  <c r="BB51" i="35"/>
  <c r="X34" i="35"/>
  <c r="CA29" i="35"/>
  <c r="AL27" i="35"/>
  <c r="BW44" i="35"/>
  <c r="W47" i="35"/>
  <c r="AZ51" i="35"/>
  <c r="AM30" i="35"/>
  <c r="AO27" i="35"/>
  <c r="O28" i="35"/>
  <c r="BD30" i="35"/>
  <c r="CB31" i="35"/>
  <c r="CK46" i="35"/>
  <c r="T30" i="35"/>
  <c r="C34" i="35"/>
  <c r="BU45" i="35"/>
  <c r="CC28" i="35"/>
  <c r="BN48" i="35"/>
  <c r="BQ46" i="35"/>
  <c r="BT46" i="35"/>
  <c r="AS31" i="35"/>
  <c r="BV30" i="35"/>
  <c r="BF48" i="35"/>
  <c r="N47" i="35"/>
  <c r="N30" i="35"/>
  <c r="CL46" i="35"/>
  <c r="FF16" i="2"/>
  <c r="BA28" i="35"/>
  <c r="AO45" i="35"/>
  <c r="FG13" i="2"/>
  <c r="AH27" i="35"/>
  <c r="BO29" i="35"/>
  <c r="B48" i="35"/>
  <c r="T34" i="35"/>
  <c r="BC48" i="35"/>
  <c r="AJ47" i="35"/>
  <c r="F31" i="35"/>
  <c r="Z28" i="35"/>
  <c r="M44" i="35"/>
  <c r="O51" i="35"/>
  <c r="AO46" i="35"/>
  <c r="Z47" i="35"/>
  <c r="AK27" i="35"/>
  <c r="N27" i="35"/>
  <c r="BX46" i="35"/>
  <c r="AS48" i="35"/>
  <c r="S51" i="35"/>
  <c r="CE46" i="35"/>
  <c r="AN34" i="35"/>
  <c r="T27" i="35"/>
  <c r="AT27" i="35"/>
  <c r="AA34" i="35"/>
  <c r="AA45" i="35"/>
  <c r="AN44" i="35"/>
  <c r="K45" i="35"/>
  <c r="H48" i="35"/>
  <c r="AH29" i="35"/>
  <c r="AQ44" i="35"/>
  <c r="BE46" i="35"/>
  <c r="V47" i="35"/>
  <c r="I46" i="35"/>
  <c r="AW51" i="35"/>
  <c r="N29" i="35"/>
  <c r="X45" i="35"/>
  <c r="AW27" i="35"/>
  <c r="CI29" i="35"/>
  <c r="N31" i="35"/>
  <c r="BC45" i="35"/>
  <c r="BF46" i="35"/>
  <c r="BK27" i="35"/>
  <c r="C30" i="35"/>
  <c r="Q45" i="35"/>
  <c r="AT31" i="35"/>
  <c r="C31" i="35"/>
  <c r="L34" i="35"/>
  <c r="CC44" i="35"/>
  <c r="K30" i="35"/>
  <c r="AU30" i="35"/>
  <c r="AX47" i="35"/>
  <c r="AN30" i="35"/>
  <c r="AX51" i="35"/>
  <c r="S29" i="35"/>
  <c r="X27" i="35"/>
  <c r="BC47" i="35"/>
  <c r="D29" i="35"/>
  <c r="Z27" i="35"/>
  <c r="C29" i="35"/>
  <c r="BR28" i="35"/>
  <c r="AZ45" i="35"/>
  <c r="AL31" i="35"/>
  <c r="N44" i="35"/>
  <c r="CF46" i="35"/>
  <c r="BX48" i="35"/>
  <c r="BQ34" i="35"/>
  <c r="AZ27" i="35"/>
  <c r="AY47" i="35"/>
  <c r="CL47" i="35"/>
  <c r="F44" i="35"/>
  <c r="CE34" i="35"/>
  <c r="J51" i="35"/>
  <c r="CJ30" i="35"/>
  <c r="BS28" i="35"/>
  <c r="AJ27" i="35"/>
  <c r="S46" i="35"/>
  <c r="CH45" i="35"/>
  <c r="CF29" i="35"/>
  <c r="B30" i="35"/>
  <c r="Q48" i="35"/>
  <c r="AQ28" i="35"/>
  <c r="BA31" i="35"/>
  <c r="AL48" i="35"/>
  <c r="H31" i="35"/>
  <c r="V48" i="35"/>
  <c r="CG27" i="35"/>
  <c r="AB48" i="35"/>
  <c r="AG27" i="35"/>
  <c r="AG34" i="35"/>
  <c r="AN46" i="35"/>
  <c r="CH34" i="35"/>
  <c r="U44" i="35"/>
  <c r="E28" i="35"/>
  <c r="W27" i="35"/>
  <c r="AK47" i="35"/>
  <c r="C28" i="35"/>
  <c r="AR45" i="35"/>
  <c r="BB29" i="35"/>
  <c r="AM28" i="35"/>
  <c r="BH45" i="35"/>
  <c r="AM31" i="35"/>
  <c r="BL47" i="35"/>
  <c r="Q30" i="35"/>
  <c r="BX31" i="35"/>
  <c r="BA30" i="35"/>
  <c r="D48" i="35"/>
  <c r="BR27" i="35"/>
  <c r="W29" i="35"/>
  <c r="BM44" i="35"/>
  <c r="BZ34" i="35"/>
  <c r="BR45" i="35"/>
  <c r="CL30" i="35"/>
  <c r="CI45" i="35"/>
  <c r="AR34" i="35"/>
  <c r="BX29" i="35"/>
  <c r="AQ34" i="35"/>
  <c r="AA51" i="35"/>
  <c r="AE31" i="35"/>
  <c r="CA27" i="35"/>
  <c r="AL28" i="35"/>
  <c r="O30" i="35"/>
  <c r="BW29" i="35"/>
  <c r="BH31" i="35"/>
  <c r="CA51" i="35"/>
  <c r="I45" i="35"/>
  <c r="Z48" i="35"/>
  <c r="M47" i="35"/>
  <c r="AH45" i="35"/>
  <c r="CH44" i="35"/>
  <c r="BN46" i="35"/>
  <c r="AV29" i="35"/>
  <c r="AJ51" i="35"/>
  <c r="V30" i="35"/>
  <c r="BT51" i="35"/>
  <c r="BW27" i="35"/>
  <c r="N48" i="35"/>
  <c r="AD51" i="35"/>
  <c r="BE30" i="35"/>
  <c r="BV47" i="35"/>
  <c r="BT29" i="35"/>
  <c r="AV27" i="35"/>
  <c r="AP51" i="35"/>
  <c r="CK27" i="35"/>
  <c r="BO48" i="35"/>
  <c r="BT47" i="35"/>
  <c r="CK31" i="35"/>
  <c r="AY31" i="35"/>
  <c r="BS45" i="35"/>
  <c r="AO48" i="35"/>
  <c r="AF34" i="35"/>
  <c r="AO29" i="35"/>
  <c r="AZ28" i="35"/>
  <c r="BB46" i="35"/>
  <c r="L51" i="35"/>
  <c r="AI51" i="35"/>
  <c r="AX30" i="35"/>
  <c r="AE51" i="35"/>
  <c r="AW47" i="35"/>
  <c r="AA47" i="35"/>
  <c r="CH46" i="35"/>
  <c r="BM28" i="35"/>
  <c r="CF48" i="35"/>
  <c r="J47" i="35"/>
  <c r="AX48" i="35"/>
  <c r="CA47" i="35"/>
  <c r="I44" i="35"/>
  <c r="AQ31" i="35"/>
  <c r="R34" i="35"/>
  <c r="CF45" i="35"/>
  <c r="K44" i="35"/>
  <c r="AF51" i="35"/>
  <c r="CJ46" i="35"/>
  <c r="BT45" i="35"/>
  <c r="BM31" i="35"/>
  <c r="AU46" i="35"/>
  <c r="R48" i="35"/>
  <c r="BV45" i="35"/>
  <c r="CG45" i="35"/>
  <c r="CE47" i="35"/>
  <c r="BQ29" i="35"/>
  <c r="AZ46" i="35"/>
  <c r="FG6" i="2"/>
  <c r="AU27" i="35"/>
  <c r="W28" i="35"/>
  <c r="D30" i="35"/>
  <c r="BG44" i="35"/>
  <c r="G28" i="35"/>
  <c r="X47" i="35"/>
  <c r="V27" i="35"/>
  <c r="BF45" i="35"/>
  <c r="AK48" i="35"/>
  <c r="BM27" i="35"/>
  <c r="AC47" i="35"/>
  <c r="AL34" i="35"/>
  <c r="AW45" i="35"/>
  <c r="BW45" i="35"/>
  <c r="BS44" i="35"/>
  <c r="BB48" i="35"/>
  <c r="AM51" i="35"/>
  <c r="CK51" i="35"/>
  <c r="L47" i="35"/>
  <c r="H30" i="35"/>
  <c r="BS47" i="35"/>
  <c r="AO30" i="35"/>
  <c r="BF28" i="35"/>
  <c r="F45" i="35"/>
  <c r="M31" i="35"/>
  <c r="CI44" i="35"/>
  <c r="FF5" i="2"/>
  <c r="N45" i="35"/>
  <c r="AN47" i="35"/>
  <c r="N46" i="35"/>
  <c r="L48" i="35"/>
  <c r="AS44" i="35"/>
  <c r="G27" i="35"/>
  <c r="BK45" i="35"/>
  <c r="U45" i="35"/>
  <c r="BN29" i="35"/>
  <c r="AA46" i="35"/>
  <c r="AW46" i="35"/>
  <c r="BE34" i="35"/>
  <c r="D28" i="35"/>
  <c r="FF6" i="2"/>
  <c r="FF11" i="2"/>
  <c r="P30" i="35"/>
  <c r="BA44" i="35"/>
  <c r="P47" i="35"/>
  <c r="CB28" i="35"/>
  <c r="BO46" i="35"/>
  <c r="BV48" i="35"/>
  <c r="AD34" i="35"/>
  <c r="AG31" i="35"/>
  <c r="BJ31" i="35"/>
  <c r="BS34" i="35"/>
  <c r="BH47" i="35"/>
  <c r="AP46" i="35"/>
  <c r="AX34" i="35"/>
  <c r="BB34" i="35"/>
  <c r="CI31" i="35"/>
  <c r="R47" i="35"/>
  <c r="AC46" i="35"/>
  <c r="BN31" i="35"/>
  <c r="E46" i="35"/>
  <c r="BH34" i="35"/>
  <c r="AC48" i="35"/>
  <c r="BX51" i="35"/>
  <c r="FF3" i="2"/>
  <c r="BY31" i="35"/>
  <c r="AA31" i="35"/>
  <c r="BR51" i="35"/>
  <c r="M29" i="35"/>
  <c r="AE30" i="35"/>
  <c r="FG2" i="2"/>
  <c r="BH48" i="35"/>
  <c r="CB30" i="35"/>
  <c r="CM45" i="35"/>
  <c r="BU29" i="35"/>
  <c r="Y51" i="35"/>
  <c r="AB44" i="35"/>
  <c r="K27" i="35"/>
  <c r="W30" i="35"/>
  <c r="BJ46" i="35"/>
  <c r="AH47" i="35"/>
  <c r="AH31" i="35"/>
  <c r="BB31" i="35"/>
  <c r="N34" i="35"/>
  <c r="BY48" i="35"/>
  <c r="K51" i="35"/>
  <c r="B27" i="35"/>
  <c r="AL46" i="35"/>
  <c r="AT47" i="35"/>
  <c r="AB47" i="35"/>
  <c r="T29" i="35"/>
  <c r="AN31" i="35"/>
  <c r="FG16" i="2"/>
  <c r="W51" i="35"/>
  <c r="AU44" i="35"/>
  <c r="AM44" i="35"/>
  <c r="BG34" i="35"/>
  <c r="M28" i="35"/>
  <c r="E45" i="35"/>
  <c r="AJ45" i="35"/>
  <c r="BP30" i="35"/>
  <c r="I30" i="35"/>
  <c r="CK47" i="35"/>
  <c r="U47" i="35"/>
  <c r="V45" i="35"/>
  <c r="BR31" i="35"/>
  <c r="AL30" i="35"/>
  <c r="G46" i="35"/>
  <c r="L44" i="35"/>
  <c r="BS29" i="35"/>
  <c r="C48" i="35"/>
  <c r="CJ48" i="35"/>
  <c r="Z29" i="35"/>
  <c r="G48" i="35"/>
  <c r="BY47" i="35"/>
  <c r="AA48" i="35"/>
  <c r="BB30" i="35"/>
  <c r="X51" i="35"/>
  <c r="AF29" i="35"/>
  <c r="K46" i="35"/>
  <c r="R31" i="35"/>
  <c r="BT48" i="35"/>
  <c r="AB46" i="35"/>
  <c r="H51" i="35"/>
  <c r="BP48" i="35"/>
  <c r="AC27" i="35"/>
  <c r="AT28" i="35"/>
  <c r="BK51" i="35"/>
  <c r="BQ27" i="35"/>
  <c r="AM48" i="35"/>
  <c r="H45" i="35"/>
  <c r="BR47" i="35"/>
  <c r="AK31" i="35"/>
  <c r="AQ30" i="35"/>
  <c r="H29" i="35"/>
  <c r="AM29" i="35"/>
  <c r="L45" i="35"/>
  <c r="BA48" i="35"/>
  <c r="BQ31" i="35"/>
  <c r="CG30" i="35"/>
  <c r="Y46" i="35"/>
  <c r="AB28" i="35"/>
  <c r="P27" i="35"/>
  <c r="BW46" i="35"/>
  <c r="AU34" i="35"/>
  <c r="BI31" i="35"/>
  <c r="AS28" i="35"/>
  <c r="AJ29" i="35"/>
  <c r="BZ28" i="35"/>
  <c r="K48" i="35"/>
  <c r="BY34" i="35"/>
  <c r="BA29" i="35"/>
  <c r="BD31" i="35"/>
  <c r="CG48" i="35"/>
  <c r="AB29" i="35"/>
  <c r="CF51" i="35"/>
  <c r="BV27" i="35"/>
  <c r="BP51" i="35"/>
  <c r="D46" i="35"/>
  <c r="AY46" i="35"/>
  <c r="BP28" i="35"/>
  <c r="BS48" i="35"/>
  <c r="AR47" i="35"/>
  <c r="BI28" i="35"/>
  <c r="B46" i="35"/>
  <c r="F28" i="35"/>
  <c r="AA27" i="35"/>
  <c r="BV51" i="35"/>
  <c r="P34" i="35"/>
  <c r="BP31" i="35"/>
  <c r="FF10" i="2"/>
  <c r="BE27" i="35"/>
  <c r="AX29" i="35"/>
  <c r="AQ46" i="35"/>
  <c r="BP34" i="35"/>
  <c r="CB29" i="35"/>
  <c r="BU31" i="35"/>
  <c r="E44" i="35"/>
  <c r="AU45" i="35"/>
  <c r="AP27" i="35"/>
  <c r="AM27" i="35"/>
  <c r="G31" i="35"/>
  <c r="AU48" i="35"/>
  <c r="AW48" i="35"/>
  <c r="AH46" i="35"/>
  <c r="L30" i="35"/>
  <c r="O47" i="35"/>
  <c r="Z44" i="35"/>
  <c r="AA44" i="35"/>
  <c r="BC30" i="35"/>
  <c r="CC27" i="35"/>
  <c r="AR30" i="35"/>
  <c r="CF28" i="35"/>
  <c r="BM30" i="35"/>
  <c r="CB51" i="35"/>
  <c r="U27" i="35"/>
  <c r="AX27" i="35"/>
  <c r="FG15" i="2"/>
  <c r="P51" i="35"/>
  <c r="BU27" i="35"/>
  <c r="O46" i="35"/>
  <c r="BU34" i="35"/>
  <c r="CB44" i="35"/>
  <c r="N51" i="35"/>
  <c r="M27" i="35"/>
  <c r="AS29" i="35"/>
  <c r="AJ48" i="35"/>
  <c r="S30" i="35"/>
  <c r="BE44" i="35"/>
  <c r="W45" i="35"/>
  <c r="BI46" i="35"/>
  <c r="AH51" i="35"/>
  <c r="BP47" i="35"/>
  <c r="AD28" i="35"/>
  <c r="AP30" i="35"/>
  <c r="AF47" i="35"/>
  <c r="CH29" i="35"/>
  <c r="BV29" i="35"/>
  <c r="J34" i="35"/>
  <c r="CG29" i="35"/>
  <c r="P46" i="35"/>
  <c r="CA34" i="35"/>
  <c r="AE46" i="35"/>
  <c r="BN34" i="35"/>
  <c r="FG10" i="2"/>
  <c r="O45" i="35"/>
  <c r="B47" i="35"/>
  <c r="F34" i="35"/>
  <c r="CD47" i="35"/>
  <c r="U48" i="35"/>
  <c r="BL48" i="35"/>
  <c r="BV28" i="35"/>
  <c r="AK44" i="35"/>
  <c r="AQ48" i="35"/>
  <c r="BH30" i="35"/>
  <c r="B28" i="35"/>
  <c r="CA30" i="35"/>
  <c r="D27" i="35"/>
  <c r="AV51" i="35"/>
  <c r="BM29" i="35"/>
  <c r="AF31" i="35"/>
  <c r="AZ47" i="35"/>
  <c r="FG11" i="2"/>
  <c r="A27" i="35"/>
  <c r="T45" i="35"/>
  <c r="CJ47" i="35"/>
  <c r="BA34" i="35"/>
  <c r="BQ44" i="35"/>
  <c r="CB46" i="35"/>
  <c r="CI46" i="35"/>
  <c r="BC31" i="35"/>
  <c r="BF27" i="35"/>
  <c r="CM29" i="35"/>
  <c r="H46" i="35"/>
  <c r="AL44" i="35"/>
  <c r="AH44" i="35"/>
  <c r="CF44" i="35"/>
  <c r="W34" i="35"/>
  <c r="AY30" i="35"/>
  <c r="D47" i="35"/>
  <c r="J48" i="35"/>
  <c r="BE51" i="35"/>
  <c r="BB47" i="35"/>
  <c r="BC29" i="35"/>
  <c r="CE28" i="35"/>
  <c r="AV34" i="35"/>
  <c r="BG28" i="35"/>
  <c r="AE45" i="35"/>
  <c r="AG45" i="35"/>
  <c r="CJ44" i="35"/>
  <c r="BN47" i="35"/>
  <c r="F48" i="35"/>
  <c r="CE48" i="35"/>
  <c r="BD28" i="35"/>
  <c r="BU48" i="35"/>
  <c r="AG48" i="35"/>
  <c r="Y48" i="35"/>
  <c r="BS51" i="35"/>
  <c r="BE48" i="35"/>
  <c r="BC44" i="35"/>
  <c r="Y31" i="35"/>
  <c r="AW29" i="35"/>
  <c r="FG14" i="2"/>
  <c r="AI29" i="35"/>
  <c r="B45" i="35"/>
  <c r="BZ47" i="35"/>
  <c r="AC34" i="35"/>
  <c r="L29" i="35"/>
  <c r="BQ30" i="35"/>
  <c r="F47" i="35"/>
  <c r="BQ47" i="35"/>
  <c r="AC45" i="35"/>
  <c r="CC30" i="35"/>
  <c r="AS45" i="35"/>
  <c r="AN45" i="35"/>
  <c r="AG47" i="35"/>
  <c r="CE29" i="35"/>
  <c r="AG28" i="35"/>
  <c r="BE45" i="35"/>
  <c r="AD48" i="35"/>
  <c r="AE48" i="35"/>
  <c r="AP45" i="35"/>
  <c r="CF47" i="35"/>
  <c r="E30" i="35"/>
  <c r="BY51" i="35"/>
  <c r="AB51" i="35"/>
  <c r="X31" i="35"/>
  <c r="AM47" i="35"/>
  <c r="BZ27" i="35"/>
  <c r="AY28" i="35"/>
  <c r="K31" i="35"/>
  <c r="AY48" i="35"/>
  <c r="AI46" i="35"/>
  <c r="CE45" i="35"/>
  <c r="Q31" i="35"/>
  <c r="AQ47" i="35"/>
  <c r="BA27" i="35"/>
  <c r="R28" i="35"/>
  <c r="AY45" i="35"/>
  <c r="AW31" i="35"/>
  <c r="BO28" i="35"/>
  <c r="BZ45" i="35"/>
  <c r="G47" i="35"/>
  <c r="S31" i="35"/>
  <c r="CK48" i="35"/>
  <c r="CM28" i="35"/>
  <c r="FF12" i="2"/>
  <c r="J29" i="35"/>
  <c r="CC34" i="35"/>
  <c r="BK47" i="35"/>
  <c r="BX47" i="35"/>
  <c r="AI48" i="35"/>
  <c r="CG46" i="35"/>
  <c r="AY44" i="35"/>
  <c r="AD29" i="35"/>
  <c r="FG17" i="2"/>
  <c r="BQ45" i="35"/>
  <c r="BT44" i="35"/>
  <c r="AG29" i="35"/>
  <c r="BX30" i="35"/>
  <c r="O31" i="35"/>
  <c r="E48" i="35"/>
  <c r="Q28" i="35"/>
  <c r="U30" i="35"/>
  <c r="BA51" i="35"/>
  <c r="CD31" i="35"/>
  <c r="K28" i="35"/>
  <c r="BO30" i="35"/>
  <c r="BM46" i="35"/>
  <c r="CE51" i="35"/>
  <c r="BN30" i="35"/>
  <c r="AF48" i="35"/>
  <c r="BK46" i="35"/>
  <c r="P45" i="35"/>
  <c r="AH30" i="35"/>
  <c r="BU51" i="35"/>
  <c r="BP27" i="35"/>
  <c r="BK44" i="35"/>
  <c r="F46" i="35"/>
  <c r="CG44" i="35"/>
  <c r="CA31" i="35"/>
  <c r="V46" i="35"/>
  <c r="BL34" i="35"/>
  <c r="AO44" i="35"/>
  <c r="M51" i="35"/>
  <c r="CH28" i="35"/>
  <c r="CL48" i="35"/>
  <c r="AT44" i="35"/>
  <c r="AJ34" i="35"/>
  <c r="FG8" i="2"/>
  <c r="CC46" i="35"/>
  <c r="AD44" i="35"/>
  <c r="BI47" i="35"/>
  <c r="AN48" i="35"/>
  <c r="BL51" i="35"/>
  <c r="O34" i="35"/>
  <c r="BS46" i="35"/>
  <c r="BW34" i="35"/>
  <c r="CA44" i="35"/>
  <c r="AF44" i="35"/>
  <c r="Z51" i="35"/>
  <c r="CC51" i="35"/>
  <c r="AV48" i="35"/>
  <c r="AV45" i="35"/>
  <c r="AB31" i="35"/>
  <c r="Q34" i="35"/>
  <c r="AT46" i="35"/>
  <c r="CG51" i="35"/>
  <c r="AU51" i="35"/>
  <c r="FG5" i="2"/>
  <c r="C45" i="35"/>
  <c r="BD46" i="35"/>
  <c r="BH28" i="35"/>
  <c r="CH27" i="35"/>
  <c r="AT30" i="35"/>
  <c r="CC45" i="35"/>
  <c r="BR46" i="35"/>
  <c r="AK28" i="35"/>
  <c r="BM47" i="35"/>
  <c r="BX44" i="35"/>
  <c r="FF2" i="2"/>
  <c r="Y30" i="35"/>
  <c r="CJ31" i="35"/>
  <c r="AB45" i="35"/>
  <c r="AC29" i="35"/>
  <c r="AU28" i="35"/>
  <c r="FG12" i="2"/>
  <c r="AR48" i="35"/>
  <c r="CH30" i="35"/>
  <c r="BO47" i="35"/>
  <c r="BE29" i="35"/>
  <c r="BZ30" i="35"/>
  <c r="BQ48" i="35"/>
  <c r="CK29" i="35"/>
  <c r="AF30" i="35"/>
  <c r="CI27" i="35"/>
  <c r="BH51" i="35"/>
  <c r="R44" i="35"/>
  <c r="BX45" i="35"/>
  <c r="AG46" i="35"/>
  <c r="C27" i="35"/>
  <c r="CD29" i="35"/>
  <c r="I48" i="35"/>
  <c r="I31" i="35"/>
  <c r="AK45" i="35"/>
  <c r="P48" i="35"/>
  <c r="AY29" i="35"/>
  <c r="BJ48" i="35"/>
  <c r="BP29" i="35"/>
  <c r="CL31" i="35"/>
  <c r="BB28" i="35"/>
  <c r="AX45" i="35"/>
  <c r="BL28" i="35"/>
  <c r="BZ48" i="35"/>
  <c r="BF29" i="35"/>
  <c r="X48" i="35"/>
  <c r="AP48" i="35"/>
  <c r="BC28" i="35"/>
  <c r="AI27" i="35"/>
  <c r="AO51" i="35"/>
  <c r="C46" i="35"/>
  <c r="CD46" i="35"/>
  <c r="H44" i="35"/>
  <c r="H28" i="35"/>
  <c r="BK29" i="35"/>
  <c r="AJ30" i="35"/>
  <c r="M45" i="35"/>
  <c r="BW48" i="35"/>
  <c r="AC51" i="35"/>
  <c r="BG47" i="35"/>
  <c r="BH27" i="35"/>
  <c r="AV31" i="35"/>
  <c r="CI30" i="35"/>
  <c r="BX27" i="35"/>
  <c r="AB27" i="35"/>
  <c r="Q29" i="35"/>
  <c r="CE44" i="35"/>
  <c r="AX31" i="35"/>
  <c r="T48" i="35"/>
  <c r="AY27" i="35"/>
  <c r="FF8" i="2"/>
  <c r="O29" i="35"/>
  <c r="CL44" i="35"/>
  <c r="AK46" i="35"/>
  <c r="Y27" i="35"/>
  <c r="FF17" i="2"/>
  <c r="AX44" i="35"/>
  <c r="Y45" i="35"/>
  <c r="AL47" i="35"/>
  <c r="L46" i="35"/>
  <c r="AC44" i="35"/>
  <c r="CD44" i="35"/>
  <c r="C50" i="35"/>
  <c r="CJ29" i="35"/>
  <c r="BF47" i="35"/>
  <c r="AN28" i="35"/>
  <c r="BK34" i="35"/>
  <c r="E27" i="35"/>
  <c r="AO47" i="35"/>
  <c r="J46" i="35"/>
  <c r="Y47" i="35"/>
  <c r="BU30" i="35"/>
  <c r="CC47" i="35"/>
  <c r="BD34" i="35"/>
  <c r="AZ48" i="35"/>
  <c r="BZ51" i="35"/>
  <c r="K34" i="35"/>
  <c r="CD27" i="35"/>
  <c r="C33" i="35"/>
  <c r="P44" i="35"/>
  <c r="A29" i="35"/>
  <c r="AO31" i="35"/>
  <c r="CF31" i="35"/>
  <c r="BI44" i="35"/>
  <c r="CA48" i="35"/>
  <c r="T47" i="35"/>
  <c r="BZ29" i="35"/>
  <c r="AI44" i="35"/>
  <c r="BU44" i="35"/>
  <c r="BT30" i="35"/>
  <c r="BF44" i="35"/>
  <c r="M48" i="35"/>
  <c r="AT34" i="35"/>
  <c r="AF45" i="35"/>
  <c r="CE30" i="35"/>
  <c r="BE47" i="35"/>
  <c r="AF27" i="35"/>
  <c r="CL27" i="35"/>
  <c r="J28" i="35"/>
  <c r="BL44" i="35"/>
  <c r="BU28" i="35"/>
  <c r="BI34" i="35"/>
  <c r="BD44" i="35"/>
  <c r="AY51" i="35"/>
  <c r="AK29" i="35"/>
  <c r="BJ44" i="35"/>
  <c r="BG30" i="35"/>
  <c r="AR46" i="35"/>
  <c r="BG51" i="35"/>
  <c r="BG45" i="35"/>
  <c r="BE31" i="35"/>
  <c r="AV44" i="35"/>
  <c r="J31" i="35"/>
  <c r="O44" i="35"/>
  <c r="BG29" i="35"/>
  <c r="BW51" i="35"/>
  <c r="BS30" i="35"/>
  <c r="AX28" i="35"/>
  <c r="L27" i="35"/>
  <c r="AW30" i="35"/>
  <c r="AP34" i="35"/>
  <c r="BF31" i="35"/>
  <c r="V31" i="35"/>
  <c r="AV28" i="35"/>
  <c r="A31" i="35"/>
  <c r="CD34" i="35"/>
  <c r="CB27" i="35"/>
  <c r="BG27" i="35"/>
  <c r="U28" i="35"/>
  <c r="AR29" i="35"/>
  <c r="CA46" i="35"/>
  <c r="AD31" i="35"/>
  <c r="AQ45" i="35"/>
  <c r="J44" i="35"/>
  <c r="AE29" i="35"/>
  <c r="AP29" i="35"/>
  <c r="W44" i="35"/>
  <c r="CM44" i="35"/>
  <c r="AW34" i="35"/>
  <c r="FG3" i="2"/>
  <c r="V28" i="35"/>
  <c r="BJ47" i="35"/>
  <c r="CG47" i="35"/>
  <c r="T44" i="35"/>
  <c r="U29" i="35"/>
  <c r="CF30" i="35"/>
  <c r="F30" i="35"/>
  <c r="AA28" i="35"/>
  <c r="BH46" i="35"/>
  <c r="BZ31" i="35"/>
  <c r="M30" i="35"/>
  <c r="U46" i="35"/>
  <c r="AB30" i="35"/>
  <c r="BV31" i="35"/>
  <c r="Y28" i="35"/>
  <c r="S47" i="35"/>
  <c r="J45" i="35"/>
  <c r="AG44" i="35"/>
  <c r="AB34" i="35"/>
  <c r="L28" i="35"/>
  <c r="AK51" i="35"/>
  <c r="BP46" i="35"/>
  <c r="AI30" i="35"/>
  <c r="D44" i="35"/>
  <c r="AM34" i="35"/>
  <c r="BT31" i="35"/>
  <c r="W48" i="35"/>
  <c r="CK30" i="35"/>
  <c r="T46" i="35"/>
  <c r="CL28" i="35"/>
  <c r="AZ44" i="35"/>
  <c r="D51" i="35"/>
  <c r="AP44" i="35"/>
  <c r="T28" i="35"/>
  <c r="CI48" i="35"/>
  <c r="CE31" i="35"/>
  <c r="AS47" i="35"/>
  <c r="F27" i="35"/>
  <c r="V51" i="35"/>
  <c r="AU31" i="35"/>
  <c r="AV47" i="35"/>
  <c r="L31" i="35"/>
  <c r="BN44" i="35"/>
  <c r="J30" i="35"/>
  <c r="AS51" i="35"/>
  <c r="BC46" i="35"/>
  <c r="Z30" i="35"/>
  <c r="BA45" i="35"/>
  <c r="BD27" i="35"/>
  <c r="AL51" i="35"/>
  <c r="R46" i="35"/>
  <c r="BQ28" i="35"/>
  <c r="BD48" i="35"/>
  <c r="AJ44" i="35"/>
  <c r="CA28" i="35"/>
  <c r="BY29" i="35"/>
  <c r="B34" i="35"/>
  <c r="AI34" i="35"/>
  <c r="BY44" i="35"/>
  <c r="R29" i="35"/>
  <c r="AQ51" i="35"/>
  <c r="BG31" i="35"/>
  <c r="P28" i="35"/>
  <c r="R30" i="35"/>
  <c r="AT29" i="35"/>
  <c r="BW31" i="35"/>
  <c r="G30" i="35"/>
  <c r="AD30" i="35"/>
  <c r="CB45" i="35"/>
  <c r="M46" i="35"/>
  <c r="AZ31" i="35"/>
  <c r="FF13" i="2"/>
  <c r="C47" i="35"/>
  <c r="BK48" i="35"/>
  <c r="Z45" i="35"/>
  <c r="S28" i="35"/>
  <c r="N28" i="35"/>
  <c r="BC34" i="35"/>
  <c r="BM45" i="35"/>
  <c r="BY30" i="35"/>
  <c r="AN29" i="35"/>
  <c r="U51" i="35"/>
  <c r="BR34" i="35"/>
  <c r="BQ51" i="35"/>
  <c r="AZ30" i="35"/>
  <c r="BY46" i="35"/>
  <c r="S34" i="35"/>
  <c r="AC28" i="35"/>
  <c r="CH48" i="35"/>
  <c r="Z34" i="35"/>
  <c r="AQ27" i="35"/>
  <c r="BB45" i="35"/>
  <c r="BP44" i="35"/>
  <c r="FF15" i="2"/>
  <c r="W31" i="35"/>
  <c r="P31" i="35"/>
  <c r="BS27" i="35"/>
  <c r="BV34" i="35"/>
  <c r="W46" i="35"/>
  <c r="AI28" i="35"/>
  <c r="AT51" i="35"/>
  <c r="R27" i="35"/>
  <c r="BI29" i="35"/>
  <c r="CD48" i="35"/>
  <c r="BR48" i="35"/>
  <c r="BR44" i="35"/>
  <c r="BI48" i="35"/>
  <c r="AH48" i="35"/>
  <c r="AD27" i="35"/>
  <c r="AR31" i="35"/>
  <c r="BK28" i="35"/>
  <c r="AP31" i="35"/>
  <c r="AM45" i="35"/>
  <c r="AK30" i="35"/>
  <c r="BY27" i="35"/>
  <c r="CK44" i="35"/>
  <c r="BF34" i="35"/>
  <c r="AR51" i="35"/>
  <c r="AP47" i="35"/>
  <c r="BW30" i="35"/>
  <c r="CI47" i="35"/>
  <c r="B51" i="35"/>
  <c r="A45" i="35"/>
  <c r="I28" i="35"/>
  <c r="AS46" i="35"/>
  <c r="FF14" i="2"/>
  <c r="BK30" i="35"/>
  <c r="FG7" i="2"/>
  <c r="I34" i="35"/>
  <c r="BN51" i="35"/>
  <c r="BC27" i="35"/>
  <c r="A28" i="35"/>
  <c r="BJ28" i="35"/>
  <c r="CK28" i="35"/>
  <c r="BX28" i="35"/>
  <c r="CK45" i="35"/>
  <c r="BT27" i="35"/>
  <c r="CM27" i="35"/>
  <c r="E51" i="35"/>
  <c r="AA30" i="35"/>
  <c r="CH47" i="35"/>
  <c r="A47" i="35"/>
  <c r="V44" i="35"/>
  <c r="BU46" i="35"/>
  <c r="CH31" i="35"/>
  <c r="R51" i="35"/>
  <c r="Y44" i="35"/>
  <c r="Q46" i="35"/>
  <c r="E47" i="35"/>
  <c r="CA45" i="35"/>
  <c r="BI51" i="35"/>
  <c r="AC31" i="35"/>
  <c r="BO51" i="35"/>
  <c r="V29" i="35"/>
  <c r="Y34" i="35"/>
  <c r="Z31" i="35"/>
  <c r="AZ34" i="35"/>
  <c r="H34" i="35"/>
  <c r="AU47" i="35"/>
  <c r="AI45" i="35"/>
  <c r="AS30" i="35"/>
  <c r="AR44" i="35"/>
  <c r="A48" i="35"/>
  <c r="AE28" i="35"/>
  <c r="CM46" i="35"/>
  <c r="J27" i="35"/>
  <c r="Y29" i="35"/>
  <c r="T51" i="35"/>
  <c r="AD46" i="35"/>
  <c r="CK34" i="35"/>
  <c r="G29" i="35"/>
  <c r="BO31" i="35"/>
  <c r="C44" i="35"/>
  <c r="BZ46" i="35"/>
  <c r="AL29" i="35"/>
  <c r="CC48" i="35"/>
  <c r="BF30" i="35"/>
  <c r="AE34" i="35"/>
  <c r="H47" i="35"/>
  <c r="AE47" i="35"/>
  <c r="FF9" i="2"/>
  <c r="X44" i="35"/>
  <c r="BL30" i="35"/>
  <c r="AM46" i="35"/>
  <c r="V34" i="35"/>
  <c r="CJ27" i="35"/>
  <c r="S27" i="35"/>
  <c r="F51" i="35"/>
  <c r="BW47" i="35"/>
  <c r="G45" i="35"/>
  <c r="BJ27" i="35"/>
  <c r="AI47" i="35"/>
  <c r="BJ29" i="35"/>
  <c r="BS31" i="35"/>
  <c r="CM47" i="35"/>
  <c r="BF51" i="35"/>
  <c r="AD45" i="35"/>
  <c r="Z46" i="35"/>
  <c r="BR30" i="35"/>
  <c r="BI30" i="35"/>
  <c r="AZ29" i="35"/>
  <c r="BX34" i="35"/>
  <c r="BJ51" i="35"/>
  <c r="BW28" i="35"/>
  <c r="CH51" i="35"/>
  <c r="CG34" i="35"/>
  <c r="CF27" i="35"/>
  <c r="BN28" i="35"/>
  <c r="I51" i="35"/>
  <c r="CJ28" i="35"/>
  <c r="CI28" i="35"/>
  <c r="AE44" i="35"/>
  <c r="BU47" i="35"/>
  <c r="S48" i="35"/>
  <c r="B44" i="35"/>
  <c r="BZ44" i="35"/>
  <c r="BA47" i="35"/>
  <c r="FG4" i="2"/>
  <c r="AY34" i="35"/>
  <c r="AC30" i="35"/>
  <c r="CL45" i="35"/>
  <c r="AH34" i="35"/>
  <c r="BT28" i="35"/>
  <c r="G44" i="35"/>
  <c r="AS27" i="35"/>
  <c r="BL31" i="35"/>
  <c r="X46" i="35"/>
  <c r="CL29" i="35"/>
  <c r="BR29" i="35"/>
  <c r="Q47" i="35"/>
  <c r="BK31" i="35"/>
  <c r="FF4" i="2"/>
  <c r="BI27" i="35"/>
  <c r="CD45" i="35"/>
  <c r="BN45" i="35"/>
  <c r="M34" i="35"/>
  <c r="BL46" i="35"/>
  <c r="BY28" i="35"/>
  <c r="AJ31" i="35"/>
  <c r="BD45" i="35"/>
  <c r="E29" i="35"/>
  <c r="AT45" i="35"/>
  <c r="P29" i="35"/>
  <c r="BV46" i="35"/>
  <c r="AF46" i="35"/>
  <c r="AW28" i="35"/>
  <c r="BL27" i="35"/>
  <c r="CC29" i="35"/>
  <c r="BV44" i="35"/>
  <c r="BM51" i="35"/>
  <c r="CE27" i="35"/>
  <c r="AX46" i="35"/>
  <c r="Q51" i="35"/>
  <c r="S45" i="35"/>
  <c r="BJ30" i="35"/>
  <c r="AK34" i="35"/>
  <c r="BY45" i="35"/>
  <c r="CG28" i="35"/>
  <c r="BE28" i="35"/>
  <c r="U34" i="35"/>
  <c r="BD29" i="35"/>
  <c r="B31" i="35"/>
  <c r="AD47" i="35"/>
  <c r="E31" i="35"/>
  <c r="AR27" i="35"/>
  <c r="AV30" i="35"/>
  <c r="FF7" i="2"/>
  <c r="AH28" i="35"/>
  <c r="BJ45" i="35"/>
  <c r="BP45" i="35"/>
  <c r="A44" i="35"/>
  <c r="AO34" i="35"/>
  <c r="FG9" i="2"/>
  <c r="C51" i="35"/>
  <c r="AI31" i="35"/>
  <c r="BG48" i="35"/>
  <c r="X29" i="35"/>
  <c r="AG30" i="35"/>
  <c r="AO28" i="35"/>
  <c r="AN27" i="35"/>
  <c r="BD47" i="35"/>
  <c r="AA29" i="35"/>
  <c r="D45" i="35"/>
  <c r="AF28" i="35"/>
  <c r="AT48" i="35"/>
  <c r="AN32" i="35" l="1"/>
  <c r="AN33" i="35"/>
  <c r="AO35" i="35"/>
  <c r="FH7" i="2"/>
  <c r="AR33" i="35"/>
  <c r="AR32" i="35"/>
  <c r="A2" i="35"/>
  <c r="U35" i="35"/>
  <c r="AK35" i="35"/>
  <c r="Q52" i="35"/>
  <c r="CE32" i="35"/>
  <c r="CE33" i="35"/>
  <c r="BM52" i="35"/>
  <c r="BV49" i="35"/>
  <c r="CO44" i="35"/>
  <c r="BV50" i="35"/>
  <c r="CR29" i="35"/>
  <c r="BL32" i="35"/>
  <c r="BL33" i="35"/>
  <c r="CO46" i="35"/>
  <c r="C2" i="35"/>
  <c r="M35" i="35"/>
  <c r="CS45" i="35"/>
  <c r="BI32" i="35"/>
  <c r="BI33" i="35"/>
  <c r="FH4" i="2"/>
  <c r="AS32" i="35"/>
  <c r="AS33" i="35"/>
  <c r="S4" i="35"/>
  <c r="AH35" i="35"/>
  <c r="AY35" i="35"/>
  <c r="BZ49" i="35"/>
  <c r="BZ50" i="35"/>
  <c r="CN47" i="35"/>
  <c r="AE50" i="35"/>
  <c r="AE49" i="35"/>
  <c r="I52" i="35"/>
  <c r="CF33" i="35"/>
  <c r="CF32" i="35"/>
  <c r="M16" i="35"/>
  <c r="O17" i="35"/>
  <c r="CP28" i="35"/>
  <c r="BJ52" i="35"/>
  <c r="BX35" i="35"/>
  <c r="CQ34" i="35"/>
  <c r="CQ35" i="35" s="1"/>
  <c r="BF52" i="35"/>
  <c r="P3" i="35"/>
  <c r="BJ32" i="35"/>
  <c r="BJ33" i="35"/>
  <c r="R4" i="35"/>
  <c r="CP47" i="35"/>
  <c r="O18" i="35"/>
  <c r="S32" i="35"/>
  <c r="S33" i="35"/>
  <c r="V35" i="35"/>
  <c r="X50" i="35"/>
  <c r="X49" i="35"/>
  <c r="FH9" i="2"/>
  <c r="AE35" i="35"/>
  <c r="CR48" i="35"/>
  <c r="C4" i="35"/>
  <c r="T52" i="35"/>
  <c r="J33" i="35"/>
  <c r="J32" i="35"/>
  <c r="Q3" i="35"/>
  <c r="AR50" i="35"/>
  <c r="AR49" i="35"/>
  <c r="K2" i="35"/>
  <c r="H35" i="35"/>
  <c r="AZ35" i="35"/>
  <c r="Y35" i="35"/>
  <c r="BO52" i="35"/>
  <c r="BI52" i="35"/>
  <c r="P2" i="35"/>
  <c r="Y50" i="35"/>
  <c r="Y49" i="35"/>
  <c r="R52" i="35"/>
  <c r="CN46" i="35"/>
  <c r="V49" i="35"/>
  <c r="V50" i="35"/>
  <c r="E3" i="35"/>
  <c r="BT33" i="35"/>
  <c r="BT32" i="35"/>
  <c r="R5" i="35"/>
  <c r="CQ28" i="35"/>
  <c r="D5" i="35"/>
  <c r="BC33" i="35"/>
  <c r="BC32" i="35"/>
  <c r="BN52" i="35"/>
  <c r="I35" i="35"/>
  <c r="FH14" i="2"/>
  <c r="I2" i="35"/>
  <c r="I3" i="35"/>
  <c r="CP30" i="35"/>
  <c r="AR52" i="35"/>
  <c r="BF35" i="35"/>
  <c r="CK49" i="35"/>
  <c r="CK50" i="35"/>
  <c r="S5" i="35"/>
  <c r="BY32" i="35"/>
  <c r="BY33" i="35"/>
  <c r="AD33" i="35"/>
  <c r="AD32" i="35"/>
  <c r="BR50" i="35"/>
  <c r="BR49" i="35"/>
  <c r="CS48" i="35"/>
  <c r="R33" i="35"/>
  <c r="R32" i="35"/>
  <c r="AT52" i="35"/>
  <c r="CO34" i="35"/>
  <c r="CO35" i="35" s="1"/>
  <c r="BV35" i="35"/>
  <c r="BS32" i="35"/>
  <c r="BS33" i="35"/>
  <c r="FH15" i="2"/>
  <c r="BP49" i="35"/>
  <c r="BP50" i="35"/>
  <c r="AQ33" i="35"/>
  <c r="AQ32" i="35"/>
  <c r="Z35" i="35"/>
  <c r="S35" i="35"/>
  <c r="BQ52" i="35"/>
  <c r="BR35" i="35"/>
  <c r="U52" i="35"/>
  <c r="BC35" i="35"/>
  <c r="FH13" i="2"/>
  <c r="B4" i="35"/>
  <c r="CP31" i="35"/>
  <c r="AQ52" i="35"/>
  <c r="BY49" i="35"/>
  <c r="BY50" i="35"/>
  <c r="AI35" i="35"/>
  <c r="G2" i="35"/>
  <c r="G3" i="35"/>
  <c r="AJ50" i="35"/>
  <c r="AJ49" i="35"/>
  <c r="AL52" i="35"/>
  <c r="BD33" i="35"/>
  <c r="BD32" i="35"/>
  <c r="AS52" i="35"/>
  <c r="BN49" i="35"/>
  <c r="BN50" i="35"/>
  <c r="V52" i="35"/>
  <c r="AP50" i="35"/>
  <c r="AP49" i="35"/>
  <c r="AZ50" i="35"/>
  <c r="AZ49" i="35"/>
  <c r="B5" i="35"/>
  <c r="AM35" i="35"/>
  <c r="AK52" i="35"/>
  <c r="AB35" i="35"/>
  <c r="AG49" i="35"/>
  <c r="AG50" i="35"/>
  <c r="CO31" i="35"/>
  <c r="T50" i="35"/>
  <c r="T49" i="35"/>
  <c r="AW35" i="35"/>
  <c r="S3" i="35"/>
  <c r="W50" i="35"/>
  <c r="W49" i="35"/>
  <c r="J49" i="35"/>
  <c r="J50" i="35"/>
  <c r="BG33" i="35"/>
  <c r="BG32" i="35"/>
  <c r="CB33" i="35"/>
  <c r="CB32" i="35"/>
  <c r="CD35" i="35"/>
  <c r="CS34" i="35"/>
  <c r="CS35" i="35" s="1"/>
  <c r="M13" i="35" s="1"/>
  <c r="AP35" i="35"/>
  <c r="L33" i="35"/>
  <c r="L32" i="35"/>
  <c r="CP51" i="35"/>
  <c r="CP52" i="35" s="1"/>
  <c r="BW52" i="35"/>
  <c r="O49" i="35"/>
  <c r="O50" i="35"/>
  <c r="AV50" i="35"/>
  <c r="AV49" i="35"/>
  <c r="BG52" i="35"/>
  <c r="BJ50" i="35"/>
  <c r="BJ49" i="35"/>
  <c r="AY52" i="35"/>
  <c r="BD50" i="35"/>
  <c r="BD49" i="35"/>
  <c r="BI35" i="35"/>
  <c r="CN28" i="35"/>
  <c r="BL50" i="35"/>
  <c r="BL49" i="35"/>
  <c r="AF33" i="35"/>
  <c r="AF32" i="35"/>
  <c r="AT35" i="35"/>
  <c r="BF50" i="35"/>
  <c r="BF49" i="35"/>
  <c r="BU50" i="35"/>
  <c r="BU49" i="35"/>
  <c r="CN44" i="35"/>
  <c r="AI49" i="35"/>
  <c r="AI50" i="35"/>
  <c r="BI50" i="35"/>
  <c r="BI49" i="35"/>
  <c r="P49" i="35"/>
  <c r="P50" i="35"/>
  <c r="CD33" i="35"/>
  <c r="CS27" i="35"/>
  <c r="CD32" i="35"/>
  <c r="K35" i="35"/>
  <c r="BZ52" i="35"/>
  <c r="BD35" i="35"/>
  <c r="CR47" i="35"/>
  <c r="CN30" i="35"/>
  <c r="E2" i="35"/>
  <c r="BK35" i="35"/>
  <c r="CS44" i="35"/>
  <c r="CD49" i="35"/>
  <c r="CD50" i="35"/>
  <c r="AC50" i="35"/>
  <c r="AC49" i="35"/>
  <c r="AX50" i="35"/>
  <c r="AX49" i="35"/>
  <c r="FH17" i="2"/>
  <c r="Y32" i="35"/>
  <c r="Y33" i="35"/>
  <c r="FH8" i="2"/>
  <c r="AY32" i="35"/>
  <c r="AY33" i="35"/>
  <c r="CE50" i="35"/>
  <c r="CE49" i="35"/>
  <c r="AB32" i="35"/>
  <c r="AB33" i="35"/>
  <c r="CQ27" i="35"/>
  <c r="BX33" i="35"/>
  <c r="BX32" i="35"/>
  <c r="BH33" i="35"/>
  <c r="BH32" i="35"/>
  <c r="AC52" i="35"/>
  <c r="CP48" i="35"/>
  <c r="H49" i="35"/>
  <c r="H50" i="35"/>
  <c r="CS46" i="35"/>
  <c r="AO52" i="35"/>
  <c r="AI33" i="35"/>
  <c r="AI32" i="35"/>
  <c r="CS29" i="35"/>
  <c r="CQ45" i="35"/>
  <c r="R50" i="35"/>
  <c r="R49" i="35"/>
  <c r="BH52" i="35"/>
  <c r="C5" i="35"/>
  <c r="FH2" i="2"/>
  <c r="BX49" i="35"/>
  <c r="CQ44" i="35"/>
  <c r="BX50" i="35"/>
  <c r="CR45" i="35"/>
  <c r="CH32" i="35"/>
  <c r="CH33" i="35"/>
  <c r="AU52" i="35"/>
  <c r="O16" i="35"/>
  <c r="Q35" i="35"/>
  <c r="CR51" i="35"/>
  <c r="CR52" i="35" s="1"/>
  <c r="CC52" i="35"/>
  <c r="Z52" i="35"/>
  <c r="AF49" i="35"/>
  <c r="AF50" i="35"/>
  <c r="CA49" i="35"/>
  <c r="CA50" i="35"/>
  <c r="CP34" i="35"/>
  <c r="CP35" i="35" s="1"/>
  <c r="BW35" i="35"/>
  <c r="O35" i="35"/>
  <c r="BL52" i="35"/>
  <c r="AD50" i="35"/>
  <c r="AD49" i="35"/>
  <c r="CR46" i="35"/>
  <c r="AJ35" i="35"/>
  <c r="AT49" i="35"/>
  <c r="AT50" i="35"/>
  <c r="M52" i="35"/>
  <c r="AO49" i="35"/>
  <c r="AO50" i="35"/>
  <c r="BL35" i="35"/>
  <c r="CG50" i="35"/>
  <c r="CG49" i="35"/>
  <c r="BK49" i="35"/>
  <c r="BK50" i="35"/>
  <c r="BP32" i="35"/>
  <c r="BP33" i="35"/>
  <c r="CN51" i="35"/>
  <c r="CN52" i="35" s="1"/>
  <c r="BU52" i="35"/>
  <c r="CE52" i="35"/>
  <c r="CS31" i="35"/>
  <c r="BA52" i="35"/>
  <c r="O2" i="35"/>
  <c r="CQ30" i="35"/>
  <c r="BT50" i="35"/>
  <c r="BT49" i="35"/>
  <c r="AY49" i="35"/>
  <c r="AY50" i="35"/>
  <c r="CQ47" i="35"/>
  <c r="CR34" i="35"/>
  <c r="CR35" i="35" s="1"/>
  <c r="M12" i="35" s="1"/>
  <c r="CC35" i="35"/>
  <c r="FH12" i="2"/>
  <c r="D3" i="35"/>
  <c r="O5" i="35"/>
  <c r="P4" i="35"/>
  <c r="BA32" i="35"/>
  <c r="BA33" i="35"/>
  <c r="BZ32" i="35"/>
  <c r="BZ33" i="35"/>
  <c r="AB52" i="35"/>
  <c r="BY52" i="35"/>
  <c r="B2" i="35"/>
  <c r="CR30" i="35"/>
  <c r="AC35" i="35"/>
  <c r="BC50" i="35"/>
  <c r="BC49" i="35"/>
  <c r="BS52" i="35"/>
  <c r="CN48" i="35"/>
  <c r="AV35" i="35"/>
  <c r="BE52" i="35"/>
  <c r="W35" i="35"/>
  <c r="CF49" i="35"/>
  <c r="CF50" i="35"/>
  <c r="AH50" i="35"/>
  <c r="AH49" i="35"/>
  <c r="AL50" i="35"/>
  <c r="AL49" i="35"/>
  <c r="C3" i="35"/>
  <c r="BF33" i="35"/>
  <c r="BF32" i="35"/>
  <c r="BQ50" i="35"/>
  <c r="BQ49" i="35"/>
  <c r="BA35" i="35"/>
  <c r="AV52" i="35"/>
  <c r="AK49" i="35"/>
  <c r="AK50" i="35"/>
  <c r="CO28" i="35"/>
  <c r="CS47" i="35"/>
  <c r="M18" i="35"/>
  <c r="BN35" i="35"/>
  <c r="CA35" i="35"/>
  <c r="J35" i="35"/>
  <c r="CO29" i="35"/>
  <c r="AH52" i="35"/>
  <c r="BE49" i="35"/>
  <c r="BE50" i="35"/>
  <c r="M32" i="35"/>
  <c r="M33" i="35"/>
  <c r="N52" i="35"/>
  <c r="CB50" i="35"/>
  <c r="CB49" i="35"/>
  <c r="BU35" i="35"/>
  <c r="CN34" i="35"/>
  <c r="CN35" i="35" s="1"/>
  <c r="BU33" i="35"/>
  <c r="BU32" i="35"/>
  <c r="CN27" i="35"/>
  <c r="P52" i="35"/>
  <c r="AX33" i="35"/>
  <c r="AX32" i="35"/>
  <c r="U33" i="35"/>
  <c r="U32" i="35"/>
  <c r="CB52" i="35"/>
  <c r="CR27" i="35"/>
  <c r="CC32" i="35"/>
  <c r="CC33" i="35"/>
  <c r="AA50" i="35"/>
  <c r="AA49" i="35"/>
  <c r="Z49" i="35"/>
  <c r="Z50" i="35"/>
  <c r="A4" i="35"/>
  <c r="AM33" i="35"/>
  <c r="AM32" i="35"/>
  <c r="AP33" i="35"/>
  <c r="AP32" i="35"/>
  <c r="S2" i="35"/>
  <c r="CN31" i="35"/>
  <c r="BP35" i="35"/>
  <c r="BE32" i="35"/>
  <c r="BE33" i="35"/>
  <c r="FH10" i="2"/>
  <c r="P35" i="35"/>
  <c r="CO51" i="35"/>
  <c r="CO52" i="35" s="1"/>
  <c r="BV52" i="35"/>
  <c r="AA32" i="35"/>
  <c r="AA33" i="35"/>
  <c r="BP52" i="35"/>
  <c r="BV32" i="35"/>
  <c r="BV33" i="35"/>
  <c r="CO27" i="35"/>
  <c r="CF52" i="35"/>
  <c r="BY35" i="35"/>
  <c r="AU35" i="35"/>
  <c r="CP46" i="35"/>
  <c r="P32" i="35"/>
  <c r="P33" i="35"/>
  <c r="BQ33" i="35"/>
  <c r="BQ32" i="35"/>
  <c r="BK52" i="35"/>
  <c r="AC32" i="35"/>
  <c r="AC33" i="35"/>
  <c r="H52" i="35"/>
  <c r="M2" i="35"/>
  <c r="X52" i="35"/>
  <c r="O4" i="35"/>
  <c r="L49" i="35"/>
  <c r="L50" i="35"/>
  <c r="Q4" i="35"/>
  <c r="P5" i="35"/>
  <c r="R2" i="35"/>
  <c r="BG35" i="35"/>
  <c r="AM50" i="35"/>
  <c r="AM49" i="35"/>
  <c r="AU49" i="35"/>
  <c r="AU50" i="35"/>
  <c r="W52" i="35"/>
  <c r="G10" i="35" s="1"/>
  <c r="K52" i="35"/>
  <c r="N35" i="35"/>
  <c r="K32" i="35"/>
  <c r="K33" i="35"/>
  <c r="AB49" i="35"/>
  <c r="AB50" i="35"/>
  <c r="Y52" i="35"/>
  <c r="CN29" i="35"/>
  <c r="R3" i="35"/>
  <c r="BR52" i="35"/>
  <c r="FH3" i="2"/>
  <c r="CQ51" i="35"/>
  <c r="CQ52" i="35" s="1"/>
  <c r="O11" i="35" s="1"/>
  <c r="BX52" i="35"/>
  <c r="BH35" i="35"/>
  <c r="Q2" i="35"/>
  <c r="BB35" i="35"/>
  <c r="AX35" i="35"/>
  <c r="BS35" i="35"/>
  <c r="AD35" i="35"/>
  <c r="CO48" i="35"/>
  <c r="BA50" i="35"/>
  <c r="BA49" i="35"/>
  <c r="FH11" i="2"/>
  <c r="FH6" i="2"/>
  <c r="BE35" i="35"/>
  <c r="E4" i="35"/>
  <c r="AS49" i="35"/>
  <c r="AS50" i="35"/>
  <c r="FH5" i="2"/>
  <c r="AM52" i="35"/>
  <c r="BS50" i="35"/>
  <c r="BS49" i="35"/>
  <c r="CP45" i="35"/>
  <c r="AL35" i="35"/>
  <c r="BM32" i="35"/>
  <c r="BM33" i="35"/>
  <c r="V32" i="35"/>
  <c r="V33" i="35"/>
  <c r="D4" i="35"/>
  <c r="BG50" i="35"/>
  <c r="BG49" i="35"/>
  <c r="AU32" i="35"/>
  <c r="AU33" i="35"/>
  <c r="CO45" i="35"/>
  <c r="AF52" i="35"/>
  <c r="K49" i="35"/>
  <c r="K50" i="35"/>
  <c r="R35" i="35"/>
  <c r="I49" i="35"/>
  <c r="I50" i="35"/>
  <c r="AE52" i="35"/>
  <c r="AI52" i="35"/>
  <c r="L52" i="35"/>
  <c r="AF35" i="35"/>
  <c r="A5" i="35"/>
  <c r="CK32" i="35"/>
  <c r="CK33" i="35"/>
  <c r="E5" i="35"/>
  <c r="AP52" i="35"/>
  <c r="AV32" i="35"/>
  <c r="AV33" i="35"/>
  <c r="CO47" i="35"/>
  <c r="AD52" i="35"/>
  <c r="CP27" i="35"/>
  <c r="BW33" i="35"/>
  <c r="BW32" i="35"/>
  <c r="BT52" i="35"/>
  <c r="AJ52" i="35"/>
  <c r="CH49" i="35"/>
  <c r="CH50" i="35"/>
  <c r="CA52" i="35"/>
  <c r="CP29" i="35"/>
  <c r="CA33" i="35"/>
  <c r="CA32" i="35"/>
  <c r="AA52" i="35"/>
  <c r="AQ35" i="35"/>
  <c r="CQ29" i="35"/>
  <c r="AR35" i="35"/>
  <c r="BZ35" i="35"/>
  <c r="BM49" i="35"/>
  <c r="BM50" i="35"/>
  <c r="BR33" i="35"/>
  <c r="BR32" i="35"/>
  <c r="CQ31" i="35"/>
  <c r="W33" i="35"/>
  <c r="W32" i="35"/>
  <c r="D2" i="35"/>
  <c r="U50" i="35"/>
  <c r="U49" i="35"/>
  <c r="M17" i="35"/>
  <c r="AG35" i="35"/>
  <c r="AG32" i="35"/>
  <c r="AG33" i="35"/>
  <c r="CG33" i="35"/>
  <c r="CG32" i="35"/>
  <c r="AJ33" i="35"/>
  <c r="AJ32" i="35"/>
  <c r="J52" i="35"/>
  <c r="CE35" i="35"/>
  <c r="AZ33" i="35"/>
  <c r="AZ32" i="35"/>
  <c r="BQ35" i="35"/>
  <c r="CQ48" i="35"/>
  <c r="N50" i="35"/>
  <c r="N49" i="35"/>
  <c r="Z32" i="35"/>
  <c r="Z33" i="35"/>
  <c r="X32" i="35"/>
  <c r="X33" i="35"/>
  <c r="AX52" i="35"/>
  <c r="CC50" i="35"/>
  <c r="CR44" i="35"/>
  <c r="CC49" i="35"/>
  <c r="L35" i="35"/>
  <c r="BK33" i="35"/>
  <c r="BK32" i="35"/>
  <c r="AW32" i="35"/>
  <c r="AW33" i="35"/>
  <c r="AW52" i="35"/>
  <c r="AQ50" i="35"/>
  <c r="AQ49" i="35"/>
  <c r="AN49" i="35"/>
  <c r="AN50" i="35"/>
  <c r="AA35" i="35"/>
  <c r="AT32" i="35"/>
  <c r="AT33" i="35"/>
  <c r="T33" i="35"/>
  <c r="T32" i="35"/>
  <c r="AN35" i="35"/>
  <c r="S52" i="35"/>
  <c r="CQ46" i="35"/>
  <c r="N33" i="35"/>
  <c r="N32" i="35"/>
  <c r="AK32" i="35"/>
  <c r="AK33" i="35"/>
  <c r="O52" i="35"/>
  <c r="M50" i="35"/>
  <c r="M49" i="35"/>
  <c r="T35" i="35"/>
  <c r="AH33" i="35"/>
  <c r="AH32" i="35"/>
  <c r="FH16" i="2"/>
  <c r="CO30" i="35"/>
  <c r="CR28" i="35"/>
  <c r="CN45" i="35"/>
  <c r="Q5" i="35"/>
  <c r="AO33" i="35"/>
  <c r="AO32" i="35"/>
  <c r="AZ52" i="35"/>
  <c r="CP44" i="35"/>
  <c r="BW49" i="35"/>
  <c r="BW50" i="35"/>
  <c r="AL33" i="35"/>
  <c r="AL32" i="35"/>
  <c r="X35" i="35"/>
  <c r="BB52" i="35"/>
  <c r="BO33" i="35"/>
  <c r="BO32" i="35"/>
  <c r="CS28" i="35"/>
  <c r="CF35" i="35"/>
  <c r="BB49" i="35"/>
  <c r="BB50" i="35"/>
  <c r="H32" i="35"/>
  <c r="H33" i="35"/>
  <c r="AG52" i="35"/>
  <c r="BM35" i="35"/>
  <c r="CB35" i="35"/>
  <c r="BD52" i="35"/>
  <c r="AW50" i="35"/>
  <c r="AW49" i="35"/>
  <c r="Q33" i="35"/>
  <c r="Q32" i="35"/>
  <c r="BC52" i="35"/>
  <c r="AE33" i="35"/>
  <c r="AE32" i="35"/>
  <c r="CD52" i="35"/>
  <c r="CS51" i="35"/>
  <c r="CS52" i="35" s="1"/>
  <c r="CR31" i="35"/>
  <c r="B3" i="35"/>
  <c r="I33" i="35"/>
  <c r="I32" i="35"/>
  <c r="A3" i="35"/>
  <c r="AS35" i="35"/>
  <c r="BO35" i="35"/>
  <c r="BJ35" i="35"/>
  <c r="BB32" i="35"/>
  <c r="BB33" i="35"/>
  <c r="O3" i="35"/>
  <c r="AN52" i="35"/>
  <c r="BO50" i="35"/>
  <c r="BO49" i="35"/>
  <c r="Q50" i="35"/>
  <c r="Q49" i="35"/>
  <c r="O33" i="35"/>
  <c r="O32" i="35"/>
  <c r="S49" i="35"/>
  <c r="S50" i="35"/>
  <c r="CS30" i="35"/>
  <c r="BH49" i="35"/>
  <c r="K13" i="35" s="1"/>
  <c r="BH50" i="35"/>
  <c r="BT35" i="35"/>
  <c r="BN33" i="35"/>
  <c r="BN32" i="35"/>
  <c r="CR50" i="35" l="1"/>
  <c r="G18" i="35"/>
  <c r="K20" i="35"/>
  <c r="C13" i="35"/>
  <c r="A20" i="35"/>
  <c r="I16" i="35"/>
  <c r="E18" i="35"/>
  <c r="C16" i="35"/>
  <c r="K16" i="35"/>
  <c r="G15" i="35"/>
  <c r="E16" i="35"/>
  <c r="G9" i="35"/>
  <c r="G14" i="35"/>
  <c r="G12" i="35"/>
  <c r="C9" i="35"/>
  <c r="K17" i="35"/>
  <c r="CN33" i="35"/>
  <c r="E13" i="35"/>
  <c r="M9" i="35"/>
  <c r="C12" i="35"/>
  <c r="CR33" i="35"/>
  <c r="A12" i="35"/>
  <c r="E20" i="35"/>
  <c r="C20" i="35"/>
  <c r="G22" i="35"/>
  <c r="K14" i="35"/>
  <c r="C17" i="35"/>
  <c r="I11" i="35"/>
  <c r="I18" i="35"/>
  <c r="K3" i="35"/>
  <c r="K12" i="35"/>
  <c r="C21" i="35"/>
  <c r="A14" i="35"/>
  <c r="C14" i="35"/>
  <c r="C22" i="35"/>
  <c r="CP32" i="35"/>
  <c r="I17" i="35"/>
  <c r="E17" i="35"/>
  <c r="G13" i="35"/>
  <c r="K18" i="35"/>
  <c r="CP33" i="35"/>
  <c r="K8" i="35"/>
  <c r="I20" i="35"/>
  <c r="E12" i="35"/>
  <c r="K9" i="35"/>
  <c r="I10" i="35"/>
  <c r="G20" i="35"/>
  <c r="E10" i="35"/>
  <c r="A8" i="35"/>
  <c r="A18" i="35"/>
  <c r="A17" i="35"/>
  <c r="O12" i="35"/>
  <c r="G5" i="35"/>
  <c r="A21" i="35"/>
  <c r="E9" i="35"/>
  <c r="O9" i="35"/>
  <c r="C18" i="35"/>
  <c r="I13" i="35"/>
  <c r="I9" i="35"/>
  <c r="E14" i="35"/>
  <c r="C10" i="35"/>
  <c r="I8" i="35"/>
  <c r="E8" i="35"/>
  <c r="CQ32" i="35"/>
  <c r="CO50" i="35"/>
  <c r="C8" i="35"/>
  <c r="A13" i="35"/>
  <c r="CQ33" i="35"/>
  <c r="E21" i="35"/>
  <c r="K4" i="35"/>
  <c r="A16" i="35"/>
  <c r="CN49" i="35"/>
  <c r="A9" i="35"/>
  <c r="FI8" i="2"/>
  <c r="I19" i="35"/>
  <c r="G16" i="35"/>
  <c r="CN50" i="35"/>
  <c r="G21" i="35"/>
  <c r="CR49" i="35"/>
  <c r="CN32" i="35"/>
  <c r="K19" i="35"/>
  <c r="I5" i="35"/>
  <c r="E15" i="35"/>
  <c r="A10" i="35"/>
  <c r="K10" i="35"/>
  <c r="FI16" i="2"/>
  <c r="FI5" i="2"/>
  <c r="E22" i="35"/>
  <c r="FI15" i="2"/>
  <c r="CP49" i="35"/>
  <c r="FI10" i="2"/>
  <c r="G17" i="35"/>
  <c r="G4" i="35"/>
  <c r="FI14" i="2"/>
  <c r="CQ49" i="35"/>
  <c r="CO33" i="35"/>
  <c r="FI2" i="2"/>
  <c r="FI9" i="2"/>
  <c r="FI4" i="2"/>
  <c r="FI6" i="2"/>
  <c r="CO32" i="35"/>
  <c r="K11" i="35"/>
  <c r="CS32" i="35"/>
  <c r="I12" i="35"/>
  <c r="G8" i="35"/>
  <c r="FI7" i="2"/>
  <c r="CP50" i="35"/>
  <c r="CQ50" i="35"/>
  <c r="A22" i="35"/>
  <c r="M4" i="35"/>
  <c r="CS50" i="35"/>
  <c r="FI3" i="2"/>
  <c r="CR32" i="35"/>
  <c r="M8" i="35"/>
  <c r="M10" i="35"/>
  <c r="CS49" i="35"/>
  <c r="CS33" i="35"/>
  <c r="O10" i="35"/>
  <c r="FI13" i="2"/>
  <c r="FI17" i="2"/>
  <c r="I4" i="35"/>
  <c r="I14" i="35"/>
  <c r="FI11" i="2"/>
  <c r="FI12" i="2"/>
  <c r="M3" i="35"/>
  <c r="CO49" i="35"/>
  <c r="O13" i="35"/>
  <c r="O8" i="35"/>
  <c r="M11" i="35"/>
  <c r="K5" i="35" l="1"/>
  <c r="M5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Serhii Kyrylchuk</author>
  </authors>
  <commentList>
    <comment ref="F1" authorId="0" shapeId="0" xr:uid="{0313101B-009A-43E8-B537-6F00E75860D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</t>
        </r>
      </text>
    </comment>
    <comment ref="G1" authorId="0" shapeId="0" xr:uid="{FBF85D50-4D95-4300-B80C-DD570439D94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
Last 5 games</t>
        </r>
      </text>
    </comment>
    <comment ref="H1" authorId="0" shapeId="0" xr:uid="{76D9B5F5-6B62-49DB-B578-532F8B9C32F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
</t>
        </r>
      </text>
    </comment>
    <comment ref="I1" authorId="0" shapeId="0" xr:uid="{179095AF-0549-43E8-9348-76B7003360C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</t>
        </r>
      </text>
    </comment>
    <comment ref="J1" authorId="0" shapeId="0" xr:uid="{C7387AD8-86E6-40CF-8517-370C5A6D5D8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per Game</t>
        </r>
      </text>
    </comment>
    <comment ref="K1" authorId="0" shapeId="0" xr:uid="{968C7F50-B3F8-4A5B-A4DA-5B40A4CF539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per last 5 Game</t>
        </r>
      </text>
    </comment>
    <comment ref="L1" authorId="0" shapeId="0" xr:uid="{1D7D2C94-B5DF-49A3-A2D9-79AC13830A2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per Game</t>
        </r>
      </text>
    </comment>
    <comment ref="M1" authorId="0" shapeId="0" xr:uid="{60823464-93D1-4D0F-819C-D843102062F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per last 5 games</t>
        </r>
      </text>
    </comment>
    <comment ref="N1" authorId="0" shapeId="0" xr:uid="{E63218C7-405C-427E-ADF4-73688C6AFEF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 per game</t>
        </r>
      </text>
    </comment>
    <comment ref="O1" authorId="0" shapeId="0" xr:uid="{7760DD18-B3B1-41A0-8554-8F66FD59D59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 per last 5 games</t>
        </r>
      </text>
    </comment>
    <comment ref="P1" authorId="0" shapeId="0" xr:uid="{1632C9DA-45CA-4735-AC56-180A3BC8E06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per game
</t>
        </r>
      </text>
    </comment>
    <comment ref="Q1" authorId="0" shapeId="0" xr:uid="{AE4A10F2-4579-439E-B6C8-975288F21A2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per game last 5 games</t>
        </r>
      </text>
    </comment>
    <comment ref="R1" authorId="0" shapeId="0" xr:uid="{8F866EFA-17B9-4352-9699-66ADE6DF941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per game</t>
        </r>
      </text>
    </comment>
    <comment ref="S1" authorId="0" shapeId="0" xr:uid="{3A8FAD21-A407-4F7A-BC81-DBE70292B3C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per game last 5 games</t>
        </r>
      </text>
    </comment>
    <comment ref="T1" authorId="0" shapeId="0" xr:uid="{3371C537-B1CC-4760-A517-AA4734DDF0D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per game</t>
        </r>
      </text>
    </comment>
    <comment ref="U1" authorId="0" shapeId="0" xr:uid="{79EC54DB-5852-4583-833E-77B5B351CEE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per game last 5 games</t>
        </r>
      </text>
    </comment>
    <comment ref="V1" authorId="0" shapeId="0" xr:uid="{2EBD98AB-DE98-44B1-AA6D-49AAB5BFA55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per game
</t>
        </r>
      </text>
    </comment>
    <comment ref="W1" authorId="0" shapeId="0" xr:uid="{073B87C4-840E-4DF9-ACED-B99EBB2CABA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per game last 5 games</t>
        </r>
      </text>
    </comment>
    <comment ref="X1" authorId="0" shapeId="0" xr:uid="{E63055C9-283C-4330-B659-BA06294F6A5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per game</t>
        </r>
      </text>
    </comment>
    <comment ref="Y1" authorId="0" shapeId="0" xr:uid="{0CE0C375-B690-4DF0-B21D-79E8BF5826F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per game last 5 games</t>
        </r>
      </text>
    </comment>
    <comment ref="Z1" authorId="0" shapeId="0" xr:uid="{8725000B-3BD8-4283-A8F8-0DABD3B1D5C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per game</t>
        </r>
      </text>
    </comment>
    <comment ref="AA1" authorId="0" shapeId="0" xr:uid="{F54A138B-B7F9-4B0B-8F6D-C5C7B4BFD6F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per game last 5 games</t>
        </r>
      </text>
    </comment>
    <comment ref="AB1" authorId="0" shapeId="0" xr:uid="{DE5C8DB0-E298-4906-AC25-24565126481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
per game
</t>
        </r>
      </text>
    </comment>
    <comment ref="AC1" authorId="0" shapeId="0" xr:uid="{5B96F257-A95E-47E5-9798-C028F77729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
per game last 5 games</t>
        </r>
      </text>
    </comment>
    <comment ref="AD1" authorId="0" shapeId="0" xr:uid="{7770D172-FD56-4261-8ACE-66226EEEE7E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per game</t>
        </r>
      </text>
    </comment>
    <comment ref="AE1" authorId="0" shapeId="0" xr:uid="{63ED659F-8CE1-446A-B6B0-DD513E7A1C8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per game last 5 games</t>
        </r>
      </text>
    </comment>
    <comment ref="AF1" authorId="0" shapeId="0" xr:uid="{E9FB057F-952D-483B-A10E-901737333F7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per game</t>
        </r>
      </text>
    </comment>
    <comment ref="AG1" authorId="0" shapeId="0" xr:uid="{B5D67486-BE9F-4CCC-B59F-7F63EC09E8C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per game last 5 games</t>
        </r>
      </text>
    </comment>
    <comment ref="AH1" authorId="0" shapeId="0" xr:uid="{27DBE3BB-B2BE-4435-A0F7-DFECD39B6A1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per game</t>
        </r>
      </text>
    </comment>
    <comment ref="AI1" authorId="0" shapeId="0" xr:uid="{634FBDB3-48B7-4C32-861B-27D40C77F61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per game last 5 games</t>
        </r>
      </text>
    </comment>
    <comment ref="AJ1" authorId="0" shapeId="0" xr:uid="{E701E1B2-0990-4A4A-B0A4-CA31BD9091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per game</t>
        </r>
      </text>
    </comment>
    <comment ref="AK1" authorId="0" shapeId="0" xr:uid="{10BF8D15-4C87-4878-A40D-E7507E16553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per game last 5 games</t>
        </r>
      </text>
    </comment>
    <comment ref="AL1" authorId="0" shapeId="0" xr:uid="{D9D6F42A-F9F2-432F-88AC-4BF40DD56BA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per game</t>
        </r>
      </text>
    </comment>
    <comment ref="AM1" authorId="0" shapeId="0" xr:uid="{0256BE1C-5F03-4558-B5D4-43CDBEF1352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per game last 5 games</t>
        </r>
      </text>
    </comment>
    <comment ref="AN1" authorId="0" shapeId="0" xr:uid="{006F329A-C304-4B2C-B009-AE8B0057E3F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per game</t>
        </r>
      </text>
    </comment>
    <comment ref="AO1" authorId="0" shapeId="0" xr:uid="{09F6F5A2-7A88-43C4-A97C-200310F1A0E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per game last 5 games</t>
        </r>
      </text>
    </comment>
    <comment ref="AP1" authorId="0" shapeId="0" xr:uid="{2164A330-F00F-40FC-A1FE-1196D6AE3E3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per game</t>
        </r>
      </text>
    </comment>
    <comment ref="AQ1" authorId="0" shapeId="0" xr:uid="{CC30830A-D648-4FCE-9227-0B705A33F21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per game last 5 games</t>
        </r>
      </text>
    </comment>
    <comment ref="AR1" authorId="0" shapeId="0" xr:uid="{3C6F6454-35F3-40E7-BE07-02C3A5C281B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per game</t>
        </r>
      </text>
    </comment>
    <comment ref="AS1" authorId="0" shapeId="0" xr:uid="{B5C7D941-7AF1-461B-81CA-27DB91877E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per game last 5 games</t>
        </r>
      </text>
    </comment>
    <comment ref="AT1" authorId="0" shapeId="0" xr:uid="{0E7DDE6F-580B-4CA5-A1DA-022EC632494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per game</t>
        </r>
      </text>
    </comment>
    <comment ref="AU1" authorId="0" shapeId="0" xr:uid="{BF0D9B7E-E587-4D4D-8358-3D27B0FC037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per game last 5 games</t>
        </r>
      </text>
    </comment>
    <comment ref="AV1" authorId="0" shapeId="0" xr:uid="{E65B823D-C712-4E7D-83F5-9637BE79320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per game</t>
        </r>
      </text>
    </comment>
    <comment ref="AW1" authorId="0" shapeId="0" xr:uid="{74B48EAC-D81D-428B-839F-4C0A8A470BE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per game last 5 games</t>
        </r>
      </text>
    </comment>
    <comment ref="AX1" authorId="0" shapeId="0" xr:uid="{3ADFAD57-F958-4D3E-B466-1E5EEB3BEED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opponent
per Game</t>
        </r>
      </text>
    </comment>
    <comment ref="AY1" authorId="0" shapeId="0" xr:uid="{8BBEDA5F-2F71-4EF8-AB59-38E235074E7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opponent
per last 5 Game</t>
        </r>
      </text>
    </comment>
    <comment ref="AZ1" authorId="0" shapeId="0" xr:uid="{4B4B4C82-8B6F-4EB3-9A40-963CCAFCD71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
opponent per Game</t>
        </r>
      </text>
    </comment>
    <comment ref="BA1" authorId="0" shapeId="0" xr:uid="{D0437C88-314E-4709-AB77-61014227BB4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
opponent per last 5 games</t>
        </r>
      </text>
    </comment>
    <comment ref="BB1" authorId="0" shapeId="0" xr:uid="{8DAB9FEE-DF16-40D9-BE51-C58D90B6ED3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
opponent per game</t>
        </r>
      </text>
    </comment>
    <comment ref="BC1" authorId="0" shapeId="0" xr:uid="{3EA3F230-18C7-4745-BFA8-39739201CF0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
opponent per last 5 games</t>
        </r>
      </text>
    </comment>
    <comment ref="BD1" authorId="0" shapeId="0" xr:uid="{BD903CD9-29EE-4E31-80BC-23248292AC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opponent per game
</t>
        </r>
      </text>
    </comment>
    <comment ref="BE1" authorId="0" shapeId="0" xr:uid="{8437458C-11F3-480A-84C8-841E57C4CDD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opponent per game last 5 games</t>
        </r>
      </text>
    </comment>
    <comment ref="BF1" authorId="0" shapeId="0" xr:uid="{757CBC26-774B-4DAF-B5AC-51380C55117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
Attempted 
opponent per game</t>
        </r>
      </text>
    </comment>
    <comment ref="BG1" authorId="0" shapeId="0" xr:uid="{BE888D41-0C9D-494F-8392-52A9249F066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opponent per game last 5 games</t>
        </r>
      </text>
    </comment>
    <comment ref="BH1" authorId="0" shapeId="0" xr:uid="{200131FD-E2F7-4D63-99D0-6C7F88D4ABA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opponent per game</t>
        </r>
      </text>
    </comment>
    <comment ref="BI1" authorId="0" shapeId="0" xr:uid="{075E3824-D393-41FB-9C1F-49C5D7E11DD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opponent per game last 5 games</t>
        </r>
      </text>
    </comment>
    <comment ref="BJ1" authorId="0" shapeId="0" xr:uid="{B93624E1-CE1C-4D8F-8DD5-A2CDCFAA33A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 opponent per game
</t>
        </r>
      </text>
    </comment>
    <comment ref="BK1" authorId="0" shapeId="0" xr:uid="{78B16DC2-9AB2-461F-B83E-A5D306A159E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opponent per game last 5 games</t>
        </r>
      </text>
    </comment>
    <comment ref="BL1" authorId="0" shapeId="0" xr:uid="{7BCD2EFC-CA3E-45E8-BB2A-DEB571842D0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opponent per game</t>
        </r>
      </text>
    </comment>
    <comment ref="BM1" authorId="0" shapeId="0" xr:uid="{B7130B9C-F69E-4C1D-88B5-555F6EE8AC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opponent per game last 5 games</t>
        </r>
      </text>
    </comment>
    <comment ref="BN1" authorId="0" shapeId="0" xr:uid="{53CFF693-64FA-4FF4-B13D-9BBF35486EB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opponent per game</t>
        </r>
      </text>
    </comment>
    <comment ref="BO1" authorId="0" shapeId="0" xr:uid="{6A57F269-5174-4E0B-B1C4-9FE8E59A8D0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opponent per game last 5 games</t>
        </r>
      </text>
    </comment>
    <comment ref="BP1" authorId="0" shapeId="0" xr:uid="{451C15E2-012A-4B40-BE00-594BC97FD79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 opponent per game
</t>
        </r>
      </text>
    </comment>
    <comment ref="BQ1" authorId="0" shapeId="0" xr:uid="{C83D87C4-64C6-419A-8B0D-63B216DA6C5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 opponent per game last 5 games</t>
        </r>
      </text>
    </comment>
    <comment ref="BR1" authorId="0" shapeId="0" xr:uid="{C13E46C8-EFED-4302-A4C7-ABA92516FF8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opponent per game</t>
        </r>
      </text>
    </comment>
    <comment ref="BS1" authorId="0" shapeId="0" xr:uid="{23C86C66-F0CD-4A7D-95F2-1D026803173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opponent per game last 5 games</t>
        </r>
      </text>
    </comment>
    <comment ref="BT1" authorId="0" shapeId="0" xr:uid="{5D800142-01BB-4F7E-851E-9711D22E89E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opponent per game</t>
        </r>
      </text>
    </comment>
    <comment ref="BU1" authorId="0" shapeId="0" xr:uid="{87767EBC-D548-4846-81DA-27F2C5B7AB1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opponent per game last 5 games</t>
        </r>
      </text>
    </comment>
    <comment ref="BV1" authorId="0" shapeId="0" xr:uid="{37A29CB6-BABF-43E6-A111-A2F6D1C2480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opponent per game</t>
        </r>
      </text>
    </comment>
    <comment ref="BW1" authorId="0" shapeId="0" xr:uid="{038DF563-987A-42E1-AEC2-F0A3B80CE2A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opponent per game last 5 games</t>
        </r>
      </text>
    </comment>
    <comment ref="BX1" authorId="0" shapeId="0" xr:uid="{196AFC96-58DB-4F16-B184-570B96BCCE6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opponent per game</t>
        </r>
      </text>
    </comment>
    <comment ref="BY1" authorId="0" shapeId="0" xr:uid="{EE3034EF-44D1-473B-86C4-876B9C98F0D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opponent per game last 5 games</t>
        </r>
      </text>
    </comment>
    <comment ref="BZ1" authorId="0" shapeId="0" xr:uid="{662B827B-6AA5-4D17-9DAB-73B1857FC34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opponent per game </t>
        </r>
      </text>
    </comment>
    <comment ref="CA1" authorId="0" shapeId="0" xr:uid="{7D07A66A-D9AB-40C3-B4E8-AB6A367EC5B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opponent per game last 5 games</t>
        </r>
      </text>
    </comment>
    <comment ref="CB1" authorId="0" shapeId="0" xr:uid="{A8FD4856-152C-4F0E-B900-EEADADF5F37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opponent per game</t>
        </r>
      </text>
    </comment>
    <comment ref="CC1" authorId="0" shapeId="0" xr:uid="{52CC0EA1-E950-4C33-945F-6A7B754D98A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opponent per game last 5 games</t>
        </r>
      </text>
    </comment>
    <comment ref="CD1" authorId="0" shapeId="0" xr:uid="{290879DC-B924-4797-99B7-0DB81585C46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opponent per game</t>
        </r>
      </text>
    </comment>
    <comment ref="CE1" authorId="0" shapeId="0" xr:uid="{20C76088-5B91-43BC-91F8-749CD6F088B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opponent per game last 5 games</t>
        </r>
      </text>
    </comment>
    <comment ref="CF1" authorId="0" shapeId="0" xr:uid="{66AA0201-2598-4030-8952-F25E17EE1B7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opponent per game</t>
        </r>
      </text>
    </comment>
    <comment ref="CG1" authorId="0" shapeId="0" xr:uid="{8CC1AB87-CAD7-457B-A1A9-2D1E1A08BBC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opponent per game last 5 games</t>
        </r>
      </text>
    </comment>
    <comment ref="CH1" authorId="0" shapeId="0" xr:uid="{5D7F0BEE-6DAA-427B-A0CE-0B68E801EBD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opponent per game</t>
        </r>
      </text>
    </comment>
    <comment ref="CI1" authorId="0" shapeId="0" xr:uid="{A0C16D8A-4903-4347-A801-0CFABC167ED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opponent per game last 5 games</t>
        </r>
      </text>
    </comment>
    <comment ref="CJ1" authorId="0" shapeId="0" xr:uid="{F8F33DEE-C5B4-4BEB-B5E6-DA626450B90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opponent per game</t>
        </r>
      </text>
    </comment>
    <comment ref="CK1" authorId="0" shapeId="0" xr:uid="{CDE7FA85-09D8-4AAD-96C1-87D7643527D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opponent per game last 5 games</t>
        </r>
      </text>
    </comment>
    <comment ref="CL1" authorId="0" shapeId="0" xr:uid="{40126AF2-9111-4C8E-8511-6FCB184085D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
</t>
        </r>
      </text>
    </comment>
    <comment ref="CM1" authorId="0" shapeId="0" xr:uid="{337415D3-F9BB-44B9-BB5D-F8374B142C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 
Last 5 games</t>
        </r>
      </text>
    </comment>
    <comment ref="CN1" authorId="0" shapeId="0" xr:uid="{AFE44433-694F-418B-9A25-119821296B4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</t>
        </r>
      </text>
    </comment>
    <comment ref="CO1" authorId="0" shapeId="0" xr:uid="{A896EBA5-69F3-4EAD-B27F-04B101C3220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last 5 games</t>
        </r>
      </text>
    </comment>
    <comment ref="CP1" authorId="0" shapeId="0" xr:uid="{0600C471-B272-4856-9228-58002271547D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</t>
        </r>
      </text>
    </comment>
    <comment ref="CQ1" authorId="0" shapeId="0" xr:uid="{39A817CD-AC23-4EE5-A776-2BB75D2AA1E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
Last 5 games
</t>
        </r>
      </text>
    </comment>
    <comment ref="CR1" authorId="0" shapeId="0" xr:uid="{39E5DCEE-BDB1-4011-82BB-A911BC56E34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</t>
        </r>
      </text>
    </comment>
    <comment ref="CS1" authorId="0" shapeId="0" xr:uid="{3D82D3C9-60DA-4F52-8618-97D67FF6098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
Last 5 games
</t>
        </r>
      </text>
    </comment>
    <comment ref="CV1" authorId="0" shapeId="0" xr:uid="{03E5553F-D13D-4375-9809-5C64786084C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</t>
        </r>
      </text>
    </comment>
    <comment ref="CW1" authorId="0" shapeId="0" xr:uid="{96373D10-1A62-455D-864F-BE63605334D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Last 5 games
</t>
        </r>
      </text>
    </comment>
    <comment ref="CX1" authorId="0" shapeId="0" xr:uid="{793CAE97-8257-4E1E-9D2E-6CD233E4484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</t>
        </r>
      </text>
    </comment>
    <comment ref="CY1" authorId="0" shapeId="0" xr:uid="{6B3DE7B7-C5AB-4288-95B9-8DED36B7407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</t>
        </r>
      </text>
    </comment>
    <comment ref="CZ1" authorId="0" shapeId="0" xr:uid="{210F638B-B42D-4C83-96E0-0791B9D2606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</t>
        </r>
      </text>
    </comment>
    <comment ref="DA1" authorId="0" shapeId="0" xr:uid="{959C260F-28B3-4381-9369-6B911923E44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Last 5 games
</t>
        </r>
      </text>
    </comment>
    <comment ref="DB1" authorId="0" shapeId="0" xr:uid="{678984E9-32C6-49AF-A7EF-15B3F625A52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</t>
        </r>
      </text>
    </comment>
    <comment ref="DC1" authorId="0" shapeId="0" xr:uid="{029582F9-4EC1-40E0-8675-CCFD70AAE10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Last 5 games</t>
        </r>
      </text>
    </comment>
    <comment ref="DD1" authorId="0" shapeId="0" xr:uid="{AA603F4C-C5AE-4128-BC77-6D983BFF053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</t>
        </r>
      </text>
    </comment>
    <comment ref="DE1" authorId="0" shapeId="0" xr:uid="{E938EF42-ED6F-4247-A9B9-C0B438C6A7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</t>
        </r>
      </text>
    </comment>
    <comment ref="DF1" authorId="0" shapeId="0" xr:uid="{FD22843C-F598-4EDA-9EB4-2E3CE4E51E4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DG1" authorId="0" shapeId="0" xr:uid="{C1A60765-2D43-451B-97CC-19172A6C7B5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DJ1" authorId="0" shapeId="0" xr:uid="{2584B6FF-B632-409C-8C61-76D21CC17CA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
opp</t>
        </r>
      </text>
    </comment>
    <comment ref="DK1" authorId="0" shapeId="0" xr:uid="{610A2953-F328-437C-9CDA-5DE89E7EEE7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 
Last 5 games opp</t>
        </r>
      </text>
    </comment>
    <comment ref="DL1" authorId="0" shapeId="0" xr:uid="{24D84BB6-8D0B-4D8F-B0E9-7D5B375A498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opp</t>
        </r>
      </text>
    </comment>
    <comment ref="DM1" authorId="0" shapeId="0" xr:uid="{708867BB-3688-4449-A64A-6C6D49C2EDB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last 5 games opp</t>
        </r>
      </text>
    </comment>
    <comment ref="DN1" authorId="0" shapeId="0" xr:uid="{B00D8381-4547-4014-8326-60837D57996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opp</t>
        </r>
      </text>
    </comment>
    <comment ref="DO1" authorId="0" shapeId="0" xr:uid="{AB5B6739-F645-4D19-82E9-F39ADFD6270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
Last 5 games
opp</t>
        </r>
      </text>
    </comment>
    <comment ref="DP1" authorId="0" shapeId="0" xr:uid="{5A776B62-0830-4C15-ADD5-53A44AB9694D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opp</t>
        </r>
      </text>
    </comment>
    <comment ref="DQ1" authorId="0" shapeId="0" xr:uid="{5E96A4B1-0C5C-4C4E-930E-AE3B597A6BE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
Last 5 games
opp</t>
        </r>
      </text>
    </comment>
    <comment ref="DT1" authorId="0" shapeId="0" xr:uid="{D289AF0E-0BD2-4AFB-BCF1-31BA21E0F6E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opp</t>
        </r>
      </text>
    </comment>
    <comment ref="DU1" authorId="0" shapeId="0" xr:uid="{059D85D1-BBC4-4073-813D-83105B8EC45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Last 5 games
opp
</t>
        </r>
      </text>
    </comment>
    <comment ref="DV1" authorId="0" shapeId="0" xr:uid="{8F51D303-2AE3-462A-A5FC-06692F829A0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opp</t>
        </r>
      </text>
    </comment>
    <comment ref="DW1" authorId="0" shapeId="0" xr:uid="{73753C13-BD45-4883-B0AE-2BCA2BF09A9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opp</t>
        </r>
      </text>
    </comment>
    <comment ref="DX1" authorId="0" shapeId="0" xr:uid="{2A1C0542-82B1-41A6-B596-C19566563BA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opp</t>
        </r>
      </text>
    </comment>
    <comment ref="DY1" authorId="0" shapeId="0" xr:uid="{FE1EDC53-0A28-45F2-8B5E-028E6EC0367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Last 5 games
opp</t>
        </r>
      </text>
    </comment>
    <comment ref="DZ1" authorId="0" shapeId="0" xr:uid="{73D7AD10-0F82-4C64-9692-BB6EA381EC0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opp</t>
        </r>
      </text>
    </comment>
    <comment ref="EA1" authorId="0" shapeId="0" xr:uid="{5DE4412C-0F14-44FD-8075-733DC95BF35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Last 5 games opp</t>
        </r>
      </text>
    </comment>
    <comment ref="EB1" authorId="0" shapeId="0" xr:uid="{D454631D-B090-4B31-AA4E-0ACC3124E5E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opp</t>
        </r>
      </text>
    </comment>
    <comment ref="EC1" authorId="0" shapeId="0" xr:uid="{C5FD394F-0851-4525-A45E-AB169CA845B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opp</t>
        </r>
      </text>
    </comment>
    <comment ref="ED1" authorId="0" shapeId="0" xr:uid="{8239FC0E-76A2-49E4-B995-0DB44B298B3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EE1" authorId="0" shapeId="0" xr:uid="{8262BFE2-BC61-4AF3-B1C7-C75C6FEFD80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EF1" authorId="0" shapeId="0" xr:uid="{77992099-F1AF-4A67-83C8-CC7AFDC7444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quater</t>
        </r>
      </text>
    </comment>
    <comment ref="EG1" authorId="0" shapeId="0" xr:uid="{66362379-270C-464F-83F1-F0706A6A2FF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quarter last 5 games
</t>
        </r>
      </text>
    </comment>
    <comment ref="EH1" authorId="0" shapeId="0" xr:uid="{22651A8A-01DB-472E-9276-726F586CCA5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quater</t>
        </r>
      </text>
    </comment>
    <comment ref="EI1" authorId="0" shapeId="0" xr:uid="{C608ACD4-E1DF-4A16-BED2-3DC56A751F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quarter last 5 games</t>
        </r>
      </text>
    </comment>
    <comment ref="EJ1" authorId="0" shapeId="0" xr:uid="{0AC2E4EE-7D03-4C99-9FB0-4B11DDC69C2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quater</t>
        </r>
      </text>
    </comment>
    <comment ref="EK1" authorId="0" shapeId="0" xr:uid="{F95F6714-DF46-48EB-8CD5-32C8699322B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quarter last 5 games
</t>
        </r>
      </text>
    </comment>
    <comment ref="EL1" authorId="0" shapeId="0" xr:uid="{48B16458-41CE-4EC1-82E3-100CB046EA9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quater</t>
        </r>
      </text>
    </comment>
    <comment ref="EM1" authorId="0" shapeId="0" xr:uid="{C38091BB-BFD1-42F8-A8AA-973C1250C51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quarter last 5 games</t>
        </r>
      </text>
    </comment>
    <comment ref="EN1" authorId="0" shapeId="0" xr:uid="{3064F41A-3B25-47ED-825C-2230BE02AB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quater</t>
        </r>
      </text>
    </comment>
    <comment ref="EO1" authorId="0" shapeId="0" xr:uid="{1FF981E2-998F-4413-9231-3858F012AF3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quarter last 5 games
</t>
        </r>
      </text>
    </comment>
    <comment ref="EP1" authorId="0" shapeId="0" xr:uid="{7C16EB8E-3157-4ABF-A3F6-2BA5CDA8CC7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quater</t>
        </r>
      </text>
    </comment>
    <comment ref="EQ1" authorId="0" shapeId="0" xr:uid="{8BD33F5E-0E09-46DB-B775-1513A5DAC75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quarter last 5 games</t>
        </r>
      </text>
    </comment>
    <comment ref="ER1" authorId="0" shapeId="0" xr:uid="{88CD77D9-019A-4004-A9A1-536184DBF7A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quater</t>
        </r>
      </text>
    </comment>
    <comment ref="ES1" authorId="0" shapeId="0" xr:uid="{97DC9767-321D-4374-8612-E0CE6DA56D0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quarter last 5 games
</t>
        </r>
      </text>
    </comment>
    <comment ref="ET1" authorId="0" shapeId="0" xr:uid="{5D29DC56-40F4-4EB6-98E7-BA26B9C5624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quater</t>
        </r>
      </text>
    </comment>
    <comment ref="EU1" authorId="0" shapeId="0" xr:uid="{33D044E2-C4FA-4C79-831B-EE993916B20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quarter last 5 games</t>
        </r>
      </text>
    </comment>
    <comment ref="EV1" authorId="0" shapeId="0" xr:uid="{307A4805-9888-444D-9294-DC683C2818E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home
</t>
        </r>
      </text>
    </comment>
    <comment ref="EW1" authorId="0" shapeId="0" xr:uid="{E9729F6B-BC5D-466B-AAC8-6FE5A4B1FAA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home last 5 games
</t>
        </r>
      </text>
    </comment>
    <comment ref="EX1" authorId="0" shapeId="0" xr:uid="{0046622C-ABE9-47BF-8660-8A9F6034AF6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away
</t>
        </r>
      </text>
    </comment>
    <comment ref="EY1" authorId="0" shapeId="0" xr:uid="{243EE6D6-6D6E-4628-8685-2E1F4C676BC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away last 5 games
</t>
        </r>
      </text>
    </comment>
    <comment ref="EZ1" authorId="0" shapeId="0" xr:uid="{C26FA98C-10EC-41A9-910E-7D0B3149723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home
</t>
        </r>
      </text>
    </comment>
    <comment ref="FA1" authorId="0" shapeId="0" xr:uid="{6C884FA0-07E3-4281-96AE-FA8AC608B25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home last 5 games
</t>
        </r>
      </text>
    </comment>
    <comment ref="FB1" authorId="0" shapeId="0" xr:uid="{95CBC026-133A-4AB0-ABAF-D2C68614DC3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away
</t>
        </r>
      </text>
    </comment>
    <comment ref="FC1" authorId="0" shapeId="0" xr:uid="{E2003B73-2E52-47AC-B642-EDC9D2B5417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away last 5 games
</t>
        </r>
      </text>
    </comment>
    <comment ref="FD1" authorId="0" shapeId="0" xr:uid="{2276C228-85DB-4744-A40C-29B38A937E0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
mid of 5</t>
        </r>
      </text>
    </comment>
    <comment ref="FE1" authorId="0" shapeId="0" xr:uid="{47758A3F-D495-429C-943D-2DAA8BC762A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
mid of 5
</t>
        </r>
      </text>
    </comment>
  </commentList>
</comments>
</file>

<file path=xl/sharedStrings.xml><?xml version="1.0" encoding="utf-8"?>
<sst xmlns="http://schemas.openxmlformats.org/spreadsheetml/2006/main" count="5342" uniqueCount="625">
  <si>
    <t>Tournament</t>
  </si>
  <si>
    <t>Home_team</t>
  </si>
  <si>
    <t>Stage</t>
  </si>
  <si>
    <t>Date</t>
  </si>
  <si>
    <t>Location</t>
  </si>
  <si>
    <t>Away_team</t>
  </si>
  <si>
    <t>Result</t>
  </si>
  <si>
    <t>Home_scored</t>
  </si>
  <si>
    <t>Away_scored</t>
  </si>
  <si>
    <t>FGA</t>
  </si>
  <si>
    <t>P2A</t>
  </si>
  <si>
    <t>P3A</t>
  </si>
  <si>
    <t>FTA</t>
  </si>
  <si>
    <t>ORB</t>
  </si>
  <si>
    <t>DRB</t>
  </si>
  <si>
    <t>TRB</t>
  </si>
  <si>
    <t>AST</t>
  </si>
  <si>
    <t>STL</t>
  </si>
  <si>
    <t>BLK</t>
  </si>
  <si>
    <t>TOV</t>
  </si>
  <si>
    <t>PF</t>
  </si>
  <si>
    <t>FGAop</t>
  </si>
  <si>
    <t>P2Aop</t>
  </si>
  <si>
    <t>P3Aop</t>
  </si>
  <si>
    <t>FTAop</t>
  </si>
  <si>
    <t>ORBop</t>
  </si>
  <si>
    <t>DRBop</t>
  </si>
  <si>
    <t>TRBop</t>
  </si>
  <si>
    <t>ASTop</t>
  </si>
  <si>
    <t>STLop</t>
  </si>
  <si>
    <t>BLKop</t>
  </si>
  <si>
    <t>TOVop</t>
  </si>
  <si>
    <t>TS%</t>
  </si>
  <si>
    <t>eFG%</t>
  </si>
  <si>
    <t>ORB%</t>
  </si>
  <si>
    <t>DRB%</t>
  </si>
  <si>
    <t>TRB%</t>
  </si>
  <si>
    <t>Poss</t>
  </si>
  <si>
    <t>AST%</t>
  </si>
  <si>
    <t>FTFGA%</t>
  </si>
  <si>
    <t>TOV%</t>
  </si>
  <si>
    <t>ORtg</t>
  </si>
  <si>
    <t>DRtg</t>
  </si>
  <si>
    <t>Pace</t>
  </si>
  <si>
    <t>TS%op</t>
  </si>
  <si>
    <t>eFG%op</t>
  </si>
  <si>
    <t>ORB%op</t>
  </si>
  <si>
    <t>DRB%op</t>
  </si>
  <si>
    <t>TRB%op</t>
  </si>
  <si>
    <t>Possop</t>
  </si>
  <si>
    <t>AST%op</t>
  </si>
  <si>
    <t>FTFGA%op</t>
  </si>
  <si>
    <t>TOV%op</t>
  </si>
  <si>
    <t>ORtgop</t>
  </si>
  <si>
    <t>DRtgop</t>
  </si>
  <si>
    <t>Q1H</t>
  </si>
  <si>
    <t>Q2H</t>
  </si>
  <si>
    <t>Q3H</t>
  </si>
  <si>
    <t>Q4H</t>
  </si>
  <si>
    <t>Q1A</t>
  </si>
  <si>
    <t>Q2A</t>
  </si>
  <si>
    <t>Q3A</t>
  </si>
  <si>
    <t>Q4A</t>
  </si>
  <si>
    <t>FhalfH</t>
  </si>
  <si>
    <t>ShalfH</t>
  </si>
  <si>
    <t>FhalfA</t>
  </si>
  <si>
    <t>ShalfA</t>
  </si>
  <si>
    <t>win</t>
  </si>
  <si>
    <t>lose</t>
  </si>
  <si>
    <t>foraH</t>
  </si>
  <si>
    <t>foraA</t>
  </si>
  <si>
    <t>total</t>
  </si>
  <si>
    <t>link</t>
  </si>
  <si>
    <t>RS</t>
  </si>
  <si>
    <t>H</t>
  </si>
  <si>
    <t>W</t>
  </si>
  <si>
    <t>Team</t>
  </si>
  <si>
    <t>P2M</t>
  </si>
  <si>
    <t>PM</t>
  </si>
  <si>
    <t>PC</t>
  </si>
  <si>
    <t>FGM</t>
  </si>
  <si>
    <t>P2p</t>
  </si>
  <si>
    <t>FGp</t>
  </si>
  <si>
    <t>P3M</t>
  </si>
  <si>
    <t>P3p</t>
  </si>
  <si>
    <t>FTp</t>
  </si>
  <si>
    <t>FTM</t>
  </si>
  <si>
    <t>FGMop</t>
  </si>
  <si>
    <t>FGpop</t>
  </si>
  <si>
    <t>P2pop</t>
  </si>
  <si>
    <t>FGM opp</t>
  </si>
  <si>
    <t>FGA opp</t>
  </si>
  <si>
    <t>FGp opp</t>
  </si>
  <si>
    <t>P2M opp</t>
  </si>
  <si>
    <t>P2Mop</t>
  </si>
  <si>
    <t>P2A opp</t>
  </si>
  <si>
    <t>P2p opp</t>
  </si>
  <si>
    <t>P3Mop</t>
  </si>
  <si>
    <t>P3pop</t>
  </si>
  <si>
    <t>P3M opp</t>
  </si>
  <si>
    <t>P3A opp</t>
  </si>
  <si>
    <t>P3p opp</t>
  </si>
  <si>
    <t>FTM opp</t>
  </si>
  <si>
    <t>FTMop</t>
  </si>
  <si>
    <t>FTA opp</t>
  </si>
  <si>
    <t>FTp opp</t>
  </si>
  <si>
    <t>FTpop</t>
  </si>
  <si>
    <t>ORB opp</t>
  </si>
  <si>
    <t>DRB opp</t>
  </si>
  <si>
    <t>TRB opp</t>
  </si>
  <si>
    <t>AST opp</t>
  </si>
  <si>
    <t>STL opp</t>
  </si>
  <si>
    <t>BLK opp</t>
  </si>
  <si>
    <t>TOV opp</t>
  </si>
  <si>
    <t>PF opp</t>
  </si>
  <si>
    <t>PFop</t>
  </si>
  <si>
    <t>TSp</t>
  </si>
  <si>
    <t>eFGp</t>
  </si>
  <si>
    <t>ORBp</t>
  </si>
  <si>
    <t>DRBp</t>
  </si>
  <si>
    <t>TRBp</t>
  </si>
  <si>
    <t>ASTp</t>
  </si>
  <si>
    <t>FTFGAp</t>
  </si>
  <si>
    <t>TOVp</t>
  </si>
  <si>
    <t>TSp opp</t>
  </si>
  <si>
    <t>eFGp opp</t>
  </si>
  <si>
    <t>ORBp opp</t>
  </si>
  <si>
    <t>DRBp opp</t>
  </si>
  <si>
    <t>TRBp opp</t>
  </si>
  <si>
    <t>Poss opp</t>
  </si>
  <si>
    <t>ASTp opp</t>
  </si>
  <si>
    <t>FTFGAp opp</t>
  </si>
  <si>
    <t>TOVp opp</t>
  </si>
  <si>
    <t>ORtg opp</t>
  </si>
  <si>
    <t>DRtg opp</t>
  </si>
  <si>
    <t>FHH</t>
  </si>
  <si>
    <t>FHA</t>
  </si>
  <si>
    <t>SHH</t>
  </si>
  <si>
    <t>SHA</t>
  </si>
  <si>
    <t>L</t>
  </si>
  <si>
    <t>A</t>
  </si>
  <si>
    <t>PC MID</t>
  </si>
  <si>
    <t>PM MID</t>
  </si>
  <si>
    <t>DL</t>
  </si>
  <si>
    <t>rating</t>
  </si>
  <si>
    <t>ratings</t>
  </si>
  <si>
    <t>DW</t>
  </si>
  <si>
    <t>Full name</t>
  </si>
  <si>
    <t>Table name</t>
  </si>
  <si>
    <t>abbr</t>
  </si>
  <si>
    <t>Abbr</t>
  </si>
  <si>
    <t>Wins</t>
  </si>
  <si>
    <t>Losses</t>
  </si>
  <si>
    <t>Average</t>
  </si>
  <si>
    <t>MID</t>
  </si>
  <si>
    <t>Season</t>
  </si>
  <si>
    <t>Played</t>
  </si>
  <si>
    <t>Place</t>
  </si>
  <si>
    <t>east</t>
  </si>
  <si>
    <t>Rating%</t>
  </si>
  <si>
    <t>west</t>
  </si>
  <si>
    <t>AVG</t>
  </si>
  <si>
    <t>LAST 5</t>
  </si>
  <si>
    <t>EXPECT</t>
  </si>
  <si>
    <t>FG made</t>
  </si>
  <si>
    <t>FG %</t>
  </si>
  <si>
    <t>FG att</t>
  </si>
  <si>
    <t>2-p att</t>
  </si>
  <si>
    <t>2-p made</t>
  </si>
  <si>
    <t>2-p %</t>
  </si>
  <si>
    <t>3-p att</t>
  </si>
  <si>
    <t>3-p made</t>
  </si>
  <si>
    <t>3-p %</t>
  </si>
  <si>
    <t>rang</t>
  </si>
  <si>
    <t>PM_Rg</t>
  </si>
  <si>
    <t>PC_Rg</t>
  </si>
  <si>
    <t>FGA_Rg</t>
  </si>
  <si>
    <t>FGM_Rg</t>
  </si>
  <si>
    <t>FGp_Rg</t>
  </si>
  <si>
    <t>P2M_Rg</t>
  </si>
  <si>
    <t>P2A_Rg</t>
  </si>
  <si>
    <t>P2p_Rg</t>
  </si>
  <si>
    <t>P3M_Rg</t>
  </si>
  <si>
    <t>P3A_Rg</t>
  </si>
  <si>
    <t>P3p_Rg</t>
  </si>
  <si>
    <t>FTM_Rg</t>
  </si>
  <si>
    <t>FTA_Rg</t>
  </si>
  <si>
    <t>FTp_Rg</t>
  </si>
  <si>
    <t>ORB_Rg</t>
  </si>
  <si>
    <t>DRB_Rg</t>
  </si>
  <si>
    <t>TRB_Rg</t>
  </si>
  <si>
    <t>AST_Rg</t>
  </si>
  <si>
    <t>STL_Rg</t>
  </si>
  <si>
    <t>BLK_Rg</t>
  </si>
  <si>
    <t>TOV_Rg</t>
  </si>
  <si>
    <t>PF_Rg</t>
  </si>
  <si>
    <t>FGA opp_Rg</t>
  </si>
  <si>
    <t>FGM opp_Rg</t>
  </si>
  <si>
    <t>FGp opp_Rg</t>
  </si>
  <si>
    <t>P2M opp_Rg</t>
  </si>
  <si>
    <t>P2A opp_Rg</t>
  </si>
  <si>
    <t>P2p opp_Rg</t>
  </si>
  <si>
    <t>P3M opp_Rg</t>
  </si>
  <si>
    <t>P3A opp_Rg</t>
  </si>
  <si>
    <t>P3p opp_Rg</t>
  </si>
  <si>
    <t>FTM opp_Rg</t>
  </si>
  <si>
    <t>FTA opp_Rg</t>
  </si>
  <si>
    <t>FTp opp_Rg</t>
  </si>
  <si>
    <t>ORB opp_Rg</t>
  </si>
  <si>
    <t>DRB opp_Rg</t>
  </si>
  <si>
    <t>TRB opp_Rg</t>
  </si>
  <si>
    <t>AST opp_Rg</t>
  </si>
  <si>
    <t>STL opp_Rg</t>
  </si>
  <si>
    <t>BLK opp_Rg</t>
  </si>
  <si>
    <t>TOV opp_Rg</t>
  </si>
  <si>
    <t>PF opp_Rg</t>
  </si>
  <si>
    <t>TSp_Rg</t>
  </si>
  <si>
    <t>eFGp_Rg</t>
  </si>
  <si>
    <t>ORBp_Rg</t>
  </si>
  <si>
    <t>DRBp_Rg</t>
  </si>
  <si>
    <t>TRBp_Rg</t>
  </si>
  <si>
    <t>Poss_Rg</t>
  </si>
  <si>
    <t>ASTp_Rg</t>
  </si>
  <si>
    <t>FTFGAp_Rg</t>
  </si>
  <si>
    <t>TOVp_Rg</t>
  </si>
  <si>
    <t>Ortg_Rg</t>
  </si>
  <si>
    <t>Drtg_Rg</t>
  </si>
  <si>
    <t>Pace_Rg</t>
  </si>
  <si>
    <t>TSp_Rg opp</t>
  </si>
  <si>
    <t>eFGp_Rg opp</t>
  </si>
  <si>
    <t>ORBp_Rg opp</t>
  </si>
  <si>
    <t>DRBp_Rg opp</t>
  </si>
  <si>
    <t>TRBp_Rg opp</t>
  </si>
  <si>
    <t>Poss_Rg opp</t>
  </si>
  <si>
    <t>ASTp_Rg opp</t>
  </si>
  <si>
    <t>FTFGAp_Rg opp</t>
  </si>
  <si>
    <t>TOVp_Rg opp</t>
  </si>
  <si>
    <t>Ortg_Rg opp</t>
  </si>
  <si>
    <t>Drtg_Rg opp</t>
  </si>
  <si>
    <t>Q1H_Rg</t>
  </si>
  <si>
    <t>Q2H_Rg</t>
  </si>
  <si>
    <t>Q3H_Rg</t>
  </si>
  <si>
    <t>Q4H_Rg</t>
  </si>
  <si>
    <t>Q1A_Rg</t>
  </si>
  <si>
    <t>Q2A_Rg</t>
  </si>
  <si>
    <t>Q3A_Rg</t>
  </si>
  <si>
    <t>Q4A_Rg</t>
  </si>
  <si>
    <t>FHH_Rg</t>
  </si>
  <si>
    <t>FHA_Rg</t>
  </si>
  <si>
    <t>SHH_Rg</t>
  </si>
  <si>
    <t>SHA_Rg</t>
  </si>
  <si>
    <t>AVG_RT</t>
  </si>
  <si>
    <t>rating_rg</t>
  </si>
  <si>
    <t>FT att</t>
  </si>
  <si>
    <t>FT made</t>
  </si>
  <si>
    <t>FT %</t>
  </si>
  <si>
    <t>Total Reb</t>
  </si>
  <si>
    <t>Off Reb</t>
  </si>
  <si>
    <t>Def Reb</t>
  </si>
  <si>
    <t>Blocks</t>
  </si>
  <si>
    <t>Assists</t>
  </si>
  <si>
    <t>Steals</t>
  </si>
  <si>
    <t>Turnovers</t>
  </si>
  <si>
    <t>Fouls</t>
  </si>
  <si>
    <t>FT/FGA%</t>
  </si>
  <si>
    <t>OPPonent</t>
  </si>
  <si>
    <t>Scored</t>
  </si>
  <si>
    <t>lowest</t>
  </si>
  <si>
    <t>highe</t>
  </si>
  <si>
    <t>First Qtr</t>
  </si>
  <si>
    <t>Second Qtr</t>
  </si>
  <si>
    <t>Third Qtr</t>
  </si>
  <si>
    <t>Fourth Qtr</t>
  </si>
  <si>
    <t>First Half</t>
  </si>
  <si>
    <t>Second Half</t>
  </si>
  <si>
    <t>Q1T</t>
  </si>
  <si>
    <t>Q2T</t>
  </si>
  <si>
    <t>Q3T</t>
  </si>
  <si>
    <t>Q4T</t>
  </si>
  <si>
    <t>FHT</t>
  </si>
  <si>
    <t>SHT</t>
  </si>
  <si>
    <t>Allowed</t>
  </si>
  <si>
    <t>BetH</t>
  </si>
  <si>
    <t>BetA</t>
  </si>
  <si>
    <t>Q1t_Rg</t>
  </si>
  <si>
    <t>FHT_Rg</t>
  </si>
  <si>
    <t>Q3t_Rg</t>
  </si>
  <si>
    <t>Q2t_Rg</t>
  </si>
  <si>
    <t>Q4t_Rg</t>
  </si>
  <si>
    <t>SHT_Rg</t>
  </si>
  <si>
    <t>BetH_Rg</t>
  </si>
  <si>
    <t>BetA_Rg</t>
  </si>
  <si>
    <t>Tover</t>
  </si>
  <si>
    <t>Deviation</t>
  </si>
  <si>
    <t>Tover_Rg</t>
  </si>
  <si>
    <t>Dev_Rg</t>
  </si>
  <si>
    <t>Bet Home</t>
  </si>
  <si>
    <t>Bet Away</t>
  </si>
  <si>
    <t>Over/Under</t>
  </si>
  <si>
    <t>W/L</t>
  </si>
  <si>
    <t>R(C)[s]</t>
  </si>
  <si>
    <t>%</t>
  </si>
  <si>
    <t>JL Bourg</t>
  </si>
  <si>
    <t>bourg</t>
  </si>
  <si>
    <t>BUR</t>
  </si>
  <si>
    <t>Chalon/Saone</t>
  </si>
  <si>
    <t>chalon</t>
  </si>
  <si>
    <t>CHA</t>
  </si>
  <si>
    <t>Cholet</t>
  </si>
  <si>
    <t>cholet</t>
  </si>
  <si>
    <t>CHO</t>
  </si>
  <si>
    <t>Dijon</t>
  </si>
  <si>
    <t>dijon</t>
  </si>
  <si>
    <t>DIJ</t>
  </si>
  <si>
    <t>Gravelines-Dunkerque</t>
  </si>
  <si>
    <t>dunker</t>
  </si>
  <si>
    <t>DUN</t>
  </si>
  <si>
    <t>Le Mans</t>
  </si>
  <si>
    <t>leman</t>
  </si>
  <si>
    <t>LEM</t>
  </si>
  <si>
    <t>Le Portel</t>
  </si>
  <si>
    <t>portel</t>
  </si>
  <si>
    <t>POR</t>
  </si>
  <si>
    <t>La Rochelle</t>
  </si>
  <si>
    <t>Limoges</t>
  </si>
  <si>
    <t>limoneg</t>
  </si>
  <si>
    <t>LIM</t>
  </si>
  <si>
    <t>Lyon-Villeurbanne</t>
  </si>
  <si>
    <t>lyon</t>
  </si>
  <si>
    <t>LYO</t>
  </si>
  <si>
    <t>Monaco</t>
  </si>
  <si>
    <t>monaco</t>
  </si>
  <si>
    <t>MON</t>
  </si>
  <si>
    <t>Nancy</t>
  </si>
  <si>
    <t>nancy</t>
  </si>
  <si>
    <t>NCY</t>
  </si>
  <si>
    <t>Nanterre</t>
  </si>
  <si>
    <t>nantere</t>
  </si>
  <si>
    <t>NAN</t>
  </si>
  <si>
    <t>Paris</t>
  </si>
  <si>
    <t>paris</t>
  </si>
  <si>
    <t>PAR</t>
  </si>
  <si>
    <t>Saint Quentin</t>
  </si>
  <si>
    <t>saintQ</t>
  </si>
  <si>
    <t>SQU</t>
  </si>
  <si>
    <t>Strasbourg</t>
  </si>
  <si>
    <t>strasbourg</t>
  </si>
  <si>
    <t>STR</t>
  </si>
  <si>
    <t>Bourg</t>
  </si>
  <si>
    <t>LNB</t>
  </si>
  <si>
    <t>https://www.flashscore.com/match/MRGQ77G5/#/match-summary/match-summary</t>
  </si>
  <si>
    <t>https://www.flashscore.com/match/MahGEFTk/#/match-summary/match-summary</t>
  </si>
  <si>
    <t>https://www.flashscore.com/match/bkBa5g6r/#/match-summary/match-summary</t>
  </si>
  <si>
    <t>https://www.flashscore.com/match/KONkGAK0/#/match-summary/match-summary</t>
  </si>
  <si>
    <t>https://www.flashscore.com/match/6DPaU0uB/#/match-summary/match-summary</t>
  </si>
  <si>
    <t>https://www.flashscore.com/match/YN9vNIXp/#/match-summary/match-summary</t>
  </si>
  <si>
    <t>https://www.flashscore.com/match/UTHOgH8M/#/match-summary/match-summary</t>
  </si>
  <si>
    <t>https://www.flashscore.com/match/0A1rAxg3/#/match-summary/match-summary</t>
  </si>
  <si>
    <t>https://www.flashscore.com/match/Ms1R9TbK/#/match-summary/match-summary</t>
  </si>
  <si>
    <t>https://www.flashscore.com/match/0bTIyMt1/#/match-summary/match-summary</t>
  </si>
  <si>
    <t>Chalon</t>
  </si>
  <si>
    <t>https://www.flashscore.com/match/lEII9Tog/#/match-summary/match-summary</t>
  </si>
  <si>
    <t>https://www.flashscore.com/match/EHZSAFrL/#/match-summary/match-summary</t>
  </si>
  <si>
    <t>https://www.flashscore.com/match/YRk2PEcE/#/match-summary/match-summary</t>
  </si>
  <si>
    <t>https://www.flashscore.com/match/Kd1IHNe5/#/match-summary/match-summary</t>
  </si>
  <si>
    <t>https://www.flashscore.com/match/f5MfGEEN/#/match-summary/match-summary</t>
  </si>
  <si>
    <t>https://www.flashscore.com/match/0zoZr0f4/#/match-summary/match-summary</t>
  </si>
  <si>
    <t>https://www.flashscore.com/match/0lQ7ca9c/#/match-summary/match-summary</t>
  </si>
  <si>
    <t>https://www.flashscore.com/match/SOHOk87l/#/match-summary/match-summary</t>
  </si>
  <si>
    <t>https://www.flashscore.com/match/fDGvHp6m/#/match-summary/match-summary</t>
  </si>
  <si>
    <t>https://www.flashscore.com/match/lh5TNJ63/#/match-summary/match-summary</t>
  </si>
  <si>
    <t>https://www.flashscore.com/match/tY2G1B57/#/match-summary/match-summary</t>
  </si>
  <si>
    <t>https://www.flashscore.com/match/SM4QF1QH/#/match-summary/match-summary</t>
  </si>
  <si>
    <t>https://www.flashscore.com/match/QPUwKdFb/#/match-summary/match-summary</t>
  </si>
  <si>
    <t>https://www.flashscore.com/match/OzuJAhxo/#/match-summary/match-summary</t>
  </si>
  <si>
    <t>https://www.flashscore.com/match/KMOLUDTG/#/match-summary/match-summary</t>
  </si>
  <si>
    <t>https://www.flashscore.com/match/MRd3nZ0d/#/match-summary/match-summary</t>
  </si>
  <si>
    <t>https://www.flashscore.com/match/MoDs0GEd/#/match-summary/match-summary</t>
  </si>
  <si>
    <t>https://www.flashscore.com/match/p6973Xze/#/match-summary/match-summary</t>
  </si>
  <si>
    <t>https://www.flashscore.com/match/Eo1L1FaU/#/match-summary/match-summary</t>
  </si>
  <si>
    <t>https://www.flashscore.com/match/EJnRpMPi/#/match-summary/match-summary</t>
  </si>
  <si>
    <t>https://www.flashscore.com/match/YPleqDrA/#/match-summary/match-summary</t>
  </si>
  <si>
    <t>https://www.flashscore.com/match/A7ZE0PL6/#/match-summary/match-summary</t>
  </si>
  <si>
    <t>https://www.flashscore.com/match/Ii14BtzP/#/match-summary/match-summary</t>
  </si>
  <si>
    <t>Dunkerque</t>
  </si>
  <si>
    <t>https://www.flashscore.com/match/2qct2xpp/#/match-summary/match-summary</t>
  </si>
  <si>
    <t>https://www.flashscore.com/match/IXdpKy6S/#/match-summary/match-summary</t>
  </si>
  <si>
    <t>https://www.flashscore.com/match/tWX9L5dt/#/match-summary/match-summary</t>
  </si>
  <si>
    <t>https://www.flashscore.com/match/2uJ8SvAN/#/match-summary/match-summary</t>
  </si>
  <si>
    <t>https://www.flashscore.com/match/Ai30NVLj/#/match-summary/match-summary</t>
  </si>
  <si>
    <t>https://www.flashscore.com/match/8z5j8GNF/#/match-summary/match-summary</t>
  </si>
  <si>
    <t>https://www.flashscore.com/match/vVayPrce/#/match-summary/match-summary</t>
  </si>
  <si>
    <t>https://www.flashscore.com/match/juAmFOz0/#/match-summary/match-summary</t>
  </si>
  <si>
    <t>LeMans</t>
  </si>
  <si>
    <t>https://www.flashscore.com/match/AoI19KiA/#/match-summary/match-summary</t>
  </si>
  <si>
    <t>https://www.flashscore.com/match/6iWKCyE8/#/match-summary/match-summary</t>
  </si>
  <si>
    <t>https://www.flashscore.com/match/UgqBNhSQ/#/match-summary/match-summary</t>
  </si>
  <si>
    <t>https://www.flashscore.com/match/EqWHJqRh/#/match-summary/match-summary</t>
  </si>
  <si>
    <t>https://www.flashscore.com/match/lxgZDueU/#/match-summary/match-summary</t>
  </si>
  <si>
    <t>https://www.flashscore.com/match/UFxjuIgT/#/match-summary/match-summary</t>
  </si>
  <si>
    <t>https://www.flashscore.com/match/SjtWpQJE/#/match-summary/match-summary</t>
  </si>
  <si>
    <t>https://www.flashscore.com/match/dxDeD25C/#/match-summary/match-summary</t>
  </si>
  <si>
    <t>LePortel</t>
  </si>
  <si>
    <t>https://www.flashscore.com/match/fDjOCgb2/#/match-summary/match-summary</t>
  </si>
  <si>
    <t>https://www.flashscore.com/match/IaRVLIpn/#/match-summary/match-summary</t>
  </si>
  <si>
    <t>https://www.flashscore.com/match/lEbeleWq/#/match-summary/match-summary</t>
  </si>
  <si>
    <t>https://www.flashscore.com/match/UmEunQ6D/#/match-summary/match-summary</t>
  </si>
  <si>
    <t>https://www.flashscore.com/match/OIZvq4lR/#/match-summary/match-summary</t>
  </si>
  <si>
    <t>https://www.flashscore.com/match/2LEgBtNc/#/match-summary/match-summary</t>
  </si>
  <si>
    <t>https://www.flashscore.com/match/CM445c05/#/match-summary/match-summary</t>
  </si>
  <si>
    <t>https://www.flashscore.com/match/SlRcElkD/#/match-summary/match-summary</t>
  </si>
  <si>
    <t>https://www.flashscore.com/match/v1YrYrtn/#/match-summary/match-summary</t>
  </si>
  <si>
    <t>https://www.flashscore.com/match/rZnMb3jJ/#/match-summary/match-summary</t>
  </si>
  <si>
    <t>https://www.flashscore.com/match/bsV8M6rQ/#/match-summary/match-summary</t>
  </si>
  <si>
    <t>https://www.flashscore.com/match/IgAZ5ooI/#/match-summary/match-summary</t>
  </si>
  <si>
    <t>https://www.flashscore.com/match/d2vrsvPG/#/match-summary/match-summary</t>
  </si>
  <si>
    <t>https://www.flashscore.com/match/lho62oif/#/match-summary/match-summary</t>
  </si>
  <si>
    <t>Lyon</t>
  </si>
  <si>
    <t>https://www.flashscore.com/match/8lbD3yVH/#/match-summary/match-summary</t>
  </si>
  <si>
    <t>https://www.flashscore.com/match/CdLDWZb4/#/match-summary/match-summary</t>
  </si>
  <si>
    <t>https://www.flashscore.com/match/QaomoZDc/#/match-summary/match-summary</t>
  </si>
  <si>
    <t>https://www.flashscore.com/match/vquAwrCl/#/match-summary/match-summary</t>
  </si>
  <si>
    <t>https://www.flashscore.com/match/6DBA7bMM/#/match-summary/match-summary</t>
  </si>
  <si>
    <t>https://www.flashscore.com/match/A7gxMcyG/#/match-summary/match-summary</t>
  </si>
  <si>
    <t>https://www.flashscore.com/match/jsX4YeUi/#/match-summary/match-summary</t>
  </si>
  <si>
    <t>https://www.flashscore.com/match/b9ZtIWkl/#/match-summary/match-summary</t>
  </si>
  <si>
    <t>https://www.flashscore.com/match/YaRiWMAb/#/match-summary/match-summary</t>
  </si>
  <si>
    <t>https://www.flashscore.com/match/ELHUSibT/#/match-summary/match-summary</t>
  </si>
  <si>
    <t>https://www.flashscore.com/match/MiOnIzpB/#/match-summary/match-summary</t>
  </si>
  <si>
    <t>https://www.flashscore.com/match/M3EGewvA/#/match-summary/match-summary</t>
  </si>
  <si>
    <t>https://www.flashscore.com/match/hE1TQ4Sr/#/match-summary/match-summary</t>
  </si>
  <si>
    <t>https://www.flashscore.com/match/zcgpNMR7/#/match-summary/match-summary</t>
  </si>
  <si>
    <t>SaintQ</t>
  </si>
  <si>
    <t>https://www.flashscore.com/match/8GtEVqLt/#/match-summary/match-summary</t>
  </si>
  <si>
    <t>https://www.flashscore.com/match/4OivOJJU/#/match-summary/match-summary</t>
  </si>
  <si>
    <t>https://www.flashscore.com/match/xdYUR1K5/#/match-summary/match-summary</t>
  </si>
  <si>
    <t>https://www.flashscore.com/match/4rzNTNkg/#/match-summary/match-summary</t>
  </si>
  <si>
    <t>https://www.flashscore.com/match/dblWPukI/#/match-summary/match-summary</t>
  </si>
  <si>
    <t>https://www.flashscore.com/match/A54nSVVo/#/match-summary/match-summary</t>
  </si>
  <si>
    <t>https://www.flashscore.com/match/8OWQZaBD/#/match-summary/match-summary</t>
  </si>
  <si>
    <t>https://www.flashscore.com/match/OWEDc33K/#/match-summary/match-summary</t>
  </si>
  <si>
    <t>https://www.flashscore.com/match/IV7fQ90b/#/match-summary/match-summary</t>
  </si>
  <si>
    <t>https://www.flashscore.com/match/QgWr4Jqd/#/match-summary/match-summary</t>
  </si>
  <si>
    <t>https://www.flashscore.com/match/h0OURMy3/#/match-summary/match-summary</t>
  </si>
  <si>
    <t>https://www.flashscore.com/match/URxz6uFq/#/match-summary/match-summary</t>
  </si>
  <si>
    <t>https://www.flashscore.com/match/v5GpjLef/#/match-summary/match-summary</t>
  </si>
  <si>
    <t>https://www.flashscore.com/match/buG2OmVA/#/match-summary/match-summary</t>
  </si>
  <si>
    <t>https://www.flashscore.com/match/nVJhlaQ6/#/match-summary/match-summary</t>
  </si>
  <si>
    <t>https://www.flashscore.com/match/K20qhsRs/#/match-summary/match-summary</t>
  </si>
  <si>
    <t>https://www.flashscore.com/match/MPy7mwVj/#/match-summary/match-summary</t>
  </si>
  <si>
    <t>https://www.flashscore.com/match/KGiIIIbk/#/match-summary/match-summary</t>
  </si>
  <si>
    <t>https://www.flashscore.com/match/hUkQGdT1/#/match-summary/match-summary</t>
  </si>
  <si>
    <t>https://www.flashscore.com/match/EFCwQ06F/#/match-summary/match-summary</t>
  </si>
  <si>
    <t>https://www.flashscore.com/match/EZzLxvjL/#/match-summary/match-summary</t>
  </si>
  <si>
    <t>https://www.flashscore.com/match/8p81nweJ/#/match-summary/match-summary</t>
  </si>
  <si>
    <t>https://www.flashscore.com/match/8xYCv0L8/#/match-summary/match-summary</t>
  </si>
  <si>
    <t>https://www.flashscore.com/match/zi0mAtmQ/#/match-summary/match-summary</t>
  </si>
  <si>
    <t>https://www.flashscore.com/match/0WAoOvyS/#/match-summary/match-summary</t>
  </si>
  <si>
    <t>https://www.flashscore.com/match/QLvS2bu0/#/match-summary/match-summary</t>
  </si>
  <si>
    <t>https://www.flashscore.com/match/fgdfiw5E/#/match-summary/match-summary</t>
  </si>
  <si>
    <t>https://www.flashscore.com/match/06RfkHZQ/#/match-summary/match-summary</t>
  </si>
  <si>
    <t>https://www.flashscore.com/match/2a98TZC7/#/match-summary/match-summary</t>
  </si>
  <si>
    <t>https://www.flashscore.com/match/b7CiXHDr/#/match-summary/match-summary</t>
  </si>
  <si>
    <t>https://www.flashscore.com/match/6XFaVere/#/match-summary/match-summary</t>
  </si>
  <si>
    <t>https://www.flashscore.com/match/tSsb47Ms/#/match-summary/match-summary</t>
  </si>
  <si>
    <t>https://www.flashscore.com/match/h8tK4KAm/#/match-summary/match-summary</t>
  </si>
  <si>
    <t>https://www.flashscore.com/match/MmYz1xAC/#/match-summary/match-summary</t>
  </si>
  <si>
    <t>https://www.flashscore.com/match/E9iU3GlK/#/match-summary/match-summary</t>
  </si>
  <si>
    <t>https://www.flashscore.com/match/0U9stDdD/#/match-summary/match-summary</t>
  </si>
  <si>
    <t>https://www.flashscore.com/match/WlIQqecl/#/match-summary/match-summary</t>
  </si>
  <si>
    <t>https://www.flashscore.com/match/Auw0bfCs/#/match-summary/match-summary</t>
  </si>
  <si>
    <t>https://www.flashscore.com/match/zeli3Sjt/#/match-summary/match-summary</t>
  </si>
  <si>
    <t>https://www.flashscore.com/match/UDyqaGvP/#/match-summary/match-summary</t>
  </si>
  <si>
    <t>https://www.flashscore.com/match/h46ZsZR0/#/match-summary/match-summary</t>
  </si>
  <si>
    <t>https://www.flashscore.com/match/8M1b16Lh/#/match-summary/match-summary</t>
  </si>
  <si>
    <t>https://www.flashscore.com/match/zmOPhjtJ/#/match-summary/match-summary</t>
  </si>
  <si>
    <t>https://www.flashscore.com/match/vJZz07mn/#/match-summary/match-summary</t>
  </si>
  <si>
    <t>https://www.flashscore.com/match/EXZGfCB6/#/match-summary/match-summary</t>
  </si>
  <si>
    <t>https://www.flashscore.com/match/zoTqboIb/#/match-summary/match-summary</t>
  </si>
  <si>
    <t>https://www.flashscore.com/match/67W8dYtf/#/match-summary/match-summary</t>
  </si>
  <si>
    <t>https://www.flashscore.com/match/4le7apj5/#/match-summary/match-summary</t>
  </si>
  <si>
    <t>https://www.flashscore.com/match/x2gFcOKH/#/match-summary/match-summary</t>
  </si>
  <si>
    <t>https://www.flashscore.com/match/W2BmuG4j/#/match-summary/match-summary</t>
  </si>
  <si>
    <t>https://www.flashscore.com/match/KjQVlsuo/#/match-summary/match-summary</t>
  </si>
  <si>
    <t>https://www.flashscore.com/match/4QK0f3HN/#/match-summary/match-summary</t>
  </si>
  <si>
    <t>https://www.flashscore.com/match/8bRidPnB/#/match-summary/match-summary</t>
  </si>
  <si>
    <t>https://www.flashscore.com/match/0n3ICpXi/#/match-summary/match-summary</t>
  </si>
  <si>
    <t>https://www.flashscore.com/match/8C6QAO14/#/match-summary/match-summary</t>
  </si>
  <si>
    <t>https://www.flashscore.com/match/dt3Z2Jdc/#/match-summary/match-summary</t>
  </si>
  <si>
    <t>https://www.flashscore.com/match/Ieir1cR9/#/match-summary/match-summary</t>
  </si>
  <si>
    <t>https://www.flashscore.com/match/QLfjaydM/#/match-summary/match-summary</t>
  </si>
  <si>
    <t>https://www.flashscore.com/match/xhbs7t1T/#/match-summary/match-summary</t>
  </si>
  <si>
    <t>https://www.flashscore.com/match/8Ys1N1oA/#/match-summary/match-summary</t>
  </si>
  <si>
    <t>https://www.flashscore.com/match/nJghPNGc/#/match-summary/match-summary</t>
  </si>
  <si>
    <t>https://www.flashscore.com/match/IJZUigld/#/match-summary/match-summary</t>
  </si>
  <si>
    <t>https://www.flashscore.com/match/p6yNgFJq/#/match-summary/match-summary</t>
  </si>
  <si>
    <t>https://www.flashscore.com/match/4v0Z82WG/#/match-summary/match-summary</t>
  </si>
  <si>
    <t>https://www.flashscore.com/match/KC161KOj/#/match-summary/match-summary</t>
  </si>
  <si>
    <t>https://www.flashscore.com/match/d2vAFdt3/#/match-summary/match-summary</t>
  </si>
  <si>
    <t>https://www.flashscore.com/match/U1BrzuVF/#/match-summary/match-summary</t>
  </si>
  <si>
    <t>https://www.flashscore.com/match/YFRuGJwp/#/match-summary/match-summary</t>
  </si>
  <si>
    <t>https://www.flashscore.com/match/My8zx103/#/match-summary/match-summary</t>
  </si>
  <si>
    <t>https://www.flashscore.com/match/Gbo9LuGM/#/match-summary/match-summary</t>
  </si>
  <si>
    <t>https://www.flashscore.com/match/6TPmEc8d/#/match-summary/match-summary</t>
  </si>
  <si>
    <t>https://www.flashscore.com/match/jHaiYIaS/#/match-summary/match-summary</t>
  </si>
  <si>
    <t>https://www.flashscore.com/match/QsWQBEuS/#/match-summary/match-summary</t>
  </si>
  <si>
    <t>https://www.flashscore.com/match/4SsIDzBF/#/match-summary/match-summary</t>
  </si>
  <si>
    <t>https://www.flashscore.com/match/zL1cU9bf/#/match-summary/match-summary</t>
  </si>
  <si>
    <t>https://www.flashscore.com/match/UNbkWVTs/#/match-summary/match-summary</t>
  </si>
  <si>
    <t>https://www.flashscore.com/match/zNtHlvp9/#/match-summary/match-summary</t>
  </si>
  <si>
    <t>https://www.flashscore.com/match/n10MSdNk/#/match-summary/match-summary</t>
  </si>
  <si>
    <t>https://www.flashscore.com/match/rTgVQzh2/#/match-summary/match-summary</t>
  </si>
  <si>
    <t>https://www.flashscore.com/match/xzV44WX1/#/match-summary/match-summary</t>
  </si>
  <si>
    <t>https://www.flashscore.com/match/UTHjSZP8/#/match-summary/match-summary</t>
  </si>
  <si>
    <t>https://www.flashscore.com/match/dQMd6h3k/#/match-summary/match-summary</t>
  </si>
  <si>
    <t>https://www.flashscore.com/match/xAPVQe9a/#/match-summary/match-summary</t>
  </si>
  <si>
    <t>https://www.flashscore.com/match/pzTwPZwC/#/match-summary/match-summary</t>
  </si>
  <si>
    <t>https://www.flashscore.com/match/6kHnND8O/#/match-summary/match-summary</t>
  </si>
  <si>
    <t>https://www.flashscore.com/match/MyObYwHP/#/match-summary/match-summary</t>
  </si>
  <si>
    <t>https://www.flashscore.com/match/I79USHvm/#/match-summary/match-summary</t>
  </si>
  <si>
    <t>https://www.flashscore.com/match/40gEQRcJ/#/match-summary/match-summary</t>
  </si>
  <si>
    <t>https://www.flashscore.com/match/QeBaQDfL/#/match-summary/match-summary</t>
  </si>
  <si>
    <t>https://www.flashscore.com/match/dzj6SmT6/#/match-summary/match-summary</t>
  </si>
  <si>
    <t>https://www.flashscore.com/match/IsQwffwn/#/match-summary/match-summary</t>
  </si>
  <si>
    <t>https://www.flashscore.com/match/dEddsHgt/#/match-summary/match-summary</t>
  </si>
  <si>
    <t>https://www.flashscore.com/match/xO44ueOh/#/match-summary/match-summary</t>
  </si>
  <si>
    <t>https://www.flashscore.com/match/4bOohY7b/#/match-summary/match-summary</t>
  </si>
  <si>
    <t>https://www.flashscore.com/match/ETaTZjhU/#/match-summary/match-summary</t>
  </si>
  <si>
    <t>https://www.flashscore.com/match/Ay3CwZh5/#/match-summary/match-summary</t>
  </si>
  <si>
    <t>https://www.flashscore.com/match/dv2VKiIr/#/match-summary/match-summary</t>
  </si>
  <si>
    <t>https://www.flashscore.com/match/basketball/I1lL6XMi/#/match-summary/match-summary</t>
  </si>
  <si>
    <t>https://www.flashscore.com/match/basketball/YwG2lj7N/#/match-summary/match-summary</t>
  </si>
  <si>
    <t>https://www.flashscore.com/match/basketball/hOdZrUUp/#/match-summary/match-summary</t>
  </si>
  <si>
    <t>https://www.flashscore.com/match/basketball/0QHfjCxB/#/match-summary/match-summary</t>
  </si>
  <si>
    <t>https://www.flashscore.com/match/basketball/vHxU4Bi4/#/match-summary/match-summary</t>
  </si>
  <si>
    <t>https://www.flashscore.com/match/basketball/KIWYvD9E/#/match-summary/match-summary</t>
  </si>
  <si>
    <t>https://www.flashscore.com/match/basketball/4AlnH9H7/#/match-summary/match-summary</t>
  </si>
  <si>
    <t>https://www.flashscore.com/match/basketball/IgjvJVne/#/match-summary/match-summary</t>
  </si>
  <si>
    <t>https://www.flashscore.com/match/basketball/vkGd6OS8/#/match-summary/match-summary</t>
  </si>
  <si>
    <t>https://www.flashscore.com/match/basketball/nstx3kMG/#/match-summary/match-summary</t>
  </si>
  <si>
    <t>https://www.flashscore.com/match/basketball/IDELV8W0/#/match-summary/match-summary</t>
  </si>
  <si>
    <t>https://www.flashscore.com/match/basketball/trbAps6k/#/match-summary/match-summary</t>
  </si>
  <si>
    <t>https://www.flashscore.com/match/basketball/EedIrLz2/#/match-summary/match-summary</t>
  </si>
  <si>
    <t>https://www.flashscore.com/match/basketball/nFJ442cL/#/match-summary/match-summary</t>
  </si>
  <si>
    <t>https://www.flashscore.com/match/basketball/hWUtwivR/#/match-summary/match-summary</t>
  </si>
  <si>
    <t>https://www.flashscore.com/match/basketball/CGBDXU1l/#/match-summary/match-summary</t>
  </si>
  <si>
    <t>https://www.flashscore.com/match/basketball/vDbqcKke/#/match-summary/match-summary</t>
  </si>
  <si>
    <t>https://www.flashscore.com/match/basketball/vT2UTn1D/#/match-summary/match-summary</t>
  </si>
  <si>
    <t>https://www.flashscore.com/match/basketball/0zDlZswg/#/match-summary/match-summary</t>
  </si>
  <si>
    <t>https://www.flashscore.com/match/basketball/Q5vvJ1CE/#/match-summary/match-summary</t>
  </si>
  <si>
    <t>https://www.flashscore.com/match/basketball/YBihebK7/#/match-summary/match-summary</t>
  </si>
  <si>
    <t>https://www.flashscore.com/match/basketball/MXXnHusR/#/match-summary/match-summary</t>
  </si>
  <si>
    <t>https://www.flashscore.com/match/basketball/WneyatLr/#/match-summary/match-summary</t>
  </si>
  <si>
    <t>https://www.flashscore.com/match/basketball/48Juy48t/#/match-summary/match-summary</t>
  </si>
  <si>
    <t>https://www.flashscore.com/match/basketball/GfgMVvdK/#/match-summary/match-summary</t>
  </si>
  <si>
    <t>https://www.flashscore.com/match/basketball/0nBZ7y4D/#/match-summary/match-summary</t>
  </si>
  <si>
    <t>https://www.flashscore.com/match/basketball/00j8MzJ6/#/match-summary/match-summary</t>
  </si>
  <si>
    <t>https://www.flashscore.com/match/basketball/CQvhQIJs/#/match-summary/match-summary</t>
  </si>
  <si>
    <t>https://www.flashscore.com/match/basketball/MFvHKEmJ/#/match-summary/match-summary</t>
  </si>
  <si>
    <t>https://www.flashscore.com/match/basketball/hGOIBJ4l/#/match-summary/match-summary</t>
  </si>
  <si>
    <t>https://www.flashscore.com/match/basketball/8hY0Odlf/#/match-summary/match-summary</t>
  </si>
  <si>
    <t>https://www.flashscore.com/match/basketball/EVCR9cZ0/#/match-summary/match-summary</t>
  </si>
  <si>
    <t>https://www.flashscore.com/match/basketball/fszBxm94/#/match-summary/match-summary</t>
  </si>
  <si>
    <t>https://www.flashscore.com/match/basketball/86DZxd3m/#/match-summary/match-summary</t>
  </si>
  <si>
    <t>https://www.flashscore.com/match/basketball/ltTJzRwH/#/match-summary/match-summary</t>
  </si>
  <si>
    <t>https://www.flashscore.com/match/basketball/0MRrZD2C/#/match-summary/match-summary</t>
  </si>
  <si>
    <t>https://www.flashscore.com/match/basketball/tKBsyzYa/#/match-summary/match-summary</t>
  </si>
  <si>
    <t>https://www.flashscore.com/match/basketball/nHW2v9vh/#/match-summary/match-summary</t>
  </si>
  <si>
    <t>https://www.flashscore.com/match/basketball/lMW2rIuQ/#/match-summary/match-summary</t>
  </si>
  <si>
    <t>https://www.flashscore.com/match/basketball/8p0pinOc/#/match-summary/match-summary</t>
  </si>
  <si>
    <t>https://www.flashscore.com/match/basketball/tv8bTrWj/#/match-summary/match-summary</t>
  </si>
  <si>
    <t>https://www.flashscore.com/match/basketball/MBrXsrop/#/match-summary/match-summary</t>
  </si>
  <si>
    <t>https://www.flashscore.com/match/basketball/UalgkQhA/#/match-summary/match-summary</t>
  </si>
  <si>
    <t>https://www.flashscore.com/match/basketball/2R10m4NM/#/match-summary/match-summary</t>
  </si>
  <si>
    <t>https://www.flashscore.com/match/basketball/MgRRY48T/#/match-summary/match-summary</t>
  </si>
  <si>
    <t>https://www.flashscore.com/match/basketball/fPtutMFd/#/match-summary/match-summary</t>
  </si>
  <si>
    <t>https://www.flashscore.com/match/basketball/vD2tpjYR/#/match-summary/match-summary</t>
  </si>
  <si>
    <t>https://www.flashscore.com/match/basketball/IcEXoC3F/#/match-summary/match-summary</t>
  </si>
  <si>
    <t>https://www.flashscore.com/match/basketball/bHZ60BI8/#/match-summary/match-summary</t>
  </si>
  <si>
    <t>https://www.flashscore.com/match/basketball/IJk8bkmL/#/match-summary/match-summary</t>
  </si>
  <si>
    <t>https://www.flashscore.com/match/basketball/AHUni7ue/#/match-summary/match-summary</t>
  </si>
  <si>
    <t>https://www.flashscore.com/match/basketball/l2tvgTAr/#/match-summary/match-summary</t>
  </si>
  <si>
    <t>https://www.flashscore.com/match/basketball/AegCvUek/#/match-summary/match-summary</t>
  </si>
  <si>
    <t>https://www.flashscore.com/match/basketball/6NnLx8Q1/#/match-summary/match-summary</t>
  </si>
  <si>
    <t>https://www.flashscore.com/match/basketball/C0BPmYY2/#/match-summary/match-summary</t>
  </si>
  <si>
    <t>https://www.flashscore.com/match/basketball/6LgGG5no/#/match-summary/match-summary</t>
  </si>
  <si>
    <t>https://www.flashscore.com/match/basketball/pnoNhKGa/#/match-summary/match-summary</t>
  </si>
  <si>
    <t>https://www.flashscore.com/match/basketball/IsYfkoA7/#/match-summary/match-summary</t>
  </si>
  <si>
    <t>https://www.flashscore.com/match/basketball/v96d7JVh/#/match-summary/match-summary</t>
  </si>
  <si>
    <t>https://www.flashscore.com/match/basketball/lKiEftnm/#/match-summary/match-summary</t>
  </si>
  <si>
    <t>https://www.flashscore.com/match/basketball/ERxvkxGO/#/match-summary/match-summary</t>
  </si>
  <si>
    <t>https://www.flashscore.com/match/basketball/hClVjboC/#/match-summary/match-summary</t>
  </si>
  <si>
    <t>https://www.flashscore.com/match/basketball/rsDm9u1t/#/match-summary/match-summary</t>
  </si>
  <si>
    <t>https://www.flashscore.com/match/basketball/IXUtDl2E/#/match-summary/match-summary</t>
  </si>
  <si>
    <t>PO</t>
  </si>
  <si>
    <t>https://www.flashscore.com/match/basketball/6TFOXwTq/#/match-summary/match-summary</t>
  </si>
  <si>
    <t>https://www.flashscore.com/match/basketball/2e9XVHcd/#/match-summary/match-summary</t>
  </si>
  <si>
    <t>https://www.flashscore.com/match/basketball/0E30sfkB/#/match-summary/match-summary</t>
  </si>
  <si>
    <t>https://www.flashscore.com/match/basketball/U11JgLk3/#/match-summary/match-summary</t>
  </si>
  <si>
    <t>https://www.flashscore.com/match/basketball/G0b6SxFO/#/match-summary/match-summary</t>
  </si>
  <si>
    <t>https://www.flashscore.com/match/basketball/veBAwAPq/#/match-summary/match-summary</t>
  </si>
  <si>
    <t>https://www.flashscore.com/match/basketball/jHkSiaKF/#/match-summary/match-summary</t>
  </si>
  <si>
    <t>https://www.flashscore.com/match/basketball/z7CaZj4l/#/match-summary/match-summary</t>
  </si>
  <si>
    <t>https://www.flashscore.com/match/basketball/WCYFnt0t/#/match-summary/match-summary</t>
  </si>
  <si>
    <t>https://www.flashscore.com/match/basketball/C89Iylfd/#/match-summary/match-summary</t>
  </si>
  <si>
    <t>https://www.flashscore.com/match/basketball/WY58XUY0/#/match-summary/match-summary</t>
  </si>
  <si>
    <t>https://www.flashscore.com/match/basketball/WEgvh7H6/#/match-summary/match-summary</t>
  </si>
  <si>
    <t>https://www.flashscore.com/match/basketball/AmmnQrA6/#/match-summary/match-summary</t>
  </si>
  <si>
    <t>https://www.flashscore.com/match/basketball/6ko9pJaS/#/match-summary/match-summary</t>
  </si>
  <si>
    <t>https://www.flashscore.com/match/basketball/8r7Bm0vC/#/match-summary/match-summary</t>
  </si>
  <si>
    <t>https://www.flashscore.com/match/basketball/UTgq9ESF/#/match-summary/match-summary</t>
  </si>
  <si>
    <t>https://www.flashscore.com/match/basketball/0GOqViOp/#/match-summary/match-summary</t>
  </si>
  <si>
    <t>https://www.flashscore.com/match/basketball/xfci7hcS/#/match-summary/match-summary</t>
  </si>
  <si>
    <t>https://www.flashscore.com/match/basketball/hABVheGi/#/match-summary/match-summary</t>
  </si>
  <si>
    <t>https://www.flashscore.com/match/basketball/MRYN1WKk/#/match-summary/match-summary</t>
  </si>
  <si>
    <t>https://www.flashscore.com/match/basketball/xKd4qKAL/#/match-summary/match-summary</t>
  </si>
  <si>
    <t>https://www.flashscore.com/match/basketball/rqS3D2Mq/#/match-summary/match-summary</t>
  </si>
  <si>
    <t>https://www.flashscore.com/match/basketball/2or5Btid/#/match-summary/match-summary</t>
  </si>
  <si>
    <t>https://www.flashscore.com/match/basketball/GfTKLLkD/#/match-summary/match-summary</t>
  </si>
  <si>
    <t>https://www.flashscore.com/match/basketball/EwNmWkcD/#/match-summary/match-summary</t>
  </si>
  <si>
    <t>https://www.flashscore.com/match/basketball/fNFXxUvH/#/match-summary/match-summary</t>
  </si>
  <si>
    <t>Boulazac</t>
  </si>
  <si>
    <t>BOU</t>
  </si>
  <si>
    <t>boulazac</t>
  </si>
  <si>
    <t>https://www.flashscore.com/match/basketball/dijon-U1rSU248/le-mans-Qqv37Lsk/?mid=MNQ8TnMG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</si>
</sst>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dd/mm/yyyy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5" fillId="0" borderId="0" xfId="1"/>
    <xf numFmtId="14" fontId="0" fillId="0" borderId="0" xfId="0" applyNumberFormat="1"/>
    <xf numFmtId="1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1" fontId="0" fillId="0" borderId="0" xfId="0" applyNumberFormat="1"/>
    <xf numFmtId="0" fontId="9" fillId="0" borderId="0" xfId="0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215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0101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 val="0"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  <strike val="0"/>
      </font>
    </dxf>
    <dxf>
      <fill>
        <patternFill>
          <bgColor rgb="FF00B050"/>
        </patternFill>
      </fill>
    </dxf>
    <dxf>
      <fill>
        <patternFill>
          <bgColor rgb="FFF0101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0" formatCode="General"/>
    </dxf>
    <dxf>
      <numFmt numFmtId="165" formatCode="0.00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6AAA2"/>
      <color rgb="FFF010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209550</xdr:colOff>
      <xdr:row>0</xdr:row>
      <xdr:rowOff>0</xdr:rowOff>
    </xdr:from>
    <xdr:to>
      <xdr:col>11</xdr:col>
      <xdr:colOff>819150</xdr:colOff>
      <xdr:row>1</xdr:row>
      <xdr:rowOff>57150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134F86B-DECA-5531-4294-1CD09C6AC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4300" y="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200025</xdr:colOff>
      <xdr:row>0</xdr:row>
      <xdr:rowOff>57150</xdr:rowOff>
    </xdr:from>
    <xdr:to>
      <xdr:col>7</xdr:col>
      <xdr:colOff>609600</xdr:colOff>
      <xdr:row>0</xdr:row>
      <xdr:rowOff>466725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600A5F51-99B7-974F-7B90-813824C3D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9225" y="57150"/>
          <a:ext cx="409575" cy="409575"/>
        </a:xfrm>
        <a:prstGeom prst="rect">
          <a:avLst/>
        </a:prstGeom>
      </xdr:spPr>
    </xdr:pic>
    <xdr:clientData/>
  </xdr:twoCellAnchor>
  <xdr:twoCellAnchor editAs="oneCell">
    <xdr:from>
      <xdr:col>1</xdr:col>
      <xdr:colOff>166800</xdr:colOff>
      <xdr:row>6</xdr:row>
      <xdr:rowOff>52500</xdr:rowOff>
    </xdr:from>
    <xdr:to>
      <xdr:col>1</xdr:col>
      <xdr:colOff>609600</xdr:colOff>
      <xdr:row>6</xdr:row>
      <xdr:rowOff>495300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6081F8A-143E-19F0-C584-9F4ECDF30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325" y="2186100"/>
          <a:ext cx="442800" cy="4428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133351</xdr:colOff>
      <xdr:row>10</xdr:row>
      <xdr:rowOff>28576</xdr:rowOff>
    </xdr:from>
    <xdr:to>
      <xdr:col>1</xdr:col>
      <xdr:colOff>628650</xdr:colOff>
      <xdr:row>10</xdr:row>
      <xdr:rowOff>523875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6E8906-1704-525E-7303-47A8148C4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3267076"/>
          <a:ext cx="495299" cy="495299"/>
        </a:xfrm>
        <a:prstGeom prst="rect">
          <a:avLst/>
        </a:prstGeom>
        <a:effectLst/>
      </xdr:spPr>
    </xdr:pic>
    <xdr:clientData/>
  </xdr:twoCellAnchor>
  <xdr:twoCellAnchor editAs="oneCell">
    <xdr:from>
      <xdr:col>1</xdr:col>
      <xdr:colOff>142876</xdr:colOff>
      <xdr:row>14</xdr:row>
      <xdr:rowOff>38782</xdr:rowOff>
    </xdr:from>
    <xdr:to>
      <xdr:col>1</xdr:col>
      <xdr:colOff>609600</xdr:colOff>
      <xdr:row>14</xdr:row>
      <xdr:rowOff>505506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CA7F40F-3E19-D4DA-8FCF-13C47176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1" y="4382182"/>
          <a:ext cx="466724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179917</xdr:colOff>
      <xdr:row>18</xdr:row>
      <xdr:rowOff>31749</xdr:rowOff>
    </xdr:from>
    <xdr:to>
      <xdr:col>1</xdr:col>
      <xdr:colOff>613836</xdr:colOff>
      <xdr:row>18</xdr:row>
      <xdr:rowOff>465668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4EC8B1-CCBB-D197-28D5-17AE66F0B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5471582"/>
          <a:ext cx="433919" cy="433919"/>
        </a:xfrm>
        <a:prstGeom prst="rect">
          <a:avLst/>
        </a:prstGeom>
      </xdr:spPr>
    </xdr:pic>
    <xdr:clientData/>
  </xdr:twoCellAnchor>
  <xdr:twoCellAnchor editAs="oneCell">
    <xdr:from>
      <xdr:col>5</xdr:col>
      <xdr:colOff>201083</xdr:colOff>
      <xdr:row>6</xdr:row>
      <xdr:rowOff>52917</xdr:rowOff>
    </xdr:from>
    <xdr:to>
      <xdr:col>5</xdr:col>
      <xdr:colOff>645582</xdr:colOff>
      <xdr:row>6</xdr:row>
      <xdr:rowOff>497416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54C9E96-CF7E-5026-D2A7-7EE17BA45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4583" y="2190750"/>
          <a:ext cx="444499" cy="444499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127001</xdr:colOff>
      <xdr:row>17</xdr:row>
      <xdr:rowOff>179917</xdr:rowOff>
    </xdr:from>
    <xdr:to>
      <xdr:col>5</xdr:col>
      <xdr:colOff>709083</xdr:colOff>
      <xdr:row>19</xdr:row>
      <xdr:rowOff>42332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7D52820-F762-D05A-34C1-6B675DEE6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1" y="5429250"/>
          <a:ext cx="582082" cy="582082"/>
        </a:xfrm>
        <a:prstGeom prst="rect">
          <a:avLst/>
        </a:prstGeom>
      </xdr:spPr>
    </xdr:pic>
    <xdr:clientData/>
  </xdr:twoCellAnchor>
  <xdr:twoCellAnchor editAs="oneCell">
    <xdr:from>
      <xdr:col>9</xdr:col>
      <xdr:colOff>105833</xdr:colOff>
      <xdr:row>5</xdr:row>
      <xdr:rowOff>275169</xdr:rowOff>
    </xdr:from>
    <xdr:to>
      <xdr:col>9</xdr:col>
      <xdr:colOff>709083</xdr:colOff>
      <xdr:row>7</xdr:row>
      <xdr:rowOff>63502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03AAA25-DFF6-5D58-FD30-D6FE5561E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7651750" y="2127252"/>
          <a:ext cx="603250" cy="603250"/>
        </a:xfrm>
        <a:prstGeom prst="rect">
          <a:avLst/>
        </a:prstGeom>
      </xdr:spPr>
    </xdr:pic>
    <xdr:clientData/>
  </xdr:twoCellAnchor>
  <xdr:twoCellAnchor editAs="oneCell">
    <xdr:from>
      <xdr:col>5</xdr:col>
      <xdr:colOff>137583</xdr:colOff>
      <xdr:row>9</xdr:row>
      <xdr:rowOff>179917</xdr:rowOff>
    </xdr:from>
    <xdr:to>
      <xdr:col>5</xdr:col>
      <xdr:colOff>666750</xdr:colOff>
      <xdr:row>10</xdr:row>
      <xdr:rowOff>518584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85BC931-7ABE-53CB-0D3C-19DA75E9A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1083" y="3227917"/>
          <a:ext cx="529167" cy="529167"/>
        </a:xfrm>
        <a:prstGeom prst="rect">
          <a:avLst/>
        </a:prstGeom>
      </xdr:spPr>
    </xdr:pic>
    <xdr:clientData/>
  </xdr:twoCellAnchor>
  <xdr:twoCellAnchor editAs="oneCell">
    <xdr:from>
      <xdr:col>13</xdr:col>
      <xdr:colOff>179915</xdr:colOff>
      <xdr:row>6</xdr:row>
      <xdr:rowOff>74082</xdr:rowOff>
    </xdr:from>
    <xdr:to>
      <xdr:col>13</xdr:col>
      <xdr:colOff>582082</xdr:colOff>
      <xdr:row>6</xdr:row>
      <xdr:rowOff>476249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9284C64-0AD3-3DF4-44FD-6DCF69DE6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498" y="2211915"/>
          <a:ext cx="402167" cy="402167"/>
        </a:xfrm>
        <a:prstGeom prst="rect">
          <a:avLst/>
        </a:prstGeom>
      </xdr:spPr>
    </xdr:pic>
    <xdr:clientData/>
  </xdr:twoCellAnchor>
  <xdr:twoCellAnchor editAs="oneCell">
    <xdr:from>
      <xdr:col>13</xdr:col>
      <xdr:colOff>201083</xdr:colOff>
      <xdr:row>14</xdr:row>
      <xdr:rowOff>74084</xdr:rowOff>
    </xdr:from>
    <xdr:to>
      <xdr:col>13</xdr:col>
      <xdr:colOff>613833</xdr:colOff>
      <xdr:row>14</xdr:row>
      <xdr:rowOff>486834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E52D19-59DA-0552-448C-1AD7C61E7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0666" y="4413251"/>
          <a:ext cx="412750" cy="4127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44C236-BD30-49C1-AC80-B66D4596B51B}" name="bourg" displayName="bourg" ref="A3:CQ38" totalsRowShown="0" headerRowDxfId="2155" dataDxfId="2154">
  <autoFilter ref="A3:CQ38" xr:uid="{6F44C236-BD30-49C1-AC80-B66D4596B51B}"/>
  <tableColumns count="95">
    <tableColumn id="1" xr3:uid="{6599CE50-CD7A-476A-A3CF-F60836994BE8}" name="Tournament" dataDxfId="2153"/>
    <tableColumn id="2" xr3:uid="{55E9E0D7-356A-4626-B968-19FB67FE2957}" name="Home_team" dataDxfId="2152"/>
    <tableColumn id="3" xr3:uid="{4F606D5D-FC40-42B6-B063-FA5AA19C9D39}" name="Stage" dataDxfId="2151"/>
    <tableColumn id="4" xr3:uid="{0E6D9A8A-50BB-4996-8809-EAE27BE502E6}" name="Date" dataDxfId="2150"/>
    <tableColumn id="5" xr3:uid="{1444E70D-EB74-4B69-B657-F4A5ADDA5F69}" name="Location" dataDxfId="2149"/>
    <tableColumn id="6" xr3:uid="{AF73A5FC-42DE-4A5B-99CE-5C2667D27FA0}" name="Away_team" dataDxfId="2148"/>
    <tableColumn id="7" xr3:uid="{BF0127D0-1714-423E-BAC9-635D6884BC28}" name="Result" dataDxfId="2147"/>
    <tableColumn id="8" xr3:uid="{6313AB05-37E3-40D0-B876-D9112E74BF7D}" name="Home_scored" dataDxfId="2146"/>
    <tableColumn id="9" xr3:uid="{1F4D5434-9310-4896-998C-C37C81074EDC}" name="Away_scored" dataDxfId="2145"/>
    <tableColumn id="10" xr3:uid="{FFE98535-E356-4CF2-9197-B74E83B0A6D9}" name="FGM" dataDxfId="2144"/>
    <tableColumn id="11" xr3:uid="{002FF4B5-4288-4254-BC99-F63AD518C111}" name="FGA" dataDxfId="2143"/>
    <tableColumn id="12" xr3:uid="{4E30639F-2B4E-4E57-96A4-158D52024909}" name="FGp" dataDxfId="2142"/>
    <tableColumn id="13" xr3:uid="{6091E629-8B4D-4D94-8AF6-B19280E80435}" name="P2M" dataDxfId="2141"/>
    <tableColumn id="14" xr3:uid="{5E77FADA-3042-41DA-A2AD-AB13C743B820}" name="P2A" dataDxfId="2140"/>
    <tableColumn id="15" xr3:uid="{BFC2A377-E869-45DE-B34E-3B5745A446B4}" name="P2p" dataDxfId="2139"/>
    <tableColumn id="16" xr3:uid="{78A4C836-49FD-4E63-AF91-022BEE93C283}" name="P3M" dataDxfId="2138"/>
    <tableColumn id="17" xr3:uid="{23C7D171-4625-476C-A1E1-BBFB06C48E11}" name="P3A" dataDxfId="2137"/>
    <tableColumn id="18" xr3:uid="{CC02B07D-5314-4E5A-BF6A-5D2331399FE8}" name="P3p" dataDxfId="2136"/>
    <tableColumn id="19" xr3:uid="{5F97A641-A04E-4E93-ACEC-07BEE0C549F2}" name="FTM" dataDxfId="2135"/>
    <tableColumn id="20" xr3:uid="{9E631F6D-6B0F-482D-926A-09A5F3128D4B}" name="FTA" dataDxfId="2134"/>
    <tableColumn id="21" xr3:uid="{0BCD3EBB-50E6-459D-8232-368D2486C077}" name="FTp" dataDxfId="2133"/>
    <tableColumn id="22" xr3:uid="{675B135A-49D3-414C-8373-42422CC61B57}" name="ORB" dataDxfId="2132"/>
    <tableColumn id="23" xr3:uid="{621C20CB-FF2C-4468-9BBB-EB0F043EE979}" name="DRB" dataDxfId="2131"/>
    <tableColumn id="24" xr3:uid="{EA6F17D7-585E-438D-AD9D-A6B5F0080F75}" name="TRB" dataDxfId="2130"/>
    <tableColumn id="25" xr3:uid="{6417CBF8-8148-4079-BBD1-06CD5265081C}" name="AST" dataDxfId="2129"/>
    <tableColumn id="26" xr3:uid="{4474783F-1A65-4E66-B0D6-3D2BFBBA2DC9}" name="STL" dataDxfId="2128"/>
    <tableColumn id="27" xr3:uid="{4015DDAB-0867-493D-8EB2-932D4EF1B359}" name="BLK" dataDxfId="2127"/>
    <tableColumn id="28" xr3:uid="{F5AB7481-0CB8-4FC2-BD5C-591534324146}" name="TOV" dataDxfId="2126"/>
    <tableColumn id="29" xr3:uid="{47071DE0-627D-465E-9CD3-BBE3C9396E9E}" name="PF" dataDxfId="2125"/>
    <tableColumn id="30" xr3:uid="{62A76C09-4036-4B72-98C4-31897C925F6E}" name="FGMop" dataDxfId="2124"/>
    <tableColumn id="31" xr3:uid="{76DE5378-5A11-4EE7-8E69-A31ADC6D254A}" name="FGAop" dataDxfId="2123"/>
    <tableColumn id="32" xr3:uid="{3A62644D-6730-4FF5-B127-87BE4A44942A}" name="FGpop" dataDxfId="2122"/>
    <tableColumn id="33" xr3:uid="{62302910-51E8-4F53-BEB7-2778F85530E6}" name="P2Mop" dataDxfId="2121"/>
    <tableColumn id="34" xr3:uid="{1DBDCA62-AB01-4A75-8425-7971795BF600}" name="P2Aop" dataDxfId="2120"/>
    <tableColumn id="35" xr3:uid="{35A48FED-8D3A-463A-8141-924F7DBE7419}" name="P2pop" dataDxfId="2119"/>
    <tableColumn id="36" xr3:uid="{B5125097-7EAF-4EFF-B079-FB161B778C29}" name="P3Mop" dataDxfId="2118"/>
    <tableColumn id="37" xr3:uid="{B3C34BAA-1C73-4EBE-865F-A508A6118A3E}" name="P3Aop" dataDxfId="2117"/>
    <tableColumn id="38" xr3:uid="{50542CFE-C1AB-40EB-B379-DF7CC21153CB}" name="P3pop" dataDxfId="2116"/>
    <tableColumn id="39" xr3:uid="{6CAB8404-303C-4925-B7E2-C3B9F069AE54}" name="FTMop" dataDxfId="2115"/>
    <tableColumn id="40" xr3:uid="{8D2867BC-8EA6-4FC0-AF51-BD5A756D026C}" name="FTAop" dataDxfId="2114"/>
    <tableColumn id="41" xr3:uid="{BB1E46C7-263C-4F05-984B-00F9B9CC13C0}" name="FTpop" dataDxfId="2113"/>
    <tableColumn id="42" xr3:uid="{41607EF8-816B-4621-8B4C-D4FE4509C85D}" name="ORBop" dataDxfId="2112"/>
    <tableColumn id="43" xr3:uid="{6507A7B2-3E93-4E52-9BF9-F23CDFAA037C}" name="DRBop" dataDxfId="2111"/>
    <tableColumn id="44" xr3:uid="{4319C22F-9406-4BAF-98C2-822297D92236}" name="TRBop" dataDxfId="2110"/>
    <tableColumn id="45" xr3:uid="{48AEDB5C-7279-4D8E-A815-69F5271FA71E}" name="ASTop" dataDxfId="2109"/>
    <tableColumn id="46" xr3:uid="{CFC36FEC-F2AE-4760-9E35-C95BF3A259F0}" name="STLop" dataDxfId="2108"/>
    <tableColumn id="47" xr3:uid="{B9AB074C-5FBB-48E2-97FC-6D25CC4E44F2}" name="BLKop" dataDxfId="2107"/>
    <tableColumn id="48" xr3:uid="{36CC2048-3DAD-4013-8BD5-8B316C2D2E2C}" name="TOVop" dataDxfId="2106"/>
    <tableColumn id="49" xr3:uid="{7EAF8FB2-9E39-4BBC-A4B9-3E0BDD683002}" name="PFop" dataDxfId="2105"/>
    <tableColumn id="50" xr3:uid="{60A5219B-F03A-4A75-810A-175A142BF613}" name="TS%" dataDxfId="2104"/>
    <tableColumn id="51" xr3:uid="{C077C382-A18A-4C96-9152-DF833B3C743F}" name="eFG%" dataDxfId="2103"/>
    <tableColumn id="52" xr3:uid="{63B27726-31BE-4DCC-A68B-87DFE4B3D5CD}" name="ORB%" dataDxfId="2102"/>
    <tableColumn id="53" xr3:uid="{D3A35C05-A631-478D-9D6A-A05813DF5939}" name="DRB%" dataDxfId="2101"/>
    <tableColumn id="54" xr3:uid="{DCA845DD-2617-49BF-B280-9B7532B45220}" name="TRB%" dataDxfId="2100"/>
    <tableColumn id="55" xr3:uid="{4489609E-91F2-49DB-B88E-0E72750D2A73}" name="Poss" dataDxfId="2099"/>
    <tableColumn id="56" xr3:uid="{B79959BE-55EA-41D1-8AAE-43D7BEE7A857}" name="AST%" dataDxfId="2098"/>
    <tableColumn id="57" xr3:uid="{356CD4DD-B1D7-4FD3-A259-FD3846675CF4}" name="FTFGA%" dataDxfId="2097"/>
    <tableColumn id="58" xr3:uid="{53A3751F-54F9-4EA7-9C2D-A36D8D5E3DFA}" name="TOV%" dataDxfId="2096"/>
    <tableColumn id="59" xr3:uid="{9FFF162E-9E89-413A-9DA0-55193A4620E7}" name="ORtg" dataDxfId="2095"/>
    <tableColumn id="60" xr3:uid="{39946237-221F-4F21-A0B0-8D1C5EB55489}" name="DRtg" dataDxfId="2094"/>
    <tableColumn id="61" xr3:uid="{8C01EEFA-0DDC-4A0C-8266-33F7DBCB0502}" name="Pace" dataDxfId="2093"/>
    <tableColumn id="62" xr3:uid="{96C17781-62B8-4F24-BA05-2049C0984CA1}" name="TS%op" dataDxfId="2092"/>
    <tableColumn id="63" xr3:uid="{51C1A8C9-5A4A-40EC-AF6D-AE3FF99A8DBE}" name="eFG%op" dataDxfId="2091"/>
    <tableColumn id="64" xr3:uid="{CE02E2BE-8C61-4F4B-92F3-4264551DAD6F}" name="ORB%op" dataDxfId="2090"/>
    <tableColumn id="65" xr3:uid="{095E6207-9EB2-4459-A263-B28D840922D3}" name="DRB%op" dataDxfId="2089"/>
    <tableColumn id="66" xr3:uid="{093D78A6-6A6A-40B6-ABCF-B480F2E57521}" name="TRB%op" dataDxfId="2088"/>
    <tableColumn id="67" xr3:uid="{2BAE9B08-E09C-4B46-801C-7F5C04E5AFD2}" name="Possop" dataDxfId="2087"/>
    <tableColumn id="68" xr3:uid="{D5430AB1-6027-442C-92DD-EB152AAAF139}" name="AST%op" dataDxfId="2086"/>
    <tableColumn id="69" xr3:uid="{7C7C4FCC-E93F-4B50-B2AD-E84A1CC29D69}" name="FTFGA%op" dataDxfId="2085"/>
    <tableColumn id="70" xr3:uid="{16024894-0D2B-4517-92F5-47C7930373DB}" name="TOV%op" dataDxfId="2084"/>
    <tableColumn id="71" xr3:uid="{11C6F289-1520-4C35-B00E-FA9151DA07FE}" name="ORtgop" dataDxfId="2083"/>
    <tableColumn id="72" xr3:uid="{A260AF79-4995-4196-A33B-065B7D364D88}" name="DRtgop" dataDxfId="2082"/>
    <tableColumn id="73" xr3:uid="{452D9D35-864A-49CF-B831-C2F5366E6C00}" name="Q1H" dataDxfId="2081"/>
    <tableColumn id="74" xr3:uid="{3A649A64-B20D-4F1C-8A2E-852E0190C06A}" name="Q2H" dataDxfId="2080"/>
    <tableColumn id="75" xr3:uid="{604409CB-4639-4BAE-B620-4550BC7BEB6B}" name="Q3H" dataDxfId="2079"/>
    <tableColumn id="76" xr3:uid="{E5EA46EC-C6BA-4A94-83D4-1CAD06E2BD21}" name="Q4H" dataDxfId="2078"/>
    <tableColumn id="77" xr3:uid="{BBA596A5-4486-429D-BB9A-B2FB7F8CADDE}" name="Q1A" dataDxfId="2077"/>
    <tableColumn id="78" xr3:uid="{21B1B3D7-E298-4F14-9C32-28E0A5FF86DF}" name="Q2A" dataDxfId="2076"/>
    <tableColumn id="79" xr3:uid="{6C2D85AB-8862-4C0D-938B-90EBDAC89B5F}" name="Q3A" dataDxfId="2075"/>
    <tableColumn id="80" xr3:uid="{25077938-1121-4649-8C08-56C4AAA75DEE}" name="Q4A" dataDxfId="2074"/>
    <tableColumn id="81" xr3:uid="{10A75BAE-A6E4-47F9-9D06-61766533DAB6}" name="FhalfH" dataDxfId="2073"/>
    <tableColumn id="82" xr3:uid="{8560A07E-03F1-4FE4-B476-7C8313314D35}" name="ShalfH" dataDxfId="2072"/>
    <tableColumn id="83" xr3:uid="{766F0652-B602-4F60-9DB6-BC57D62E1F4D}" name="FhalfA" dataDxfId="2071"/>
    <tableColumn id="84" xr3:uid="{4AFACCA9-11E1-4FF6-8464-B9F281B5236F}" name="ShalfA" dataDxfId="2070"/>
    <tableColumn id="85" xr3:uid="{3ADA4961-60E6-4DC0-8855-B61DA55FA860}" name="win" dataDxfId="2069"/>
    <tableColumn id="86" xr3:uid="{A0E2E3E3-1E7B-4029-B5C5-4BDF56014F91}" name="lose" dataDxfId="2068"/>
    <tableColumn id="87" xr3:uid="{C7068F64-B2FF-489B-8298-47C352C1232C}" name="foraH" dataDxfId="2067"/>
    <tableColumn id="88" xr3:uid="{DFD470D7-BDD6-4729-B2A1-D5125F742AC6}" name="foraA" dataDxfId="2066"/>
    <tableColumn id="89" xr3:uid="{C7FB8015-F732-4794-8CDF-B4A2358D2571}" name="total" dataDxfId="2065"/>
    <tableColumn id="90" xr3:uid="{C15079DB-6AA6-412F-B948-A4C0367FBA9A}" name="link" dataDxfId="2064"/>
    <tableColumn id="91" xr3:uid="{22FD2623-9148-4ADD-8E7D-F73D723B980F}" name="abbr" dataDxfId="2063">
      <calculatedColumnFormula>VLOOKUP(bourg[[#This Row],[Away_team]],all[[Full name]:[Abbr]],3,FALSE)</calculatedColumnFormula>
    </tableColumn>
    <tableColumn id="92" xr3:uid="{F82401E8-570E-47D2-AB21-E3CEAE7A455B}" name="BetH" dataDxfId="2062">
      <calculatedColumnFormula>IF(OR(bourg[[#This Row],[Result]]="w",bourg[[#This Row],[Result]]="dw"),bourg[[#This Row],[win]]-1,-1)</calculatedColumnFormula>
    </tableColumn>
    <tableColumn id="93" xr3:uid="{B62812E3-48BF-481E-85EB-6EB0F04F6855}" name="BetA" dataDxfId="2061">
      <calculatedColumnFormula>IF(OR(bourg[[#This Row],[Result]]="L",bourg[[#This Row],[Result]]="dl"),bourg[[#This Row],[lose]]-1,-1)</calculatedColumnFormula>
    </tableColumn>
    <tableColumn id="94" xr3:uid="{C5DE9D21-BAAC-455B-98BE-175A6F914FC9}" name="Tover" dataDxfId="2060">
      <calculatedColumnFormula>IF(OR((bourg[[#This Row],[Home_scored]]+bourg[[#This Row],[Away_scored]])&gt;bourg[[#This Row],[total]],OR(bourg[[#This Row],[Result]]="dw",bourg[[#This Row],[Result]]="dl")),1,0)</calculatedColumnFormula>
    </tableColumn>
    <tableColumn id="98" xr3:uid="{EFE91E7A-7F18-436C-B645-9002B0FA9B7A}" name="Deviation" dataDxfId="2059">
      <calculatedColumnFormula>ABS((bourg[[#This Row],[Home_scored]]+bourg[[#This Row],[Away_scored]])-bourg[[#This Row],[total]])+0.5</calculatedColumnFormula>
    </tableColumn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A9008AE-DD9C-4D56-AED3-3F74A6E8B2C9}" name="lyon" displayName="lyon" ref="A3:CQ40" totalsRowShown="0" headerRowDxfId="1282" dataDxfId="1281">
  <autoFilter ref="A3:CQ40" xr:uid="{6F44C236-BD30-49C1-AC80-B66D4596B51B}"/>
  <tableColumns count="95">
    <tableColumn id="1" xr3:uid="{D6CA07B2-4A7E-403B-8194-F12361BD669A}" name="Tournament" dataDxfId="1280"/>
    <tableColumn id="2" xr3:uid="{9FE07738-A717-4D8D-997E-642C4A70F9AE}" name="Home_team" dataDxfId="1279"/>
    <tableColumn id="3" xr3:uid="{8760AC15-585A-4501-9691-EE8AB9ACD28C}" name="Stage" dataDxfId="1278"/>
    <tableColumn id="4" xr3:uid="{8428E49F-D589-453A-97E8-756D4767560A}" name="Date" dataDxfId="1277"/>
    <tableColumn id="5" xr3:uid="{3A48E2AE-2C45-4B84-A518-904D7B659B2F}" name="Location" dataDxfId="1276"/>
    <tableColumn id="6" xr3:uid="{8602E1F7-1726-47A5-BF4A-914B63FC5C75}" name="Away_team" dataDxfId="1275"/>
    <tableColumn id="7" xr3:uid="{5866FE4D-5987-4E2A-A5A4-08FF00804B21}" name="Result" dataDxfId="1274"/>
    <tableColumn id="8" xr3:uid="{97D8FEC7-7666-4D44-B15C-00E4D8DA6988}" name="Home_scored" dataDxfId="1273"/>
    <tableColumn id="9" xr3:uid="{BD4CCDA6-3000-47C4-A723-C004381057FC}" name="Away_scored" dataDxfId="1272"/>
    <tableColumn id="10" xr3:uid="{858793B2-FEF8-4E15-BE79-66C6E54A47F6}" name="FGM" dataDxfId="1271"/>
    <tableColumn id="11" xr3:uid="{13A4F42F-9AAD-4020-B0CD-8301BD3068BB}" name="FGA" dataDxfId="1270"/>
    <tableColumn id="12" xr3:uid="{9B79ACD1-7811-4914-991F-4289B7DAA8B3}" name="FGp" dataDxfId="1269"/>
    <tableColumn id="13" xr3:uid="{263DC5C0-8A14-4FDE-85CB-76139FFA1AD2}" name="P2M" dataDxfId="1268"/>
    <tableColumn id="14" xr3:uid="{15662D04-10E2-4361-80E9-3B9CEE267375}" name="P2A" dataDxfId="1267"/>
    <tableColumn id="15" xr3:uid="{FFC5396D-339E-4B19-B29E-73BE4E33C952}" name="P2p" dataDxfId="1266"/>
    <tableColumn id="16" xr3:uid="{E4CFB2D0-5A78-4C91-B2BC-92007E794279}" name="P3M" dataDxfId="1265"/>
    <tableColumn id="17" xr3:uid="{36383FA8-2553-4760-9A2A-9BFBA4017F9E}" name="P3A" dataDxfId="1264"/>
    <tableColumn id="18" xr3:uid="{3E849AF0-8776-447E-BD5D-B476F6401DE0}" name="P3p" dataDxfId="1263"/>
    <tableColumn id="19" xr3:uid="{1041BACD-4CB1-4B0C-893A-4B9A68A2B3FE}" name="FTM" dataDxfId="1262"/>
    <tableColumn id="20" xr3:uid="{37D9456B-9A7E-4F9E-9ABC-823C4A358D7C}" name="FTA" dataDxfId="1261"/>
    <tableColumn id="21" xr3:uid="{125204EF-9F8B-4744-9F95-A34C4BB094DF}" name="FTp" dataDxfId="1260"/>
    <tableColumn id="22" xr3:uid="{5CD77D99-B6BC-4C97-96CF-847101CEA0C0}" name="ORB" dataDxfId="1259"/>
    <tableColumn id="23" xr3:uid="{ADBC209F-C5A1-433B-AEB9-D1A0B904831E}" name="DRB" dataDxfId="1258"/>
    <tableColumn id="24" xr3:uid="{42DAB8E3-070A-4EC0-A099-B76249B94FB5}" name="TRB" dataDxfId="1257"/>
    <tableColumn id="25" xr3:uid="{387A9082-095D-4264-B5D6-C929C154B32F}" name="AST" dataDxfId="1256"/>
    <tableColumn id="26" xr3:uid="{17D907A5-EB24-493A-A84C-51A2FE8DB6CB}" name="STL" dataDxfId="1255"/>
    <tableColumn id="27" xr3:uid="{5919EBDA-805A-4226-9F4A-4FFA94BEE4CD}" name="BLK" dataDxfId="1254"/>
    <tableColumn id="28" xr3:uid="{85BEA9C2-0B44-4271-9799-FD1069EC5C47}" name="TOV" dataDxfId="1253"/>
    <tableColumn id="29" xr3:uid="{EB26949C-7494-402F-BAB3-044E08FC1A5C}" name="PF" dataDxfId="1252"/>
    <tableColumn id="30" xr3:uid="{E49A858F-86F6-4C17-BB71-045E068A6209}" name="FGMop" dataDxfId="1251"/>
    <tableColumn id="31" xr3:uid="{EA690943-BC38-491D-A050-7350ABE4F692}" name="FGAop" dataDxfId="1250"/>
    <tableColumn id="32" xr3:uid="{25518B3E-773E-486C-9750-D55BD517E958}" name="FGpop" dataDxfId="1249"/>
    <tableColumn id="33" xr3:uid="{61F4143C-5089-4465-B7BC-636D3BFFEE4C}" name="P2Mop" dataDxfId="1248"/>
    <tableColumn id="34" xr3:uid="{86B48269-BF24-4E2C-8538-C246E501678E}" name="P2Aop" dataDxfId="1247"/>
    <tableColumn id="35" xr3:uid="{B9AEEF52-CAF1-4375-97D3-DE2B1BD71B9A}" name="P2pop" dataDxfId="1246"/>
    <tableColumn id="36" xr3:uid="{C40756EB-065F-40E0-93F0-64B2DB521BF1}" name="P3Mop" dataDxfId="1245"/>
    <tableColumn id="37" xr3:uid="{3B3CBC5D-DCD6-4AEA-959D-976077AFF41A}" name="P3Aop" dataDxfId="1244"/>
    <tableColumn id="38" xr3:uid="{52A83C41-3BE2-4620-89D6-1EC8CF6D2CEB}" name="P3pop" dataDxfId="1243"/>
    <tableColumn id="39" xr3:uid="{5EDAC69B-9B0C-4482-BDFA-CD748E77BC84}" name="FTMop" dataDxfId="1242"/>
    <tableColumn id="40" xr3:uid="{A6CC613D-3770-4E95-B40C-EFF9E6F8495A}" name="FTAop" dataDxfId="1241"/>
    <tableColumn id="41" xr3:uid="{AA87F83A-4645-47FF-8041-5BA872E8A78F}" name="FTpop" dataDxfId="1240"/>
    <tableColumn id="42" xr3:uid="{32A1D3EB-1F5A-4A8A-A079-C7910281D5A7}" name="ORBop" dataDxfId="1239"/>
    <tableColumn id="43" xr3:uid="{6CD11FCD-0CCB-4F02-9377-87B84A62AABC}" name="DRBop" dataDxfId="1238"/>
    <tableColumn id="44" xr3:uid="{F11310DD-960F-40FE-9AC3-710D35854A0C}" name="TRBop" dataDxfId="1237"/>
    <tableColumn id="45" xr3:uid="{9D2C980C-CECE-4539-B3EF-821CFB20DDD7}" name="ASTop" dataDxfId="1236"/>
    <tableColumn id="46" xr3:uid="{8F902842-439A-439E-9755-E13B5D49422A}" name="STLop" dataDxfId="1235"/>
    <tableColumn id="47" xr3:uid="{3814354F-90C4-4413-B589-C2C8C65489DB}" name="BLKop" dataDxfId="1234"/>
    <tableColumn id="48" xr3:uid="{C57D246F-7748-4794-8279-E616DC98901E}" name="TOVop" dataDxfId="1233"/>
    <tableColumn id="49" xr3:uid="{31B0E109-BCE3-424E-B6B6-D7073B88428A}" name="PFop" dataDxfId="1232"/>
    <tableColumn id="50" xr3:uid="{0A378AC9-FF21-4932-99EF-B6010DED0330}" name="TS%" dataDxfId="1231"/>
    <tableColumn id="51" xr3:uid="{30F776BF-7CC5-4BA0-9DBF-DA9F5172FEDC}" name="eFG%" dataDxfId="1230"/>
    <tableColumn id="52" xr3:uid="{1BC7DAE8-B146-49E2-B03E-2CAB00662E59}" name="ORB%" dataDxfId="1229"/>
    <tableColumn id="53" xr3:uid="{059FFA09-4718-4238-9E24-CA874B3BFDEB}" name="DRB%" dataDxfId="1228"/>
    <tableColumn id="54" xr3:uid="{B6392139-AAA9-4128-93B5-D30986D3A03D}" name="TRB%" dataDxfId="1227"/>
    <tableColumn id="55" xr3:uid="{45CDCD75-B990-41DB-AA62-BFAE6D8E7C08}" name="Poss" dataDxfId="1226"/>
    <tableColumn id="56" xr3:uid="{87473C53-30C3-4911-86D9-47952439DDBB}" name="AST%" dataDxfId="1225"/>
    <tableColumn id="57" xr3:uid="{4A0ECFF0-6F7A-4F57-A95A-FBD692F49AE9}" name="FTFGA%" dataDxfId="1224"/>
    <tableColumn id="58" xr3:uid="{CBC67780-4AAD-4FFA-A73D-28FE8190A24E}" name="TOV%" dataDxfId="1223"/>
    <tableColumn id="59" xr3:uid="{AB96D9E5-1C46-4C82-980F-E0DE259C31C1}" name="ORtg" dataDxfId="1222"/>
    <tableColumn id="60" xr3:uid="{BDC8DF0E-3180-4FE5-A15E-9CF4BFF569D7}" name="DRtg" dataDxfId="1221"/>
    <tableColumn id="61" xr3:uid="{84FE9952-9A75-46FD-951B-607B9DCEC11D}" name="Pace" dataDxfId="1220"/>
    <tableColumn id="62" xr3:uid="{B34EC544-C5D4-4781-92CA-14F31FFD2EB5}" name="TS%op" dataDxfId="1219"/>
    <tableColumn id="63" xr3:uid="{A90CF13A-FC16-4FD0-915B-9B50A1FC52A5}" name="eFG%op" dataDxfId="1218"/>
    <tableColumn id="64" xr3:uid="{63F6E12E-6695-48A4-8AAD-7D30222C4282}" name="ORB%op" dataDxfId="1217"/>
    <tableColumn id="65" xr3:uid="{FC993BBE-3A91-463B-93A5-C835D4FFAF36}" name="DRB%op" dataDxfId="1216"/>
    <tableColumn id="66" xr3:uid="{393D2BEA-EB57-480A-B4B7-96490952F852}" name="TRB%op" dataDxfId="1215"/>
    <tableColumn id="67" xr3:uid="{996AD515-F88F-4E98-A523-61C6FF7945A3}" name="Possop" dataDxfId="1214"/>
    <tableColumn id="68" xr3:uid="{E0FA29EF-6081-4D3B-B938-FDFBC8895489}" name="AST%op" dataDxfId="1213"/>
    <tableColumn id="69" xr3:uid="{724567E2-76FF-4543-AA7A-991F55FEDD36}" name="FTFGA%op" dataDxfId="1212"/>
    <tableColumn id="70" xr3:uid="{D3AA5190-8DB9-4703-80D1-4806936BCE46}" name="TOV%op" dataDxfId="1211"/>
    <tableColumn id="71" xr3:uid="{9EFF3887-A2E3-48E4-89E6-E0957A001B15}" name="ORtgop" dataDxfId="1210"/>
    <tableColumn id="72" xr3:uid="{9B227553-8887-465C-8176-72F28B0BB92D}" name="DRtgop" dataDxfId="1209"/>
    <tableColumn id="73" xr3:uid="{6FCEB221-5788-4E65-BC87-CBA5E9BDFEA6}" name="Q1H" dataDxfId="1208"/>
    <tableColumn id="74" xr3:uid="{6D5B6BF4-9ADA-49E1-92E1-ACB6D597E088}" name="Q2H" dataDxfId="1207"/>
    <tableColumn id="75" xr3:uid="{B170BE67-4436-4AEF-B5E8-0A5EA280422A}" name="Q3H" dataDxfId="1206"/>
    <tableColumn id="76" xr3:uid="{1DBE51AC-0EB7-4CF3-BAA0-F826403CFFE6}" name="Q4H" dataDxfId="1205"/>
    <tableColumn id="77" xr3:uid="{AB17C20B-B8C5-43C2-A99A-7BB387A7A0DF}" name="Q1A" dataDxfId="1204"/>
    <tableColumn id="78" xr3:uid="{63A6AC1A-0908-49E8-9A18-7C9B44AF723E}" name="Q2A" dataDxfId="1203"/>
    <tableColumn id="79" xr3:uid="{3E8C7B3A-2903-429E-8067-A06015C798BA}" name="Q3A" dataDxfId="1202"/>
    <tableColumn id="80" xr3:uid="{5E79F17B-8CED-403C-97E1-340D35953FE7}" name="Q4A" dataDxfId="1201"/>
    <tableColumn id="81" xr3:uid="{2C519177-B60B-417D-85C7-E7217689190D}" name="FhalfH" dataDxfId="1200"/>
    <tableColumn id="82" xr3:uid="{744C5AF1-F5AF-4181-99DB-1492D334D6AA}" name="ShalfH" dataDxfId="1199"/>
    <tableColumn id="83" xr3:uid="{AEC606CF-E963-49E1-A05D-B0B6CADE7EA4}" name="FhalfA" dataDxfId="1198"/>
    <tableColumn id="84" xr3:uid="{03E89218-4B8B-437A-9ED2-ADBAB8E64684}" name="ShalfA" dataDxfId="1197"/>
    <tableColumn id="85" xr3:uid="{3A4DA040-E487-4FCA-A744-FAD8AB54E02B}" name="win" dataDxfId="1196"/>
    <tableColumn id="86" xr3:uid="{5B432A99-0544-45C8-B8BF-90C4D93EABBE}" name="lose" dataDxfId="1195"/>
    <tableColumn id="87" xr3:uid="{3E948E85-6B13-48B3-BF8D-C2DF755769EA}" name="foraH" dataDxfId="1194"/>
    <tableColumn id="88" xr3:uid="{0FE7E274-E1E9-4610-B544-342C10617E3F}" name="foraA" dataDxfId="1193"/>
    <tableColumn id="89" xr3:uid="{94A82465-BF33-4FD5-A600-37937D370E68}" name="total" dataDxfId="1192"/>
    <tableColumn id="90" xr3:uid="{86532B54-9279-4DBA-81E2-97DFAEEDAEBE}" name="link" dataDxfId="1191"/>
    <tableColumn id="91" xr3:uid="{58B43F4E-BF0A-436C-8FFE-920DA542BBD3}" name="abbr" dataDxfId="1190">
      <calculatedColumnFormula>VLOOKUP(lyon[[#This Row],[Away_team]],all[[Full name]:[Abbr]],3,FALSE)</calculatedColumnFormula>
    </tableColumn>
    <tableColumn id="92" xr3:uid="{0843B89F-79FD-45E6-864B-D3A0D619BA21}" name="BetH" dataDxfId="1189">
      <calculatedColumnFormula>IF(OR(lyon[[#This Row],[Result]]="w",lyon[[#This Row],[Result]]="dw"),lyon[[#This Row],[win]]-1,-1)</calculatedColumnFormula>
    </tableColumn>
    <tableColumn id="93" xr3:uid="{27D28D64-D8F4-439E-AF85-C4A1AA60C794}" name="BetA" dataDxfId="1188">
      <calculatedColumnFormula>IF(OR(lyon[[#This Row],[Result]]="L",lyon[[#This Row],[Result]]="dl"),lyon[[#This Row],[lose]]-1,-1)</calculatedColumnFormula>
    </tableColumn>
    <tableColumn id="94" xr3:uid="{1C874260-C1F0-434D-9483-3AE86A31A448}" name="Tover" dataDxfId="1187">
      <calculatedColumnFormula>IF(OR((lyon[[#This Row],[Home_scored]]+lyon[[#This Row],[Away_scored]])&gt;lyon[[#This Row],[total]],OR(lyon[[#This Row],[Result]]="dw",lyon[[#This Row],[Result]]="dl")),1,0)</calculatedColumnFormula>
    </tableColumn>
    <tableColumn id="95" xr3:uid="{8A312E08-45BF-41B1-85D0-AE4BA23C1A48}" name="Deviation" dataDxfId="1186">
      <calculatedColumnFormula>ABS((lyon[[#This Row],[Home_scored]]+lyon[[#This Row],[Away_scored]])-lyon[[#This Row],[total]])+0.5</calculatedColumnFormula>
    </tableColumn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9098727-07D5-469C-A8A4-A79B33CD44FF}" name="monaco" displayName="monaco" ref="A3:CQ45" totalsRowShown="0" headerRowDxfId="1185" dataDxfId="1184">
  <autoFilter ref="A3:CQ45" xr:uid="{6F44C236-BD30-49C1-AC80-B66D4596B51B}"/>
  <tableColumns count="95">
    <tableColumn id="1" xr3:uid="{74D3C6E2-2F2A-4CCC-9FC5-3E586BFB7811}" name="Tournament" dataDxfId="1183"/>
    <tableColumn id="2" xr3:uid="{047BB9DB-FA96-4D2C-9FD1-4416CA7828D4}" name="Home_team" dataDxfId="1182"/>
    <tableColumn id="3" xr3:uid="{2A6A48EC-B377-4381-A8BD-102742EEB3E1}" name="Stage" dataDxfId="1181"/>
    <tableColumn id="4" xr3:uid="{C97D0DBC-8CA9-430F-8704-63DE78E40609}" name="Date" dataDxfId="1180"/>
    <tableColumn id="5" xr3:uid="{1EB176CF-1EAF-46CE-A5E1-1C67FFD5CEFE}" name="Location" dataDxfId="1179"/>
    <tableColumn id="6" xr3:uid="{31252852-F2D9-4120-8D6C-84BB226F38A8}" name="Away_team" dataDxfId="1178"/>
    <tableColumn id="7" xr3:uid="{A96F9708-AD27-4305-B41B-942C494A4B51}" name="Result" dataDxfId="1177"/>
    <tableColumn id="8" xr3:uid="{C8A36C2F-1DE7-4B64-B151-798145965283}" name="Home_scored" dataDxfId="1176"/>
    <tableColumn id="9" xr3:uid="{5F57AB3F-CC9F-4758-93EA-56E19718A55C}" name="Away_scored" dataDxfId="1175"/>
    <tableColumn id="10" xr3:uid="{DB855428-9ED0-49A7-A735-6E5E027B092C}" name="FGM" dataDxfId="1174"/>
    <tableColumn id="11" xr3:uid="{A572F032-066C-42C2-B368-240B08FA6F58}" name="FGA" dataDxfId="1173"/>
    <tableColumn id="12" xr3:uid="{ABF2F234-C9EA-491F-96A3-0DFCB6BE667F}" name="FGp" dataDxfId="1172"/>
    <tableColumn id="13" xr3:uid="{E9A9E28E-8558-4939-8385-A741D6FD5733}" name="P2M" dataDxfId="1171"/>
    <tableColumn id="14" xr3:uid="{E2AEC678-CEBF-421E-BAAB-E120724455B6}" name="P2A" dataDxfId="1170"/>
    <tableColumn id="15" xr3:uid="{1462F572-5E0A-4F0C-B569-2E227B258F25}" name="P2p" dataDxfId="1169"/>
    <tableColumn id="16" xr3:uid="{B98E53CE-B6F7-4C83-A631-EC6AC70CC91F}" name="P3M" dataDxfId="1168"/>
    <tableColumn id="17" xr3:uid="{9879CD82-7561-4D34-8693-33C7BFE5CE70}" name="P3A" dataDxfId="1167"/>
    <tableColumn id="18" xr3:uid="{02979AEA-191D-4AD4-82D6-EA5865E68A2F}" name="P3p" dataDxfId="1166"/>
    <tableColumn id="19" xr3:uid="{086A29BB-067E-478B-B065-3AD4FE9390B0}" name="FTM" dataDxfId="1165"/>
    <tableColumn id="20" xr3:uid="{B93A527C-9903-4887-971C-53A84181BB10}" name="FTA" dataDxfId="1164"/>
    <tableColumn id="21" xr3:uid="{07451BE4-9E83-4B35-BA07-E5F84D9E92A2}" name="FTp" dataDxfId="1163"/>
    <tableColumn id="22" xr3:uid="{92241D88-AF31-4A8B-97FC-65F19ABAE44E}" name="ORB" dataDxfId="1162"/>
    <tableColumn id="23" xr3:uid="{8F17C769-4894-4132-B492-893E05976074}" name="DRB" dataDxfId="1161"/>
    <tableColumn id="24" xr3:uid="{1853DD9C-5990-453D-BA41-0EC3C186646D}" name="TRB" dataDxfId="1160"/>
    <tableColumn id="25" xr3:uid="{D568FEE6-978F-42F5-803C-16249C336CE2}" name="AST" dataDxfId="1159"/>
    <tableColumn id="26" xr3:uid="{D7C7C274-BAA8-4797-80C4-8D70677F38CD}" name="STL" dataDxfId="1158"/>
    <tableColumn id="27" xr3:uid="{F50961F0-AE3A-4559-9BB5-7E03C2071BA6}" name="BLK" dataDxfId="1157"/>
    <tableColumn id="28" xr3:uid="{C3178A13-4531-416A-BF21-EF9197AE74A5}" name="TOV" dataDxfId="1156"/>
    <tableColumn id="29" xr3:uid="{5B7B4671-ACFC-42AE-A8F2-5B6FA31C9145}" name="PF" dataDxfId="1155"/>
    <tableColumn id="30" xr3:uid="{42FCBD16-DD0E-4F0D-B0E0-603D5DD69203}" name="FGMop" dataDxfId="1154"/>
    <tableColumn id="31" xr3:uid="{FCD5BAB8-9373-4BEF-8A19-D4651B4811E2}" name="FGAop" dataDxfId="1153"/>
    <tableColumn id="32" xr3:uid="{32C99292-D436-4849-9895-7626286E49AE}" name="FGpop" dataDxfId="1152"/>
    <tableColumn id="33" xr3:uid="{76F6FA91-0FAF-4972-803D-458BB61BFA35}" name="P2Mop" dataDxfId="1151"/>
    <tableColumn id="34" xr3:uid="{935E7271-2486-48AA-AC8D-163575A471FA}" name="P2Aop" dataDxfId="1150"/>
    <tableColumn id="35" xr3:uid="{ECE87B4D-396A-4DFD-ACE4-CCABE797128E}" name="P2pop" dataDxfId="1149"/>
    <tableColumn id="36" xr3:uid="{105A4FCB-3B75-4497-9FC9-378A604C309B}" name="P3Mop" dataDxfId="1148"/>
    <tableColumn id="37" xr3:uid="{F40A3541-B2DE-4F02-B5BE-13BC6538DD81}" name="P3Aop" dataDxfId="1147"/>
    <tableColumn id="38" xr3:uid="{BE463727-553E-42F8-961F-EC93CE641145}" name="P3pop" dataDxfId="1146"/>
    <tableColumn id="39" xr3:uid="{A2A6A156-7447-41AD-B7E7-39343C9B8563}" name="FTMop" dataDxfId="1145"/>
    <tableColumn id="40" xr3:uid="{4AC0E671-06D9-4D01-93DC-A32E8EA36C73}" name="FTAop" dataDxfId="1144"/>
    <tableColumn id="41" xr3:uid="{84B69017-7CA7-424E-A9F8-95462C9BB19F}" name="FTpop" dataDxfId="1143"/>
    <tableColumn id="42" xr3:uid="{2FE1E6D5-A084-42F4-8691-85ED46E265AD}" name="ORBop" dataDxfId="1142"/>
    <tableColumn id="43" xr3:uid="{232E8AE1-CED2-4DE3-A8AE-EEA5F4155B91}" name="DRBop" dataDxfId="1141"/>
    <tableColumn id="44" xr3:uid="{5F4AEFEB-8A35-4704-AD81-1C12016FAF4B}" name="TRBop" dataDxfId="1140"/>
    <tableColumn id="45" xr3:uid="{6DAF8585-9150-4297-8C6C-CC32A8DB7B0E}" name="ASTop" dataDxfId="1139"/>
    <tableColumn id="46" xr3:uid="{D855FF14-CB25-477D-91D2-0CDC155E7C69}" name="STLop" dataDxfId="1138"/>
    <tableColumn id="47" xr3:uid="{6C4D0DF7-6E47-4EFB-82C6-6D3B6FF53B26}" name="BLKop" dataDxfId="1137"/>
    <tableColumn id="48" xr3:uid="{B6A87D8D-8044-47D6-97A8-68A3E07C3ED7}" name="TOVop" dataDxfId="1136"/>
    <tableColumn id="49" xr3:uid="{DECB9FC2-C038-4EC9-A111-090EDF552796}" name="PFop" dataDxfId="1135"/>
    <tableColumn id="50" xr3:uid="{04261475-FEF3-4236-B31F-BB5EBD40BB3B}" name="TS%" dataDxfId="1134"/>
    <tableColumn id="51" xr3:uid="{B2371860-5705-4215-9DEC-F5D2197EA2EB}" name="eFG%" dataDxfId="1133"/>
    <tableColumn id="52" xr3:uid="{C571D4FC-D676-443B-837F-F9579CC53CE9}" name="ORB%" dataDxfId="1132"/>
    <tableColumn id="53" xr3:uid="{A1B7172A-A0D5-4C33-BC4B-567C4253A056}" name="DRB%" dataDxfId="1131"/>
    <tableColumn id="54" xr3:uid="{0878393E-C281-491E-8DE8-73592E4EDE42}" name="TRB%" dataDxfId="1130"/>
    <tableColumn id="55" xr3:uid="{9BEB529B-B2FC-4B40-98FB-14AE2685454F}" name="Poss" dataDxfId="1129"/>
    <tableColumn id="56" xr3:uid="{DA16F600-8982-45E6-99A7-E6EFC0BE1090}" name="AST%" dataDxfId="1128"/>
    <tableColumn id="57" xr3:uid="{E11D401D-5066-46D8-BB51-D5D7663163D4}" name="FTFGA%" dataDxfId="1127"/>
    <tableColumn id="58" xr3:uid="{93CED33F-5D96-442D-9001-52E8F8000DCC}" name="TOV%" dataDxfId="1126"/>
    <tableColumn id="59" xr3:uid="{5787A8BA-C02A-4DC8-A557-DC872BBD28B0}" name="ORtg" dataDxfId="1125"/>
    <tableColumn id="60" xr3:uid="{5F174AC3-8335-43EA-AACE-7A726D86DCE0}" name="DRtg" dataDxfId="1124"/>
    <tableColumn id="61" xr3:uid="{710DC4AF-C644-47A5-9E6A-E0960A0CFABB}" name="Pace" dataDxfId="1123"/>
    <tableColumn id="62" xr3:uid="{EC0FDA91-606B-4A6A-81E0-E8581A180C05}" name="TS%op" dataDxfId="1122"/>
    <tableColumn id="63" xr3:uid="{FB96FE9D-3286-4191-A39E-7BA27F16618A}" name="eFG%op" dataDxfId="1121"/>
    <tableColumn id="64" xr3:uid="{0951992E-8440-4D30-9AF7-D9CF182017BC}" name="ORB%op" dataDxfId="1120"/>
    <tableColumn id="65" xr3:uid="{4E0FCAA8-F90F-40B0-8E23-CCC488F376D8}" name="DRB%op" dataDxfId="1119"/>
    <tableColumn id="66" xr3:uid="{4AC3E432-9C15-4478-A90E-383CAAA51657}" name="TRB%op" dataDxfId="1118"/>
    <tableColumn id="67" xr3:uid="{29FAE669-12CD-480D-9E58-97F72A355A7F}" name="Possop" dataDxfId="1117"/>
    <tableColumn id="68" xr3:uid="{42EA90CB-5192-4547-AACB-C0B6683B4C1C}" name="AST%op" dataDxfId="1116"/>
    <tableColumn id="69" xr3:uid="{D1C90988-F75B-4E8E-A308-80A780FB8BE0}" name="FTFGA%op" dataDxfId="1115"/>
    <tableColumn id="70" xr3:uid="{BD0243AE-C4C8-43F1-AA1A-876425649951}" name="TOV%op" dataDxfId="1114"/>
    <tableColumn id="71" xr3:uid="{F219E428-3AF7-470B-91B4-A04B45ED1890}" name="ORtgop" dataDxfId="1113"/>
    <tableColumn id="72" xr3:uid="{C8F55551-B542-415B-8355-2D9FA8BAD79F}" name="DRtgop" dataDxfId="1112"/>
    <tableColumn id="73" xr3:uid="{14EE36BB-0862-4A08-BCEF-FB373B92C361}" name="Q1H" dataDxfId="1111"/>
    <tableColumn id="74" xr3:uid="{53EECAF0-70D3-4131-8BAE-0D2D43299DD5}" name="Q2H" dataDxfId="1110"/>
    <tableColumn id="75" xr3:uid="{B3545222-50A2-4110-ACEC-BE7D5C5D0D01}" name="Q3H" dataDxfId="1109"/>
    <tableColumn id="76" xr3:uid="{F3E7AA44-2B03-475D-8017-BA2449CA0B50}" name="Q4H" dataDxfId="1108"/>
    <tableColumn id="77" xr3:uid="{D38DFE04-6198-40CD-89B9-4BA880C88C53}" name="Q1A" dataDxfId="1107"/>
    <tableColumn id="78" xr3:uid="{42DEE4DE-5EBF-40DB-84C9-5431B52D3E6E}" name="Q2A" dataDxfId="1106"/>
    <tableColumn id="79" xr3:uid="{A917CB40-DEB5-4713-90F3-6E160BE06AE2}" name="Q3A" dataDxfId="1105"/>
    <tableColumn id="80" xr3:uid="{45AAD624-0105-44D7-9F14-D6FD21A9B01C}" name="Q4A" dataDxfId="1104"/>
    <tableColumn id="81" xr3:uid="{E3BD6104-4B2D-45F6-910E-798FADBA1851}" name="FhalfH" dataDxfId="1103"/>
    <tableColumn id="82" xr3:uid="{6B7663CC-2E33-46AF-A111-1FFD813FE928}" name="ShalfH" dataDxfId="1102"/>
    <tableColumn id="83" xr3:uid="{80AF3A58-8515-446B-BB2D-66386BE617F4}" name="FhalfA" dataDxfId="1101"/>
    <tableColumn id="84" xr3:uid="{9FEE2F20-B08D-44B7-ABA9-1020C864D825}" name="ShalfA" dataDxfId="1100"/>
    <tableColumn id="85" xr3:uid="{907FD716-623E-4647-AF37-328357536EEB}" name="win" dataDxfId="1099"/>
    <tableColumn id="86" xr3:uid="{F9D74CC1-E740-4C6F-8ED3-0DB8F634BB7C}" name="lose" dataDxfId="1098"/>
    <tableColumn id="87" xr3:uid="{2B4119FA-D661-4889-9E2D-58B0F803B194}" name="foraH" dataDxfId="1097"/>
    <tableColumn id="88" xr3:uid="{23D50A77-337B-4C4F-8876-8E16E8937F30}" name="foraA" dataDxfId="1096"/>
    <tableColumn id="89" xr3:uid="{08CB73D3-381C-4595-BBAF-7B130BF4B8FB}" name="total" dataDxfId="1095"/>
    <tableColumn id="90" xr3:uid="{0CED71D6-95E1-4E85-B554-8CAFB37E2690}" name="link" dataDxfId="1094"/>
    <tableColumn id="91" xr3:uid="{593D7EB2-0C62-4663-88A5-A18733BD15A2}" name="abbr" dataDxfId="1093">
      <calculatedColumnFormula>VLOOKUP(monaco[[#This Row],[Away_team]],all[[Full name]:[Abbr]],3,FALSE)</calculatedColumnFormula>
    </tableColumn>
    <tableColumn id="92" xr3:uid="{CF350ACC-3E70-4BFE-99FC-0234AA965B18}" name="BetH" dataDxfId="1092">
      <calculatedColumnFormula>IF(OR(monaco[[#This Row],[Result]]="w",monaco[[#This Row],[Result]]="dw"),monaco[[#This Row],[win]]-1,-1)</calculatedColumnFormula>
    </tableColumn>
    <tableColumn id="93" xr3:uid="{6C2652B6-E4BA-4514-9503-542DA5033657}" name="BetA" dataDxfId="1091">
      <calculatedColumnFormula>IF(OR(monaco[[#This Row],[Result]]="L",monaco[[#This Row],[Result]]="dl"),monaco[[#This Row],[lose]]-1,-1)</calculatedColumnFormula>
    </tableColumn>
    <tableColumn id="94" xr3:uid="{BB7DEB8E-017C-4E99-A76D-223D3050C9B5}" name="Tover" dataDxfId="1090">
      <calculatedColumnFormula>IF(OR((monaco[[#This Row],[Home_scored]]+monaco[[#This Row],[Away_scored]])&gt;monaco[[#This Row],[total]],OR(monaco[[#This Row],[Result]]="dw",monaco[[#This Row],[Result]]="dl")),1,0)</calculatedColumnFormula>
    </tableColumn>
    <tableColumn id="95" xr3:uid="{2D676805-73D1-4BA6-9823-710EFF922245}" name="Deviation" dataDxfId="1089">
      <calculatedColumnFormula>ABS((monaco[[#This Row],[Home_scored]]+monaco[[#This Row],[Away_scored]])-monaco[[#This Row],[total]])+0.5</calculatedColumnFormula>
    </tableColumn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02DBA1B-CCB4-4105-B985-B658F2EE66EB}" name="nancy" displayName="nancy" ref="A3:CQ34" totalsRowShown="0" headerRowDxfId="1088" dataDxfId="1087">
  <autoFilter ref="A3:CQ34" xr:uid="{6F44C236-BD30-49C1-AC80-B66D4596B51B}"/>
  <tableColumns count="95">
    <tableColumn id="1" xr3:uid="{DD536D1A-B870-4E6B-9294-F4D98552F726}" name="Tournament" dataDxfId="1086"/>
    <tableColumn id="2" xr3:uid="{6E344B70-A7DC-4281-B4E1-18B4622E7FF1}" name="Home_team" dataDxfId="1085"/>
    <tableColumn id="3" xr3:uid="{5FABEC4E-6696-420D-BF82-CC754EC46115}" name="Stage" dataDxfId="1084"/>
    <tableColumn id="4" xr3:uid="{2B5F932D-1B2F-4EF7-8C02-68933C20E265}" name="Date" dataDxfId="1083"/>
    <tableColumn id="5" xr3:uid="{8C518889-62DB-440D-848A-9E886A266BAF}" name="Location" dataDxfId="1082"/>
    <tableColumn id="6" xr3:uid="{3056259A-3263-4196-A88B-7AD9FBCB8A40}" name="Away_team" dataDxfId="1081"/>
    <tableColumn id="7" xr3:uid="{20A1FA16-E7AB-4FBD-B130-75B86734A564}" name="Result" dataDxfId="1080"/>
    <tableColumn id="8" xr3:uid="{1D01F08B-D046-457B-B8C7-0BBFAB42C62E}" name="Home_scored" dataDxfId="1079"/>
    <tableColumn id="9" xr3:uid="{ABF8990C-6FDA-4F80-909C-CB4C017F2027}" name="Away_scored" dataDxfId="1078"/>
    <tableColumn id="10" xr3:uid="{65F1AEE1-DAD9-4EF8-800D-5A45134043CD}" name="FGM" dataDxfId="1077"/>
    <tableColumn id="11" xr3:uid="{1364C055-16F3-4FC1-B128-E19CC0985ABF}" name="FGA" dataDxfId="1076"/>
    <tableColumn id="12" xr3:uid="{DAB0193C-CCA7-4DF8-96AF-06011E92A90C}" name="FGp" dataDxfId="1075"/>
    <tableColumn id="13" xr3:uid="{D031D9EF-C979-43B5-A61E-1CCF4ABF0D79}" name="P2M" dataDxfId="1074"/>
    <tableColumn id="14" xr3:uid="{152BB6A4-E1DC-4F1B-AE0A-10E39E045510}" name="P2A" dataDxfId="1073"/>
    <tableColumn id="15" xr3:uid="{E7A4A856-744C-4F49-ACA3-1FED403E7A39}" name="P2p" dataDxfId="1072"/>
    <tableColumn id="16" xr3:uid="{5DEE1922-346D-47E2-8BB3-50B96F09E06B}" name="P3M" dataDxfId="1071"/>
    <tableColumn id="17" xr3:uid="{79532C2E-0933-480C-8B44-A3761B2D64A0}" name="P3A" dataDxfId="1070"/>
    <tableColumn id="18" xr3:uid="{1A120052-76CC-46D4-AAEF-FB1A2900FF55}" name="P3p" dataDxfId="1069"/>
    <tableColumn id="19" xr3:uid="{F88D52B7-4919-4F25-9A8A-F0C0CA1ADB73}" name="FTM" dataDxfId="1068"/>
    <tableColumn id="20" xr3:uid="{48259F87-7BC7-4F22-9374-33D358A735B5}" name="FTA" dataDxfId="1067"/>
    <tableColumn id="21" xr3:uid="{E53513B9-64B2-4DCC-9D6A-FB6F2B937DD1}" name="FTp" dataDxfId="1066"/>
    <tableColumn id="22" xr3:uid="{5B032B95-86E8-4019-992F-4C0245C98D40}" name="ORB" dataDxfId="1065"/>
    <tableColumn id="23" xr3:uid="{4275D094-7367-4280-8D8A-3744977AEE72}" name="DRB" dataDxfId="1064"/>
    <tableColumn id="24" xr3:uid="{1605731A-5F37-44CF-8B5E-CE6CD58E965E}" name="TRB" dataDxfId="1063"/>
    <tableColumn id="25" xr3:uid="{59AD5322-1116-45EB-8440-1DA157C20BEC}" name="AST" dataDxfId="1062"/>
    <tableColumn id="26" xr3:uid="{8521799C-93AE-42BC-942D-F50459025F10}" name="STL" dataDxfId="1061"/>
    <tableColumn id="27" xr3:uid="{F5571A58-186B-4FA4-99C3-325EB2E1545D}" name="BLK" dataDxfId="1060"/>
    <tableColumn id="28" xr3:uid="{4D64C734-5037-4BD2-A16F-626D0364FE50}" name="TOV" dataDxfId="1059"/>
    <tableColumn id="29" xr3:uid="{3298BC43-50B2-4030-8E6C-4CBF743096D2}" name="PF" dataDxfId="1058"/>
    <tableColumn id="30" xr3:uid="{3BA62D49-B40B-4E12-A199-404AC29460CA}" name="FGMop" dataDxfId="1057"/>
    <tableColumn id="31" xr3:uid="{3FBE2443-C712-4C0D-83A8-890DCBBE0425}" name="FGAop" dataDxfId="1056"/>
    <tableColumn id="32" xr3:uid="{6CBFFA99-AAC5-4F21-A802-3DC50E3DB2E4}" name="FGpop" dataDxfId="1055"/>
    <tableColumn id="33" xr3:uid="{641BE33B-97E7-4BFC-99DD-7D947E793325}" name="P2Mop" dataDxfId="1054"/>
    <tableColumn id="34" xr3:uid="{BA1E1853-7FEC-406E-84AB-FF1E497BD713}" name="P2Aop" dataDxfId="1053"/>
    <tableColumn id="35" xr3:uid="{9B173982-B469-4461-8228-E51EBF418066}" name="P2pop" dataDxfId="1052"/>
    <tableColumn id="36" xr3:uid="{A19311B4-61F0-426F-BEAA-B9CE62A74D49}" name="P3Mop" dataDxfId="1051"/>
    <tableColumn id="37" xr3:uid="{7454CAAE-9C63-4B7D-8354-20964EACA8E8}" name="P3Aop" dataDxfId="1050"/>
    <tableColumn id="38" xr3:uid="{9AA05FBA-BB28-4FE8-B73F-CFFA055F4464}" name="P3pop" dataDxfId="1049"/>
    <tableColumn id="39" xr3:uid="{4F9AA123-25E1-4A0E-845D-5EF3B1EEB9CD}" name="FTMop" dataDxfId="1048"/>
    <tableColumn id="40" xr3:uid="{21B552CF-8FDE-4E19-9E6B-38E8E73C7E87}" name="FTAop" dataDxfId="1047"/>
    <tableColumn id="41" xr3:uid="{3CED5E3E-5144-4496-A631-05D3A67889D2}" name="FTpop" dataDxfId="1046"/>
    <tableColumn id="42" xr3:uid="{2E40020D-60D7-4E70-89C6-26D1268E47CA}" name="ORBop" dataDxfId="1045"/>
    <tableColumn id="43" xr3:uid="{194C40B1-F943-4031-9ED0-2BCB4303600A}" name="DRBop" dataDxfId="1044"/>
    <tableColumn id="44" xr3:uid="{A4CFB13C-D6DA-45F8-8AE7-84364E4B72A2}" name="TRBop" dataDxfId="1043"/>
    <tableColumn id="45" xr3:uid="{44EC7BE9-8EF4-44FA-8B9A-196DA3707475}" name="ASTop" dataDxfId="1042"/>
    <tableColumn id="46" xr3:uid="{F5542E31-C410-4182-B773-BDA348EE4F21}" name="STLop" dataDxfId="1041"/>
    <tableColumn id="47" xr3:uid="{5BCB5A77-6A8A-470F-B2D3-7AA65D1A5736}" name="BLKop" dataDxfId="1040"/>
    <tableColumn id="48" xr3:uid="{AA3D7F1A-C213-4B07-90B5-A3DF0259F3EA}" name="TOVop" dataDxfId="1039"/>
    <tableColumn id="49" xr3:uid="{73DE04C6-36FF-449C-91C1-D1B81D15B6BB}" name="PFop" dataDxfId="1038"/>
    <tableColumn id="50" xr3:uid="{46D06F05-742B-4AB0-B856-8F0D261242F9}" name="TS%" dataDxfId="1037"/>
    <tableColumn id="51" xr3:uid="{3523D6C2-D516-479C-AAD2-9E5BE7DED4A7}" name="eFG%" dataDxfId="1036"/>
    <tableColumn id="52" xr3:uid="{6AE9EE21-DE9A-4E81-9B1C-DCB14182589B}" name="ORB%" dataDxfId="1035"/>
    <tableColumn id="53" xr3:uid="{28254153-0C98-4856-ACAF-86CDA1C9BD3D}" name="DRB%" dataDxfId="1034"/>
    <tableColumn id="54" xr3:uid="{35B1AC12-E759-4613-8DAE-07E4804D3E87}" name="TRB%" dataDxfId="1033"/>
    <tableColumn id="55" xr3:uid="{83A337FE-DB5D-4519-8832-4A0A9F1A9B8D}" name="Poss" dataDxfId="1032"/>
    <tableColumn id="56" xr3:uid="{C29C9B8D-FC55-4CDE-8990-2E8B995DF811}" name="AST%" dataDxfId="1031"/>
    <tableColumn id="57" xr3:uid="{3FD12FAF-D181-40AD-8FA5-BBBB89FACF2E}" name="FTFGA%" dataDxfId="1030"/>
    <tableColumn id="58" xr3:uid="{43A34AD9-0019-4439-A0CC-A6BD85CD29CC}" name="TOV%" dataDxfId="1029"/>
    <tableColumn id="59" xr3:uid="{5A51FDC8-DAFC-4503-AE67-B1DA5358EBCE}" name="ORtg" dataDxfId="1028"/>
    <tableColumn id="60" xr3:uid="{D9A92CBB-FE9D-45B0-BB97-CD0380AC75DD}" name="DRtg" dataDxfId="1027"/>
    <tableColumn id="61" xr3:uid="{83EE9381-F1DA-47B1-B6DA-3AF6DF91D68B}" name="Pace" dataDxfId="1026"/>
    <tableColumn id="62" xr3:uid="{036C652B-4FD4-4FD0-A3E0-9C7A7A0D9B2B}" name="TS%op" dataDxfId="1025"/>
    <tableColumn id="63" xr3:uid="{29500672-49D3-4D75-B0D3-D4C0F7A1C7BF}" name="eFG%op" dataDxfId="1024"/>
    <tableColumn id="64" xr3:uid="{6FAAA57B-AB58-4267-A276-54E54FA77084}" name="ORB%op" dataDxfId="1023"/>
    <tableColumn id="65" xr3:uid="{C8E2FB5B-9D44-4964-9A1A-36C71D768811}" name="DRB%op" dataDxfId="1022"/>
    <tableColumn id="66" xr3:uid="{201406E2-0A94-4274-B1E8-99F64BE5AC3A}" name="TRB%op" dataDxfId="1021"/>
    <tableColumn id="67" xr3:uid="{CC0E2CAB-05DC-4194-AF4D-BD380E40F28C}" name="Possop" dataDxfId="1020"/>
    <tableColumn id="68" xr3:uid="{7525F7D5-6314-4B6F-B8C4-8124E6769BCD}" name="AST%op" dataDxfId="1019"/>
    <tableColumn id="69" xr3:uid="{8ECF3B9B-1C6F-4EF1-BB9F-B01C21B94C1E}" name="FTFGA%op" dataDxfId="1018"/>
    <tableColumn id="70" xr3:uid="{A66CF919-056F-4E9D-B805-1E303E7B8C87}" name="TOV%op" dataDxfId="1017"/>
    <tableColumn id="71" xr3:uid="{3A4B5102-84EC-4B64-B36E-7D9AA0053BC9}" name="ORtgop" dataDxfId="1016"/>
    <tableColumn id="72" xr3:uid="{09DEB2B9-CB95-4C2E-AC3D-B3B95B2FDED8}" name="DRtgop" dataDxfId="1015"/>
    <tableColumn id="73" xr3:uid="{7B4D28D6-62EA-464A-B788-832A3801C5A4}" name="Q1H" dataDxfId="1014"/>
    <tableColumn id="74" xr3:uid="{13A23204-997B-4E48-BB27-E50D08EC83C6}" name="Q2H" dataDxfId="1013"/>
    <tableColumn id="75" xr3:uid="{F0C32AF4-5D01-454D-AEA4-9A14376B1121}" name="Q3H" dataDxfId="1012"/>
    <tableColumn id="76" xr3:uid="{9ABF6784-E116-4BB9-9DFD-DA711F4C2A7E}" name="Q4H" dataDxfId="1011"/>
    <tableColumn id="77" xr3:uid="{B11A659E-BFD3-42F0-B44F-463BDF8518F6}" name="Q1A" dataDxfId="1010"/>
    <tableColumn id="78" xr3:uid="{D396A323-2FA8-46C0-934F-3B21D505D830}" name="Q2A" dataDxfId="1009"/>
    <tableColumn id="79" xr3:uid="{5C70A8A5-F6D6-4C26-A2F6-F24530637838}" name="Q3A" dataDxfId="1008"/>
    <tableColumn id="80" xr3:uid="{9936A0B3-5AF9-45C0-AB91-59092F73967E}" name="Q4A" dataDxfId="1007"/>
    <tableColumn id="81" xr3:uid="{D10B6669-695E-4192-A4C0-451143BE0F23}" name="FhalfH" dataDxfId="1006"/>
    <tableColumn id="82" xr3:uid="{436AB612-2EF9-42D2-8BD9-35BD633173CB}" name="ShalfH" dataDxfId="1005"/>
    <tableColumn id="83" xr3:uid="{245C2B01-2216-41C6-B402-4C3EB20526C9}" name="FhalfA" dataDxfId="1004"/>
    <tableColumn id="84" xr3:uid="{0A58E8DC-07B0-4FEE-98E0-5DB7848DD512}" name="ShalfA" dataDxfId="1003"/>
    <tableColumn id="85" xr3:uid="{BC662AAF-EAFB-4D3B-90A1-91C1E642B928}" name="win" dataDxfId="1002"/>
    <tableColumn id="86" xr3:uid="{09F94C2E-CF5A-47B0-9E4F-BB4F7B99CAA6}" name="lose" dataDxfId="1001"/>
    <tableColumn id="87" xr3:uid="{2611B906-4716-4309-80F0-F95B7D71977B}" name="foraH" dataDxfId="1000"/>
    <tableColumn id="88" xr3:uid="{C5FC0022-7A80-4E7E-9660-DEC2238C7C09}" name="foraA" dataDxfId="999"/>
    <tableColumn id="89" xr3:uid="{075855A7-32DE-4A23-9617-05782FC3E0B2}" name="total" dataDxfId="998"/>
    <tableColumn id="90" xr3:uid="{91D557EB-BD23-4471-9FEE-E205A509CD78}" name="link" dataDxfId="997"/>
    <tableColumn id="91" xr3:uid="{581AEC91-CE5A-4CEC-B89C-1DCBC7DAE9EA}" name="abbr" dataDxfId="996">
      <calculatedColumnFormula>VLOOKUP(nancy[[#This Row],[Away_team]],all[[Full name]:[Abbr]],3,FALSE)</calculatedColumnFormula>
    </tableColumn>
    <tableColumn id="92" xr3:uid="{E0CDFC66-2074-4357-AEB0-52C7E1FC1422}" name="BetH" dataDxfId="995">
      <calculatedColumnFormula>IF(OR(nancy[[#This Row],[Result]]="w",nancy[[#This Row],[Result]]="dw"),nancy[[#This Row],[win]]-1,-1)</calculatedColumnFormula>
    </tableColumn>
    <tableColumn id="93" xr3:uid="{93D55FD1-1914-4708-90A5-372F51EBAA23}" name="BetA" dataDxfId="994">
      <calculatedColumnFormula>IF(OR(nancy[[#This Row],[Result]]="L",nancy[[#This Row],[Result]]="dl"),nancy[[#This Row],[lose]]-1,-1)</calculatedColumnFormula>
    </tableColumn>
    <tableColumn id="94" xr3:uid="{393BABC5-AFEE-48A4-B0CE-37C04795453D}" name="Tover" dataDxfId="993">
      <calculatedColumnFormula>IF(OR((nancy[[#This Row],[Home_scored]]+nancy[[#This Row],[Away_scored]])&gt;nancy[[#This Row],[total]],OR(nancy[[#This Row],[Result]]="dw",nancy[[#This Row],[Result]]="dl")),1,0)</calculatedColumnFormula>
    </tableColumn>
    <tableColumn id="95" xr3:uid="{1C65DD87-5F19-4A4D-A889-8C06F196068E}" name="Deviation" dataDxfId="992">
      <calculatedColumnFormula>ABS((nancy[[#This Row],[Home_scored]]+nancy[[#This Row],[Away_scored]])-nancy[[#This Row],[total]])+0.5</calculatedColumnFormula>
    </tableColumn>
  </tableColumns>
  <tableStyleInfo name="TableStyleMedium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BB1DB5-003D-42A0-B01C-B285C4DCE2FD}" name="nantere" displayName="nantere" ref="A3:CQ33" totalsRowShown="0" headerRowDxfId="991" dataDxfId="990">
  <autoFilter ref="A3:CQ33" xr:uid="{6F44C236-BD30-49C1-AC80-B66D4596B51B}"/>
  <tableColumns count="95">
    <tableColumn id="1" xr3:uid="{9C6084FD-FC54-465A-AA82-79B61A4D04A7}" name="Tournament" dataDxfId="989"/>
    <tableColumn id="2" xr3:uid="{F42C5B5F-C6F6-4FD7-A5E8-C4E29543339A}" name="Home_team" dataDxfId="988"/>
    <tableColumn id="3" xr3:uid="{8ACD04EC-8836-4353-A316-0B5043A7E07F}" name="Stage" dataDxfId="987"/>
    <tableColumn id="4" xr3:uid="{B1D9C7CB-8E49-44FB-AB89-6CDF46A597FD}" name="Date" dataDxfId="986"/>
    <tableColumn id="5" xr3:uid="{D5B5E1A5-7442-47CA-9E66-1B24E5AB7F52}" name="Location" dataDxfId="985"/>
    <tableColumn id="6" xr3:uid="{259C82F3-6F7B-4078-A116-6833DA4D9D26}" name="Away_team" dataDxfId="984"/>
    <tableColumn id="7" xr3:uid="{B5E931EF-BF43-4963-9D21-5108EC05F4C1}" name="Result" dataDxfId="983"/>
    <tableColumn id="8" xr3:uid="{B0F96ECC-40CA-48F0-B8D8-562651904F88}" name="Home_scored" dataDxfId="982"/>
    <tableColumn id="9" xr3:uid="{1F7F689A-0839-4F63-AA0A-3F0F443A667F}" name="Away_scored" dataDxfId="981"/>
    <tableColumn id="10" xr3:uid="{43AB11BC-95C6-4194-8294-58AC7FB8789B}" name="FGM" dataDxfId="980"/>
    <tableColumn id="11" xr3:uid="{A7076707-DA48-4C9C-AB45-92FF503B66F6}" name="FGA" dataDxfId="979"/>
    <tableColumn id="12" xr3:uid="{9DED4E74-4927-43FC-813D-4253DEEEAAA4}" name="FGp" dataDxfId="978"/>
    <tableColumn id="13" xr3:uid="{2DB61338-D0E3-4319-894A-769FF48CD886}" name="P2M" dataDxfId="977"/>
    <tableColumn id="14" xr3:uid="{7FF8D46A-A96C-4ECD-9DC6-8A37033AF08B}" name="P2A" dataDxfId="976"/>
    <tableColumn id="15" xr3:uid="{C5B33F35-5466-4030-B746-E60E47EE6581}" name="P2p" dataDxfId="975"/>
    <tableColumn id="16" xr3:uid="{94FF4C40-63CB-4D66-A768-39CE2C53FA53}" name="P3M" dataDxfId="974"/>
    <tableColumn id="17" xr3:uid="{19B5A89D-9BC9-4186-9948-56D413495417}" name="P3A" dataDxfId="973"/>
    <tableColumn id="18" xr3:uid="{17AE0D3A-8878-4577-92DF-36EBD8A7C762}" name="P3p" dataDxfId="972"/>
    <tableColumn id="19" xr3:uid="{E5D0473D-1DDB-4D83-A2D2-825DBDC05B44}" name="FTM" dataDxfId="971"/>
    <tableColumn id="20" xr3:uid="{06661361-5373-43E3-89A1-F12021C2BAD8}" name="FTA" dataDxfId="970"/>
    <tableColumn id="21" xr3:uid="{3C58E20F-2702-4ECE-AAE7-2E78A32B44C9}" name="FTp" dataDxfId="969"/>
    <tableColumn id="22" xr3:uid="{A10B3A11-A183-45D6-8BE1-358FB83E4916}" name="ORB" dataDxfId="968"/>
    <tableColumn id="23" xr3:uid="{3E937B3A-9E42-4D02-99F9-C27E63203DE9}" name="DRB" dataDxfId="967"/>
    <tableColumn id="24" xr3:uid="{B3FC8A52-674C-4532-9DC2-044619558F54}" name="TRB" dataDxfId="966"/>
    <tableColumn id="25" xr3:uid="{9DA37943-A8A1-4508-AD71-31945A5E472F}" name="AST" dataDxfId="965"/>
    <tableColumn id="26" xr3:uid="{1B34A0EB-1C5C-479B-9E8B-28EC99A1DD92}" name="STL" dataDxfId="964"/>
    <tableColumn id="27" xr3:uid="{64E03C3D-4177-4993-B58E-96C41E58FE47}" name="BLK" dataDxfId="963"/>
    <tableColumn id="28" xr3:uid="{A3056938-C7A4-4A0F-8E4E-A53910B7FC97}" name="TOV" dataDxfId="962"/>
    <tableColumn id="29" xr3:uid="{8DED3BC5-8553-499A-8F16-BE514A9E5227}" name="PF" dataDxfId="961"/>
    <tableColumn id="30" xr3:uid="{42373D74-4F1D-41DC-9BD6-76C8EF88E95E}" name="FGMop" dataDxfId="960"/>
    <tableColumn id="31" xr3:uid="{8F7C09EE-D4AE-40A0-B3EF-32DE3E7FE17E}" name="FGAop" dataDxfId="959"/>
    <tableColumn id="32" xr3:uid="{1FC1ECA6-979B-4868-B3D7-A918938B457D}" name="FGpop" dataDxfId="958"/>
    <tableColumn id="33" xr3:uid="{10DBF41E-1749-42C7-BDDF-3EF4D4F8FC28}" name="P2Mop" dataDxfId="957"/>
    <tableColumn id="34" xr3:uid="{4F8061B3-6948-4C46-AD42-08F48A48B275}" name="P2Aop" dataDxfId="956"/>
    <tableColumn id="35" xr3:uid="{0F3DE539-6497-4D7A-A2C5-E5C471AAF9C2}" name="P2pop" dataDxfId="955"/>
    <tableColumn id="36" xr3:uid="{D2EBD58B-AE3B-48AB-8148-78B8CBA9DBC1}" name="P3Mop" dataDxfId="954"/>
    <tableColumn id="37" xr3:uid="{79447A3B-F1E3-462D-8A9E-97D75DA17438}" name="P3Aop" dataDxfId="953"/>
    <tableColumn id="38" xr3:uid="{C4BBF9D2-310D-400C-A620-9C058B30D461}" name="P3pop" dataDxfId="952"/>
    <tableColumn id="39" xr3:uid="{4F3430C3-BD98-467D-B24A-D76C41840C9C}" name="FTMop" dataDxfId="951"/>
    <tableColumn id="40" xr3:uid="{8A89ECC5-AB2A-4D79-93D2-20487E8FBEAF}" name="FTAop" dataDxfId="950"/>
    <tableColumn id="41" xr3:uid="{20687F3E-56FE-43A0-A93C-369048EDFC67}" name="FTpop" dataDxfId="949"/>
    <tableColumn id="42" xr3:uid="{7AE46809-B19A-418D-9867-67110E6C6BB7}" name="ORBop" dataDxfId="948"/>
    <tableColumn id="43" xr3:uid="{6746B735-4670-4F47-9444-E084032D9144}" name="DRBop" dataDxfId="947"/>
    <tableColumn id="44" xr3:uid="{448CBB2D-F7FE-495D-BDD0-FBF6356C646E}" name="TRBop" dataDxfId="946"/>
    <tableColumn id="45" xr3:uid="{04599612-9076-4AE0-9BFD-9801D946500B}" name="ASTop" dataDxfId="945"/>
    <tableColumn id="46" xr3:uid="{552B1A56-47FE-4331-815D-B0EE1D643D9D}" name="STLop" dataDxfId="944"/>
    <tableColumn id="47" xr3:uid="{1C1B7EF7-9225-4085-B28A-0D9553A5C12E}" name="BLKop" dataDxfId="943"/>
    <tableColumn id="48" xr3:uid="{36C96FB7-F9D8-49FD-A9D8-C00952064C6B}" name="TOVop" dataDxfId="942"/>
    <tableColumn id="49" xr3:uid="{5B71139F-337A-4B9B-AEE9-949E404A792A}" name="PFop" dataDxfId="941"/>
    <tableColumn id="50" xr3:uid="{D00A1527-89F1-4A8D-BDA5-B6EB6AA72B5D}" name="TS%" dataDxfId="940"/>
    <tableColumn id="51" xr3:uid="{A800FABD-A21D-429A-9BF5-1368B2CCEF9B}" name="eFG%" dataDxfId="939"/>
    <tableColumn id="52" xr3:uid="{EB7C47BF-8C19-4846-8D72-CCAE80CC89E3}" name="ORB%" dataDxfId="938"/>
    <tableColumn id="53" xr3:uid="{89743DFD-F247-4144-9454-9AD97F6C97D9}" name="DRB%" dataDxfId="937"/>
    <tableColumn id="54" xr3:uid="{AFCDC1E3-D5F8-4748-A9FB-968610E9D68E}" name="TRB%" dataDxfId="936"/>
    <tableColumn id="55" xr3:uid="{D8F93BAC-C747-4DDC-AAF9-A32E737F53CA}" name="Poss" dataDxfId="935"/>
    <tableColumn id="56" xr3:uid="{CBD1BF51-C2D4-4020-B4D8-458DD5A914BE}" name="AST%" dataDxfId="934"/>
    <tableColumn id="57" xr3:uid="{0661227B-9F1F-43F0-BDCE-6231DEF85052}" name="FTFGA%" dataDxfId="933"/>
    <tableColumn id="58" xr3:uid="{B1A5CF89-B2ED-46B9-8399-FCFE33318C00}" name="TOV%" dataDxfId="932"/>
    <tableColumn id="59" xr3:uid="{225287F7-2C37-4DBB-A390-55C5FE7A898F}" name="ORtg" dataDxfId="931"/>
    <tableColumn id="60" xr3:uid="{F3DD6CF0-A4BC-4EF9-BC70-3CC88198DE31}" name="DRtg" dataDxfId="930"/>
    <tableColumn id="61" xr3:uid="{0D6DBA9A-6FA3-4A66-A07E-64CBCCC091A3}" name="Pace" dataDxfId="929"/>
    <tableColumn id="62" xr3:uid="{42EF5C8C-5F50-4C65-B08A-BE2E9EE19273}" name="TS%op" dataDxfId="928"/>
    <tableColumn id="63" xr3:uid="{D1634516-3EFB-440F-8C78-33E8B712E00C}" name="eFG%op" dataDxfId="927"/>
    <tableColumn id="64" xr3:uid="{125477EE-94EC-4345-AF73-314AA5FDA97B}" name="ORB%op" dataDxfId="926"/>
    <tableColumn id="65" xr3:uid="{B8F85610-ADD8-463D-98EB-8022A5B28521}" name="DRB%op" dataDxfId="925"/>
    <tableColumn id="66" xr3:uid="{FFB1379B-89A8-4525-9176-E246D9A7ABE1}" name="TRB%op" dataDxfId="924"/>
    <tableColumn id="67" xr3:uid="{4D1F440A-9EDA-44CE-81A0-E9C2C36E1627}" name="Possop" dataDxfId="923"/>
    <tableColumn id="68" xr3:uid="{494CC7F8-2165-4B8F-81C2-8669329FC70B}" name="AST%op" dataDxfId="922"/>
    <tableColumn id="69" xr3:uid="{BAE3593D-2817-4365-9524-0FDAE102FF37}" name="FTFGA%op" dataDxfId="921"/>
    <tableColumn id="70" xr3:uid="{E92A819B-ECBD-42F7-87BC-72F7B9E23485}" name="TOV%op" dataDxfId="920"/>
    <tableColumn id="71" xr3:uid="{54020B13-D977-4BDE-B317-1DFBE04D6A67}" name="ORtgop" dataDxfId="919"/>
    <tableColumn id="72" xr3:uid="{7D0279FD-81A2-4D09-8FC9-F8F6A1AEAA85}" name="DRtgop" dataDxfId="918"/>
    <tableColumn id="73" xr3:uid="{A1CD4FA4-24ED-473A-9FB9-BED4DCAB2C13}" name="Q1H" dataDxfId="917"/>
    <tableColumn id="74" xr3:uid="{5DD77F08-7946-418A-A166-33D27CF95806}" name="Q2H" dataDxfId="916"/>
    <tableColumn id="75" xr3:uid="{D4A508DA-38AC-47D5-801B-9F085C593507}" name="Q3H" dataDxfId="915"/>
    <tableColumn id="76" xr3:uid="{8276B3D6-FA94-46B7-A8AB-8217DEC637A6}" name="Q4H" dataDxfId="914"/>
    <tableColumn id="77" xr3:uid="{66B4F5B0-18DE-4B9E-B0E4-4C73932D735C}" name="Q1A" dataDxfId="913"/>
    <tableColumn id="78" xr3:uid="{CFA250B6-7230-45AB-A387-D0F3735682B1}" name="Q2A" dataDxfId="912"/>
    <tableColumn id="79" xr3:uid="{7869418B-24D2-42A2-852D-F4A7A88D400B}" name="Q3A" dataDxfId="911"/>
    <tableColumn id="80" xr3:uid="{98D08DA0-A125-4223-99F6-CA51F1E72A12}" name="Q4A" dataDxfId="910"/>
    <tableColumn id="81" xr3:uid="{56A36082-0FBA-49C5-9C79-37CF2BE3BEF1}" name="FhalfH" dataDxfId="909"/>
    <tableColumn id="82" xr3:uid="{BFC798BA-CFD0-40DB-A080-107111F57CDF}" name="ShalfH" dataDxfId="908"/>
    <tableColumn id="83" xr3:uid="{40757008-79B8-4C10-8FF1-5B3EA493D4B4}" name="FhalfA" dataDxfId="907"/>
    <tableColumn id="84" xr3:uid="{1E14497C-2D4D-4B88-89FC-A64A900F7BDD}" name="ShalfA" dataDxfId="906"/>
    <tableColumn id="85" xr3:uid="{1542953D-4063-4479-AAC1-5623C29BB1C2}" name="win" dataDxfId="905"/>
    <tableColumn id="86" xr3:uid="{50E0133D-BEAE-4A34-BA9A-43DA0E7EB894}" name="lose" dataDxfId="904"/>
    <tableColumn id="87" xr3:uid="{C49AA99D-DDF9-4B67-81B1-27CCA01C74EF}" name="foraH" dataDxfId="903"/>
    <tableColumn id="88" xr3:uid="{978F5D9E-C5EA-49F6-97BD-55F960C4C5E8}" name="foraA" dataDxfId="902"/>
    <tableColumn id="89" xr3:uid="{590F545B-E9B3-47A0-A60A-8F412AEE4857}" name="total" dataDxfId="901"/>
    <tableColumn id="90" xr3:uid="{D33C07FB-99BC-4A18-82E7-3B4ADAF34A96}" name="link" dataDxfId="900"/>
    <tableColumn id="91" xr3:uid="{478D629F-FF6D-42CF-A11C-0A3FFD5F1211}" name="abbr" dataDxfId="899">
      <calculatedColumnFormula>VLOOKUP(nantere[[#This Row],[Away_team]],all[[Full name]:[Abbr]],3,FALSE)</calculatedColumnFormula>
    </tableColumn>
    <tableColumn id="92" xr3:uid="{F9567027-947F-4732-8A7A-834161ED3FC1}" name="BetH" dataDxfId="898">
      <calculatedColumnFormula>IF(OR(nantere[[#This Row],[Result]]="w",nantere[[#This Row],[Result]]="dw"),nantere[[#This Row],[win]]-1,-1)</calculatedColumnFormula>
    </tableColumn>
    <tableColumn id="93" xr3:uid="{B7EBFD78-76E9-4650-81DB-8AA4491CEDD6}" name="BetA" dataDxfId="897">
      <calculatedColumnFormula>IF(OR(nantere[[#This Row],[Result]]="L",nantere[[#This Row],[Result]]="dl"),nantere[[#This Row],[lose]]-1,-1)</calculatedColumnFormula>
    </tableColumn>
    <tableColumn id="94" xr3:uid="{3445D2F2-599B-4657-BD89-3318F2DDAA41}" name="Tover" dataDxfId="896">
      <calculatedColumnFormula>IF(OR((nantere[[#This Row],[Home_scored]]+nantere[[#This Row],[Away_scored]])&gt;nantere[[#This Row],[total]],OR(nantere[[#This Row],[Result]]="dw",nantere[[#This Row],[Result]]="dl")),1,0)</calculatedColumnFormula>
    </tableColumn>
    <tableColumn id="95" xr3:uid="{ABCECAF0-9ABA-4C6C-98C4-F4B68E5803B6}" name="Deviation" dataDxfId="895">
      <calculatedColumnFormula>ABS((nantere[[#This Row],[Home_scored]]+nantere[[#This Row],[Away_scored]])-nantere[[#This Row],[total]])+0.5</calculatedColumnFormula>
    </tableColumn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BAEE2F1-C170-4ECC-B984-88D8D3B18559}" name="paris" displayName="paris" ref="A3:CQ44" totalsRowShown="0" headerRowDxfId="894" dataDxfId="893">
  <autoFilter ref="A3:CQ44" xr:uid="{6F44C236-BD30-49C1-AC80-B66D4596B51B}"/>
  <tableColumns count="95">
    <tableColumn id="1" xr3:uid="{2ACF6EB9-A08D-45D1-997D-5665DC8725E2}" name="Tournament" dataDxfId="892"/>
    <tableColumn id="2" xr3:uid="{90BA7C2A-7915-4191-80F6-EC78476C0497}" name="Home_team" dataDxfId="891"/>
    <tableColumn id="3" xr3:uid="{B066187C-C6CC-449D-B4E5-429BBA191634}" name="Stage" dataDxfId="890"/>
    <tableColumn id="4" xr3:uid="{BD1FC35F-B83C-4929-B35E-1EEED8892E21}" name="Date" dataDxfId="889"/>
    <tableColumn id="5" xr3:uid="{509A1BFB-BD4E-4D74-9F45-4B63C9D68E21}" name="Location" dataDxfId="888"/>
    <tableColumn id="6" xr3:uid="{0B9CAA9C-D418-4ECE-8078-038270A5A4AC}" name="Away_team" dataDxfId="887"/>
    <tableColumn id="7" xr3:uid="{B81F0168-E04E-4F11-9F0C-8EF233E94F9D}" name="Result" dataDxfId="886"/>
    <tableColumn id="8" xr3:uid="{289A91E6-A655-414F-B6C7-6365AD960E06}" name="Home_scored" dataDxfId="885"/>
    <tableColumn id="9" xr3:uid="{832921B2-F751-4419-9D06-6BC13EBF2E0F}" name="Away_scored" dataDxfId="884"/>
    <tableColumn id="10" xr3:uid="{B84E8C5B-DFC0-4636-977F-FC6B2482E013}" name="FGM" dataDxfId="883"/>
    <tableColumn id="11" xr3:uid="{17573509-A03A-42A5-B44B-0291CA0E4166}" name="FGA" dataDxfId="882"/>
    <tableColumn id="12" xr3:uid="{2703C64D-9800-4B22-A7D2-3093388B3B26}" name="FGp" dataDxfId="881"/>
    <tableColumn id="13" xr3:uid="{DB6208CC-A4BE-4939-8C91-83E3374FB966}" name="P2M" dataDxfId="880"/>
    <tableColumn id="14" xr3:uid="{E27A52CD-9EDB-4720-AB3A-F23728C068D9}" name="P2A" dataDxfId="879"/>
    <tableColumn id="15" xr3:uid="{00EF584F-2843-401C-95CA-78C8544EBE00}" name="P2p" dataDxfId="878"/>
    <tableColumn id="16" xr3:uid="{F3724BCE-63BE-4E56-AD5B-D45CD2C6921F}" name="P3M" dataDxfId="877"/>
    <tableColumn id="17" xr3:uid="{115BFF64-D746-4BE0-B1DC-AAB84AE1739F}" name="P3A" dataDxfId="876"/>
    <tableColumn id="18" xr3:uid="{65B329E9-FD73-48A7-B03A-5C2820B815DC}" name="P3p" dataDxfId="875"/>
    <tableColumn id="19" xr3:uid="{489FB9E8-C270-4331-9577-97E025E80F27}" name="FTM" dataDxfId="874"/>
    <tableColumn id="20" xr3:uid="{5AC8F3E3-B8F1-4260-A47F-6E2EF3FFEF0A}" name="FTA" dataDxfId="873"/>
    <tableColumn id="21" xr3:uid="{EBFCCDBA-3C2A-409C-ADFC-F43604210B78}" name="FTp" dataDxfId="872"/>
    <tableColumn id="22" xr3:uid="{ADABB221-F5BB-4F27-A918-0A4E01CC11AC}" name="ORB" dataDxfId="871"/>
    <tableColumn id="23" xr3:uid="{52A41870-EBB0-4899-9E7A-C7EF1910EC3D}" name="DRB" dataDxfId="870"/>
    <tableColumn id="24" xr3:uid="{E902C4C6-FC6A-471F-91E5-C422F91A03B2}" name="TRB" dataDxfId="869"/>
    <tableColumn id="25" xr3:uid="{C11A773C-99FD-402C-8B5C-7B141FD4488F}" name="AST" dataDxfId="868"/>
    <tableColumn id="26" xr3:uid="{29F8DE85-BE79-407B-A81D-FDC12F440C6F}" name="STL" dataDxfId="867"/>
    <tableColumn id="27" xr3:uid="{E6070134-0B90-4A14-8893-658800207AE8}" name="BLK" dataDxfId="866"/>
    <tableColumn id="28" xr3:uid="{8F141588-431E-4AA8-98FF-03FB9F11DE78}" name="TOV" dataDxfId="865"/>
    <tableColumn id="29" xr3:uid="{43F8CFD4-AC69-40EB-8B5B-E4B15D49CB14}" name="PF" dataDxfId="864"/>
    <tableColumn id="30" xr3:uid="{AAFD86B5-F328-4C06-9196-E5C6FACC7BB7}" name="FGMop" dataDxfId="863"/>
    <tableColumn id="31" xr3:uid="{4E1081AF-DC61-4BCA-841B-2CFD7BC133D6}" name="FGAop" dataDxfId="862"/>
    <tableColumn id="32" xr3:uid="{ABB78AA2-CC33-4229-AB97-73BF457759CA}" name="FGpop" dataDxfId="861"/>
    <tableColumn id="33" xr3:uid="{EE52C255-FCE0-4B69-9FE8-927A888979BC}" name="P2Mop" dataDxfId="860"/>
    <tableColumn id="34" xr3:uid="{C9A38E8B-187D-4FD6-85FF-AACAF012D8E0}" name="P2Aop" dataDxfId="859"/>
    <tableColumn id="35" xr3:uid="{A5FA5C35-0846-4B49-8AC8-97242FA0D757}" name="P2pop" dataDxfId="858"/>
    <tableColumn id="36" xr3:uid="{D9229771-AA0F-463F-9098-48DED1152C89}" name="P3Mop" dataDxfId="857"/>
    <tableColumn id="37" xr3:uid="{47380464-39A5-49DD-9E0D-47C0CEFEC7B0}" name="P3Aop" dataDxfId="856"/>
    <tableColumn id="38" xr3:uid="{1B8D5752-1D78-4851-97D0-7B44AFAC2CF7}" name="P3pop" dataDxfId="855"/>
    <tableColumn id="39" xr3:uid="{807C8C87-8175-45F1-9194-E9C333D84B42}" name="FTMop" dataDxfId="854"/>
    <tableColumn id="40" xr3:uid="{CD409282-7CA7-4999-97CC-91CD20CEC96E}" name="FTAop" dataDxfId="853"/>
    <tableColumn id="41" xr3:uid="{AABD4A08-5A42-4F1C-A650-AB800421AA02}" name="FTpop" dataDxfId="852"/>
    <tableColumn id="42" xr3:uid="{9CDC5F79-A296-4EBF-AE56-EC5FEED6277E}" name="ORBop" dataDxfId="851"/>
    <tableColumn id="43" xr3:uid="{7EAA6F21-48A8-4189-A163-D5A90F56FA1E}" name="DRBop" dataDxfId="850"/>
    <tableColumn id="44" xr3:uid="{B7528C0E-41B6-48A2-BFE7-33AB211AFB19}" name="TRBop" dataDxfId="849"/>
    <tableColumn id="45" xr3:uid="{A5D1C4C5-E12E-4587-8BAB-EF72725A9F8A}" name="ASTop" dataDxfId="848"/>
    <tableColumn id="46" xr3:uid="{6DF2EABA-817A-48B0-B789-AA7367963284}" name="STLop" dataDxfId="847"/>
    <tableColumn id="47" xr3:uid="{85D3D348-C064-45F8-A52C-F23268F4321B}" name="BLKop" dataDxfId="846"/>
    <tableColumn id="48" xr3:uid="{8E95CDE7-1E2C-4403-BF42-467F6BD9D16D}" name="TOVop" dataDxfId="845"/>
    <tableColumn id="49" xr3:uid="{F487D418-7D59-4780-ADD6-2BAAFA23E769}" name="PFop" dataDxfId="844"/>
    <tableColumn id="50" xr3:uid="{EE112853-7EC3-4CC7-8F63-10F09B864DDB}" name="TS%" dataDxfId="843"/>
    <tableColumn id="51" xr3:uid="{D446CD23-0C9C-441A-98CA-D6BDFD0B6778}" name="eFG%" dataDxfId="842"/>
    <tableColumn id="52" xr3:uid="{8008E512-498D-4FA5-8149-FA68F8743BBC}" name="ORB%" dataDxfId="841"/>
    <tableColumn id="53" xr3:uid="{4B8C8D54-FC3A-46BC-B6CB-1CEABA4D78A5}" name="DRB%" dataDxfId="840"/>
    <tableColumn id="54" xr3:uid="{CC470A58-F3CB-463F-A4BA-AE6CD85B711B}" name="TRB%" dataDxfId="839"/>
    <tableColumn id="55" xr3:uid="{6F8953AC-B58E-4EEB-B012-FDFFA8CE7899}" name="Poss" dataDxfId="838"/>
    <tableColumn id="56" xr3:uid="{D560213E-196F-41C3-921E-B0F6E42F27FA}" name="AST%" dataDxfId="837"/>
    <tableColumn id="57" xr3:uid="{9BCF0493-D24C-49A7-9A42-3EDCBCD9BE9D}" name="FTFGA%" dataDxfId="836"/>
    <tableColumn id="58" xr3:uid="{E51B73C8-09C6-4F35-B248-7BAD75738A38}" name="TOV%" dataDxfId="835"/>
    <tableColumn id="59" xr3:uid="{2A095ACF-9430-4D34-8900-79C4F0392617}" name="ORtg" dataDxfId="834"/>
    <tableColumn id="60" xr3:uid="{0FD95A3D-DE65-4505-8D0E-45BCEA2DE692}" name="DRtg" dataDxfId="833"/>
    <tableColumn id="61" xr3:uid="{5F540F2A-074D-4B63-83AE-ACB344D33BD4}" name="Pace" dataDxfId="832"/>
    <tableColumn id="62" xr3:uid="{372E6C0F-5C09-4A8F-BC71-3AEF53B98A45}" name="TS%op" dataDxfId="831"/>
    <tableColumn id="63" xr3:uid="{32E6775A-50DD-4EA8-8A0E-93C778A55C38}" name="eFG%op" dataDxfId="830"/>
    <tableColumn id="64" xr3:uid="{D9732DD1-D566-4DDE-90FB-1B60DDD72B70}" name="ORB%op" dataDxfId="829"/>
    <tableColumn id="65" xr3:uid="{22FD4CF9-BA8A-4079-BDE3-A8AB671EABBE}" name="DRB%op" dataDxfId="828"/>
    <tableColumn id="66" xr3:uid="{EEA86246-DA5A-4AD9-A72E-2E5A028CEC4D}" name="TRB%op" dataDxfId="827"/>
    <tableColumn id="67" xr3:uid="{8FC4F0D4-84A7-4511-8F1F-1890F4FD8C46}" name="Possop" dataDxfId="826"/>
    <tableColumn id="68" xr3:uid="{BC570DE7-7444-49AA-89A0-F10C7D9EFA7E}" name="AST%op" dataDxfId="825"/>
    <tableColumn id="69" xr3:uid="{8BC27CE5-8C0A-4C33-B0D0-AA5B3590914E}" name="FTFGA%op" dataDxfId="824"/>
    <tableColumn id="70" xr3:uid="{B0D65584-B2F1-4E98-AA1A-89CE2D13E7FC}" name="TOV%op" dataDxfId="823"/>
    <tableColumn id="71" xr3:uid="{F4FD8544-5F90-4944-ADD6-2A376B8A92C9}" name="ORtgop" dataDxfId="822"/>
    <tableColumn id="72" xr3:uid="{4BA36863-BFBA-4810-9812-8292EC06B7DF}" name="DRtgop" dataDxfId="821"/>
    <tableColumn id="73" xr3:uid="{878FC98C-EAD5-4C0A-ABBE-4BCC5A5B77CD}" name="Q1H" dataDxfId="820"/>
    <tableColumn id="74" xr3:uid="{95E28953-6170-4906-8824-30FD71CF519E}" name="Q2H" dataDxfId="819"/>
    <tableColumn id="75" xr3:uid="{E2CF7300-B8C7-4485-BC84-D2670F828623}" name="Q3H" dataDxfId="818"/>
    <tableColumn id="76" xr3:uid="{A2E3AB84-2595-45FA-B5AB-D32A351B5263}" name="Q4H" dataDxfId="817"/>
    <tableColumn id="77" xr3:uid="{F20C8E0E-1538-435F-A5D0-BB5FC0495690}" name="Q1A" dataDxfId="816"/>
    <tableColumn id="78" xr3:uid="{73CA9AFC-9839-4300-9729-8077C6061685}" name="Q2A" dataDxfId="815"/>
    <tableColumn id="79" xr3:uid="{F3AE8191-E1CD-4303-9475-D4E59AFC2487}" name="Q3A" dataDxfId="814"/>
    <tableColumn id="80" xr3:uid="{7A6AAC05-85DA-4379-AC05-7ED3840C11C7}" name="Q4A" dataDxfId="813"/>
    <tableColumn id="81" xr3:uid="{F46C92F0-335F-427E-B42D-6D09EF7023B0}" name="FhalfH" dataDxfId="812"/>
    <tableColumn id="82" xr3:uid="{7C55777F-7090-40F0-AB29-5973CC8C4EC5}" name="ShalfH" dataDxfId="811"/>
    <tableColumn id="83" xr3:uid="{A82BA680-9E8C-4CC8-9EA5-9FFAE011F475}" name="FhalfA" dataDxfId="810"/>
    <tableColumn id="84" xr3:uid="{49E55176-0521-43D3-A914-0D05919622E7}" name="ShalfA" dataDxfId="809"/>
    <tableColumn id="85" xr3:uid="{C4AC0A18-E29A-4C2C-9B04-B4B766BD2CCE}" name="win" dataDxfId="808"/>
    <tableColumn id="86" xr3:uid="{EDA94C36-27A0-4EF0-838D-CC61DC101E46}" name="lose" dataDxfId="807"/>
    <tableColumn id="87" xr3:uid="{BDE53E78-D4CF-4C40-A7F1-DC24C581A851}" name="foraH" dataDxfId="806"/>
    <tableColumn id="88" xr3:uid="{B1FD1FF0-24FA-4E99-8BD0-F7AAFC831D31}" name="foraA" dataDxfId="805"/>
    <tableColumn id="89" xr3:uid="{B2ABD7FB-F602-41A4-9F2D-84A666EB48E6}" name="total" dataDxfId="804"/>
    <tableColumn id="90" xr3:uid="{B08716E5-4F7B-40E7-B8C6-43AEFC9AB8F8}" name="link" dataDxfId="803"/>
    <tableColumn id="91" xr3:uid="{0BFA627C-561E-4268-86D0-F77D87B62E32}" name="abbr" dataDxfId="802">
      <calculatedColumnFormula>VLOOKUP(paris[[#This Row],[Away_team]],all[[Full name]:[Abbr]],3,FALSE)</calculatedColumnFormula>
    </tableColumn>
    <tableColumn id="92" xr3:uid="{1B206633-DED7-4DB2-9CD9-23C6940ADBB8}" name="BetH" dataDxfId="801">
      <calculatedColumnFormula>IF(OR(paris[[#This Row],[Result]]="w",paris[[#This Row],[Result]]="dw"),paris[[#This Row],[win]]-1,-1)</calculatedColumnFormula>
    </tableColumn>
    <tableColumn id="93" xr3:uid="{AB08515F-CFEB-4278-B396-060B9181C9D9}" name="BetA" dataDxfId="800">
      <calculatedColumnFormula>IF(OR(paris[[#This Row],[Result]]="L",paris[[#This Row],[Result]]="dl"),paris[[#This Row],[lose]]-1,-1)</calculatedColumnFormula>
    </tableColumn>
    <tableColumn id="94" xr3:uid="{813C3FEF-20FF-48D2-BDAE-E26A639D04D6}" name="Tover" dataDxfId="799">
      <calculatedColumnFormula>IF(OR((paris[[#This Row],[Home_scored]]+paris[[#This Row],[Away_scored]])&gt;paris[[#This Row],[total]],OR(paris[[#This Row],[Result]]="dw",paris[[#This Row],[Result]]="dl")),1,0)</calculatedColumnFormula>
    </tableColumn>
    <tableColumn id="95" xr3:uid="{FC7A3539-A490-4521-9F75-8600514E5921}" name="Deviation" dataDxfId="798">
      <calculatedColumnFormula>ABS((paris[[#This Row],[Home_scored]]+paris[[#This Row],[Away_scored]])-paris[[#This Row],[total]])+0.5</calculatedColumnFormula>
    </tableColumn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1420195-47B7-4995-905C-52A89657547F}" name="saintQ" displayName="saintQ" ref="A3:CQ35" totalsRowShown="0" headerRowDxfId="797" dataDxfId="796">
  <autoFilter ref="A3:CQ35" xr:uid="{6F44C236-BD30-49C1-AC80-B66D4596B51B}"/>
  <tableColumns count="95">
    <tableColumn id="1" xr3:uid="{73608A97-6895-4A48-B26C-A960B473D991}" name="Tournament" dataDxfId="795"/>
    <tableColumn id="2" xr3:uid="{B76C582E-15F7-49EE-8E52-B55E78E9D623}" name="Home_team" dataDxfId="794"/>
    <tableColumn id="3" xr3:uid="{EF4D7A85-F236-4B0C-BE92-93883491F7D9}" name="Stage" dataDxfId="793"/>
    <tableColumn id="4" xr3:uid="{E3E7584D-18AD-42AB-9133-681C28CC87AF}" name="Date" dataDxfId="792"/>
    <tableColumn id="5" xr3:uid="{99CA0AC5-AB69-4CBC-8CC6-E2B924EE1D2A}" name="Location" dataDxfId="791"/>
    <tableColumn id="6" xr3:uid="{D2651BCF-7CB7-4352-8B39-0385605BA597}" name="Away_team" dataDxfId="790"/>
    <tableColumn id="7" xr3:uid="{65793FE4-6E0B-4F0B-9B81-8A1A5A4FA5ED}" name="Result" dataDxfId="789"/>
    <tableColumn id="8" xr3:uid="{CAFB4B3D-E3AC-4C12-8BBE-F5116CF6CC03}" name="Home_scored" dataDxfId="788"/>
    <tableColumn id="9" xr3:uid="{1A1D33C0-AF37-44D7-8944-0843ABB734BE}" name="Away_scored" dataDxfId="787"/>
    <tableColumn id="10" xr3:uid="{7F201200-CAF7-4AA0-B18E-7E66C3038361}" name="FGM" dataDxfId="786"/>
    <tableColumn id="11" xr3:uid="{104A279F-2ED2-4A9F-A2D6-2E9F47656A9B}" name="FGA" dataDxfId="785"/>
    <tableColumn id="12" xr3:uid="{22D90321-19D5-4D38-B5AF-8B1FF20B4F52}" name="FGp" dataDxfId="784"/>
    <tableColumn id="13" xr3:uid="{961DB935-D7C3-44A0-B970-7C6A4D5267B8}" name="P2M" dataDxfId="783"/>
    <tableColumn id="14" xr3:uid="{5D76E295-6E4A-4420-9907-99F5BB991F29}" name="P2A" dataDxfId="782"/>
    <tableColumn id="15" xr3:uid="{72CAB2D7-4C00-4DB0-9939-2622623E7F9A}" name="P2p" dataDxfId="781"/>
    <tableColumn id="16" xr3:uid="{54510001-6CB2-4FB0-8730-23DA1B614748}" name="P3M" dataDxfId="780"/>
    <tableColumn id="17" xr3:uid="{EF17EAA9-2A52-4BEF-88D3-DAF7C0651804}" name="P3A" dataDxfId="779"/>
    <tableColumn id="18" xr3:uid="{A9BE977E-FB90-4C7F-BB12-8E769077F7DB}" name="P3p" dataDxfId="778"/>
    <tableColumn id="19" xr3:uid="{6CA8F79F-EBD8-47DF-8213-E6A1B7A6CDCA}" name="FTM" dataDxfId="777"/>
    <tableColumn id="20" xr3:uid="{5E86A390-8433-429E-8456-34BB2AC88392}" name="FTA" dataDxfId="776"/>
    <tableColumn id="21" xr3:uid="{F7705396-559B-47A0-BF3E-E60C106FC291}" name="FTp" dataDxfId="775"/>
    <tableColumn id="22" xr3:uid="{2C5EC37F-9C40-4F4D-9719-E3110B813581}" name="ORB" dataDxfId="774"/>
    <tableColumn id="23" xr3:uid="{D7F50601-FDAD-48B9-AE94-3CDB4EC785C3}" name="DRB" dataDxfId="773"/>
    <tableColumn id="24" xr3:uid="{80CA13FA-8AD6-43BA-A0FA-597A59EE54A8}" name="TRB" dataDxfId="772"/>
    <tableColumn id="25" xr3:uid="{68E8DD22-62BD-4F85-B943-8AEB722897EE}" name="AST" dataDxfId="771"/>
    <tableColumn id="26" xr3:uid="{339434EE-CA34-42BB-B1AF-73D5096E7486}" name="STL" dataDxfId="770"/>
    <tableColumn id="27" xr3:uid="{D233446E-2593-4645-B09E-ADE1D260E8FF}" name="BLK" dataDxfId="769"/>
    <tableColumn id="28" xr3:uid="{0344D89F-96E6-4964-AE74-304D010E771F}" name="TOV" dataDxfId="768"/>
    <tableColumn id="29" xr3:uid="{839C5D68-98DE-41FA-8636-3415298DE34A}" name="PF" dataDxfId="767"/>
    <tableColumn id="30" xr3:uid="{FA6F53CD-D4B2-4A90-AF32-69E50210E126}" name="FGMop" dataDxfId="766"/>
    <tableColumn id="31" xr3:uid="{C61817B8-B434-4ACE-8C3A-4C445EB842DA}" name="FGAop" dataDxfId="765"/>
    <tableColumn id="32" xr3:uid="{798C19EB-AF75-47E5-A914-997E0364B29C}" name="FGpop" dataDxfId="764"/>
    <tableColumn id="33" xr3:uid="{DCF9B71C-B379-4556-A065-439AA9094401}" name="P2Mop" dataDxfId="763"/>
    <tableColumn id="34" xr3:uid="{12800690-8D04-438E-92D8-1D32AB666683}" name="P2Aop" dataDxfId="762"/>
    <tableColumn id="35" xr3:uid="{85B8E1B5-51EC-485E-BB7C-90E0C6B7074E}" name="P2pop" dataDxfId="761"/>
    <tableColumn id="36" xr3:uid="{2678A699-F4AD-489F-B02C-353BF31879AD}" name="P3Mop" dataDxfId="760"/>
    <tableColumn id="37" xr3:uid="{30B4CD0D-AD30-4FF3-8171-24BE2FBC81B6}" name="P3Aop" dataDxfId="759"/>
    <tableColumn id="38" xr3:uid="{DB6803EF-EB12-4885-B671-4270409237AB}" name="P3pop" dataDxfId="758"/>
    <tableColumn id="39" xr3:uid="{BD5A3EF1-02DC-46A4-AB5A-9A7E6D0F1C4F}" name="FTMop" dataDxfId="757"/>
    <tableColumn id="40" xr3:uid="{94DECA48-D714-42E9-82FA-D46A5F7CC4CE}" name="FTAop" dataDxfId="756"/>
    <tableColumn id="41" xr3:uid="{D2DD023E-0BBF-45F1-B695-15868A1104FA}" name="FTpop" dataDxfId="755"/>
    <tableColumn id="42" xr3:uid="{98C150CA-8F3E-440F-87B2-86E032CDA5D1}" name="ORBop" dataDxfId="754"/>
    <tableColumn id="43" xr3:uid="{03D9F3E2-55CD-4278-8021-342B0AD5A3EB}" name="DRBop" dataDxfId="753"/>
    <tableColumn id="44" xr3:uid="{39FD96D8-DA51-4237-9796-CA856E2E04DD}" name="TRBop" dataDxfId="752"/>
    <tableColumn id="45" xr3:uid="{1A449135-06BE-4037-BD65-4845EDFBE8A8}" name="ASTop" dataDxfId="751"/>
    <tableColumn id="46" xr3:uid="{AEE47D97-38DE-413B-B53F-DA26D46A9996}" name="STLop" dataDxfId="750"/>
    <tableColumn id="47" xr3:uid="{B57954B1-7271-4B3F-969C-E7D1B7166B29}" name="BLKop" dataDxfId="749"/>
    <tableColumn id="48" xr3:uid="{33B47D33-603F-450C-A429-600737BDD092}" name="TOVop" dataDxfId="748"/>
    <tableColumn id="49" xr3:uid="{48582C44-21A4-4500-BCA8-EC31B031CFD5}" name="PFop" dataDxfId="747"/>
    <tableColumn id="50" xr3:uid="{E57C369A-A249-464C-8173-10766A9FE51F}" name="TS%" dataDxfId="746"/>
    <tableColumn id="51" xr3:uid="{E6D49663-200E-40A4-A61F-BC576B241735}" name="eFG%" dataDxfId="745"/>
    <tableColumn id="52" xr3:uid="{41EB9FBF-ED66-480A-9F2E-0F748F6654DD}" name="ORB%" dataDxfId="744"/>
    <tableColumn id="53" xr3:uid="{C52C9B66-B7E3-4496-8C82-9424D2E949FB}" name="DRB%" dataDxfId="743"/>
    <tableColumn id="54" xr3:uid="{45F24EE0-BC71-4EE3-B97F-6CD23E978FFE}" name="TRB%" dataDxfId="742"/>
    <tableColumn id="55" xr3:uid="{BDC89185-0100-44B1-92AA-2E4C3FCDDCF6}" name="Poss" dataDxfId="741"/>
    <tableColumn id="56" xr3:uid="{D8C364D9-308F-4274-8261-FDCB524186DD}" name="AST%" dataDxfId="740"/>
    <tableColumn id="57" xr3:uid="{FCD56C8E-D324-47F7-ABB1-7A5FEE472F90}" name="FTFGA%" dataDxfId="739"/>
    <tableColumn id="58" xr3:uid="{2D62A99D-AD77-4108-8F7E-3B95AF7A767F}" name="TOV%" dataDxfId="738"/>
    <tableColumn id="59" xr3:uid="{A877DCCB-E876-4178-AF39-D7D3E77454E6}" name="ORtg" dataDxfId="737"/>
    <tableColumn id="60" xr3:uid="{B8A6052E-6A3F-4979-9766-2F4FB47AD7D3}" name="DRtg" dataDxfId="736"/>
    <tableColumn id="61" xr3:uid="{DEBAC463-536D-4BED-ADAB-469E2FD49648}" name="Pace" dataDxfId="735"/>
    <tableColumn id="62" xr3:uid="{561E8EF4-846B-4542-8901-5CF73C4FE758}" name="TS%op" dataDxfId="734"/>
    <tableColumn id="63" xr3:uid="{C2FFB9D9-1248-47D8-8DEB-1D372D8FE235}" name="eFG%op" dataDxfId="733"/>
    <tableColumn id="64" xr3:uid="{ED6FE255-C6CA-4867-B305-4AE8CBB511EF}" name="ORB%op" dataDxfId="732"/>
    <tableColumn id="65" xr3:uid="{48EFF1D6-2748-404B-A316-7BDA7073E51F}" name="DRB%op" dataDxfId="731"/>
    <tableColumn id="66" xr3:uid="{4A6DC3A8-F69B-4F99-8A14-3FE29300CB6B}" name="TRB%op" dataDxfId="730"/>
    <tableColumn id="67" xr3:uid="{5EA3E1C1-52C5-4940-AEF4-9335867A21FD}" name="Possop" dataDxfId="729"/>
    <tableColumn id="68" xr3:uid="{B6FFEA94-CDD3-44D3-9441-8F78E7ED1211}" name="AST%op" dataDxfId="728"/>
    <tableColumn id="69" xr3:uid="{1B30C297-6A5D-4EF3-9E62-37DE2C44D76C}" name="FTFGA%op" dataDxfId="727"/>
    <tableColumn id="70" xr3:uid="{FFBD50D3-B7B7-4ED6-9058-FE16930C92FE}" name="TOV%op" dataDxfId="726"/>
    <tableColumn id="71" xr3:uid="{EA478DE6-7205-4002-8487-1D132182FC27}" name="ORtgop" dataDxfId="725"/>
    <tableColumn id="72" xr3:uid="{321117CC-3F44-4409-8C79-8F23252256C1}" name="DRtgop" dataDxfId="724"/>
    <tableColumn id="73" xr3:uid="{9D8F11CB-81A0-42F4-8E85-9F55D31982FB}" name="Q1H" dataDxfId="723"/>
    <tableColumn id="74" xr3:uid="{3ACA86B0-6A56-41D8-95FF-EC74646B7048}" name="Q2H" dataDxfId="722"/>
    <tableColumn id="75" xr3:uid="{60E7C99D-EB22-4741-A86E-ED1080A943B2}" name="Q3H" dataDxfId="721"/>
    <tableColumn id="76" xr3:uid="{8BE4A93F-4C3E-4A98-9C11-200ADBFAFE8F}" name="Q4H" dataDxfId="720"/>
    <tableColumn id="77" xr3:uid="{D58A736C-E989-420B-AE0F-C8373837244E}" name="Q1A" dataDxfId="719"/>
    <tableColumn id="78" xr3:uid="{3CC90B40-0440-46B9-8E88-1A8439B29C3C}" name="Q2A" dataDxfId="718"/>
    <tableColumn id="79" xr3:uid="{87F48655-C903-4062-B9F0-CF70AD38FDFC}" name="Q3A" dataDxfId="717"/>
    <tableColumn id="80" xr3:uid="{C8B8D14E-F5B1-4901-B6D9-349DC5A0E5DF}" name="Q4A" dataDxfId="716"/>
    <tableColumn id="81" xr3:uid="{CEC91DD4-4579-4D5F-BA9F-92D3047BAF1F}" name="FhalfH" dataDxfId="715"/>
    <tableColumn id="82" xr3:uid="{BDDF3BE6-8BED-46D6-BF34-DF4A9BEA7BD1}" name="ShalfH" dataDxfId="714"/>
    <tableColumn id="83" xr3:uid="{9866D870-2060-4B2D-8557-6F1E738AF2FE}" name="FhalfA" dataDxfId="713"/>
    <tableColumn id="84" xr3:uid="{DFDD7B49-D534-4016-AD4D-44540FFDCF34}" name="ShalfA" dataDxfId="712"/>
    <tableColumn id="85" xr3:uid="{130A1E9A-12E8-47BD-8CD3-E88BDC12E326}" name="win" dataDxfId="711"/>
    <tableColumn id="86" xr3:uid="{D5076D14-E6FA-42B3-B5AA-6D161C7D3CD6}" name="lose" dataDxfId="710"/>
    <tableColumn id="87" xr3:uid="{60A5A230-5DA1-4067-A5A2-18CF47F007F9}" name="foraH" dataDxfId="709"/>
    <tableColumn id="88" xr3:uid="{9F8134B0-E2D9-4D23-8331-59669A3E5614}" name="foraA" dataDxfId="708"/>
    <tableColumn id="89" xr3:uid="{E9526F2A-0F5B-47B6-B918-504FF7C7D825}" name="total" dataDxfId="707"/>
    <tableColumn id="90" xr3:uid="{D1C176DE-9E99-481C-95E7-CF6CD5C73FB5}" name="link" dataDxfId="706"/>
    <tableColumn id="91" xr3:uid="{CD974426-8364-4A23-8EEB-F8806B30C197}" name="abbr" dataDxfId="705">
      <calculatedColumnFormula>VLOOKUP(saintQ[[#This Row],[Away_team]],all[[Full name]:[Abbr]],3,FALSE)</calculatedColumnFormula>
    </tableColumn>
    <tableColumn id="92" xr3:uid="{062E5742-F0C6-4192-ABBC-C4EFA60230F1}" name="BetH" dataDxfId="704">
      <calculatedColumnFormula>IF(OR(saintQ[[#This Row],[Result]]="w",saintQ[[#This Row],[Result]]="dw"),saintQ[[#This Row],[win]]-1,-1)</calculatedColumnFormula>
    </tableColumn>
    <tableColumn id="93" xr3:uid="{776EC51F-7781-4D8E-9DC6-D5C492217990}" name="BetA" dataDxfId="703">
      <calculatedColumnFormula>IF(OR(saintQ[[#This Row],[Result]]="L",saintQ[[#This Row],[Result]]="dl"),saintQ[[#This Row],[lose]]-1,-1)</calculatedColumnFormula>
    </tableColumn>
    <tableColumn id="94" xr3:uid="{035B05BB-76D7-4F98-8C77-C0210D6F7C9D}" name="Tover" dataDxfId="702">
      <calculatedColumnFormula>IF(OR((saintQ[[#This Row],[Home_scored]]+saintQ[[#This Row],[Away_scored]])&gt;saintQ[[#This Row],[total]],OR(saintQ[[#This Row],[Result]]="dw",saintQ[[#This Row],[Result]]="dl")),1,0)</calculatedColumnFormula>
    </tableColumn>
    <tableColumn id="95" xr3:uid="{D5A888FD-8FA2-4ACA-BA8C-39E7BB6A5E85}" name="Deviation" dataDxfId="701">
      <calculatedColumnFormula>ABS((saintQ[[#This Row],[Home_scored]]+saintQ[[#This Row],[Away_scored]])-saintQ[[#This Row],[total]])+0.5</calculatedColumnFormula>
    </tableColumn>
  </tableColumns>
  <tableStyleInfo name="TableStyleMedium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6B675AB-3CF1-4F53-934A-C0406D05CE2D}" name="strasbourg" displayName="strasbourg" ref="A3:CQ33" totalsRowShown="0" headerRowDxfId="700" dataDxfId="699">
  <autoFilter ref="A3:CQ33" xr:uid="{6F44C236-BD30-49C1-AC80-B66D4596B51B}"/>
  <tableColumns count="95">
    <tableColumn id="1" xr3:uid="{DB76B5BE-B2B3-4A1E-AA98-F3E6C6D19898}" name="Tournament" dataDxfId="698"/>
    <tableColumn id="2" xr3:uid="{C408F08C-FD0A-4661-9E1D-99C9BA267CF1}" name="Home_team" dataDxfId="697"/>
    <tableColumn id="3" xr3:uid="{D8335140-C8CB-4E93-B3F4-FD3618434709}" name="Stage" dataDxfId="696"/>
    <tableColumn id="4" xr3:uid="{57E4FE5B-D5CE-4E39-9C6E-02CA0353CCE6}" name="Date" dataDxfId="695"/>
    <tableColumn id="5" xr3:uid="{B7A67C45-2F80-499E-81C2-7D37A64AC572}" name="Location" dataDxfId="694"/>
    <tableColumn id="6" xr3:uid="{493B335B-ADE4-4D5D-9160-C5F026FE36DB}" name="Away_team" dataDxfId="693"/>
    <tableColumn id="7" xr3:uid="{FFA74842-F5A3-410B-907A-3FFC483D7F2F}" name="Result" dataDxfId="692"/>
    <tableColumn id="8" xr3:uid="{0323EE80-E6CB-4AF1-8E93-A3FCEC5CDDB6}" name="Home_scored" dataDxfId="691"/>
    <tableColumn id="9" xr3:uid="{DD53D14D-8887-420A-8A1A-259EB078AD1A}" name="Away_scored" dataDxfId="690"/>
    <tableColumn id="10" xr3:uid="{5333A77D-56BC-4F86-A73B-AC2D19235820}" name="FGM" dataDxfId="689"/>
    <tableColumn id="11" xr3:uid="{00D8DCBA-0561-44F5-832D-8FBD0BC02E16}" name="FGA" dataDxfId="688"/>
    <tableColumn id="12" xr3:uid="{978133FC-A705-4272-AC8A-4A21A5E79952}" name="FGp" dataDxfId="687"/>
    <tableColumn id="13" xr3:uid="{F4F8F71F-11CE-4077-AE4A-E507A7F67D2E}" name="P2M" dataDxfId="686"/>
    <tableColumn id="14" xr3:uid="{41B38508-98E7-45E8-9737-56DF8A0545C1}" name="P2A" dataDxfId="685"/>
    <tableColumn id="15" xr3:uid="{4D27799A-EFF2-455B-9C4A-FFDC0C6AA361}" name="P2p" dataDxfId="684"/>
    <tableColumn id="16" xr3:uid="{5A31B43D-C147-4352-BCAB-54EB9BC184F8}" name="P3M" dataDxfId="683"/>
    <tableColumn id="17" xr3:uid="{622C9C4C-A4D8-4573-81D9-51D348A34416}" name="P3A" dataDxfId="682"/>
    <tableColumn id="18" xr3:uid="{C5202423-BC52-4F49-B5D9-FED2F509B4C9}" name="P3p" dataDxfId="681"/>
    <tableColumn id="19" xr3:uid="{D380CCCA-27DD-4B83-BD55-87F28F4C2BCB}" name="FTM" dataDxfId="680"/>
    <tableColumn id="20" xr3:uid="{9986B151-C2C6-4FCC-83C1-59C0D7112DD0}" name="FTA" dataDxfId="679"/>
    <tableColumn id="21" xr3:uid="{21FC3770-B5CF-4C3E-9FB3-9963099BE0A8}" name="FTp" dataDxfId="678"/>
    <tableColumn id="22" xr3:uid="{0DA37E67-F088-4166-B9F6-15306BADA378}" name="ORB" dataDxfId="677"/>
    <tableColumn id="23" xr3:uid="{1AEEE548-A390-43D1-967B-33152DB493D1}" name="DRB" dataDxfId="676"/>
    <tableColumn id="24" xr3:uid="{8FCAAEB9-9CFE-4CB9-9153-308E25A70C38}" name="TRB" dataDxfId="675"/>
    <tableColumn id="25" xr3:uid="{4F2A2C88-AAD8-44FB-AA8D-B4154D01831C}" name="AST" dataDxfId="674"/>
    <tableColumn id="26" xr3:uid="{66576A9B-B0F5-4D0F-A1BB-5C3715385888}" name="STL" dataDxfId="673"/>
    <tableColumn id="27" xr3:uid="{10DAB8C2-FF0F-492A-A9F2-D651F9177ACB}" name="BLK" dataDxfId="672"/>
    <tableColumn id="28" xr3:uid="{435FF686-232F-4EA9-B140-29DFB0DCF528}" name="TOV" dataDxfId="671"/>
    <tableColumn id="29" xr3:uid="{27E0FA48-F77A-443E-8F83-24CCF419F35B}" name="PF" dataDxfId="670"/>
    <tableColumn id="30" xr3:uid="{57885D00-7996-47B5-84D3-043BB40527E2}" name="FGMop" dataDxfId="669"/>
    <tableColumn id="31" xr3:uid="{BCCFDB90-150D-44F4-AEFD-136857004E46}" name="FGAop" dataDxfId="668"/>
    <tableColumn id="32" xr3:uid="{EC5CFCCE-CE8E-4D33-9DC7-0D8C51980956}" name="FGpop" dataDxfId="667"/>
    <tableColumn id="33" xr3:uid="{1A01022A-0644-403F-9435-481541D89C50}" name="P2Mop" dataDxfId="666"/>
    <tableColumn id="34" xr3:uid="{5C5C5AC4-8026-4E68-AB85-2D8C9DDBBCF7}" name="P2Aop" dataDxfId="665"/>
    <tableColumn id="35" xr3:uid="{5BFE1661-EAA8-4259-88F0-781E45087267}" name="P2pop" dataDxfId="664"/>
    <tableColumn id="36" xr3:uid="{C74E1C57-A849-4BEF-9ACD-A2D90AB9126E}" name="P3Mop" dataDxfId="663"/>
    <tableColumn id="37" xr3:uid="{FBDF24A0-4A2E-40B3-9829-E0792724677B}" name="P3Aop" dataDxfId="662"/>
    <tableColumn id="38" xr3:uid="{5EF1216E-7B4B-4443-AA67-7B16943307F6}" name="P3pop" dataDxfId="661"/>
    <tableColumn id="39" xr3:uid="{1A834F7B-3AF6-4A37-9BE6-D243EBE32011}" name="FTMop" dataDxfId="660"/>
    <tableColumn id="40" xr3:uid="{6A2994A5-A3AE-40F2-8036-160F8464F8A3}" name="FTAop" dataDxfId="659"/>
    <tableColumn id="41" xr3:uid="{860E30F8-F898-44AD-814B-51537378BAE6}" name="FTpop" dataDxfId="658"/>
    <tableColumn id="42" xr3:uid="{2C7A9EE9-B4FF-456D-A883-ECDB847BB036}" name="ORBop" dataDxfId="657"/>
    <tableColumn id="43" xr3:uid="{08D806A0-5D15-4EB5-BEA7-B94E0EF99A27}" name="DRBop" dataDxfId="656"/>
    <tableColumn id="44" xr3:uid="{89175B02-B87B-4176-A0F6-DB5AD7317309}" name="TRBop" dataDxfId="655"/>
    <tableColumn id="45" xr3:uid="{0CB61172-6E68-474E-976A-D17204125157}" name="ASTop" dataDxfId="654"/>
    <tableColumn id="46" xr3:uid="{57142DBA-A456-4DB3-9F69-516D4D5DB655}" name="STLop" dataDxfId="653"/>
    <tableColumn id="47" xr3:uid="{2B298B4E-24D7-4F79-8110-9F258E59B631}" name="BLKop" dataDxfId="652"/>
    <tableColumn id="48" xr3:uid="{16D3E648-2195-4E4D-B021-5EF582F0C78B}" name="TOVop" dataDxfId="651"/>
    <tableColumn id="49" xr3:uid="{BA5BF349-E4E5-4D67-973F-A4C3704DAAEF}" name="PFop" dataDxfId="650"/>
    <tableColumn id="50" xr3:uid="{B6E85B70-70DD-4D5C-B5C4-C556025D14F3}" name="TS%" dataDxfId="649"/>
    <tableColumn id="51" xr3:uid="{D337711A-D64F-41A3-9243-40E540BB20A5}" name="eFG%" dataDxfId="648"/>
    <tableColumn id="52" xr3:uid="{FF230F15-D658-482D-B23A-E0F2523EB588}" name="ORB%" dataDxfId="647"/>
    <tableColumn id="53" xr3:uid="{1EC374D6-E890-495D-A1E4-D43EEB5073E0}" name="DRB%" dataDxfId="646"/>
    <tableColumn id="54" xr3:uid="{4594CDEE-CD91-4859-887B-080ED092155D}" name="TRB%" dataDxfId="645"/>
    <tableColumn id="55" xr3:uid="{F361D5AE-33E1-47EC-AB6F-CDF2211CBAB4}" name="Poss" dataDxfId="644"/>
    <tableColumn id="56" xr3:uid="{A39386A6-67DF-4120-8F58-42B8A4C095FC}" name="AST%" dataDxfId="643"/>
    <tableColumn id="57" xr3:uid="{AEDBC5EC-DD24-4E26-8BD0-D6DF9BAC6AF3}" name="FTFGA%" dataDxfId="642"/>
    <tableColumn id="58" xr3:uid="{C61D968C-0515-49ED-85DD-84B86C9CE418}" name="TOV%" dataDxfId="641"/>
    <tableColumn id="59" xr3:uid="{565CBA24-0B00-4EBA-9C9E-B60D73EB885B}" name="ORtg" dataDxfId="640"/>
    <tableColumn id="60" xr3:uid="{474AB14A-54F8-4347-A079-7C32DBAC2A8A}" name="DRtg" dataDxfId="639"/>
    <tableColumn id="61" xr3:uid="{41E02F05-A0EE-4628-A082-7CB4D2433049}" name="Pace" dataDxfId="638"/>
    <tableColumn id="62" xr3:uid="{0DF79491-5572-4CE3-AC5F-C0C15FA12CC6}" name="TS%op" dataDxfId="637"/>
    <tableColumn id="63" xr3:uid="{C223AE32-9250-4510-A981-CA4B986847A5}" name="eFG%op" dataDxfId="636"/>
    <tableColumn id="64" xr3:uid="{C91CCBA2-511A-4244-B4FE-1C0E6E7D0B67}" name="ORB%op" dataDxfId="635"/>
    <tableColumn id="65" xr3:uid="{F06B2061-5B59-4651-BA55-37680BB891A8}" name="DRB%op" dataDxfId="634"/>
    <tableColumn id="66" xr3:uid="{6C977B8D-5F3E-4BA7-BF09-2D0BBBBF7266}" name="TRB%op" dataDxfId="633"/>
    <tableColumn id="67" xr3:uid="{000BCDFD-8353-42C4-A793-7C674F02A5AC}" name="Possop" dataDxfId="632"/>
    <tableColumn id="68" xr3:uid="{1C7A5488-8B88-4F5E-B6D0-18ECF5D4755B}" name="AST%op" dataDxfId="631"/>
    <tableColumn id="69" xr3:uid="{9FC7393D-7C76-4F39-93E7-1D3A627117F3}" name="FTFGA%op" dataDxfId="630"/>
    <tableColumn id="70" xr3:uid="{96B5DBC6-9C35-40D5-8F83-EF787530BD23}" name="TOV%op" dataDxfId="629"/>
    <tableColumn id="71" xr3:uid="{1EBC489F-1F4D-4846-B0D6-FBA65894693A}" name="ORtgop" dataDxfId="628"/>
    <tableColumn id="72" xr3:uid="{98C705E8-C893-4CFA-9ED8-71A1F96BABB9}" name="DRtgop" dataDxfId="627"/>
    <tableColumn id="73" xr3:uid="{E34BC45A-F815-421E-9B0F-2653C6426EC2}" name="Q1H" dataDxfId="626"/>
    <tableColumn id="74" xr3:uid="{42364CA5-940E-4299-A0FF-EAD8FBD2769E}" name="Q2H" dataDxfId="625"/>
    <tableColumn id="75" xr3:uid="{A9275125-B585-47F6-B79C-D84DB96CFA39}" name="Q3H" dataDxfId="624"/>
    <tableColumn id="76" xr3:uid="{C8C78C68-C6AE-480C-A67A-462B791F26FC}" name="Q4H" dataDxfId="623"/>
    <tableColumn id="77" xr3:uid="{FED23F29-6A2A-4087-AB58-8B9D586B4820}" name="Q1A" dataDxfId="622"/>
    <tableColumn id="78" xr3:uid="{3825066E-41BE-43CD-8900-87696178B12F}" name="Q2A" dataDxfId="621"/>
    <tableColumn id="79" xr3:uid="{E14D27AE-9E06-4931-9A35-701E0479B877}" name="Q3A" dataDxfId="620"/>
    <tableColumn id="80" xr3:uid="{09F91C65-9ECE-43D1-8D04-26C742F402E3}" name="Q4A" dataDxfId="619"/>
    <tableColumn id="81" xr3:uid="{FEE3289D-F450-4282-8E16-BF5B1D4D436D}" name="FhalfH" dataDxfId="618"/>
    <tableColumn id="82" xr3:uid="{A59A8227-7AD6-47A5-9436-6E5B8533C5C5}" name="ShalfH" dataDxfId="617"/>
    <tableColumn id="83" xr3:uid="{E6EAC3DD-CE88-4B34-9CB4-BEE2D6701A6D}" name="FhalfA" dataDxfId="616"/>
    <tableColumn id="84" xr3:uid="{40C7F669-74C2-4DA2-8DE7-AEF94AFEEFE7}" name="ShalfA" dataDxfId="615"/>
    <tableColumn id="85" xr3:uid="{52BCBF83-1C1C-4022-8F01-C7B04CECC905}" name="win" dataDxfId="614"/>
    <tableColumn id="86" xr3:uid="{4FE7AC42-0D66-44BC-AB60-A57FED5689F8}" name="lose" dataDxfId="613"/>
    <tableColumn id="87" xr3:uid="{80E14BAA-302B-43E7-A3C9-27D8AFF2279C}" name="foraH" dataDxfId="612"/>
    <tableColumn id="88" xr3:uid="{91FD2E00-95A2-4E50-BF0C-593F8CD9AD5F}" name="foraA" dataDxfId="611"/>
    <tableColumn id="89" xr3:uid="{A8ABD48C-36FB-4C46-9786-75C6DBAF535E}" name="total" dataDxfId="610"/>
    <tableColumn id="90" xr3:uid="{BC56832A-6AB9-4408-82B8-671D9C71F26E}" name="link" dataDxfId="609"/>
    <tableColumn id="91" xr3:uid="{20B1BEAB-2E93-4FD6-BB8B-CB729159A596}" name="abbr" dataDxfId="608">
      <calculatedColumnFormula>VLOOKUP(strasbourg[[#This Row],[Away_team]],all[[Full name]:[Abbr]],3,FALSE)</calculatedColumnFormula>
    </tableColumn>
    <tableColumn id="92" xr3:uid="{DC6E52C5-C646-4EA7-A6C3-60DFBE666DB3}" name="BetH" dataDxfId="607">
      <calculatedColumnFormula>IF(OR(strasbourg[[#This Row],[Result]]="w",strasbourg[[#This Row],[Result]]="dw"),strasbourg[[#This Row],[win]]-1,-1)</calculatedColumnFormula>
    </tableColumn>
    <tableColumn id="93" xr3:uid="{E73722BB-404F-4886-9A7A-5DEF3CB43B1E}" name="BetA" dataDxfId="606">
      <calculatedColumnFormula>IF(OR(strasbourg[[#This Row],[Result]]="L",strasbourg[[#This Row],[Result]]="dl"),strasbourg[[#This Row],[lose]]-1,-1)</calculatedColumnFormula>
    </tableColumn>
    <tableColumn id="94" xr3:uid="{927A4AAE-0158-4375-9118-3C61192D0865}" name="Tover" dataDxfId="605">
      <calculatedColumnFormula>IF(OR((strasbourg[[#This Row],[Home_scored]]+strasbourg[[#This Row],[Away_scored]])&gt;strasbourg[[#This Row],[total]],OR(strasbourg[[#This Row],[Result]]="dw",strasbourg[[#This Row],[Result]]="dl")),1,0)</calculatedColumnFormula>
    </tableColumn>
    <tableColumn id="95" xr3:uid="{21A444BB-6162-412A-BF3A-DD6CCE88986E}" name="Deviation" dataDxfId="604">
      <calculatedColumnFormula>ABS((strasbourg[[#This Row],[Home_scored]]+strasbourg[[#This Row],[Away_scored]])-strasbourg[[#This Row],[total]])+0.5</calculatedColumnFormula>
    </tableColumn>
  </tableColumns>
  <tableStyleInfo name="TableStyleMedium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5D344F38-C799-4DFA-A353-CE6FBE12D14B}" name="last5" displayName="last5" ref="A26:CW35" totalsRowShown="0">
  <autoFilter ref="A26:CW35" xr:uid="{5D344F38-C799-4DFA-A353-CE6FBE12D14B}"/>
  <tableColumns count="101">
    <tableColumn id="1" xr3:uid="{32562E73-9621-4672-9A14-E3B81F6CD268}" name="Tournament"/>
    <tableColumn id="2" xr3:uid="{9F3C6853-A073-4453-AFEC-025312F66FD9}" name="Home_team"/>
    <tableColumn id="3" xr3:uid="{6C4CE2C9-B783-42F0-9C1C-36D562C25D73}" name="Stage"/>
    <tableColumn id="4" xr3:uid="{0D3DFFA2-B793-47EC-9BE6-58C0B12BDF8C}" name="Date" dataDxfId="603"/>
    <tableColumn id="5" xr3:uid="{0D762F06-1AE7-4443-9125-EF7F164875FC}" name="Location"/>
    <tableColumn id="6" xr3:uid="{96BCC7C8-B1A8-4FBA-936C-224FF3236C57}" name="Away_team"/>
    <tableColumn id="7" xr3:uid="{F012545A-273A-4A2B-9A23-2C569F7DF51D}" name="Result"/>
    <tableColumn id="8" xr3:uid="{99B63A4C-2C96-4CF7-9CC6-C53A941D7B03}" name="Home_scored"/>
    <tableColumn id="9" xr3:uid="{341E853F-96DC-48DF-B455-A5DBA1498734}" name="Away_scored"/>
    <tableColumn id="10" xr3:uid="{59B75FF7-EBA7-4E42-9B57-C740490113DE}" name="FGM"/>
    <tableColumn id="11" xr3:uid="{8E6CC8CF-4100-471A-B7AA-00ED83325971}" name="FGA"/>
    <tableColumn id="12" xr3:uid="{0D467425-AABB-40EE-AEF8-63A7AA774CFE}" name="FGp"/>
    <tableColumn id="13" xr3:uid="{D3753BE0-8673-43E6-B6B3-C47F32984BBF}" name="P2M"/>
    <tableColumn id="14" xr3:uid="{33981401-5E23-4771-AF69-3C23F4CF6066}" name="P2A"/>
    <tableColumn id="15" xr3:uid="{9CC618BB-35D8-4B98-8164-5A63D5311489}" name="P2p"/>
    <tableColumn id="16" xr3:uid="{F208E0D2-6013-45C0-AFDB-C81D7B680E0C}" name="P3M"/>
    <tableColumn id="17" xr3:uid="{1E1650B6-71FA-4693-88BA-8EDBC04C5BB7}" name="P3A"/>
    <tableColumn id="18" xr3:uid="{6E9BC7AF-AC11-436C-89E8-D5E0AE923EDC}" name="P3p"/>
    <tableColumn id="19" xr3:uid="{F05E8B4D-4396-457C-8A66-9C1C547435AD}" name="FTM"/>
    <tableColumn id="20" xr3:uid="{0CFFC989-BAC0-49E8-97EC-9E65358B5E0D}" name="FTA"/>
    <tableColumn id="21" xr3:uid="{156DA36A-2A05-445F-8991-BE8DACC21773}" name="FTp"/>
    <tableColumn id="22" xr3:uid="{F6C0A22E-28E1-40BC-B482-306E2D30193A}" name="ORB"/>
    <tableColumn id="23" xr3:uid="{45CB7E16-D33C-46B5-9861-B9E301174DF8}" name="DRB"/>
    <tableColumn id="24" xr3:uid="{5334224C-9139-4A79-BCBB-ECDAA19FE712}" name="TRB"/>
    <tableColumn id="25" xr3:uid="{14C75D65-B474-4EF0-B0CD-8E4CEB888B25}" name="AST"/>
    <tableColumn id="26" xr3:uid="{BF5CC4C6-F5CE-43B2-A6F8-CAEF3BF3575E}" name="STL"/>
    <tableColumn id="27" xr3:uid="{AF683B5D-0AC7-4A2E-B6CD-10691450FBEB}" name="BLK"/>
    <tableColumn id="28" xr3:uid="{022CC3CF-89C3-40E5-B346-5DB09F400D5A}" name="TOV"/>
    <tableColumn id="29" xr3:uid="{FBA10596-BCF4-4765-A941-7D8C4EB99CD8}" name="PF"/>
    <tableColumn id="30" xr3:uid="{D7A8FE2A-B847-4FCC-B62A-271B4B5CB8DF}" name="FGMop"/>
    <tableColumn id="31" xr3:uid="{DDE4B8EE-2F6C-45DA-B2A9-A29048FABE35}" name="FGAop"/>
    <tableColumn id="32" xr3:uid="{F83BA96D-5A17-4FCB-BDC5-F992B384D6DA}" name="FGpop"/>
    <tableColumn id="33" xr3:uid="{698A981B-CDA1-4AA7-815A-25A96E3A3FA8}" name="P2Mop"/>
    <tableColumn id="34" xr3:uid="{0AC60546-645B-4AD9-BE68-88FA23A38ECD}" name="P2Aop"/>
    <tableColumn id="35" xr3:uid="{973CBDB9-AEB0-4149-A611-9D7259B81839}" name="P2pop"/>
    <tableColumn id="36" xr3:uid="{6BAB15BD-BFEC-4AE8-A741-AE7D99CE8C9F}" name="P3Mop"/>
    <tableColumn id="37" xr3:uid="{70BCED84-1072-4F4E-A876-14AC056509A4}" name="P3Aop"/>
    <tableColumn id="38" xr3:uid="{949B87A2-06BA-4A5A-8A25-E92E4AB405DB}" name="P3pop"/>
    <tableColumn id="39" xr3:uid="{AA408C28-F6F3-4FA5-B8DE-91764A38D0E7}" name="FTMop"/>
    <tableColumn id="40" xr3:uid="{1EF0DCBA-29A7-4C0A-A037-101EB7577466}" name="FTAop"/>
    <tableColumn id="41" xr3:uid="{BA908917-D45B-4829-A2B4-F10E713A32E1}" name="FTpop"/>
    <tableColumn id="42" xr3:uid="{EF4EFFAA-476F-4119-B319-FC54B657F81C}" name="ORBop"/>
    <tableColumn id="43" xr3:uid="{B4A3C9E2-C957-48B1-800D-620EAFE9DE46}" name="DRBop"/>
    <tableColumn id="44" xr3:uid="{73283366-7C1F-4207-B672-67FA944061E6}" name="TRBop"/>
    <tableColumn id="45" xr3:uid="{226E7085-F5CC-4B2B-A686-B86452480FB3}" name="ASTop"/>
    <tableColumn id="46" xr3:uid="{C70E6D97-F48E-4757-84C7-66E02F3A11D4}" name="STLop"/>
    <tableColumn id="47" xr3:uid="{F4BABD06-CC5C-4F8A-8AD2-FA1707D15D72}" name="BLKop"/>
    <tableColumn id="48" xr3:uid="{98F688B7-2799-43B5-8642-65650F8F3F7E}" name="TOVop"/>
    <tableColumn id="49" xr3:uid="{7A952DFE-9825-4336-B538-7194CDDD79AA}" name="PFop"/>
    <tableColumn id="50" xr3:uid="{A5887BDE-14CF-4688-BC92-27CD616B00C1}" name="TS%"/>
    <tableColumn id="51" xr3:uid="{E7F0EE68-DA38-41A3-82B7-65F2E8C273D7}" name="eFG%"/>
    <tableColumn id="52" xr3:uid="{CEB98EAF-8E1D-4553-A10C-22F6ED07B0CE}" name="ORB%"/>
    <tableColumn id="53" xr3:uid="{A92EABBF-8005-4EC4-9A70-1E8B27917F99}" name="DRB%"/>
    <tableColumn id="54" xr3:uid="{4202672B-1E7A-41AE-B522-2E29D226BD20}" name="TRB%"/>
    <tableColumn id="55" xr3:uid="{C427397D-A2E9-48BC-8AF7-AE9332AE3723}" name="Poss"/>
    <tableColumn id="56" xr3:uid="{DAAB2C9F-205A-40B8-9F76-E6FDF75E0809}" name="AST%"/>
    <tableColumn id="57" xr3:uid="{1EB49BA2-6A04-4A55-A0C5-2C2C702B4EC5}" name="FTFGA%"/>
    <tableColumn id="58" xr3:uid="{B26CB427-4FCA-4DA7-9474-E909CEC147EE}" name="TOV%"/>
    <tableColumn id="59" xr3:uid="{7FF9619C-D90C-40EB-99C1-68191BA68C00}" name="ORtg"/>
    <tableColumn id="60" xr3:uid="{728B263A-05BE-40FC-AE3F-9F13FA527B2D}" name="DRtg"/>
    <tableColumn id="61" xr3:uid="{C2F9CCB9-CB21-4F63-BE08-92186A9CFEF1}" name="Pace"/>
    <tableColumn id="62" xr3:uid="{665DC95E-8847-4A3A-83F3-5CF90B28A6D2}" name="TS%op"/>
    <tableColumn id="63" xr3:uid="{72C53A7B-2D1A-4D61-948B-862D01126195}" name="eFG%op"/>
    <tableColumn id="64" xr3:uid="{2EA0CA8F-EF4E-4D7E-ADBB-189F48F8C6B3}" name="ORB%op"/>
    <tableColumn id="65" xr3:uid="{55BC495E-2DEC-4737-93CF-AF15330434C8}" name="DRB%op"/>
    <tableColumn id="66" xr3:uid="{C457CE5D-0454-4423-820F-DE092A484B70}" name="TRB%op"/>
    <tableColumn id="67" xr3:uid="{3FD96CD4-2532-4E0C-9B23-FC0D57411618}" name="Possop"/>
    <tableColumn id="68" xr3:uid="{55EB20DC-A07E-4B97-88B9-A96753019954}" name="AST%op"/>
    <tableColumn id="69" xr3:uid="{C9A65CF5-E816-4A0C-A55C-601584AC510F}" name="FTFGA%op"/>
    <tableColumn id="70" xr3:uid="{EB6A9A5F-12A5-47DD-8708-7F4F362065A4}" name="TOV%op"/>
    <tableColumn id="71" xr3:uid="{B9AB7DF7-F128-487D-A3A1-A173AFAF5F7C}" name="ORtgop"/>
    <tableColumn id="72" xr3:uid="{92145C47-90CA-43FF-AB5B-7281911F8195}" name="DRtgop"/>
    <tableColumn id="73" xr3:uid="{88265ECD-6007-4BF1-9DE3-7FAD556D2039}" name="Q1H"/>
    <tableColumn id="74" xr3:uid="{70AF1AEC-86DD-4DD7-9A74-470895255A80}" name="Q2H"/>
    <tableColumn id="75" xr3:uid="{BDDA4EFC-5D24-4D95-A3BA-1BC1DF81F19E}" name="Q3H"/>
    <tableColumn id="76" xr3:uid="{3CEC15B0-B29F-4FF0-88B2-25D73E906A7B}" name="Q4H"/>
    <tableColumn id="77" xr3:uid="{704CD236-0952-4B4A-85DF-2A331CFBA35D}" name="Q1A"/>
    <tableColumn id="78" xr3:uid="{8A3241CC-9A03-4D4B-8E71-8725001BF657}" name="Q2A"/>
    <tableColumn id="79" xr3:uid="{2386D234-5D7A-4B53-98A5-08A8C4310907}" name="Q3A"/>
    <tableColumn id="80" xr3:uid="{97C87D62-5B2F-4F78-8D9A-47253A5603E3}" name="Q4A"/>
    <tableColumn id="81" xr3:uid="{53B720D0-00F2-4690-8DA2-4FB08F6B8735}" name="FhalfH"/>
    <tableColumn id="82" xr3:uid="{4AFECECE-DD9A-49AA-AED4-3CF96BC6C9D0}" name="ShalfH"/>
    <tableColumn id="83" xr3:uid="{681DB384-279C-4CC8-AAD4-5A2490A74F5A}" name="FhalfA"/>
    <tableColumn id="84" xr3:uid="{66910696-D6D7-4819-B13C-55B33FA30AF9}" name="ShalfA"/>
    <tableColumn id="85" xr3:uid="{5B6FC20D-8027-4C9B-BB5B-1E3B0DDB2606}" name="win"/>
    <tableColumn id="86" xr3:uid="{88277530-86F6-4AAE-9044-9204BB30D0C2}" name="lose"/>
    <tableColumn id="87" xr3:uid="{8AC2E16C-015A-4B30-AE76-BD1D1486D24E}" name="foraH"/>
    <tableColumn id="88" xr3:uid="{A47F32D0-FF6E-47B9-8AD8-42CE6A542BB6}" name="foraA"/>
    <tableColumn id="89" xr3:uid="{F263B59F-8652-4967-9F09-7B4D7A93E237}" name="total"/>
    <tableColumn id="90" xr3:uid="{B85ED32F-4DFA-4452-9B3C-67F85E9D83BA}" name="link"/>
    <tableColumn id="91" xr3:uid="{D6970C9D-A87C-4951-A1F6-C324EB1C34E0}" name="abbr"/>
    <tableColumn id="92" xr3:uid="{5DA45D12-AA54-4F51-8C1B-E3DAF99F6252}" name="Q1T" dataDxfId="602">
      <calculatedColumnFormula>last5[[#This Row],[Q1H]]+last5[[#This Row],[Q1A]]</calculatedColumnFormula>
    </tableColumn>
    <tableColumn id="93" xr3:uid="{0390BED2-8AB9-438C-BFC7-81C9BD40A3DF}" name="Q2T" dataDxfId="601">
      <calculatedColumnFormula>last5[[#This Row],[Q2H]]+last5[[#This Row],[Q2A]]</calculatedColumnFormula>
    </tableColumn>
    <tableColumn id="94" xr3:uid="{CA7C0AD5-52F8-4C19-B286-CB9AEF5E2CFC}" name="Q3T" dataDxfId="600">
      <calculatedColumnFormula>last5[[#This Row],[Q3H]]+last5[[#This Row],[Q3A]]</calculatedColumnFormula>
    </tableColumn>
    <tableColumn id="95" xr3:uid="{594C7C0C-D0CE-4FD7-9F9A-FE0E16504F42}" name="Q4T" dataDxfId="599">
      <calculatedColumnFormula>last5[[#This Row],[Q4H]]+last5[[#This Row],[Q4A]]</calculatedColumnFormula>
    </tableColumn>
    <tableColumn id="96" xr3:uid="{50A4566C-DBC2-4A9D-9A9A-9FC4AE06932A}" name="FHT" dataDxfId="598">
      <calculatedColumnFormula>last5[[#This Row],[FhalfH]]+last5[[#This Row],[FhalfA]]</calculatedColumnFormula>
    </tableColumn>
    <tableColumn id="97" xr3:uid="{AC8EF431-7F81-47D4-B0C3-7B8C6AAD4FB4}" name="SHT" dataDxfId="597">
      <calculatedColumnFormula>last5[[#This Row],[ShalfH]]+last5[[#This Row],[ShalfA]]</calculatedColumnFormula>
    </tableColumn>
    <tableColumn id="98" xr3:uid="{AE12D122-4B89-4AFA-B47C-A5927315DF6E}" name="BetH" dataDxfId="596">
      <calculatedColumnFormula>INDEX(INDIRECT($B$33 &amp; "[BetH]"), ROWS(INDIRECT(B33 &amp; "[BetH]")) - 4 + 1)</calculatedColumnFormula>
    </tableColumn>
    <tableColumn id="99" xr3:uid="{9E036D34-8515-4A2D-90AD-A267A9E9B64A}" name="BetA" dataDxfId="595"/>
    <tableColumn id="100" xr3:uid="{EDAE6B13-7D83-476E-9763-153DCB33A8F8}" name="Tover" dataDxfId="594"/>
    <tableColumn id="101" xr3:uid="{4C2E33E3-183E-441E-884A-B4CF41F88DD3}" name="Deviation" dataDxfId="59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10E654FC-CD16-40FB-A257-27C4AA5D7C93}" name="last5away" displayName="last5away" ref="A43:CW52" totalsRowShown="0">
  <autoFilter ref="A43:CW52" xr:uid="{10E654FC-CD16-40FB-A257-27C4AA5D7C93}"/>
  <tableColumns count="101">
    <tableColumn id="1" xr3:uid="{973F9A29-B0AE-49C5-9054-4DCFE7E47919}" name="Tournament"/>
    <tableColumn id="2" xr3:uid="{8A2E0C8A-3617-4C84-80F9-6A6A57EC8EE4}" name="Home_team"/>
    <tableColumn id="3" xr3:uid="{ECCC7B5D-C645-4A03-9D6A-C32FB887D721}" name="Stage"/>
    <tableColumn id="4" xr3:uid="{F8D4DF05-62AE-44AD-8610-A52EB5D64809}" name="Date" dataDxfId="592"/>
    <tableColumn id="5" xr3:uid="{EDA05F00-A099-45D9-9248-D71BD8E8CD22}" name="Location"/>
    <tableColumn id="6" xr3:uid="{32BB44C7-923C-4C24-B9BE-8425B84C68CC}" name="Away_team"/>
    <tableColumn id="7" xr3:uid="{E6756824-232F-4226-937F-E0A15CE62E87}" name="Result"/>
    <tableColumn id="8" xr3:uid="{2DEA6728-873F-46E7-AD08-122B28C65702}" name="Home_scored"/>
    <tableColumn id="9" xr3:uid="{51475414-C7EA-4A69-A388-B86F18EFEBA1}" name="Away_scored"/>
    <tableColumn id="10" xr3:uid="{CF7778F5-50B9-4A96-91B2-0F10DABB077B}" name="FGM"/>
    <tableColumn id="11" xr3:uid="{62F3D701-A7BD-4BD3-BF0A-04F327D9FA6A}" name="FGA"/>
    <tableColumn id="12" xr3:uid="{D641F727-E592-41F6-ABF2-FA088752D3D9}" name="FGp"/>
    <tableColumn id="13" xr3:uid="{03B883FB-0038-4CCD-A9CC-45ADFD441728}" name="P2M"/>
    <tableColumn id="14" xr3:uid="{EAFAD311-B0B5-4928-B245-6AF2E671B108}" name="P2A"/>
    <tableColumn id="15" xr3:uid="{0E20B4EB-774B-4D2B-8B16-B507C7A7F5E7}" name="P2p"/>
    <tableColumn id="16" xr3:uid="{197AEB0B-F7C8-4E3A-90DD-D6E525D2C274}" name="P3M"/>
    <tableColumn id="17" xr3:uid="{9099DC64-D1CE-456E-BCE5-3FD88B644516}" name="P3A"/>
    <tableColumn id="18" xr3:uid="{E47BE442-0FD0-4760-BBB3-4C3DFF4A7384}" name="P3p"/>
    <tableColumn id="19" xr3:uid="{AFA139DA-BE53-4E1F-BDED-E8AEE89447DE}" name="FTM"/>
    <tableColumn id="20" xr3:uid="{3D602EF9-5611-4285-8649-B48C8190F55F}" name="FTA"/>
    <tableColumn id="21" xr3:uid="{B43F103D-4658-4ACC-A880-3A7D03C87AFB}" name="FTp"/>
    <tableColumn id="22" xr3:uid="{DBC2FD8D-57A5-42B3-B673-C6DC4D3B609A}" name="ORB"/>
    <tableColumn id="23" xr3:uid="{1A874354-7642-4BB7-9768-BADEA07361DB}" name="DRB"/>
    <tableColumn id="24" xr3:uid="{D1C612B6-9A24-4791-933E-DA0AF88647F1}" name="TRB"/>
    <tableColumn id="25" xr3:uid="{418B70E7-7258-42CC-911E-A9A5EF2DAC3A}" name="AST"/>
    <tableColumn id="26" xr3:uid="{39611447-4137-4882-84BD-500DC9C2BAB3}" name="STL"/>
    <tableColumn id="27" xr3:uid="{3D8A8DE3-66FD-41EB-98EB-03A63348187A}" name="BLK"/>
    <tableColumn id="28" xr3:uid="{B6BC5AE9-7C39-4AA9-A23E-44BE5142A37E}" name="TOV"/>
    <tableColumn id="29" xr3:uid="{64D46E5A-9BF2-4C47-9DF9-C6D28C10F1DD}" name="PF"/>
    <tableColumn id="30" xr3:uid="{28AC152F-02D8-4DB8-9476-CBE5D269B311}" name="FGMop"/>
    <tableColumn id="31" xr3:uid="{AD2F7A96-2006-40C4-A4DC-6BC260BBAA9B}" name="FGAop"/>
    <tableColumn id="32" xr3:uid="{A60F3BE5-78F3-4BBE-B203-50D242D53EE8}" name="FGpop"/>
    <tableColumn id="33" xr3:uid="{84501E4C-2C4F-4C8A-92C3-D78D6DCC2B13}" name="P2Mop"/>
    <tableColumn id="34" xr3:uid="{B90E9385-7F5D-470F-B3A2-82AF30053D85}" name="P2Aop"/>
    <tableColumn id="35" xr3:uid="{9A80C439-3651-48EF-A71E-C80A0BFB18F4}" name="P2pop"/>
    <tableColumn id="36" xr3:uid="{6062B99C-F7E2-41AF-9B97-50B14DDCBCEB}" name="P3Mop"/>
    <tableColumn id="37" xr3:uid="{4B831FFC-9D9F-4C41-9906-5B052C36FAEC}" name="P3Aop"/>
    <tableColumn id="38" xr3:uid="{28E5C282-20F5-4254-8062-5C1FE37881D7}" name="P3pop"/>
    <tableColumn id="39" xr3:uid="{ADC8478B-7396-4EF9-B4CB-0D3255C7CC4D}" name="FTMop"/>
    <tableColumn id="40" xr3:uid="{356719D6-6A99-473A-8E62-B0129CEBE3E6}" name="FTAop"/>
    <tableColumn id="41" xr3:uid="{AB33FE80-E9C1-48A6-B0F5-5DA577A68C90}" name="FTpop"/>
    <tableColumn id="42" xr3:uid="{1E85C499-3089-4929-AD99-59CDF2650E26}" name="ORBop"/>
    <tableColumn id="43" xr3:uid="{69BDCBE2-E786-42E0-93E4-D3B4A28835EC}" name="DRBop"/>
    <tableColumn id="44" xr3:uid="{48D0FAE7-472F-44B1-8F4D-CC5813909D2A}" name="TRBop"/>
    <tableColumn id="45" xr3:uid="{7C55CB32-A16D-4B22-BCB2-6B8E56340BDC}" name="ASTop"/>
    <tableColumn id="46" xr3:uid="{BC05C01C-4E44-4183-BEB1-A2BBBDAD4DCE}" name="STLop"/>
    <tableColumn id="47" xr3:uid="{A7311A5E-ACE2-46BF-BF6B-6C0759086690}" name="BLKop"/>
    <tableColumn id="48" xr3:uid="{1146D54C-843C-4AD6-8DF1-B53CC645384A}" name="TOVop"/>
    <tableColumn id="49" xr3:uid="{13D05B85-7EFB-4CE1-A952-0611EEC14750}" name="PFop"/>
    <tableColumn id="50" xr3:uid="{271E78EF-C872-4B57-9803-BD4A1B112C12}" name="TS%"/>
    <tableColumn id="51" xr3:uid="{B797D946-8197-40F7-B680-B65CE3495355}" name="eFG%"/>
    <tableColumn id="52" xr3:uid="{903C9B3E-34A2-4550-83EF-594AA0E76446}" name="ORB%"/>
    <tableColumn id="53" xr3:uid="{DE23F950-065B-40E7-9B51-55E6414C2CF4}" name="DRB%"/>
    <tableColumn id="54" xr3:uid="{D73BECB9-0D71-42A2-BD4F-ABD0333F711D}" name="TRB%"/>
    <tableColumn id="55" xr3:uid="{237127BE-E6E8-4203-9D1E-AFE1CAD313AF}" name="Poss"/>
    <tableColumn id="56" xr3:uid="{0BDE7B08-B529-4FFB-B941-CE8C5EA78C7C}" name="AST%"/>
    <tableColumn id="57" xr3:uid="{0A8EDE92-F2D7-4DAB-A9E1-799EDBDF1C05}" name="FTFGA%"/>
    <tableColumn id="58" xr3:uid="{C4089791-C682-4CB5-87ED-E39B2AFE5C89}" name="TOV%"/>
    <tableColumn id="59" xr3:uid="{125E6B79-C772-41C1-ADC0-FA7EF2FA4430}" name="ORtg"/>
    <tableColumn id="60" xr3:uid="{39A9BA38-FCD0-4C1A-B460-EE4ADA398D1B}" name="DRtg"/>
    <tableColumn id="61" xr3:uid="{D7668ADD-89D2-4797-8725-C85E7764A4C4}" name="Pace"/>
    <tableColumn id="62" xr3:uid="{3D67D62D-4F65-4F2C-BC4C-9D4DD3CD1C56}" name="TS%op"/>
    <tableColumn id="63" xr3:uid="{2924A9C3-A8BB-4389-99F6-531A2D792CB2}" name="eFG%op"/>
    <tableColumn id="64" xr3:uid="{388C1C5E-7EB8-4379-9F14-161B1CB574CC}" name="ORB%op"/>
    <tableColumn id="65" xr3:uid="{A97C7E2C-04A2-4B21-9687-CE69B91E21D7}" name="DRB%op"/>
    <tableColumn id="66" xr3:uid="{C39D5EBC-4472-4F9E-B84F-EFB386DE61F2}" name="TRB%op"/>
    <tableColumn id="67" xr3:uid="{92BD1A08-B53C-4E11-95EB-1955D8357817}" name="Possop"/>
    <tableColumn id="68" xr3:uid="{354D9250-26DA-4B58-A74A-089F88A88B7E}" name="AST%op"/>
    <tableColumn id="69" xr3:uid="{1F9CEC4E-76A1-457E-BD79-4198ABC209D5}" name="FTFGA%op"/>
    <tableColumn id="70" xr3:uid="{F22C97B6-B1A4-4AE0-85D2-B2EB60C41EAA}" name="TOV%op"/>
    <tableColumn id="71" xr3:uid="{EBFFA34B-E42A-4E8E-A12D-CE4395888BD4}" name="ORtgop"/>
    <tableColumn id="72" xr3:uid="{1314A92B-DD7F-4365-8F31-09643CCA2FCE}" name="DRtgop"/>
    <tableColumn id="73" xr3:uid="{8BEE0BB3-F13E-46A6-8F1A-603B58C0DEE7}" name="Q1H"/>
    <tableColumn id="74" xr3:uid="{F59E7214-ECBC-40A8-A590-99B7B6E409D3}" name="Q2H"/>
    <tableColumn id="75" xr3:uid="{8B12B1E2-7B03-45AF-8EED-5EF9BA9050D1}" name="Q3H"/>
    <tableColumn id="76" xr3:uid="{659049B3-150D-427F-B684-17AAB9A6E912}" name="Q4H"/>
    <tableColumn id="77" xr3:uid="{BE85FA7D-7E2A-412C-B210-AB626036802E}" name="Q1A"/>
    <tableColumn id="78" xr3:uid="{9B509341-A8D4-450E-8EEF-FE9F9D82DA38}" name="Q2A"/>
    <tableColumn id="79" xr3:uid="{661872F3-CFC0-43DE-B20D-72FD178F590A}" name="Q3A"/>
    <tableColumn id="80" xr3:uid="{F5553F14-8E98-4B0B-A31C-098240828BE5}" name="Q4A"/>
    <tableColumn id="81" xr3:uid="{5E61EF96-E232-4AB6-A306-A813AF3902A9}" name="FhalfH"/>
    <tableColumn id="82" xr3:uid="{0CB1E85E-01A0-4924-B4FE-3CFA5A279A4D}" name="ShalfH"/>
    <tableColumn id="83" xr3:uid="{7AA20DFB-C3AD-4AE7-9CBA-589BA4AA443C}" name="FhalfA"/>
    <tableColumn id="84" xr3:uid="{81CA5548-6FA6-422C-90FF-F6BDA4A7EF64}" name="ShalfA"/>
    <tableColumn id="85" xr3:uid="{5208900B-098F-4B93-89FE-416BD43C2E38}" name="win"/>
    <tableColumn id="86" xr3:uid="{777A0EAF-49B9-4CCE-8FD7-05342720DD1F}" name="lose"/>
    <tableColumn id="87" xr3:uid="{CE8FE4EF-29DD-4CFB-88CA-3279D1E99CF8}" name="foraH"/>
    <tableColumn id="88" xr3:uid="{B2439363-E0C5-4A3C-A642-63E78931A45C}" name="foraA"/>
    <tableColumn id="89" xr3:uid="{5C33A186-0B16-4382-8C90-D51B4C6EE44C}" name="total"/>
    <tableColumn id="90" xr3:uid="{1ED058C5-9757-498F-9F21-D69D1D7AD817}" name="link"/>
    <tableColumn id="91" xr3:uid="{0F59FA49-1A6F-4801-AB5C-952CCF713F7E}" name="abbr"/>
    <tableColumn id="92" xr3:uid="{3A47DDF6-A7AF-4D23-B6AE-BE2BB6ED3FB8}" name="Q1T" dataDxfId="591">
      <calculatedColumnFormula>last5[[#This Row],[Q1H]]+last5[[#This Row],[Q1A]]</calculatedColumnFormula>
    </tableColumn>
    <tableColumn id="93" xr3:uid="{7E0157C0-C308-46E0-8890-20815C90CF70}" name="Q2T" dataDxfId="590">
      <calculatedColumnFormula>last5[[#This Row],[Q2H]]+last5[[#This Row],[Q2A]]</calculatedColumnFormula>
    </tableColumn>
    <tableColumn id="94" xr3:uid="{6983E675-943F-448A-AE6D-22B2D6872D75}" name="Q3T" dataDxfId="589">
      <calculatedColumnFormula>last5[[#This Row],[Q3H]]+last5[[#This Row],[Q3A]]</calculatedColumnFormula>
    </tableColumn>
    <tableColumn id="95" xr3:uid="{9A5B0813-FDE6-4ECF-8695-6D01B69A841F}" name="Q4T" dataDxfId="588">
      <calculatedColumnFormula>last5[[#This Row],[Q4H]]+last5[[#This Row],[Q4A]]</calculatedColumnFormula>
    </tableColumn>
    <tableColumn id="96" xr3:uid="{284F008A-E999-4C55-BB1A-B58ED81FFB83}" name="FHT" dataDxfId="587">
      <calculatedColumnFormula>last5[[#This Row],[FhalfH]]+last5[[#This Row],[FhalfA]]</calculatedColumnFormula>
    </tableColumn>
    <tableColumn id="97" xr3:uid="{DFE02FCF-1FC0-4EBD-B27A-C7B3D8BAE9D9}" name="SHT" dataDxfId="586">
      <calculatedColumnFormula>last5[[#This Row],[ShalfH]]+last5[[#This Row],[ShalfA]]</calculatedColumnFormula>
    </tableColumn>
    <tableColumn id="98" xr3:uid="{7A2DFBA2-147F-4C24-84C0-A2DFE2C0AD77}" name="BetH" dataDxfId="585"/>
    <tableColumn id="99" xr3:uid="{3868A370-AB23-451E-9A5A-4846F357DAD6}" name="BetA" dataDxfId="584"/>
    <tableColumn id="100" xr3:uid="{16F828EE-8BF2-422E-BC9F-56084D823C98}" name="Tover" dataDxfId="583"/>
    <tableColumn id="101" xr3:uid="{99E2CCC2-8C98-4E86-B67F-BCBE8F93BCF9}" name="Deviation" dataDxfId="582"/>
  </tableColumns>
  <tableStyleInfo name="TableStyleMedium3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5E6F982-701F-4CCD-ACF7-9F48263008CC}" name="all" displayName="all" ref="A1:GD17" totalsRowShown="0">
  <autoFilter ref="A1:GD17" xr:uid="{05E6F982-701F-4CCD-ACF7-9F48263008CC}"/>
  <tableColumns count="186">
    <tableColumn id="1" xr3:uid="{6E9FD50B-525C-4853-8B4F-BC7542D4050E}" name="Team" dataCellStyle="Hyperlink"/>
    <tableColumn id="160" xr3:uid="{E69D2D20-E6F9-4A4A-B0BF-3AAACA8BD7FE}" name="Full name"/>
    <tableColumn id="159" xr3:uid="{10C605B0-4CBC-4A82-A521-FFBE1325A1B4}" name="Table name"/>
    <tableColumn id="162" xr3:uid="{9F201668-9689-4F3F-BCD3-3A63A6C0138B}" name="Abbr"/>
    <tableColumn id="167" xr3:uid="{A3F198A7-33F7-44E0-AC67-E3639759F654}" name="rating_rg">
      <calculatedColumnFormula>_xlfn.RANK.EQ(all[[#This Row],[AVG_RT]],all[AVG_RT],1)</calculatedColumnFormula>
    </tableColumn>
    <tableColumn id="2" xr3:uid="{9DA8F85A-BAF2-47EC-9CA0-098CF36393BA}" name="PM" dataDxfId="581"/>
    <tableColumn id="3" xr3:uid="{637E8063-1E91-4858-BE12-1A5D199D850C}" name="PM_Rg" dataDxfId="580">
      <calculatedColumnFormula>_xlfn.RANK.EQ(all[[#This Row],[PM]],all[PM])</calculatedColumnFormula>
    </tableColumn>
    <tableColumn id="4" xr3:uid="{E9EDB681-A1F3-4714-9518-E4ACD9EC6C2D}" name="PC" dataDxfId="579"/>
    <tableColumn id="5" xr3:uid="{ED078C4B-FB36-48D0-A495-2478BCD07310}" name="PC_Rg" dataDxfId="578">
      <calculatedColumnFormula>_xlfn.RANK.EQ(all[[#This Row],[PC]],all[PC],1)</calculatedColumnFormula>
    </tableColumn>
    <tableColumn id="6" xr3:uid="{F85DA58B-D818-49E9-AE3C-2504428F6489}" name="FGA" dataDxfId="577"/>
    <tableColumn id="7" xr3:uid="{6ABEE0EE-B00B-4525-A4C8-DDD32A4E10BA}" name="FGA_Rg" dataDxfId="576">
      <calculatedColumnFormula>_xlfn.RANK.EQ(all[[#This Row],[FGA]],all[FGA])</calculatedColumnFormula>
    </tableColumn>
    <tableColumn id="8" xr3:uid="{DA61FA36-3EB5-4BDA-976B-0610F8310E13}" name="FGM" dataDxfId="575"/>
    <tableColumn id="9" xr3:uid="{F3EB13E6-A203-4FD0-8FC2-24D53A9FE11D}" name="FGM_Rg" dataDxfId="574">
      <calculatedColumnFormula>_xlfn.RANK.EQ(all[[#This Row],[FGM]],all[FGM])</calculatedColumnFormula>
    </tableColumn>
    <tableColumn id="10" xr3:uid="{49B650F9-16CB-44D4-910E-061DB38AFF9D}" name="FGp" dataDxfId="573"/>
    <tableColumn id="11" xr3:uid="{D42D114C-8C6D-4ACC-9163-FB8201D79DA8}" name="FGp_Rg" dataDxfId="572">
      <calculatedColumnFormula>_xlfn.RANK.EQ(all[[#This Row],[FGp]],all[FGp])</calculatedColumnFormula>
    </tableColumn>
    <tableColumn id="12" xr3:uid="{EAAA957C-4016-47CE-8B75-C6A2B1E65DEB}" name="P2M" dataDxfId="571"/>
    <tableColumn id="13" xr3:uid="{82FDE3EE-5527-464C-A7A5-8BE034052AA5}" name="P2M_Rg" dataDxfId="570">
      <calculatedColumnFormula>_xlfn.RANK.EQ(all[[#This Row],[P2M]],all[P2M])</calculatedColumnFormula>
    </tableColumn>
    <tableColumn id="14" xr3:uid="{0CB7F1DB-B00E-4A38-9E57-27AD2592D6C7}" name="P2A" dataDxfId="569"/>
    <tableColumn id="15" xr3:uid="{4CB64AD5-C436-4414-BF0F-D8D8F05E771A}" name="P2A_Rg" dataDxfId="568">
      <calculatedColumnFormula>_xlfn.RANK.EQ(all[[#This Row],[P2A]],all[P2A])</calculatedColumnFormula>
    </tableColumn>
    <tableColumn id="16" xr3:uid="{65703E13-9D4A-4FE5-957B-05A5D11B45CE}" name="P2p" dataDxfId="567"/>
    <tableColumn id="17" xr3:uid="{8087DA35-0A6B-491E-848A-4193CF47541E}" name="P2p_Rg" dataDxfId="566">
      <calculatedColumnFormula>_xlfn.RANK.EQ(all[[#This Row],[P2p]],all[P2p])</calculatedColumnFormula>
    </tableColumn>
    <tableColumn id="18" xr3:uid="{CECD6CC4-6EB1-43D6-8060-BF4338E8A284}" name="P3M" dataDxfId="565"/>
    <tableColumn id="19" xr3:uid="{3EF88BC1-7947-4C14-9CD8-DAB8D54D9D6C}" name="P3M_Rg" dataDxfId="564">
      <calculatedColumnFormula>_xlfn.RANK.EQ(all[[#This Row],[P3M]],all[P3M])</calculatedColumnFormula>
    </tableColumn>
    <tableColumn id="20" xr3:uid="{32B5EF17-8C37-4021-8AA8-C182694F691B}" name="P3A" dataDxfId="563"/>
    <tableColumn id="21" xr3:uid="{497C93C9-B31D-40E3-A93F-B62986D7CEF2}" name="P3A_Rg" dataDxfId="562">
      <calculatedColumnFormula>_xlfn.RANK.EQ(all[[#This Row],[P3A]],all[P3A])</calculatedColumnFormula>
    </tableColumn>
    <tableColumn id="22" xr3:uid="{2B5ADD87-3E3B-4325-842C-FBE3FB2E46FC}" name="P3p" dataDxfId="561"/>
    <tableColumn id="23" xr3:uid="{9A501106-7277-4215-AF3D-45AC1179FB0E}" name="P3p_Rg" dataDxfId="560">
      <calculatedColumnFormula>_xlfn.RANK.EQ(all[[#This Row],[P3p]],all[P3p])</calculatedColumnFormula>
    </tableColumn>
    <tableColumn id="24" xr3:uid="{887E4781-932A-4635-9444-C6BDC7A2B9DA}" name="FTM" dataDxfId="559"/>
    <tableColumn id="25" xr3:uid="{5B9C410B-5956-4649-AB95-3EDF65BE2247}" name="FTM_Rg" dataDxfId="558">
      <calculatedColumnFormula>_xlfn.RANK.EQ(all[[#This Row],[FTM]],all[FTM])</calculatedColumnFormula>
    </tableColumn>
    <tableColumn id="26" xr3:uid="{D29CED6B-63FA-4385-B58F-8C3F9EE51BCE}" name="FTA" dataDxfId="557"/>
    <tableColumn id="27" xr3:uid="{0A91695A-71E3-4570-AFFC-12305F6847E8}" name="FTA_Rg" dataDxfId="556">
      <calculatedColumnFormula>_xlfn.RANK.EQ(all[[#This Row],[FTA]],all[FTA])</calculatedColumnFormula>
    </tableColumn>
    <tableColumn id="28" xr3:uid="{26D8A4A8-511F-485A-BB44-25F24F0CB485}" name="FTp" dataDxfId="555"/>
    <tableColumn id="29" xr3:uid="{8353F83F-A08E-44A6-A2E9-6E5AB82AB294}" name="FTp_Rg" dataDxfId="554">
      <calculatedColumnFormula>_xlfn.RANK.EQ(all[[#This Row],[FTp]],all[FTp])</calculatedColumnFormula>
    </tableColumn>
    <tableColumn id="30" xr3:uid="{322CD2C6-EAA3-4393-9727-F351C54C3F35}" name="ORB" dataDxfId="553"/>
    <tableColumn id="31" xr3:uid="{7EFB68C7-3C4D-4721-8566-70A99BD0E190}" name="ORB_Rg" dataDxfId="552">
      <calculatedColumnFormula>_xlfn.RANK.EQ(all[[#This Row],[ORB]],all[ORB])</calculatedColumnFormula>
    </tableColumn>
    <tableColumn id="32" xr3:uid="{21B76BD7-0AFB-4F43-981E-AE1B7CD243F3}" name="DRB" dataDxfId="551"/>
    <tableColumn id="33" xr3:uid="{BF84B144-5D1B-4DCE-88AC-4873655F0834}" name="DRB_Rg" dataDxfId="550">
      <calculatedColumnFormula>_xlfn.RANK.EQ(all[[#This Row],[DRB]],all[DRB])</calculatedColumnFormula>
    </tableColumn>
    <tableColumn id="34" xr3:uid="{A2CAE6C1-7FDF-436D-A431-7DE3C720ED7D}" name="TRB" dataDxfId="549"/>
    <tableColumn id="35" xr3:uid="{4F187AD6-4BEC-4F46-A940-FBCEA78B7090}" name="TRB_Rg" dataDxfId="548">
      <calculatedColumnFormula>_xlfn.RANK.EQ(all[[#This Row],[TRB]],all[TRB])</calculatedColumnFormula>
    </tableColumn>
    <tableColumn id="36" xr3:uid="{E0752381-31B6-4F00-92BF-5153F779F0AF}" name="AST" dataDxfId="547"/>
    <tableColumn id="37" xr3:uid="{B81E1657-847C-4BD3-B932-3587B3849E4C}" name="AST_Rg" dataDxfId="546">
      <calculatedColumnFormula>_xlfn.RANK.EQ(all[[#This Row],[AST]],all[AST])</calculatedColumnFormula>
    </tableColumn>
    <tableColumn id="38" xr3:uid="{06188B2D-49D1-47F9-AA7D-D3B52DB4EE4B}" name="STL" dataDxfId="545"/>
    <tableColumn id="39" xr3:uid="{6A0819AC-0DFA-4D03-AFED-054AF2FB4391}" name="STL_Rg" dataDxfId="544">
      <calculatedColumnFormula>_xlfn.RANK.EQ(all[[#This Row],[STL]],all[STL])</calculatedColumnFormula>
    </tableColumn>
    <tableColumn id="40" xr3:uid="{D300B8FC-94B1-48C8-8019-C324EEA8F826}" name="BLK" dataDxfId="543"/>
    <tableColumn id="41" xr3:uid="{F7AF0486-F415-4F53-8B7D-64350A6ABD1C}" name="BLK_Rg" dataDxfId="542">
      <calculatedColumnFormula>_xlfn.RANK.EQ(all[[#This Row],[BLK]],all[BLK])</calculatedColumnFormula>
    </tableColumn>
    <tableColumn id="42" xr3:uid="{7D73D15F-764F-42B2-B858-103FC5A3899A}" name="TOV" dataDxfId="541"/>
    <tableColumn id="43" xr3:uid="{4FFC6D3D-9FAD-49B3-AD04-2291C1EF7589}" name="TOV_Rg" dataDxfId="540">
      <calculatedColumnFormula>_xlfn.RANK.EQ(all[[#This Row],[TOV]],all[TOV],1)</calculatedColumnFormula>
    </tableColumn>
    <tableColumn id="44" xr3:uid="{BF108947-9CB1-44D9-94AF-9FCA62ED7714}" name="PF" dataDxfId="539"/>
    <tableColumn id="45" xr3:uid="{DF52C0E4-FB72-4182-B0CC-169B5EC714B4}" name="PF_Rg" dataDxfId="538">
      <calculatedColumnFormula>_xlfn.RANK.EQ(all[[#This Row],[PF]],all[PF],1)</calculatedColumnFormula>
    </tableColumn>
    <tableColumn id="46" xr3:uid="{6D15E734-64A5-4164-B729-2675865AAAEB}" name="FGA opp" dataDxfId="537"/>
    <tableColumn id="47" xr3:uid="{96BD3FF8-AA31-4F68-A418-C8ED65FAC881}" name="FGA opp_Rg" dataDxfId="536">
      <calculatedColumnFormula>_xlfn.RANK.EQ(all[[#This Row],[FGA opp]],all[FGA opp],1)</calculatedColumnFormula>
    </tableColumn>
    <tableColumn id="48" xr3:uid="{C21AB7F8-980B-499E-8723-0CD223E52A45}" name="FGM opp" dataDxfId="535"/>
    <tableColumn id="49" xr3:uid="{7FE3DEAA-0370-4E8F-BD55-BF27E4F19CD0}" name="FGM opp_Rg" dataDxfId="534">
      <calculatedColumnFormula>_xlfn.RANK.EQ(all[[#This Row],[FGM opp]],all[FGM opp],1)</calculatedColumnFormula>
    </tableColumn>
    <tableColumn id="50" xr3:uid="{6032FE00-3164-46C1-BD8C-0B42745F685D}" name="FGp opp" dataDxfId="533"/>
    <tableColumn id="51" xr3:uid="{D445A89F-1CE1-4135-BB64-A8D6DCD89EE1}" name="FGp opp_Rg" dataDxfId="532">
      <calculatedColumnFormula>_xlfn.RANK.EQ(all[[#This Row],[FGp opp]],all[FGp opp],1)</calculatedColumnFormula>
    </tableColumn>
    <tableColumn id="52" xr3:uid="{8B207D80-A5DC-4008-86B6-4C2C8A7FDFDD}" name="P2M opp" dataDxfId="531"/>
    <tableColumn id="53" xr3:uid="{390B9413-BAE4-4A76-A2BC-3B62FF5E4098}" name="P2M opp_Rg" dataDxfId="530">
      <calculatedColumnFormula>_xlfn.RANK.EQ(all[[#This Row],[P2M opp]],all[P2M opp],1)</calculatedColumnFormula>
    </tableColumn>
    <tableColumn id="54" xr3:uid="{AFFCA542-0945-4E23-A4DE-8A0BC44DFD18}" name="P2A opp" dataDxfId="529"/>
    <tableColumn id="55" xr3:uid="{BA2585D6-050C-4A32-BDFB-A16690F04404}" name="P2A opp_Rg" dataDxfId="528">
      <calculatedColumnFormula>_xlfn.RANK.EQ(all[[#This Row],[P2A opp]],all[P2A opp],1)</calculatedColumnFormula>
    </tableColumn>
    <tableColumn id="56" xr3:uid="{F571C1BC-8F70-4CBC-9F2B-E63F57A1693B}" name="P2p opp"/>
    <tableColumn id="57" xr3:uid="{77892978-FA7C-4828-85A8-2033DFD55083}" name="P2p opp_Rg" dataDxfId="527">
      <calculatedColumnFormula>_xlfn.RANK.EQ(all[[#This Row],[P2p opp]],all[P2p opp],1)</calculatedColumnFormula>
    </tableColumn>
    <tableColumn id="58" xr3:uid="{E5F01226-C677-43A7-9FFB-1A29E4D73F66}" name="P3M opp" dataDxfId="526"/>
    <tableColumn id="59" xr3:uid="{EFFE656A-25F0-4F28-803E-8DA9900DBA55}" name="P3M opp_Rg" dataDxfId="525">
      <calculatedColumnFormula>_xlfn.RANK.EQ(all[[#This Row],[P3M opp]],all[P3M opp],1)</calculatedColumnFormula>
    </tableColumn>
    <tableColumn id="60" xr3:uid="{A6B49F57-B79B-4345-877B-E844A5BC2C61}" name="P3A opp" dataDxfId="524"/>
    <tableColumn id="61" xr3:uid="{FCC7B49A-E249-4629-AF47-0DC84809D121}" name="P3A opp_Rg" dataDxfId="523">
      <calculatedColumnFormula>_xlfn.RANK.EQ(all[[#This Row],[P3A opp]],all[P3A opp],1)</calculatedColumnFormula>
    </tableColumn>
    <tableColumn id="62" xr3:uid="{28E95049-31D0-4EF8-A9F1-7015B3308885}" name="P3p opp" dataDxfId="522"/>
    <tableColumn id="63" xr3:uid="{0BAC2CDC-5121-43DA-B019-927779746F0F}" name="P3p opp_Rg" dataDxfId="521">
      <calculatedColumnFormula>_xlfn.RANK.EQ(all[[#This Row],[P3p opp]],all[P3p opp],1)</calculatedColumnFormula>
    </tableColumn>
    <tableColumn id="64" xr3:uid="{9C1EFDB9-2183-4567-946F-920210AFBDB8}" name="FTM opp" dataDxfId="520"/>
    <tableColumn id="65" xr3:uid="{DAC180E7-0E5F-474B-9C40-B1EC4221A03B}" name="FTM opp_Rg" dataDxfId="519">
      <calculatedColumnFormula>_xlfn.RANK.EQ(all[[#This Row],[FTM opp]],all[FTM opp],1)</calculatedColumnFormula>
    </tableColumn>
    <tableColumn id="66" xr3:uid="{69DFB30B-7AA1-43FF-A725-36F31C71782F}" name="FTA opp" dataDxfId="518"/>
    <tableColumn id="67" xr3:uid="{3A9285C5-7157-4652-BEA7-5E4B7874772F}" name="FTA opp_Rg" dataDxfId="517">
      <calculatedColumnFormula>_xlfn.RANK.EQ(all[[#This Row],[FTA opp]],all[FTA opp],1)</calculatedColumnFormula>
    </tableColumn>
    <tableColumn id="68" xr3:uid="{EB3A55CE-4DE8-46D7-8FB4-C4CB6AC49EE6}" name="FTp opp" dataDxfId="516"/>
    <tableColumn id="69" xr3:uid="{7BEF3E71-B0A2-4B26-A582-7389ECDAF2DB}" name="FTp opp_Rg" dataDxfId="515">
      <calculatedColumnFormula>_xlfn.RANK.EQ(all[[#This Row],[FTp opp]],all[FTp opp],1)</calculatedColumnFormula>
    </tableColumn>
    <tableColumn id="70" xr3:uid="{AA493B9D-6741-401F-B23F-965FEF4FE844}" name="ORB opp" dataDxfId="514"/>
    <tableColumn id="71" xr3:uid="{524D8922-263D-46FB-A162-8AEC2761D383}" name="ORB opp_Rg" dataDxfId="513">
      <calculatedColumnFormula>_xlfn.RANK.EQ(all[[#This Row],[ORB opp]],all[ORB opp],1)</calculatedColumnFormula>
    </tableColumn>
    <tableColumn id="72" xr3:uid="{23A47BF1-BC93-4826-98E0-1BDF968F1057}" name="DRB opp" dataDxfId="512"/>
    <tableColumn id="73" xr3:uid="{2D0B1C5C-7F4A-4596-A93A-25013C98700B}" name="DRB opp_Rg" dataDxfId="511">
      <calculatedColumnFormula>_xlfn.RANK.EQ(all[[#This Row],[DRB opp]],all[DRB opp],1)</calculatedColumnFormula>
    </tableColumn>
    <tableColumn id="74" xr3:uid="{7D41337D-8B37-4903-93E4-AD7F3D9027BB}" name="TRB opp" dataDxfId="510"/>
    <tableColumn id="75" xr3:uid="{DA0B3F9A-0765-4CCE-8FED-A2375020F014}" name="TRB opp_Rg" dataDxfId="509">
      <calculatedColumnFormula>_xlfn.RANK.EQ(all[[#This Row],[TRB opp]],all[TRB opp],1)</calculatedColumnFormula>
    </tableColumn>
    <tableColumn id="76" xr3:uid="{A02D8A47-2E44-4827-A88B-12817A742D2D}" name="AST opp" dataDxfId="508"/>
    <tableColumn id="77" xr3:uid="{14DF4587-06D5-42BF-A2C0-5630647CA070}" name="AST opp_Rg" dataDxfId="507">
      <calculatedColumnFormula>_xlfn.RANK.EQ(all[[#This Row],[AST opp]],all[AST opp],1)</calculatedColumnFormula>
    </tableColumn>
    <tableColumn id="78" xr3:uid="{3F8B1B8C-57A7-424F-8AA0-FB7904664B33}" name="STL opp" dataDxfId="506"/>
    <tableColumn id="79" xr3:uid="{EF5925DC-1D36-4FCD-BF2B-4AA3D787798A}" name="STL opp_Rg" dataDxfId="505">
      <calculatedColumnFormula>_xlfn.RANK.EQ(all[[#This Row],[STL opp]],all[STL opp],1)</calculatedColumnFormula>
    </tableColumn>
    <tableColumn id="80" xr3:uid="{6270612F-65BB-464E-85C6-BD34100D2ECB}" name="BLK opp" dataDxfId="504"/>
    <tableColumn id="81" xr3:uid="{29092519-F4D8-4CB8-9524-BC091D76C3B9}" name="BLK opp_Rg" dataDxfId="503">
      <calculatedColumnFormula>_xlfn.RANK.EQ(all[[#This Row],[BLK opp]],all[BLK opp],1)</calculatedColumnFormula>
    </tableColumn>
    <tableColumn id="82" xr3:uid="{90F1124D-503C-4FF6-9B82-E5B9AE7667B0}" name="TOV opp" dataDxfId="502"/>
    <tableColumn id="83" xr3:uid="{F3BFE370-A683-4AF4-ADFA-F26408AD999B}" name="TOV opp_Rg" dataDxfId="501">
      <calculatedColumnFormula>_xlfn.RANK.EQ(all[[#This Row],[TOV opp]],all[TOV opp])</calculatedColumnFormula>
    </tableColumn>
    <tableColumn id="84" xr3:uid="{8FACD267-E09A-44FA-82F9-70251302C25E}" name="PF opp" dataDxfId="500"/>
    <tableColumn id="85" xr3:uid="{74C12BB0-9AD3-4E47-BD40-0CE4A3938B8E}" name="PF opp_Rg" dataDxfId="499">
      <calculatedColumnFormula>_xlfn.RANK.EQ(all[[#This Row],[PF opp]],all[PF opp])</calculatedColumnFormula>
    </tableColumn>
    <tableColumn id="86" xr3:uid="{167F57D5-0E0F-4D55-9796-A8747C67EEED}" name="TSp" dataDxfId="498"/>
    <tableColumn id="87" xr3:uid="{BCB61807-65A6-408E-801D-E75C93A9A11F}" name="TSp_Rg" dataDxfId="497">
      <calculatedColumnFormula>_xlfn.RANK.EQ(all[[#This Row],[TSp]],all[TSp])</calculatedColumnFormula>
    </tableColumn>
    <tableColumn id="88" xr3:uid="{257F1400-F01D-45E4-9389-CBCF0D48595A}" name="eFGp" dataDxfId="496"/>
    <tableColumn id="89" xr3:uid="{0EA4013F-9A5B-4561-9925-03FD5113F7E1}" name="eFGp_Rg" dataDxfId="495">
      <calculatedColumnFormula>_xlfn.RANK.EQ(all[[#This Row],[eFGp]],all[eFGp])</calculatedColumnFormula>
    </tableColumn>
    <tableColumn id="90" xr3:uid="{D605E915-148E-4E3A-A045-AE861460A6D3}" name="ORBp" dataDxfId="494"/>
    <tableColumn id="91" xr3:uid="{C0F355EE-36A6-4B74-BD5D-CBFCA224AED4}" name="ORBp_Rg" dataDxfId="493">
      <calculatedColumnFormula>_xlfn.RANK.EQ(all[[#This Row],[ORBp]],all[ORBp])</calculatedColumnFormula>
    </tableColumn>
    <tableColumn id="92" xr3:uid="{B4048E7C-DFAA-4BCA-8C5F-90B3A9430FC7}" name="DRBp" dataDxfId="492"/>
    <tableColumn id="93" xr3:uid="{0F769110-D6A0-4AEB-993F-112BEDA9855D}" name="DRBp_Rg" dataDxfId="491">
      <calculatedColumnFormula>_xlfn.RANK.EQ(all[[#This Row],[DRBp]],all[DRBp])</calculatedColumnFormula>
    </tableColumn>
    <tableColumn id="94" xr3:uid="{BA9D4579-42AA-454D-B10A-1821E04C96FE}" name="TRBp" dataDxfId="490"/>
    <tableColumn id="95" xr3:uid="{9CF21B64-3F40-4677-8F49-28A32A3B8E74}" name="TRBp_Rg" dataDxfId="489">
      <calculatedColumnFormula>_xlfn.RANK.EQ(all[[#This Row],[TRBp]],all[TRBp])</calculatedColumnFormula>
    </tableColumn>
    <tableColumn id="96" xr3:uid="{A54081F2-997A-4BAB-9740-002B3036FDE4}" name="Poss" dataDxfId="488"/>
    <tableColumn id="97" xr3:uid="{1AF2CD29-294A-48DA-A011-826FDA268AF3}" name="Poss_Rg" dataDxfId="487">
      <calculatedColumnFormula>_xlfn.RANK.EQ(all[[#This Row],[Poss]],all[Poss])</calculatedColumnFormula>
    </tableColumn>
    <tableColumn id="98" xr3:uid="{C6CB394A-70BA-43DD-A84F-CAA3B7F9F303}" name="ASTp" dataDxfId="486"/>
    <tableColumn id="99" xr3:uid="{AD9C1292-D8AA-4C8E-9127-25ED1749519B}" name="ASTp_Rg" dataDxfId="485">
      <calculatedColumnFormula>_xlfn.RANK.EQ(all[[#This Row],[ASTp]],all[ASTp])</calculatedColumnFormula>
    </tableColumn>
    <tableColumn id="100" xr3:uid="{55C3053E-0A6C-47F7-AAA7-0F62BF71F9FD}" name="FTFGAp" dataDxfId="484"/>
    <tableColumn id="101" xr3:uid="{6AE6A926-D304-4D34-8326-96D07805E65D}" name="FTFGAp_Rg" dataDxfId="483">
      <calculatedColumnFormula>_xlfn.RANK.EQ(all[[#This Row],[FTFGAp]],all[FTFGAp])</calculatedColumnFormula>
    </tableColumn>
    <tableColumn id="102" xr3:uid="{445AC573-D15C-42EF-AFA6-E63BA3305BE1}" name="TOVp" dataDxfId="482"/>
    <tableColumn id="103" xr3:uid="{0FF76E82-70BD-4360-9564-6C712F5478D7}" name="TOVp_Rg" dataDxfId="481">
      <calculatedColumnFormula>_xlfn.RANK.EQ(all[[#This Row],[TOVp]],all[TOVp],1)</calculatedColumnFormula>
    </tableColumn>
    <tableColumn id="104" xr3:uid="{E11CE410-E0F9-4148-A13C-2DC0B5FB9948}" name="ORtg" dataDxfId="480"/>
    <tableColumn id="105" xr3:uid="{31417C36-26AA-40D5-96C8-A366D074559C}" name="Ortg_Rg" dataDxfId="479">
      <calculatedColumnFormula>_xlfn.RANK.EQ(all[[#This Row],[ORtg]],all[ORtg])</calculatedColumnFormula>
    </tableColumn>
    <tableColumn id="106" xr3:uid="{56A90FE5-DC95-45E0-8B01-83402601E710}" name="DRtg" dataDxfId="478"/>
    <tableColumn id="107" xr3:uid="{14B48294-AA6E-425D-A6E7-615F4D969BF8}" name="Drtg_Rg" dataDxfId="477">
      <calculatedColumnFormula>_xlfn.RANK.EQ(all[[#This Row],[DRtg]],all[DRtg],1)</calculatedColumnFormula>
    </tableColumn>
    <tableColumn id="108" xr3:uid="{15A49244-6987-46FA-A5B3-FDFD98C194EF}" name="Pace" dataDxfId="476"/>
    <tableColumn id="109" xr3:uid="{E782E9D1-B8CC-4391-B2EC-30D093FE5D90}" name="Pace_Rg" dataDxfId="475">
      <calculatedColumnFormula>_xlfn.RANK.EQ(all[[#This Row],[Pace]],all[Pace])</calculatedColumnFormula>
    </tableColumn>
    <tableColumn id="110" xr3:uid="{3393BB03-73CF-488F-8296-DF4D91FA2004}" name="TSp opp" dataDxfId="474"/>
    <tableColumn id="111" xr3:uid="{3B67A1BA-EC6A-4241-BA43-642022A99052}" name="TSp_Rg opp" dataDxfId="473">
      <calculatedColumnFormula>_xlfn.RANK.EQ(all[[#This Row],[TSp opp]],all[TSp opp],1)</calculatedColumnFormula>
    </tableColumn>
    <tableColumn id="112" xr3:uid="{17F5B44B-C43C-44C5-B278-931BC88F8309}" name="eFGp opp" dataDxfId="472"/>
    <tableColumn id="113" xr3:uid="{9B04B1CB-94E3-4908-8A42-1C1FA8D0ED43}" name="eFGp_Rg opp" dataDxfId="471">
      <calculatedColumnFormula>_xlfn.RANK.EQ(all[[#This Row],[eFGp opp]],all[eFGp opp],1)</calculatedColumnFormula>
    </tableColumn>
    <tableColumn id="114" xr3:uid="{1DC64564-BBD7-470E-B45B-A5F884F3BD87}" name="ORBp opp" dataDxfId="470"/>
    <tableColumn id="115" xr3:uid="{C6803751-234D-48C7-BE61-079D976CE3BF}" name="ORBp_Rg opp" dataDxfId="469">
      <calculatedColumnFormula>_xlfn.RANK.EQ(all[[#This Row],[ORBp opp]],all[ORBp opp],1)</calculatedColumnFormula>
    </tableColumn>
    <tableColumn id="116" xr3:uid="{C1C6409A-2EB1-4AA9-8336-6025365CF4D1}" name="DRBp opp" dataDxfId="468"/>
    <tableColumn id="117" xr3:uid="{0E84FB0E-16C7-4EB7-9521-FF6D8CF25608}" name="DRBp_Rg opp" dataDxfId="467">
      <calculatedColumnFormula>_xlfn.RANK.EQ(all[[#This Row],[DRBp opp]],all[DRBp opp],1)</calculatedColumnFormula>
    </tableColumn>
    <tableColumn id="118" xr3:uid="{F616B92A-ADA9-4EFB-B6C4-2825173F3665}" name="TRBp opp" dataDxfId="466"/>
    <tableColumn id="119" xr3:uid="{D6D3ABCC-1D43-4746-AE4C-B99DD1C77AF1}" name="TRBp_Rg opp" dataDxfId="465">
      <calculatedColumnFormula>_xlfn.RANK.EQ(all[[#This Row],[TRBp opp]],all[TRBp opp],1)</calculatedColumnFormula>
    </tableColumn>
    <tableColumn id="120" xr3:uid="{47BFDE31-FECF-40DB-A46A-B08ADCA94355}" name="Poss opp" dataDxfId="464"/>
    <tableColumn id="121" xr3:uid="{A9FEC2A5-AE84-47BB-9260-90349FDF7BE8}" name="Poss_Rg opp" dataDxfId="463">
      <calculatedColumnFormula>_xlfn.RANK.EQ(all[[#This Row],[Poss opp]],all[Poss opp],1)</calculatedColumnFormula>
    </tableColumn>
    <tableColumn id="122" xr3:uid="{6A050B40-8D37-4570-BE26-03E93AE0BFA0}" name="ASTp opp" dataDxfId="462"/>
    <tableColumn id="123" xr3:uid="{8E4072CF-0966-4443-B3CF-8E32484D5938}" name="ASTp_Rg opp" dataDxfId="461">
      <calculatedColumnFormula>_xlfn.RANK.EQ(all[[#This Row],[ASTp opp]],all[ASTp opp],1)</calculatedColumnFormula>
    </tableColumn>
    <tableColumn id="124" xr3:uid="{7EBC3F1C-BA73-4BD0-80BB-5681521E3458}" name="FTFGAp opp" dataDxfId="460"/>
    <tableColumn id="125" xr3:uid="{B9F439F8-3613-44CC-ACBD-73C5487AED77}" name="FTFGAp_Rg opp" dataDxfId="459">
      <calculatedColumnFormula>_xlfn.RANK.EQ(all[[#This Row],[FTFGAp opp]],all[FTFGAp opp],1)</calculatedColumnFormula>
    </tableColumn>
    <tableColumn id="126" xr3:uid="{78AB903A-6E8A-48A5-B8C1-3DE222C659F2}" name="TOVp opp" dataDxfId="458"/>
    <tableColumn id="127" xr3:uid="{149A77F0-30FA-49C5-B55F-86BDBA505080}" name="TOVp_Rg opp" dataDxfId="457">
      <calculatedColumnFormula>_xlfn.RANK.EQ(all[[#This Row],[TOVp opp]],all[TOVp opp])</calculatedColumnFormula>
    </tableColumn>
    <tableColumn id="128" xr3:uid="{D88C90E3-56E0-480D-B559-A552CB657AE8}" name="ORtg opp" dataDxfId="456"/>
    <tableColumn id="129" xr3:uid="{023606EB-B487-416A-A213-8DEFA81D84EC}" name="Ortg_Rg opp" dataDxfId="455">
      <calculatedColumnFormula>_xlfn.RANK.EQ(all[[#This Row],[ORtg opp]],all[ORtg opp],1)</calculatedColumnFormula>
    </tableColumn>
    <tableColumn id="130" xr3:uid="{D6B396AD-6E54-4209-BD90-E31A7B134D17}" name="DRtg opp" dataDxfId="454"/>
    <tableColumn id="131" xr3:uid="{828DECEB-7C30-4EAA-B6DB-8BF3BF109E34}" name="Drtg_Rg opp" dataDxfId="453">
      <calculatedColumnFormula>_xlfn.RANK.EQ(all[[#This Row],[DRtg opp]],all[DRtg opp])</calculatedColumnFormula>
    </tableColumn>
    <tableColumn id="132" xr3:uid="{98619E15-8B72-4EA1-AD1E-DB2628609DA2}" name="Q1H" dataDxfId="452"/>
    <tableColumn id="133" xr3:uid="{63370689-7907-4883-984F-2EB585278C03}" name="Q1H_Rg" dataDxfId="451">
      <calculatedColumnFormula>_xlfn.RANK.EQ(all[[#This Row],[Q1H]],all[Q1H])</calculatedColumnFormula>
    </tableColumn>
    <tableColumn id="134" xr3:uid="{84EAF5A0-9E16-4195-B09A-086E18984C88}" name="Q2H" dataDxfId="450"/>
    <tableColumn id="135" xr3:uid="{A36B439E-45C6-4B3A-B9A8-55ABA6636383}" name="Q2H_Rg" dataDxfId="449">
      <calculatedColumnFormula>_xlfn.RANK.EQ(all[[#This Row],[Q2H]],all[Q2H])</calculatedColumnFormula>
    </tableColumn>
    <tableColumn id="136" xr3:uid="{A3917B90-8136-4586-ABBD-305DDE3089CA}" name="Q3H" dataDxfId="448"/>
    <tableColumn id="137" xr3:uid="{997E4FDF-A784-46CB-9855-717D5357ADAD}" name="Q3H_Rg" dataDxfId="447">
      <calculatedColumnFormula>_xlfn.RANK.EQ(all[[#This Row],[Q3H]],all[Q3H])</calculatedColumnFormula>
    </tableColumn>
    <tableColumn id="138" xr3:uid="{4334902F-0563-4E13-8FD3-E9136A878EAA}" name="Q4H" dataDxfId="446"/>
    <tableColumn id="139" xr3:uid="{B49D3043-6FDF-4C87-9B57-7068729BBAD3}" name="Q4H_Rg" dataDxfId="445">
      <calculatedColumnFormula>_xlfn.RANK.EQ(all[[#This Row],[Q4H]],all[Q4H])</calculatedColumnFormula>
    </tableColumn>
    <tableColumn id="140" xr3:uid="{D50D80B5-9400-4A09-837A-ED965F093F20}" name="Q1A" dataDxfId="444"/>
    <tableColumn id="141" xr3:uid="{A0B9F4B4-3B1F-4397-9C33-754E83871208}" name="Q1A_Rg" dataDxfId="443">
      <calculatedColumnFormula>_xlfn.RANK.EQ(all[[#This Row],[Q1A]],all[Q1A],1)</calculatedColumnFormula>
    </tableColumn>
    <tableColumn id="142" xr3:uid="{04882668-BDF5-4D98-9F79-EAEB0BC6BE9C}" name="Q2A" dataDxfId="442"/>
    <tableColumn id="143" xr3:uid="{32623012-46FE-49FC-A5D4-442DF97398B0}" name="Q2A_Rg" dataDxfId="441">
      <calculatedColumnFormula>_xlfn.RANK.EQ(all[[#This Row],[Q2A]],all[Q2A],1)</calculatedColumnFormula>
    </tableColumn>
    <tableColumn id="144" xr3:uid="{216994B5-6862-4EDF-8D9B-B9D0DEBDCE93}" name="Q3A" dataDxfId="440"/>
    <tableColumn id="145" xr3:uid="{B71C2C6E-4780-43DF-B855-B78F507740F5}" name="Q3A_Rg" dataDxfId="439">
      <calculatedColumnFormula>_xlfn.RANK.EQ(all[[#This Row],[Q3A]],all[Q3A],1)</calculatedColumnFormula>
    </tableColumn>
    <tableColumn id="146" xr3:uid="{6A85107E-9C39-4ED4-90BD-69F43FE0B8F9}" name="Q4A" dataDxfId="438"/>
    <tableColumn id="147" xr3:uid="{6F1F8D5B-0A21-4783-AEB7-9397F71E491B}" name="Q4A_Rg" dataDxfId="437">
      <calculatedColumnFormula>_xlfn.RANK.EQ(all[[#This Row],[Q4A]],all[Q4A],1)</calculatedColumnFormula>
    </tableColumn>
    <tableColumn id="148" xr3:uid="{0B243D34-9837-442A-9C1B-09432E97168B}" name="FHH" dataDxfId="436"/>
    <tableColumn id="149" xr3:uid="{A88EA100-A07B-4872-AA47-576163E07FF4}" name="FHH_Rg" dataDxfId="435">
      <calculatedColumnFormula>_xlfn.RANK.EQ(all[[#This Row],[FHH]],all[FHH])</calculatedColumnFormula>
    </tableColumn>
    <tableColumn id="150" xr3:uid="{49183011-610C-408C-9E08-1DD04AEB7B59}" name="FHA" dataDxfId="434"/>
    <tableColumn id="151" xr3:uid="{C5440865-E368-4EFC-9023-4A227CA869A1}" name="FHA_Rg" dataDxfId="433">
      <calculatedColumnFormula>_xlfn.RANK.EQ(all[[#This Row],[FHA]],all[FHA],1)</calculatedColumnFormula>
    </tableColumn>
    <tableColumn id="152" xr3:uid="{78DFE7E7-E4F2-4DC8-8B1C-E07F731AED55}" name="SHH" dataDxfId="432"/>
    <tableColumn id="153" xr3:uid="{215D69C6-C7DB-4D94-B9B0-6C75C990FE98}" name="SHH_Rg" dataDxfId="431">
      <calculatedColumnFormula>_xlfn.RANK.EQ(all[[#This Row],[SHH]],all[SHH])</calculatedColumnFormula>
    </tableColumn>
    <tableColumn id="154" xr3:uid="{D0E1BB5E-0003-4CC0-A767-7CCC9BFD8C9E}" name="SHA" dataDxfId="430"/>
    <tableColumn id="155" xr3:uid="{4BBDF1E5-8B9C-42BB-9D98-A38C5A889125}" name="SHA_Rg" dataDxfId="429">
      <calculatedColumnFormula>_xlfn.RANK.EQ(all[[#This Row],[SHA]],all[SHA],1)</calculatedColumnFormula>
    </tableColumn>
    <tableColumn id="156" xr3:uid="{0BE42281-D49E-4AA9-9283-B39036AC5ADE}" name="PM MID" dataDxfId="428"/>
    <tableColumn id="157" xr3:uid="{BD5B6F69-8A6A-4DA2-8FAB-2B6F82531AAF}" name="PC MID" dataDxfId="427"/>
    <tableColumn id="158" xr3:uid="{83FF39C9-DBED-4FAC-A4A9-6F442F7BA89C}" name="Wins" dataDxfId="426">
      <calculatedColumnFormula>COUNTIF(INDIRECT(all[[#This Row],[Table name]]&amp;"[result]"),"w")+COUNTIF(INDIRECT(all[[#This Row],[Table name]]&amp;"[result]"),"dw")</calculatedColumnFormula>
    </tableColumn>
    <tableColumn id="161" xr3:uid="{0FC247F7-5C19-4B75-91BD-19A8CFF6823E}" name="Losses" dataDxfId="425">
      <calculatedColumnFormula>COUNTIF(INDIRECT(all[[#This Row],[Table name]]&amp;"[result]"),"l")+COUNTIF(INDIRECT(all[[#This Row],[Table name]]&amp;"[result]"),"dl")</calculatedColumnFormula>
    </tableColumn>
    <tableColumn id="163" xr3:uid="{AD9329A7-5F03-4786-9F88-0D6CF2D3DB1F}" name="rating" dataDxfId="424">
      <calculatedColumnFormula>all[[#This Row],[Wins]]/(all[[#This Row],[Wins]]+all[[#This Row],[Losses]])</calculatedColumnFormula>
    </tableColumn>
    <tableColumn id="164" xr3:uid="{4097ED39-74AA-4DA1-961F-D99DEDBFFF27}" name="Place" dataDxfId="423">
      <calculatedColumnFormula>_xlfn.RANK.EQ(all[[#This Row],[rating]],all[rating])</calculatedColumnFormula>
    </tableColumn>
    <tableColumn id="165" xr3:uid="{747A0B6C-0B2D-40DB-969A-FAA07AFA9B70}" name="AVG_RT" dataDxfId="422">
      <calculatedColumnFormula>AVERAGE(G2,I2,K2,M2,O2,Q2,S2,U2,W2,Y2,AA2,AC2,AE2,AG2,AI2,AK2,AM2,AO2,AQ2,AS2,AU2,AW2,AY2,BA2,BC2,BE2,BG2,BI2,BK2,BM2,BO2,BQ2,BS2,BU2,BW2,BY2,CA2,CC2,CE2,CG2,CI2,CK2,CM2,CO2,CQ2,CS2,CU2,CW2,CY2,DA2,DC2,DE2,DG2,DI2,DK2,DM2,DO2,DQ2,DS2,DU2,DW2,DY2,EA2,EC2,EE2)</calculatedColumnFormula>
    </tableColumn>
    <tableColumn id="166" xr3:uid="{98FAA611-F346-48A4-A21C-080E8B191B2C}" name="Q1T" dataDxfId="421">
      <calculatedColumnFormula>all[[#This Row],[Q1H]]+all[[#This Row],[Q1A]]</calculatedColumnFormula>
    </tableColumn>
    <tableColumn id="168" xr3:uid="{39EBCF87-3449-4C95-97F1-DE74B123290A}" name="Q1t_Rg" dataDxfId="420">
      <calculatedColumnFormula>_xlfn.RANK.EQ(all[[#This Row],[Q1T]],all[Q1T])</calculatedColumnFormula>
    </tableColumn>
    <tableColumn id="169" xr3:uid="{A2732357-741E-44D0-A642-6F96B89F5B9B}" name="Q2T" dataDxfId="419">
      <calculatedColumnFormula>all[[#This Row],[Q2H]]+all[[#This Row],[Q2A]]</calculatedColumnFormula>
    </tableColumn>
    <tableColumn id="176" xr3:uid="{68195C26-37CB-411F-8101-59DF6B89FAB7}" name="Q2t_Rg" dataDxfId="418">
      <calculatedColumnFormula>_xlfn.RANK.EQ(all[[#This Row],[Q2T]],all[Q2T])</calculatedColumnFormula>
    </tableColumn>
    <tableColumn id="170" xr3:uid="{BEDCBF70-6C93-45B4-9474-5886394568FB}" name="Q3T" dataDxfId="417">
      <calculatedColumnFormula>all[[#This Row],[Q3H]]+all[[#This Row],[Q3A]]</calculatedColumnFormula>
    </tableColumn>
    <tableColumn id="177" xr3:uid="{DC587908-3228-45C1-A586-F8B5521B79AC}" name="Q3t_Rg" dataDxfId="416">
      <calculatedColumnFormula>_xlfn.RANK.EQ(all[[#This Row],[Q3T]],all[Q3T])</calculatedColumnFormula>
    </tableColumn>
    <tableColumn id="171" xr3:uid="{9663D979-27A2-47F5-827D-4137A0DFDD41}" name="Q4T" dataDxfId="415">
      <calculatedColumnFormula>all[[#This Row],[Q4H]]+all[[#This Row],[Q4A]]</calculatedColumnFormula>
    </tableColumn>
    <tableColumn id="178" xr3:uid="{482DDBF8-CA97-4BFF-BDF3-759F586A6C82}" name="Q4t_Rg" dataDxfId="414">
      <calculatedColumnFormula>_xlfn.RANK.EQ(all[[#This Row],[Q4T]],all[Q4T])</calculatedColumnFormula>
    </tableColumn>
    <tableColumn id="172" xr3:uid="{B33059E9-FC2A-4DE3-B125-3F9D09E4A88B}" name="FHT" dataDxfId="413">
      <calculatedColumnFormula>all[[#This Row],[FHH]]+all[[#This Row],[FHA]]</calculatedColumnFormula>
    </tableColumn>
    <tableColumn id="179" xr3:uid="{CE554991-773E-43D4-BF80-77ECAE16806A}" name="FHT_Rg" dataDxfId="412">
      <calculatedColumnFormula>_xlfn.RANK.EQ(all[[#This Row],[FHT]],all[FHT])</calculatedColumnFormula>
    </tableColumn>
    <tableColumn id="173" xr3:uid="{590D0E23-0BF2-4934-B2AB-A4FDD3BB8815}" name="SHT" dataDxfId="411">
      <calculatedColumnFormula>all[[#This Row],[SHH]]+all[[#This Row],[SHA]]</calculatedColumnFormula>
    </tableColumn>
    <tableColumn id="180" xr3:uid="{C104A1B0-C613-4673-BB25-7D0F145C7C98}" name="SHT_Rg" dataDxfId="410">
      <calculatedColumnFormula>_xlfn.RANK.EQ(all[[#This Row],[SHT]],all[SHT])</calculatedColumnFormula>
    </tableColumn>
    <tableColumn id="174" xr3:uid="{C53D43F5-ABB1-409B-943A-8FDAB273047D}" name="BetH" dataDxfId="409">
      <calculatedColumnFormula>SUM(INDIRECT(all[[#This Row],[Table name]]&amp;"[BetH]"))</calculatedColumnFormula>
    </tableColumn>
    <tableColumn id="181" xr3:uid="{40239053-B4F8-44B2-8A71-4AECDA7E8EA7}" name="BetH_Rg" dataDxfId="408">
      <calculatedColumnFormula>_xlfn.RANK.EQ(all[[#This Row],[BetH]],all[BetH])</calculatedColumnFormula>
    </tableColumn>
    <tableColumn id="175" xr3:uid="{39A20190-1850-4B23-868F-FB5FBE2BE09E}" name="BetA" dataDxfId="407">
      <calculatedColumnFormula>SUM(INDIRECT(all[[#This Row],[Table name]]&amp;"[BetA]"))</calculatedColumnFormula>
    </tableColumn>
    <tableColumn id="182" xr3:uid="{168DD3A4-CBB9-4218-BC2D-24BAE08263A1}" name="BetA_Rg" dataDxfId="406">
      <calculatedColumnFormula>_xlfn.RANK.EQ(all[[#This Row],[BetA]],all[BetA])</calculatedColumnFormula>
    </tableColumn>
    <tableColumn id="185" xr3:uid="{F0AA399F-AEB1-4DB2-8EBF-98D01B576871}" name="Tover" dataDxfId="405">
      <calculatedColumnFormula>SUM(INDIRECT(all[[#This Row],[Table name]]&amp;"[Tover]"))</calculatedColumnFormula>
    </tableColumn>
    <tableColumn id="187" xr3:uid="{2CC72BC3-401C-4228-9CB2-F2C2AAB6CEC0}" name="Tover_Rg" dataDxfId="404">
      <calculatedColumnFormula>_xlfn.RANK.EQ(all[[#This Row],[Tover]],all[Tover])</calculatedColumnFormula>
    </tableColumn>
    <tableColumn id="186" xr3:uid="{CB96BBAC-2C4F-4B30-BA0F-58491A5722BA}" name="Deviation" dataDxfId="403">
      <calculatedColumnFormula>AVERAGE(INDIRECT(all[[#This Row],[Table name]]&amp;"[Deviation]"))</calculatedColumnFormula>
    </tableColumn>
    <tableColumn id="188" xr3:uid="{975B22D8-5B48-4AD7-97A6-46E014BE0D46}" name="Dev_Rg" dataDxfId="402">
      <calculatedColumnFormula>_xlfn.RANK.EQ(all[[#This Row],[Deviation]],all[Deviation],1)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F6770E-3E54-4FE1-9616-75D33AB091B0}" name="chalon" displayName="chalon" ref="A3:CQ37" totalsRowShown="0" headerRowDxfId="2058" dataDxfId="2057">
  <autoFilter ref="A3:CQ37" xr:uid="{6F44C236-BD30-49C1-AC80-B66D4596B51B}"/>
  <tableColumns count="95">
    <tableColumn id="1" xr3:uid="{DA6C0C6B-2118-4D8A-A4BB-1F8C02E47049}" name="Tournament" dataDxfId="2056"/>
    <tableColumn id="2" xr3:uid="{139C2562-BE5B-4803-99D5-3238D84A4795}" name="Home_team" dataDxfId="2055"/>
    <tableColumn id="3" xr3:uid="{8823D064-B48B-48AB-B943-0284D62CBB95}" name="Stage" dataDxfId="2054"/>
    <tableColumn id="4" xr3:uid="{EE968E37-68D5-441B-AE2A-555A51BDB8BC}" name="Date" dataDxfId="2053"/>
    <tableColumn id="5" xr3:uid="{14FBE7C5-526A-41AC-B9A4-78384261C623}" name="Location" dataDxfId="2052"/>
    <tableColumn id="6" xr3:uid="{F973FE76-20D6-4EE8-82FE-0A06E61890A9}" name="Away_team" dataDxfId="2051"/>
    <tableColumn id="7" xr3:uid="{ACC3CE0A-BBB9-49B2-9F44-A92FC0AEF8D7}" name="Result" dataDxfId="2050"/>
    <tableColumn id="8" xr3:uid="{9DB93AF5-49FF-4F67-96A5-6FD39F726474}" name="Home_scored" dataDxfId="2049"/>
    <tableColumn id="9" xr3:uid="{57E45823-992A-4A19-8573-EBF6C77A6D31}" name="Away_scored" dataDxfId="2048"/>
    <tableColumn id="10" xr3:uid="{642FD8BD-4ACD-4368-99A3-85FDD7DBE3B9}" name="FGM" dataDxfId="2047"/>
    <tableColumn id="11" xr3:uid="{DD82DA77-D95C-46A4-9669-497CA33AC6F7}" name="FGA" dataDxfId="2046"/>
    <tableColumn id="12" xr3:uid="{05C9F0A3-42B6-4550-8195-B64DF5517AA9}" name="FGp" dataDxfId="2045"/>
    <tableColumn id="13" xr3:uid="{2AE56269-C81D-4ACD-AAED-C31B64AAAC0D}" name="P2M" dataDxfId="2044"/>
    <tableColumn id="14" xr3:uid="{85B789DD-1B6C-4F87-8751-BE1907CBC747}" name="P2A" dataDxfId="2043"/>
    <tableColumn id="15" xr3:uid="{4826AD9A-D3C7-43CA-8C81-13807D7DBED3}" name="P2p" dataDxfId="2042"/>
    <tableColumn id="16" xr3:uid="{5FA9A235-F24A-47D9-983D-348176E7FABA}" name="P3M" dataDxfId="2041"/>
    <tableColumn id="17" xr3:uid="{11B73EDF-A13E-4F30-81D7-AB7D3286E232}" name="P3A" dataDxfId="2040"/>
    <tableColumn id="18" xr3:uid="{C7490A19-3AE2-49C1-A39D-9A28C4A192A5}" name="P3p" dataDxfId="2039"/>
    <tableColumn id="19" xr3:uid="{79BC8E01-4F38-4A9A-B15A-8794900B56F5}" name="FTM" dataDxfId="2038"/>
    <tableColumn id="20" xr3:uid="{4333538F-89B1-42AB-99C1-A60221D8C60C}" name="FTA" dataDxfId="2037"/>
    <tableColumn id="21" xr3:uid="{90950C67-FA04-40A8-8749-AAE01ED2E5D9}" name="FTp" dataDxfId="2036"/>
    <tableColumn id="22" xr3:uid="{BB7640FC-08B1-48C4-A717-B47262764690}" name="ORB" dataDxfId="2035"/>
    <tableColumn id="23" xr3:uid="{8163E651-46B6-45F4-AFBE-7C457AB7AD14}" name="DRB" dataDxfId="2034"/>
    <tableColumn id="24" xr3:uid="{D548CC6C-FD46-4C2B-A9B9-FE17E5D0D966}" name="TRB" dataDxfId="2033"/>
    <tableColumn id="25" xr3:uid="{82B9D13F-780A-4F5D-B011-06A03BA3E0E2}" name="AST" dataDxfId="2032"/>
    <tableColumn id="26" xr3:uid="{C192316F-1DB0-4B44-BF2D-FD0895F48D63}" name="STL" dataDxfId="2031"/>
    <tableColumn id="27" xr3:uid="{6067966A-77A0-40FA-A3B4-E2C069A063B8}" name="BLK" dataDxfId="2030"/>
    <tableColumn id="28" xr3:uid="{7593D149-0B49-4048-B5FD-9FB319745E41}" name="TOV" dataDxfId="2029"/>
    <tableColumn id="29" xr3:uid="{A29C6DEA-9E9F-4E8E-86C7-E2F944487794}" name="PF" dataDxfId="2028"/>
    <tableColumn id="30" xr3:uid="{9AE733FC-C7F1-44AF-BEDA-02D2EA2A3E85}" name="FGMop" dataDxfId="2027"/>
    <tableColumn id="31" xr3:uid="{FE35160B-D662-461E-9E56-A2F6F2827DA1}" name="FGAop" dataDxfId="2026"/>
    <tableColumn id="32" xr3:uid="{2BCA5FB9-6B08-4674-8BCE-1F4002AA0D40}" name="FGpop" dataDxfId="2025"/>
    <tableColumn id="33" xr3:uid="{A4488046-89F2-4E85-849F-7EA3E5871B72}" name="P2Mop" dataDxfId="2024"/>
    <tableColumn id="34" xr3:uid="{7AA28D37-0B5A-40FA-B052-30918C21E4CC}" name="P2Aop" dataDxfId="2023"/>
    <tableColumn id="35" xr3:uid="{A8F4AE71-D2D3-401A-84A8-7FA2B69B3486}" name="P2pop" dataDxfId="2022"/>
    <tableColumn id="36" xr3:uid="{E742C2BD-8762-4101-8FDE-EE30B785CD09}" name="P3Mop" dataDxfId="2021"/>
    <tableColumn id="37" xr3:uid="{AD96E1FF-5D1D-446A-83E3-51DB6466ED8A}" name="P3Aop" dataDxfId="2020"/>
    <tableColumn id="38" xr3:uid="{12A757E4-1743-4BF8-A22B-C4CEDBE97FC2}" name="P3pop" dataDxfId="2019"/>
    <tableColumn id="39" xr3:uid="{F197C0D1-652C-4FC3-AB63-5043D5982415}" name="FTMop" dataDxfId="2018"/>
    <tableColumn id="40" xr3:uid="{82539C91-65A8-4B09-890E-90869908E17C}" name="FTAop" dataDxfId="2017"/>
    <tableColumn id="41" xr3:uid="{BF749861-0EDD-4FDE-9CE6-A62F3C609752}" name="FTpop" dataDxfId="2016"/>
    <tableColumn id="42" xr3:uid="{B6F38401-D0BE-4E28-A93A-EEA751609EC5}" name="ORBop" dataDxfId="2015"/>
    <tableColumn id="43" xr3:uid="{B33DED22-11B0-40D3-9A73-82221A53305F}" name="DRBop" dataDxfId="2014"/>
    <tableColumn id="44" xr3:uid="{AE99BF38-15B6-400D-A355-6F2E14992DE3}" name="TRBop" dataDxfId="2013"/>
    <tableColumn id="45" xr3:uid="{02A2E216-D694-471F-9E69-CB2654F696BF}" name="ASTop" dataDxfId="2012"/>
    <tableColumn id="46" xr3:uid="{338F7B9F-4F78-48DA-BABD-731B8127E1EE}" name="STLop" dataDxfId="2011"/>
    <tableColumn id="47" xr3:uid="{8C79F38B-B2E5-4D1C-A9B4-404307EA907C}" name="BLKop" dataDxfId="2010"/>
    <tableColumn id="48" xr3:uid="{25AF4D76-DEA7-4DDF-96AC-0556FD7FB374}" name="TOVop" dataDxfId="2009"/>
    <tableColumn id="49" xr3:uid="{D273F771-25C2-403D-93F2-B2BDDD65C052}" name="PFop" dataDxfId="2008"/>
    <tableColumn id="50" xr3:uid="{60DB1EA1-CB93-49D4-BDC2-6A6EFC70F094}" name="TS%" dataDxfId="2007"/>
    <tableColumn id="51" xr3:uid="{6C47FD97-BE07-4841-A16A-EF9874D14ADC}" name="eFG%" dataDxfId="2006"/>
    <tableColumn id="52" xr3:uid="{F05519EB-D9CD-480F-87F4-D76F84A292D6}" name="ORB%" dataDxfId="2005"/>
    <tableColumn id="53" xr3:uid="{46DE1697-9AB0-4C6D-9EEC-3D677BEC812B}" name="DRB%" dataDxfId="2004"/>
    <tableColumn id="54" xr3:uid="{C5D821B5-C81B-49A6-93F2-D2085F6737DD}" name="TRB%" dataDxfId="2003"/>
    <tableColumn id="55" xr3:uid="{0B2BD2EC-4BA6-4AE9-ABC7-FFB7D9D0C513}" name="Poss" dataDxfId="2002"/>
    <tableColumn id="56" xr3:uid="{F77BFB90-25D8-432D-B03E-68B77EBF77E0}" name="AST%" dataDxfId="2001"/>
    <tableColumn id="57" xr3:uid="{290E5B01-7D26-4690-A333-0454FC617029}" name="FTFGA%" dataDxfId="2000"/>
    <tableColumn id="58" xr3:uid="{9FD908BF-8A4B-41F4-87C3-A292838AC05F}" name="TOV%" dataDxfId="1999"/>
    <tableColumn id="59" xr3:uid="{8C984A2E-F041-4B47-8486-E4116CDFFAA6}" name="ORtg" dataDxfId="1998"/>
    <tableColumn id="60" xr3:uid="{55FE00EE-62A9-4414-B11D-4A38BE803100}" name="DRtg" dataDxfId="1997"/>
    <tableColumn id="61" xr3:uid="{FC2E3A29-6A9B-46A1-9946-6E68369B4C3C}" name="Pace" dataDxfId="1996"/>
    <tableColumn id="62" xr3:uid="{53DC89CE-0ECE-4A40-94FF-ACC2DADBC18F}" name="TS%op" dataDxfId="1995"/>
    <tableColumn id="63" xr3:uid="{3C97BA86-8CDC-4845-9FA5-D7ED9CDC0D55}" name="eFG%op" dataDxfId="1994"/>
    <tableColumn id="64" xr3:uid="{9338E255-C083-4F16-9F42-A0EB8B5B6F99}" name="ORB%op" dataDxfId="1993"/>
    <tableColumn id="65" xr3:uid="{42D9317D-8C76-4361-901E-E62F09547C0B}" name="DRB%op" dataDxfId="1992"/>
    <tableColumn id="66" xr3:uid="{4A056D0A-4183-4F51-B5B8-14351567723F}" name="TRB%op" dataDxfId="1991"/>
    <tableColumn id="67" xr3:uid="{07D386BB-E85C-4E75-B786-771398C07410}" name="Possop" dataDxfId="1990"/>
    <tableColumn id="68" xr3:uid="{2338BCF3-2902-4748-B563-3D77A70E87EE}" name="AST%op" dataDxfId="1989"/>
    <tableColumn id="69" xr3:uid="{CC22F9BE-F36B-4DEB-A452-C61692D7BDCC}" name="FTFGA%op" dataDxfId="1988"/>
    <tableColumn id="70" xr3:uid="{8119A308-3DFA-41C1-9B17-F1F3AFFEEF40}" name="TOV%op" dataDxfId="1987"/>
    <tableColumn id="71" xr3:uid="{D16F3D35-1D86-42E0-9FF7-8EA3EAAF475A}" name="ORtgop" dataDxfId="1986"/>
    <tableColumn id="72" xr3:uid="{FC5D39FE-4F02-4523-91CE-971A095B8A3E}" name="DRtgop" dataDxfId="1985"/>
    <tableColumn id="73" xr3:uid="{237D44F9-6BDA-46E7-ABAB-F966A1C5E127}" name="Q1H" dataDxfId="1984"/>
    <tableColumn id="74" xr3:uid="{65B4E403-B87B-493B-A9FE-10C7EE8D6020}" name="Q2H" dataDxfId="1983"/>
    <tableColumn id="75" xr3:uid="{CADCAD0A-9133-431C-918C-44223F972455}" name="Q3H" dataDxfId="1982"/>
    <tableColumn id="76" xr3:uid="{1E03D2AC-3FD9-45FB-B489-1A53359EB038}" name="Q4H" dataDxfId="1981"/>
    <tableColumn id="77" xr3:uid="{5D7D0FDA-6D20-42BA-96DF-20B47EA88BCC}" name="Q1A" dataDxfId="1980"/>
    <tableColumn id="78" xr3:uid="{8E39C8F7-7AD4-410D-A9AC-68A4323961E6}" name="Q2A" dataDxfId="1979"/>
    <tableColumn id="79" xr3:uid="{0515B3A7-A6C0-456D-8D6F-372A38B177B9}" name="Q3A" dataDxfId="1978"/>
    <tableColumn id="80" xr3:uid="{AB908AAB-7E62-40B0-B2C1-9EFB7B6F019A}" name="Q4A" dataDxfId="1977"/>
    <tableColumn id="81" xr3:uid="{F66D4941-57AC-4047-BBC6-50B8508673C5}" name="FhalfH" dataDxfId="1976"/>
    <tableColumn id="82" xr3:uid="{BB73D57D-40D4-4C37-9410-77B28E0027D8}" name="ShalfH" dataDxfId="1975"/>
    <tableColumn id="83" xr3:uid="{B96749BD-3727-486D-BF31-C2B304941C26}" name="FhalfA" dataDxfId="1974"/>
    <tableColumn id="84" xr3:uid="{761C2E40-F1E6-4528-B9E2-49E5F17A0350}" name="ShalfA" dataDxfId="1973"/>
    <tableColumn id="85" xr3:uid="{2C10F358-EF9F-4520-B0C9-B8B903861AAC}" name="win" dataDxfId="1972"/>
    <tableColumn id="86" xr3:uid="{5133A6E8-3227-4CE4-BE02-95ACC13BA4CD}" name="lose" dataDxfId="1971"/>
    <tableColumn id="87" xr3:uid="{75008A1C-F648-4B94-97B1-DC144F140295}" name="foraH" dataDxfId="1970"/>
    <tableColumn id="88" xr3:uid="{6BA619A7-FA52-48B3-B078-F7E744F322CE}" name="foraA" dataDxfId="1969"/>
    <tableColumn id="89" xr3:uid="{53EA895D-6A5F-4F50-9FE6-3DEBDDF63007}" name="total" dataDxfId="1968"/>
    <tableColumn id="90" xr3:uid="{2C2DFF5D-8BD0-4F72-8080-5A1AFDD568EA}" name="link" dataDxfId="1967"/>
    <tableColumn id="91" xr3:uid="{FA331CD6-60FB-42EF-B5C9-FCF0D15B116F}" name="abbr" dataDxfId="1966">
      <calculatedColumnFormula>VLOOKUP(chalon[[#This Row],[Away_team]],all[[Full name]:[Abbr]],3,FALSE)</calculatedColumnFormula>
    </tableColumn>
    <tableColumn id="92" xr3:uid="{B0566107-A93C-4A36-9921-9BC0A7ECF0A1}" name="BetH" dataDxfId="1965">
      <calculatedColumnFormula>IF(OR(chalon[[#This Row],[Result]]="w",chalon[[#This Row],[Result]]="dw"),chalon[[#This Row],[win]]-1,-1)</calculatedColumnFormula>
    </tableColumn>
    <tableColumn id="93" xr3:uid="{36165F31-143D-4A0E-8F60-CE1BB691046B}" name="BetA" dataDxfId="1964">
      <calculatedColumnFormula>IF(OR(chalon[[#This Row],[Result]]="L",chalon[[#This Row],[Result]]="dl"),chalon[[#This Row],[lose]]-1,-1)</calculatedColumnFormula>
    </tableColumn>
    <tableColumn id="96" xr3:uid="{18610690-C509-4596-B286-F47C0210E353}" name="Tover" dataDxfId="1963">
      <calculatedColumnFormula>IF(OR((chalon[[#This Row],[Home_scored]]+chalon[[#This Row],[Away_scored]])&gt;chalon[[#This Row],[total]],OR(chalon[[#This Row],[Result]]="dw",chalon[[#This Row],[Result]]="dl")),1,0)</calculatedColumnFormula>
    </tableColumn>
    <tableColumn id="97" xr3:uid="{6A69FBBF-7623-4045-9DBC-D2DF2BD2BD05}" name="Deviation" dataDxfId="1962">
      <calculatedColumnFormula>ABS((chalon[[#This Row],[Home_scored]]+chalon[[#This Row],[Away_scored]])-chalon[[#This Row],[total]])+0.5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7239D3-DCC2-4186-B311-17F1003EAEFC}" name="cholet" displayName="cholet" ref="A3:CQ35" totalsRowShown="0" headerRowDxfId="1961" dataDxfId="1960">
  <autoFilter ref="A3:CQ35" xr:uid="{6F44C236-BD30-49C1-AC80-B66D4596B51B}"/>
  <tableColumns count="95">
    <tableColumn id="1" xr3:uid="{8A638653-6E9D-4274-977B-19A5215FDAD9}" name="Tournament" dataDxfId="1959"/>
    <tableColumn id="2" xr3:uid="{A5A67DD8-D84A-4B2E-BF4B-43F349F41FBF}" name="Home_team" dataDxfId="1958"/>
    <tableColumn id="3" xr3:uid="{0B3234EC-D844-48DC-A34E-9D007749420A}" name="Stage" dataDxfId="1957"/>
    <tableColumn id="4" xr3:uid="{563655E1-46AF-44FB-84D2-EFADAD213667}" name="Date" dataDxfId="1956"/>
    <tableColumn id="5" xr3:uid="{EA107A34-7C3C-4E94-85F2-7917387F76BE}" name="Location" dataDxfId="1955"/>
    <tableColumn id="6" xr3:uid="{41DF131E-73D8-4E32-887C-474D9AA0F1E2}" name="Away_team" dataDxfId="1954"/>
    <tableColumn id="7" xr3:uid="{F9F8981F-77B8-47F5-BF1F-D954007F8AAD}" name="Result" dataDxfId="1953"/>
    <tableColumn id="8" xr3:uid="{069AE107-7A35-45FC-A5A0-96A0B8BF75D2}" name="Home_scored" dataDxfId="1952"/>
    <tableColumn id="9" xr3:uid="{4317D2D9-BFAE-48CA-BC93-3A111BE4F2D3}" name="Away_scored" dataDxfId="1951"/>
    <tableColumn id="10" xr3:uid="{D13D9FF6-6BC7-4C67-965E-381588366E66}" name="FGM" dataDxfId="1950"/>
    <tableColumn id="11" xr3:uid="{416F628F-251F-403B-843C-45B502019C13}" name="FGA" dataDxfId="1949"/>
    <tableColumn id="12" xr3:uid="{6C871F78-28F7-4485-B11C-592F3EC0B7C7}" name="FGp" dataDxfId="1948"/>
    <tableColumn id="13" xr3:uid="{B24500AB-7316-4FEC-9207-2F61A6169812}" name="P2M" dataDxfId="1947"/>
    <tableColumn id="14" xr3:uid="{31EB0C9C-9BF0-4DEB-93E8-09D54564CA8D}" name="P2A" dataDxfId="1946"/>
    <tableColumn id="15" xr3:uid="{31A86568-360A-405C-88D8-2FA28598789E}" name="P2p" dataDxfId="1945"/>
    <tableColumn id="16" xr3:uid="{30A0235B-D31E-414E-AE29-08159880251B}" name="P3M" dataDxfId="1944"/>
    <tableColumn id="17" xr3:uid="{73D50736-81B8-4309-AF9A-33E3B1A82AFA}" name="P3A" dataDxfId="1943"/>
    <tableColumn id="18" xr3:uid="{16C25FBC-F090-4AEF-879F-BE84278227AB}" name="P3p" dataDxfId="1942"/>
    <tableColumn id="19" xr3:uid="{15AB3E5E-E3B9-45B6-A3D3-F7FF9E8FCE79}" name="FTM" dataDxfId="1941"/>
    <tableColumn id="20" xr3:uid="{602716D4-0095-4D83-886C-C48E23350677}" name="FTA" dataDxfId="1940"/>
    <tableColumn id="21" xr3:uid="{6474F4DD-2BC9-428C-8688-93F423AEC6B9}" name="FTp" dataDxfId="1939"/>
    <tableColumn id="22" xr3:uid="{7D91A428-8EBA-46F6-A61C-F8C8F29575C4}" name="ORB" dataDxfId="1938"/>
    <tableColumn id="23" xr3:uid="{3B09D909-443F-4848-ABCA-CE6C8D2D2732}" name="DRB" dataDxfId="1937"/>
    <tableColumn id="24" xr3:uid="{5615CA5F-0ED0-4258-9F3A-C92E48D040A6}" name="TRB" dataDxfId="1936"/>
    <tableColumn id="25" xr3:uid="{BAC8CBCE-BDE0-40D8-A0AE-31C7E00B3B8D}" name="AST" dataDxfId="1935"/>
    <tableColumn id="26" xr3:uid="{C0B9CD1D-0212-434F-B6DE-CE4A9EE5C576}" name="STL" dataDxfId="1934"/>
    <tableColumn id="27" xr3:uid="{E4611AF6-6204-4FEF-B5FF-E7F28EE220A6}" name="BLK" dataDxfId="1933"/>
    <tableColumn id="28" xr3:uid="{86E9AACF-7A59-421E-BE97-7BAC320A6D45}" name="TOV" dataDxfId="1932"/>
    <tableColumn id="29" xr3:uid="{52C5545A-AF62-45FE-8731-F3B52BF2FB4A}" name="PF" dataDxfId="1931"/>
    <tableColumn id="30" xr3:uid="{BD9401B7-BC8F-4928-AA5F-D61021894BB9}" name="FGMop" dataDxfId="1930"/>
    <tableColumn id="31" xr3:uid="{E4A09537-B698-4415-A7CC-119A1807281A}" name="FGAop" dataDxfId="1929"/>
    <tableColumn id="32" xr3:uid="{7177DD53-DCC0-4CA7-AE64-A25AE7FA445E}" name="FGpop" dataDxfId="1928"/>
    <tableColumn id="33" xr3:uid="{A30BBD9D-73C3-4D1B-B11C-DC41B557F4FB}" name="P2Mop" dataDxfId="1927"/>
    <tableColumn id="34" xr3:uid="{3BA99159-72A4-4438-A82B-F9C66F19AF77}" name="P2Aop" dataDxfId="1926"/>
    <tableColumn id="35" xr3:uid="{732A7007-6DF0-4B1F-9977-A14B6130AACB}" name="P2pop" dataDxfId="1925"/>
    <tableColumn id="36" xr3:uid="{778AB03A-C73B-4D77-94EE-174C408A8AB5}" name="P3Mop" dataDxfId="1924"/>
    <tableColumn id="37" xr3:uid="{96D77630-6DB7-49F7-804C-F05C20BF6167}" name="P3Aop" dataDxfId="1923"/>
    <tableColumn id="38" xr3:uid="{AF37BF71-D0D9-47D9-BF0B-EC96EB6BF445}" name="P3pop" dataDxfId="1922"/>
    <tableColumn id="39" xr3:uid="{2F56607F-00EC-45B2-885A-ECE0F147883B}" name="FTMop" dataDxfId="1921"/>
    <tableColumn id="40" xr3:uid="{9769CB84-86C7-4D11-A836-FCABDA03776B}" name="FTAop" dataDxfId="1920"/>
    <tableColumn id="41" xr3:uid="{030F5995-198E-4410-AE5A-69AF9C0E9B3D}" name="FTpop" dataDxfId="1919"/>
    <tableColumn id="42" xr3:uid="{7354B311-A5D3-4FF8-82C7-F5A004393907}" name="ORBop" dataDxfId="1918"/>
    <tableColumn id="43" xr3:uid="{DDBC82CF-8891-42D0-83B9-42F5CC53E3A9}" name="DRBop" dataDxfId="1917"/>
    <tableColumn id="44" xr3:uid="{8E198CD2-64F8-4650-A298-32D22EE7211D}" name="TRBop" dataDxfId="1916"/>
    <tableColumn id="45" xr3:uid="{F1B008F5-4F3C-4B0B-8685-80D8D8088824}" name="ASTop" dataDxfId="1915"/>
    <tableColumn id="46" xr3:uid="{B34781DD-183A-48DB-9CA5-C763B246C091}" name="STLop" dataDxfId="1914"/>
    <tableColumn id="47" xr3:uid="{35628E09-7267-40E3-97C9-601D46806F30}" name="BLKop" dataDxfId="1913"/>
    <tableColumn id="48" xr3:uid="{349A79B7-E61A-42DE-B4E1-F5F5728F0A6E}" name="TOVop" dataDxfId="1912"/>
    <tableColumn id="49" xr3:uid="{D3FB071F-EDCA-489C-9BEB-B81054CDFFB6}" name="PFop" dataDxfId="1911"/>
    <tableColumn id="50" xr3:uid="{C303EE3C-E5FE-4307-844D-E1E48ACD5DBB}" name="TS%" dataDxfId="1910"/>
    <tableColumn id="51" xr3:uid="{541897D2-FC66-4484-848E-6D0C2501123B}" name="eFG%" dataDxfId="1909"/>
    <tableColumn id="52" xr3:uid="{2B82789C-5DC3-4C08-AFCD-ADBD26247A1A}" name="ORB%" dataDxfId="1908"/>
    <tableColumn id="53" xr3:uid="{B2C429C0-BA5B-4089-88F2-32CBE1558650}" name="DRB%" dataDxfId="1907"/>
    <tableColumn id="54" xr3:uid="{74D1EC60-0FB5-46D8-B236-E36FFCEFCCB9}" name="TRB%" dataDxfId="1906"/>
    <tableColumn id="55" xr3:uid="{B6DCF2E6-77D8-449E-80D8-029514152C06}" name="Poss" dataDxfId="1905"/>
    <tableColumn id="56" xr3:uid="{812B333C-0BE9-4EB4-BC99-F2D7BAF72CB7}" name="AST%" dataDxfId="1904"/>
    <tableColumn id="57" xr3:uid="{321577EF-ABD4-4775-9FED-06F700F73192}" name="FTFGA%" dataDxfId="1903"/>
    <tableColumn id="58" xr3:uid="{31EC4B2B-D26B-4105-922F-3161A0BBE665}" name="TOV%" dataDxfId="1902"/>
    <tableColumn id="59" xr3:uid="{E59B758F-30E7-4761-B2E2-3E070D4ED18D}" name="ORtg" dataDxfId="1901"/>
    <tableColumn id="60" xr3:uid="{DC85B72A-0F4A-47C6-B5EC-196168D3E1F1}" name="DRtg" dataDxfId="1900"/>
    <tableColumn id="61" xr3:uid="{2D95F210-76B3-4048-92DA-0389B1F8291F}" name="Pace" dataDxfId="1899"/>
    <tableColumn id="62" xr3:uid="{93D4B0AC-5168-438F-B722-32029C687A65}" name="TS%op" dataDxfId="1898"/>
    <tableColumn id="63" xr3:uid="{3B368B59-9CE7-4431-B827-72D59E3E2DF4}" name="eFG%op" dataDxfId="1897"/>
    <tableColumn id="64" xr3:uid="{2A71658C-064A-4DBE-98D1-A49C2FE9A777}" name="ORB%op" dataDxfId="1896"/>
    <tableColumn id="65" xr3:uid="{3B1ECE5F-FFAF-4DE9-A366-005B472FC271}" name="DRB%op" dataDxfId="1895"/>
    <tableColumn id="66" xr3:uid="{9A5E7154-92A3-4412-B3A4-4ED4CB53EA47}" name="TRB%op" dataDxfId="1894"/>
    <tableColumn id="67" xr3:uid="{BEA881B0-B222-4C36-95BE-1D900B90D9EF}" name="Possop" dataDxfId="1893"/>
    <tableColumn id="68" xr3:uid="{C0210F8E-59E1-4C24-A959-7A1CB06F9EDC}" name="AST%op" dataDxfId="1892"/>
    <tableColumn id="69" xr3:uid="{6BE23769-EF99-4727-A86C-8C4236732A8A}" name="FTFGA%op" dataDxfId="1891"/>
    <tableColumn id="70" xr3:uid="{C574247A-DE35-4D17-9C27-1897C3178F37}" name="TOV%op" dataDxfId="1890"/>
    <tableColumn id="71" xr3:uid="{8E913BFF-B31A-4271-86A3-EBDED3BB3C17}" name="ORtgop" dataDxfId="1889"/>
    <tableColumn id="72" xr3:uid="{665B1600-7975-43C7-AFF0-06067CAD9599}" name="DRtgop" dataDxfId="1888"/>
    <tableColumn id="73" xr3:uid="{033165B4-06BA-44D7-B6C9-E0613EC9A77E}" name="Q1H" dataDxfId="1887"/>
    <tableColumn id="74" xr3:uid="{C356A964-D1A5-4355-AD3E-043E99B71F3D}" name="Q2H" dataDxfId="1886"/>
    <tableColumn id="75" xr3:uid="{41BC86FB-60EA-4B6F-A308-A6C7BE32F550}" name="Q3H" dataDxfId="1885"/>
    <tableColumn id="76" xr3:uid="{9B7DEACA-4369-40CE-96C9-A090F2D281DC}" name="Q4H" dataDxfId="1884"/>
    <tableColumn id="77" xr3:uid="{4E83B523-EC8D-4797-B993-8957F7EF4CEA}" name="Q1A" dataDxfId="1883"/>
    <tableColumn id="78" xr3:uid="{63953C03-4D15-4639-81A9-48D14D9EAF56}" name="Q2A" dataDxfId="1882"/>
    <tableColumn id="79" xr3:uid="{D34DC744-344C-4C94-9C48-0400106E13D5}" name="Q3A" dataDxfId="1881"/>
    <tableColumn id="80" xr3:uid="{61EA443A-DBF4-448D-BB4C-C82CB3EB621A}" name="Q4A" dataDxfId="1880"/>
    <tableColumn id="81" xr3:uid="{F4CAF728-9440-4807-83C4-0FDD43D84E57}" name="FhalfH" dataDxfId="1879"/>
    <tableColumn id="82" xr3:uid="{973934AF-9286-4ECC-9F33-DB8111E854C1}" name="ShalfH" dataDxfId="1878"/>
    <tableColumn id="83" xr3:uid="{41B40FE6-D005-4A6F-964C-0DF1067DA89C}" name="FhalfA" dataDxfId="1877"/>
    <tableColumn id="84" xr3:uid="{D38F3FA7-B775-423B-A689-A34FF42BFE4F}" name="ShalfA" dataDxfId="1876"/>
    <tableColumn id="85" xr3:uid="{10A4EEF0-FEE6-4515-971E-EDC6626E1E64}" name="win" dataDxfId="1875"/>
    <tableColumn id="86" xr3:uid="{9B04C358-F55B-4593-BE48-847714B8F0D4}" name="lose" dataDxfId="1874"/>
    <tableColumn id="87" xr3:uid="{A85FC694-06EB-43BF-B3A6-F1B249CD60E7}" name="foraH" dataDxfId="1873"/>
    <tableColumn id="88" xr3:uid="{17A6BB99-B614-49D0-93DF-D4CF4B928583}" name="foraA" dataDxfId="1872"/>
    <tableColumn id="89" xr3:uid="{81B74CC1-C956-4F8C-B2E5-4C7284863ED2}" name="total" dataDxfId="1871"/>
    <tableColumn id="90" xr3:uid="{4FC130F2-B1A6-4525-849D-F1A4F5A755BD}" name="link" dataDxfId="1870"/>
    <tableColumn id="91" xr3:uid="{2635C5A2-6236-4305-B7D0-3597F1B02ABC}" name="abbr" dataDxfId="1869">
      <calculatedColumnFormula>VLOOKUP(cholet[[#This Row],[Away_team]],all[[Full name]:[Abbr]],3,FALSE)</calculatedColumnFormula>
    </tableColumn>
    <tableColumn id="92" xr3:uid="{667FAE05-DA65-4F51-88EB-2AF29A71011A}" name="BetH" dataDxfId="1868">
      <calculatedColumnFormula>IF(OR(cholet[[#This Row],[Result]]="w",cholet[[#This Row],[Result]]="dw"),cholet[[#This Row],[win]]-1,-1)</calculatedColumnFormula>
    </tableColumn>
    <tableColumn id="93" xr3:uid="{A43C9B42-D7DA-4669-99E8-72EB34778A34}" name="BetA" dataDxfId="1867">
      <calculatedColumnFormula>IF(OR(cholet[[#This Row],[Result]]="L",cholet[[#This Row],[Result]]="dl"),cholet[[#This Row],[lose]]-1,-1)</calculatedColumnFormula>
    </tableColumn>
    <tableColumn id="94" xr3:uid="{CB50D084-3195-4750-815B-2E8405AE9255}" name="Tover" dataDxfId="1866">
      <calculatedColumnFormula>IF(OR((cholet[[#This Row],[Home_scored]]+cholet[[#This Row],[Away_scored]])&gt;cholet[[#This Row],[total]],OR(cholet[[#This Row],[Result]]="dw",cholet[[#This Row],[Result]]="dl")),1,0)</calculatedColumnFormula>
    </tableColumn>
    <tableColumn id="95" xr3:uid="{78793F55-3060-40C1-9A5E-AF22980D6F15}" name="Deviation" dataDxfId="1865">
      <calculatedColumnFormula>ABS((cholet[[#This Row],[Home_scored]]+cholet[[#This Row],[Away_scored]])-cholet[[#This Row],[total]])+0.5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BB9A91-3EA5-42E3-BFA0-5F9BE5C3E842}" name="dijon" displayName="dijon" ref="A3:CQ4" totalsRowShown="0" headerRowDxfId="1864" dataDxfId="1863">
  <autoFilter ref="A3:CQ4" xr:uid="{6F44C236-BD30-49C1-AC80-B66D4596B51B}"/>
  <tableColumns count="95">
    <tableColumn id="1" xr3:uid="{FD42E972-5151-4CC8-8E40-D0E665B442E7}" name="Tournament" dataDxfId="1862"/>
    <tableColumn id="2" xr3:uid="{980AC105-D141-4642-8869-17ABDF154049}" name="Home_team" dataDxfId="1861"/>
    <tableColumn id="3" xr3:uid="{7DED929D-56E2-4678-B336-F3B4A541432B}" name="Stage" dataDxfId="1860"/>
    <tableColumn id="4" xr3:uid="{3E6A8DF7-BECF-4630-9000-E53CBC36CEE5}" name="Date" dataDxfId="1859"/>
    <tableColumn id="5" xr3:uid="{7BACA131-89EC-4468-ABB6-5D66CD52BF76}" name="Location" dataDxfId="1858"/>
    <tableColumn id="6" xr3:uid="{A40C93AE-B5DC-4B3E-9675-207350EB9A61}" name="Away_team" dataDxfId="1857"/>
    <tableColumn id="7" xr3:uid="{3EBF51A3-E59D-4C59-8FD3-0EBE8B42380F}" name="Result" dataDxfId="1856"/>
    <tableColumn id="8" xr3:uid="{F975F09E-AFDB-4183-B6F7-B41800D4E908}" name="Home_scored" dataDxfId="1855"/>
    <tableColumn id="9" xr3:uid="{53E240F7-FFD2-471D-8F31-A4D1120572F7}" name="Away_scored" dataDxfId="1854"/>
    <tableColumn id="10" xr3:uid="{052E697A-6302-411E-B658-9AB0EDEA74FE}" name="FGM" dataDxfId="1853"/>
    <tableColumn id="11" xr3:uid="{2957DB54-134D-40ED-93F7-ABB76F774F34}" name="FGA" dataDxfId="1852"/>
    <tableColumn id="12" xr3:uid="{1F7515E0-49F7-4727-898C-6FF3415D6B45}" name="FGp" dataDxfId="1851"/>
    <tableColumn id="13" xr3:uid="{5BB5F87B-9750-445C-B130-32074C54C96B}" name="P2M" dataDxfId="1850"/>
    <tableColumn id="14" xr3:uid="{E588E61A-53DF-473B-B88A-4B9F70157744}" name="P2A" dataDxfId="1849"/>
    <tableColumn id="15" xr3:uid="{5207AC9D-EC70-47DD-8CC4-121DBF639519}" name="P2p" dataDxfId="1848"/>
    <tableColumn id="16" xr3:uid="{C6FCA934-57FB-49A6-ADEB-A28B0FA03C4A}" name="P3M" dataDxfId="1847"/>
    <tableColumn id="17" xr3:uid="{AD1B7CE4-E957-4A3C-90B1-9A3952DE7243}" name="P3A" dataDxfId="1846"/>
    <tableColumn id="18" xr3:uid="{44E5B075-E33E-4CFE-99C4-8FD09B8F8325}" name="P3p" dataDxfId="1845"/>
    <tableColumn id="19" xr3:uid="{7D96BA6D-2A5F-4E0D-825A-36FFAFF4EA13}" name="FTM" dataDxfId="1844"/>
    <tableColumn id="20" xr3:uid="{5454CE5D-8DB7-4777-A573-1CF2B6ECFA5B}" name="FTA" dataDxfId="1843"/>
    <tableColumn id="21" xr3:uid="{F3048308-0939-4099-AA84-820881DD8FEB}" name="FTp" dataDxfId="1842"/>
    <tableColumn id="22" xr3:uid="{E2F98FC5-3F67-493D-8089-06D15CF44FCF}" name="ORB" dataDxfId="1841"/>
    <tableColumn id="23" xr3:uid="{E2093F4A-0E05-482D-874E-9C34C6F78289}" name="DRB" dataDxfId="1840"/>
    <tableColumn id="24" xr3:uid="{4B9C8731-1DAD-4C10-8E40-D080EC1FFABD}" name="TRB" dataDxfId="1839"/>
    <tableColumn id="25" xr3:uid="{AD3A67A8-0184-49FE-9CDA-9CCD3837C681}" name="AST" dataDxfId="1838"/>
    <tableColumn id="26" xr3:uid="{9740E799-2016-41B1-80C5-D31303C17E31}" name="STL" dataDxfId="1837"/>
    <tableColumn id="27" xr3:uid="{6AC93779-168B-493F-8D01-F5EEC50B3900}" name="BLK" dataDxfId="1836"/>
    <tableColumn id="28" xr3:uid="{F9D59456-162A-40FF-B2CB-0179EA9BCCDB}" name="TOV" dataDxfId="1835"/>
    <tableColumn id="29" xr3:uid="{84618E80-490A-4725-8065-4B89FDEBE70B}" name="PF" dataDxfId="1834"/>
    <tableColumn id="30" xr3:uid="{63764B31-F388-41E0-9E80-95D80844648E}" name="FGMop" dataDxfId="1833"/>
    <tableColumn id="31" xr3:uid="{1AA99E8D-3B50-4B1D-BC63-C3826D3A4209}" name="FGAop" dataDxfId="1832"/>
    <tableColumn id="32" xr3:uid="{18327E87-F6BB-45CE-B45A-D11218AFD669}" name="FGpop" dataDxfId="1831"/>
    <tableColumn id="33" xr3:uid="{4D2D5408-442F-43E5-8956-C5E6DFFA1DF8}" name="P2Mop" dataDxfId="1830"/>
    <tableColumn id="34" xr3:uid="{D2435F43-6551-4CB6-8DC1-5ED955024811}" name="P2Aop" dataDxfId="1829"/>
    <tableColumn id="35" xr3:uid="{19E17F4F-8CCA-4072-8205-A45ADAC85350}" name="P2pop" dataDxfId="1828"/>
    <tableColumn id="36" xr3:uid="{445BBA15-9D9C-41F5-9BA5-C9944304325F}" name="P3Mop" dataDxfId="1827"/>
    <tableColumn id="37" xr3:uid="{C27AB73B-B82B-4C45-A929-C05F61A6E446}" name="P3Aop" dataDxfId="1826"/>
    <tableColumn id="38" xr3:uid="{EB11672D-750E-4E6B-9668-A2D935CB6975}" name="P3pop" dataDxfId="1825"/>
    <tableColumn id="39" xr3:uid="{FFC3C630-D657-4FF7-9EBB-8EC07812A67F}" name="FTMop" dataDxfId="1824"/>
    <tableColumn id="40" xr3:uid="{CFC9BC13-3D2E-4B09-AF4E-EE181A9F920D}" name="FTAop" dataDxfId="1823"/>
    <tableColumn id="41" xr3:uid="{C8C2A358-B39B-4256-9EB2-C922F23C3D43}" name="FTpop" dataDxfId="1822"/>
    <tableColumn id="42" xr3:uid="{306C1DD6-1C0D-4701-AF6C-B51C06AE3025}" name="ORBop" dataDxfId="1821"/>
    <tableColumn id="43" xr3:uid="{92CB9726-3649-4E3A-B2B2-898E18E1A4D8}" name="DRBop" dataDxfId="1820"/>
    <tableColumn id="44" xr3:uid="{6A69245A-E71E-4AF1-8346-251621FFFCB1}" name="TRBop" dataDxfId="1819"/>
    <tableColumn id="45" xr3:uid="{93FA2E67-2855-4952-8DA4-53FCA756760B}" name="ASTop" dataDxfId="1818"/>
    <tableColumn id="46" xr3:uid="{3C473669-9DA9-4F79-B043-291EA138EEBD}" name="STLop" dataDxfId="1817"/>
    <tableColumn id="47" xr3:uid="{41462922-F06C-4A05-B072-68C846936AE6}" name="BLKop" dataDxfId="1816"/>
    <tableColumn id="48" xr3:uid="{8293D30A-80D7-4615-A443-A0BC62894BEA}" name="TOVop" dataDxfId="1815"/>
    <tableColumn id="49" xr3:uid="{B3E1D5FB-3DF2-474B-9666-B349A9D29DA6}" name="PFop" dataDxfId="1814"/>
    <tableColumn id="50" xr3:uid="{26002CEC-11A3-4DF9-902E-11E6B5A2BE4A}" name="TS%" dataDxfId="1813"/>
    <tableColumn id="51" xr3:uid="{15F090DB-5B01-403A-B114-60334E0916E3}" name="eFG%" dataDxfId="1812"/>
    <tableColumn id="52" xr3:uid="{B5A42EAD-CB53-4B2A-860D-01701CAB58B4}" name="ORB%" dataDxfId="1811"/>
    <tableColumn id="53" xr3:uid="{D7B77314-0906-41A1-A276-CF67A379D7BC}" name="DRB%" dataDxfId="1810"/>
    <tableColumn id="54" xr3:uid="{8046D54A-25D7-4355-9F90-75D8F6A776EB}" name="TRB%" dataDxfId="1809"/>
    <tableColumn id="55" xr3:uid="{677DEA5E-2048-4249-9BDF-7AB9B76FFD1E}" name="Poss" dataDxfId="1808"/>
    <tableColumn id="56" xr3:uid="{355477AB-4C18-4AF1-BF6C-D9CC3B7E2956}" name="AST%" dataDxfId="1807"/>
    <tableColumn id="57" xr3:uid="{1858461E-8E70-4C81-A3A8-1252DCDDCF72}" name="FTFGA%" dataDxfId="1806"/>
    <tableColumn id="58" xr3:uid="{A59326F0-E50F-4B45-A120-515F572AF2C6}" name="TOV%" dataDxfId="1805"/>
    <tableColumn id="59" xr3:uid="{3B3C9394-BE19-4A91-A93F-38DA42C6BCA2}" name="ORtg" dataDxfId="1804"/>
    <tableColumn id="60" xr3:uid="{A0198E4F-73AF-451B-AEEF-A4AD0EDB7421}" name="DRtg" dataDxfId="1803"/>
    <tableColumn id="61" xr3:uid="{71BFE09A-9CB5-4D30-963B-38B751A4E786}" name="Pace" dataDxfId="1802"/>
    <tableColumn id="62" xr3:uid="{EB37802E-09EF-4B31-BF29-4688A414928A}" name="TS%op" dataDxfId="1801"/>
    <tableColumn id="63" xr3:uid="{A780631C-7220-4967-809E-0BD9DADD3F12}" name="eFG%op" dataDxfId="1800"/>
    <tableColumn id="64" xr3:uid="{F98B56BF-67C5-47E7-8533-2435174022A1}" name="ORB%op" dataDxfId="1799"/>
    <tableColumn id="65" xr3:uid="{C3CB4574-CEDF-438A-9860-DD2A9DD2EB97}" name="DRB%op" dataDxfId="1798"/>
    <tableColumn id="66" xr3:uid="{5F60298B-92CC-40AD-A0ED-7716C1F8ED92}" name="TRB%op" dataDxfId="1797"/>
    <tableColumn id="67" xr3:uid="{C06A567B-CCFA-4916-BB73-723023F830DA}" name="Possop" dataDxfId="1796"/>
    <tableColumn id="68" xr3:uid="{AB5245D7-8A7E-497D-95B3-E1E1D830770E}" name="AST%op" dataDxfId="1795"/>
    <tableColumn id="69" xr3:uid="{11284DF6-AE4E-4733-9221-DD87B91D0873}" name="FTFGA%op" dataDxfId="1794"/>
    <tableColumn id="70" xr3:uid="{4DD7E632-D11B-4C16-ACCA-31FCBB2689E0}" name="TOV%op" dataDxfId="1793"/>
    <tableColumn id="71" xr3:uid="{93D1EDC5-17E5-4E7A-AE0E-80EF88013D91}" name="ORtgop" dataDxfId="1792"/>
    <tableColumn id="72" xr3:uid="{1A48DE5B-FAA6-42C9-B037-D3AAEB6B93D3}" name="DRtgop" dataDxfId="1791"/>
    <tableColumn id="73" xr3:uid="{B2AFFE95-AA23-4613-9ED8-856E62331747}" name="Q1H" dataDxfId="1790"/>
    <tableColumn id="74" xr3:uid="{A958E402-61B9-4904-923D-1B23461BBDBA}" name="Q2H" dataDxfId="1789"/>
    <tableColumn id="75" xr3:uid="{2AD07893-C669-4FB9-B280-23E64A8C158C}" name="Q3H" dataDxfId="1788"/>
    <tableColumn id="76" xr3:uid="{4B562EF8-17A4-45FF-8B76-E2FA4D7ECEA0}" name="Q4H" dataDxfId="1787"/>
    <tableColumn id="77" xr3:uid="{6E77B073-277B-48F0-8E5A-4B293EBCF2FC}" name="Q1A" dataDxfId="1786"/>
    <tableColumn id="78" xr3:uid="{71E57DA6-4A75-411A-A04B-A28634D9FC86}" name="Q2A" dataDxfId="1785"/>
    <tableColumn id="79" xr3:uid="{ADFCA89B-853B-4CCE-A79F-B22E26776D66}" name="Q3A" dataDxfId="1784"/>
    <tableColumn id="80" xr3:uid="{5AE56A45-E2C4-4FE6-A3E5-EF1AD5F9AFA5}" name="Q4A" dataDxfId="1783"/>
    <tableColumn id="81" xr3:uid="{F58D2665-CCBA-4C8D-9375-31F52B98D22D}" name="FhalfH" dataDxfId="1782"/>
    <tableColumn id="82" xr3:uid="{E3DA974F-861C-41DF-9836-730C03A7342A}" name="ShalfH" dataDxfId="1781"/>
    <tableColumn id="83" xr3:uid="{C960B688-7C60-41BE-A407-4323AA18B4B9}" name="FhalfA" dataDxfId="1780"/>
    <tableColumn id="84" xr3:uid="{2926553C-BFFC-42F5-AD11-E7269EB19C52}" name="ShalfA" dataDxfId="1779"/>
    <tableColumn id="85" xr3:uid="{35EA4765-AADA-4501-AF3E-886BA94F0D6F}" name="win" dataDxfId="1778"/>
    <tableColumn id="86" xr3:uid="{B2A330F2-266A-463A-B109-D060A72B9D16}" name="lose" dataDxfId="1777"/>
    <tableColumn id="87" xr3:uid="{82B26055-4781-4DE8-BA2A-8FCAFD8A5656}" name="foraH" dataDxfId="1776"/>
    <tableColumn id="88" xr3:uid="{0FBE7ADC-437D-40A4-B858-A49D5D91AB18}" name="foraA" dataDxfId="1775"/>
    <tableColumn id="89" xr3:uid="{02418FA4-30D2-43EB-A6E3-09A9E5C5BAE3}" name="total" dataDxfId="1774"/>
    <tableColumn id="90" xr3:uid="{23D13843-DBE7-4546-B7E9-493583192E31}" name="link" dataDxfId="1773"/>
    <tableColumn id="91" xr3:uid="{C17A2111-33B4-4827-878B-B97E768E3A91}" name="abbr" dataDxfId="1772">
      <calculatedColumnFormula>VLOOKUP(dijon[[#This Row],[Away_team]],all[[Full name]:[Abbr]],3,FALSE)</calculatedColumnFormula>
    </tableColumn>
    <tableColumn id="92" xr3:uid="{6DB4874D-F19F-4B43-9244-155621A59680}" name="BetH" dataDxfId="1771">
      <calculatedColumnFormula>IF(OR(dijon[[#This Row],[Result]]="w",dijon[[#This Row],[Result]]="dw"),dijon[[#This Row],[win]]-1,-1)</calculatedColumnFormula>
    </tableColumn>
    <tableColumn id="93" xr3:uid="{61D4C73F-C693-4F4B-84A0-0230918134E9}" name="BetA" dataDxfId="1770">
      <calculatedColumnFormula>IF(OR(dijon[[#This Row],[Result]]="L",dijon[[#This Row],[Result]]="dl"),dijon[[#This Row],[lose]]-1,-1)</calculatedColumnFormula>
    </tableColumn>
    <tableColumn id="94" xr3:uid="{6127D7D9-0B3B-45CD-A0FA-6DE3D9D68A0A}" name="Tover" dataDxfId="1769">
      <calculatedColumnFormula>IF(OR((dijon[[#This Row],[Home_scored]]+dijon[[#This Row],[Away_scored]])&gt;dijon[[#This Row],[total]],OR(dijon[[#This Row],[Result]]="dw",dijon[[#This Row],[Result]]="dl")),1,0)</calculatedColumnFormula>
    </tableColumn>
    <tableColumn id="95" xr3:uid="{0916ADD7-1794-4C38-9240-D91FCD073924}" name="Deviation" dataDxfId="1768">
      <calculatedColumnFormula>ABS((dijon[[#This Row],[Home_scored]]+dijon[[#This Row],[Away_scored]])-dijon[[#This Row],[total]])+0.5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85D92-D39C-4147-B800-80FBDF6E1FD3}" name="dunker" displayName="dunker" ref="A3:CQ33" totalsRowShown="0" headerRowDxfId="1767" dataDxfId="1766">
  <autoFilter ref="A3:CQ33" xr:uid="{6F44C236-BD30-49C1-AC80-B66D4596B51B}"/>
  <tableColumns count="95">
    <tableColumn id="1" xr3:uid="{A9666696-5FB6-4012-9778-6048F1C41FF2}" name="Tournament" dataDxfId="1765"/>
    <tableColumn id="2" xr3:uid="{850ABF8D-262A-442F-88CE-B5202DF669C6}" name="Home_team" dataDxfId="1764"/>
    <tableColumn id="3" xr3:uid="{E313B4C4-0E17-419E-A7FD-3B1B71176C1B}" name="Stage" dataDxfId="1763"/>
    <tableColumn id="4" xr3:uid="{038099DE-8BD2-435A-A903-14B34BEED341}" name="Date" dataDxfId="1762"/>
    <tableColumn id="5" xr3:uid="{7FE238AD-4625-4A98-AA43-2D65A1C0BFC9}" name="Location" dataDxfId="1761"/>
    <tableColumn id="6" xr3:uid="{83E8F41A-B7C3-4FBB-A360-272A9B188514}" name="Away_team" dataDxfId="1760"/>
    <tableColumn id="7" xr3:uid="{88595278-CC61-4204-94D2-D20C4F2FB266}" name="Result" dataDxfId="1759"/>
    <tableColumn id="8" xr3:uid="{BC326C8E-CDAC-4140-B1AF-58ED8C423B0F}" name="Home_scored" dataDxfId="1758"/>
    <tableColumn id="9" xr3:uid="{6914BEDC-7253-40FC-A540-270D27BE0ADF}" name="Away_scored" dataDxfId="1757"/>
    <tableColumn id="10" xr3:uid="{BAEA188E-E761-478E-AC9F-18819C9D4EE3}" name="FGM" dataDxfId="1756"/>
    <tableColumn id="11" xr3:uid="{32D9D50F-85AF-4D36-B42B-285E604B62B0}" name="FGA" dataDxfId="1755"/>
    <tableColumn id="12" xr3:uid="{9E5CE140-0211-4A40-9FDB-1951AA3405F3}" name="FGp" dataDxfId="1754"/>
    <tableColumn id="13" xr3:uid="{F3362D2D-F1F7-4686-BD53-317430F6F1B1}" name="P2M" dataDxfId="1753"/>
    <tableColumn id="14" xr3:uid="{2F467642-86F0-40A0-96F9-633F4F528DDD}" name="P2A" dataDxfId="1752"/>
    <tableColumn id="15" xr3:uid="{86A7A5E9-BB02-40E8-990E-2B461769A998}" name="P2p" dataDxfId="1751"/>
    <tableColumn id="16" xr3:uid="{895CE35D-E789-4F6A-9B27-664017A03FBA}" name="P3M" dataDxfId="1750"/>
    <tableColumn id="17" xr3:uid="{8F6308CE-7B78-4EC5-AD09-A69A9D283BB6}" name="P3A" dataDxfId="1749"/>
    <tableColumn id="18" xr3:uid="{B655D876-7C88-40F0-AFA0-C034E5A7CEBC}" name="P3p" dataDxfId="1748"/>
    <tableColumn id="19" xr3:uid="{09A0C87A-4C83-4853-9FE1-3B917B050394}" name="FTM" dataDxfId="1747"/>
    <tableColumn id="20" xr3:uid="{C25D67F4-CE3F-4531-B21C-93CB084256E3}" name="FTA" dataDxfId="1746"/>
    <tableColumn id="21" xr3:uid="{FDF814CE-217C-4A55-9AB1-464FDB1D0D4F}" name="FTp" dataDxfId="1745"/>
    <tableColumn id="22" xr3:uid="{CA92D63C-9CB9-4ED0-8C52-44412B48226B}" name="ORB" dataDxfId="1744"/>
    <tableColumn id="23" xr3:uid="{67B2A644-9F13-4B9D-B7F5-26AC9971B367}" name="DRB" dataDxfId="1743"/>
    <tableColumn id="24" xr3:uid="{E21636AB-E644-420D-9E8D-6355F3D94A49}" name="TRB" dataDxfId="1742"/>
    <tableColumn id="25" xr3:uid="{47050935-32A0-4B0F-8E35-33F9B3278956}" name="AST" dataDxfId="1741"/>
    <tableColumn id="26" xr3:uid="{B5594F8D-0AEF-4ED7-B288-56CE4D62AC58}" name="STL" dataDxfId="1740"/>
    <tableColumn id="27" xr3:uid="{58CD76FE-A546-4AA5-8182-8B18595C2AF6}" name="BLK" dataDxfId="1739"/>
    <tableColumn id="28" xr3:uid="{A7CDC75C-54D2-4EEB-B34F-2D967B0559FE}" name="TOV" dataDxfId="1738"/>
    <tableColumn id="29" xr3:uid="{599029EC-113D-4FC9-A66C-C5D610C22DAD}" name="PF" dataDxfId="1737"/>
    <tableColumn id="30" xr3:uid="{0BC6D9DC-0E59-4E59-B1D8-E1544F078C6A}" name="FGMop" dataDxfId="1736"/>
    <tableColumn id="31" xr3:uid="{A3E09706-CC96-4539-9A24-4A5883FF70A1}" name="FGAop" dataDxfId="1735"/>
    <tableColumn id="32" xr3:uid="{713726F7-C788-434D-91F9-86E40DB5FF77}" name="FGpop" dataDxfId="1734"/>
    <tableColumn id="33" xr3:uid="{384563DD-4A45-4579-B209-7B4D6898ACD8}" name="P2Mop" dataDxfId="1733"/>
    <tableColumn id="34" xr3:uid="{7E241A4B-9DAA-4AB3-8E51-5624ACC4F07E}" name="P2Aop" dataDxfId="1732"/>
    <tableColumn id="35" xr3:uid="{3073BE69-75CA-46FC-863C-904D2966F01D}" name="P2pop" dataDxfId="1731"/>
    <tableColumn id="36" xr3:uid="{67366E17-DC28-4D2B-94EC-767E0BD0223D}" name="P3Mop" dataDxfId="1730"/>
    <tableColumn id="37" xr3:uid="{35B071E9-58FE-4853-81F3-90E5576F1DD7}" name="P3Aop" dataDxfId="1729"/>
    <tableColumn id="38" xr3:uid="{3EEC1022-6F30-4D46-8161-C599F3AFC6E4}" name="P3pop" dataDxfId="1728"/>
    <tableColumn id="39" xr3:uid="{88A65EC5-511C-4065-81B6-FC8B069D7F21}" name="FTMop" dataDxfId="1727"/>
    <tableColumn id="40" xr3:uid="{093B0DEF-2F20-4FFB-B21A-71A21845AA9C}" name="FTAop" dataDxfId="1726"/>
    <tableColumn id="41" xr3:uid="{01A5722A-C96E-4A8A-BAE0-DA431A7DE679}" name="FTpop" dataDxfId="1725"/>
    <tableColumn id="42" xr3:uid="{404B79E6-836C-4E83-988B-95F51579308E}" name="ORBop" dataDxfId="1724"/>
    <tableColumn id="43" xr3:uid="{31573E02-663A-41F6-82A4-58219CCA610E}" name="DRBop" dataDxfId="1723"/>
    <tableColumn id="44" xr3:uid="{E940A84F-E90F-4F00-9C04-3D709868836B}" name="TRBop" dataDxfId="1722"/>
    <tableColumn id="45" xr3:uid="{65FDCDBF-44D8-438D-84ED-C3FBFCBFA3AF}" name="ASTop" dataDxfId="1721"/>
    <tableColumn id="46" xr3:uid="{9EBE6A3F-F8A7-47B6-9333-74D9F2498EB8}" name="STLop" dataDxfId="1720"/>
    <tableColumn id="47" xr3:uid="{10516FF2-98F5-4376-9A51-12B85776EBDC}" name="BLKop" dataDxfId="1719"/>
    <tableColumn id="48" xr3:uid="{6E9EDC75-DFC3-4EB4-87FE-8088CF1E724B}" name="TOVop" dataDxfId="1718"/>
    <tableColumn id="49" xr3:uid="{2EBE7537-ADC3-4030-95A3-628E0AE13BFF}" name="PFop" dataDxfId="1717"/>
    <tableColumn id="50" xr3:uid="{4D414F7C-F646-4A45-AC41-B8A623DAFCB6}" name="TS%" dataDxfId="1716"/>
    <tableColumn id="51" xr3:uid="{753F50FC-C3A6-4380-80F7-E9E3FD2FDF58}" name="eFG%" dataDxfId="1715"/>
    <tableColumn id="52" xr3:uid="{97D837B7-017F-47A2-A447-749187B6CDD4}" name="ORB%" dataDxfId="1714"/>
    <tableColumn id="53" xr3:uid="{B78665C2-1F49-4C08-B55C-1008DB355A4B}" name="DRB%" dataDxfId="1713"/>
    <tableColumn id="54" xr3:uid="{41B44B7C-154D-461C-900D-568D7E908508}" name="TRB%" dataDxfId="1712"/>
    <tableColumn id="55" xr3:uid="{052E6B0B-4313-4733-8EDD-BFE99540EC7C}" name="Poss" dataDxfId="1711"/>
    <tableColumn id="56" xr3:uid="{348296F6-42EC-4F9B-8FDD-4E3F553DA64E}" name="AST%" dataDxfId="1710"/>
    <tableColumn id="57" xr3:uid="{EE68B34B-145A-499F-8118-C3B0CC4DCE15}" name="FTFGA%" dataDxfId="1709"/>
    <tableColumn id="58" xr3:uid="{9453DEBA-954B-413C-A378-0B07693CE98E}" name="TOV%" dataDxfId="1708"/>
    <tableColumn id="59" xr3:uid="{DD3097CD-4A14-4131-AF22-A80B15B0E25D}" name="ORtg" dataDxfId="1707"/>
    <tableColumn id="60" xr3:uid="{D80F0BA3-210C-42B5-8965-511B62E4CB9F}" name="DRtg" dataDxfId="1706"/>
    <tableColumn id="61" xr3:uid="{45AD3B57-E54D-40E8-AA34-F75E10C754F2}" name="Pace" dataDxfId="1705"/>
    <tableColumn id="62" xr3:uid="{382E491A-D86D-41F8-BB70-528F70545BA1}" name="TS%op" dataDxfId="1704"/>
    <tableColumn id="63" xr3:uid="{C47F3E21-B367-4ADB-8149-79D43623942C}" name="eFG%op" dataDxfId="1703"/>
    <tableColumn id="64" xr3:uid="{D1D91295-1BA8-43FE-ACE8-52790F4A04EE}" name="ORB%op" dataDxfId="1702"/>
    <tableColumn id="65" xr3:uid="{0D4CC9EC-7854-400D-9B0F-7CD4CCB51B2F}" name="DRB%op" dataDxfId="1701"/>
    <tableColumn id="66" xr3:uid="{FDC2BE38-CA11-4733-9770-0ABA82A9372E}" name="TRB%op" dataDxfId="1700"/>
    <tableColumn id="67" xr3:uid="{8089F5C2-00EC-4B49-A987-C6C73DC05CA7}" name="Possop" dataDxfId="1699"/>
    <tableColumn id="68" xr3:uid="{535F0984-2D9D-4361-8141-65CF70FA4EBA}" name="AST%op" dataDxfId="1698"/>
    <tableColumn id="69" xr3:uid="{426520B5-2DE5-49B7-AFBD-6BBFBA1ECFE6}" name="FTFGA%op" dataDxfId="1697"/>
    <tableColumn id="70" xr3:uid="{F0519CD4-A448-4581-A77D-0E8A8EAE7198}" name="TOV%op" dataDxfId="1696"/>
    <tableColumn id="71" xr3:uid="{D8845AEB-4E62-4DD5-AE96-C925F01AE6BF}" name="ORtgop" dataDxfId="1695"/>
    <tableColumn id="72" xr3:uid="{A4798FFC-241B-4611-B01D-3D2610B68D8A}" name="DRtgop" dataDxfId="1694"/>
    <tableColumn id="73" xr3:uid="{373E1DA1-E17D-4A61-B30D-4D886E7B9B6F}" name="Q1H" dataDxfId="1693"/>
    <tableColumn id="74" xr3:uid="{86535D67-D40E-405E-B9B0-076918028A86}" name="Q2H" dataDxfId="1692"/>
    <tableColumn id="75" xr3:uid="{FA46A9E5-FC38-4C6A-9599-1C8AFE667F7C}" name="Q3H" dataDxfId="1691"/>
    <tableColumn id="76" xr3:uid="{461001B1-D924-40CF-8ACF-F38487664023}" name="Q4H" dataDxfId="1690"/>
    <tableColumn id="77" xr3:uid="{35079BCA-A3F7-423E-9692-B91770704E53}" name="Q1A" dataDxfId="1689"/>
    <tableColumn id="78" xr3:uid="{E6CE5035-D8C4-4D9B-9200-251C861351DC}" name="Q2A" dataDxfId="1688"/>
    <tableColumn id="79" xr3:uid="{13AE432C-0443-457F-87AF-A6751AF0074B}" name="Q3A" dataDxfId="1687"/>
    <tableColumn id="80" xr3:uid="{7867B05F-9A59-4D1F-9F85-712E1119CD4C}" name="Q4A" dataDxfId="1686"/>
    <tableColumn id="81" xr3:uid="{4093FE35-AA88-4A2A-87AC-ECFE053E0197}" name="FhalfH" dataDxfId="1685"/>
    <tableColumn id="82" xr3:uid="{9A52D94C-5A18-4A33-9167-34E327A0903E}" name="ShalfH" dataDxfId="1684"/>
    <tableColumn id="83" xr3:uid="{64BC91D9-7252-46DA-9C29-FDE90498DB7B}" name="FhalfA" dataDxfId="1683"/>
    <tableColumn id="84" xr3:uid="{4B3582AF-9D88-42D5-8312-5CE457ECEE78}" name="ShalfA" dataDxfId="1682"/>
    <tableColumn id="85" xr3:uid="{C5E4D7B4-2CB1-4795-83FF-9A7AE53777CC}" name="win" dataDxfId="1681"/>
    <tableColumn id="86" xr3:uid="{A320EDDB-2598-4666-BB27-8B21C7D844B2}" name="lose" dataDxfId="1680"/>
    <tableColumn id="87" xr3:uid="{B241550A-48C9-4F66-8E4C-016C97FAB640}" name="foraH" dataDxfId="1679"/>
    <tableColumn id="88" xr3:uid="{BF68C014-58BE-4902-B1B4-989C9BB202B0}" name="foraA" dataDxfId="1678"/>
    <tableColumn id="89" xr3:uid="{2AAA0EF7-89E2-4AA8-A18F-5C63909EE15E}" name="total" dataDxfId="1677"/>
    <tableColumn id="90" xr3:uid="{852EB882-28E2-44EB-A9C8-79983FEABCC7}" name="link" dataDxfId="1676"/>
    <tableColumn id="91" xr3:uid="{333C49E3-6280-4376-BA34-5F02B98A4FDB}" name="abbr" dataDxfId="1675">
      <calculatedColumnFormula>VLOOKUP(dunker[[#This Row],[Away_team]],all[[Full name]:[Abbr]],3,FALSE)</calculatedColumnFormula>
    </tableColumn>
    <tableColumn id="92" xr3:uid="{CDEC74C5-9AEF-4BD6-A031-DCD20F896B71}" name="BetH" dataDxfId="1674">
      <calculatedColumnFormula>IF(OR(dunker[[#This Row],[Result]]="w",dunker[[#This Row],[Result]]="dw"),dunker[[#This Row],[win]]-1,-1)</calculatedColumnFormula>
    </tableColumn>
    <tableColumn id="93" xr3:uid="{9E698DC8-350C-472B-B557-FB44F590C59D}" name="BetA" dataDxfId="1673">
      <calculatedColumnFormula>IF(OR(dunker[[#This Row],[Result]]="L",dunker[[#This Row],[Result]]="dl"),dunker[[#This Row],[lose]]-1,-1)</calculatedColumnFormula>
    </tableColumn>
    <tableColumn id="94" xr3:uid="{D2049BAF-87C1-4CD4-8455-BC6EBCE9F7C0}" name="Tover" dataDxfId="1672">
      <calculatedColumnFormula>IF(OR((dunker[[#This Row],[Home_scored]]+dunker[[#This Row],[Away_scored]])&gt;dunker[[#This Row],[total]],OR(dunker[[#This Row],[Result]]="dw",dunker[[#This Row],[Result]]="dl")),1,0)</calculatedColumnFormula>
    </tableColumn>
    <tableColumn id="95" xr3:uid="{7B1B3AB4-C609-415F-9430-BD6620FA0846}" name="Deviation" dataDxfId="1671">
      <calculatedColumnFormula>ABS((dunker[[#This Row],[Home_scored]]+dunker[[#This Row],[Away_scored]])-dunker[[#This Row],[total]])+0.5</calculatedColumn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D3F6B2-0FDA-4B55-AD32-9D48F3FE8052}" name="leman" displayName="leman" ref="A3:CQ4" totalsRowShown="0" headerRowDxfId="1670" dataDxfId="1669">
  <autoFilter ref="A3:CQ4" xr:uid="{6F44C236-BD30-49C1-AC80-B66D4596B51B}"/>
  <tableColumns count="95">
    <tableColumn id="1" xr3:uid="{73D123E4-1FE8-4E3A-806C-51D1C5F45D22}" name="Tournament" dataDxfId="1668"/>
    <tableColumn id="2" xr3:uid="{825C9E1D-997B-463B-91CA-9F0357FFE64F}" name="Home_team" dataDxfId="1667"/>
    <tableColumn id="3" xr3:uid="{BF9AF354-DD01-4EDF-B06E-AA20BD306D84}" name="Stage" dataDxfId="1666"/>
    <tableColumn id="4" xr3:uid="{B18B4263-E9CA-46AD-BA27-D98F253C8C83}" name="Date" dataDxfId="1665"/>
    <tableColumn id="5" xr3:uid="{9A9A0BD3-5E82-4227-8E1D-BB3500675B89}" name="Location" dataDxfId="1664"/>
    <tableColumn id="6" xr3:uid="{FF1BC2B6-F626-4311-B64C-83E47BA2999E}" name="Away_team" dataDxfId="1663"/>
    <tableColumn id="7" xr3:uid="{0F6BEC69-B9CA-45F8-AF36-07645A7E6CD7}" name="Result" dataDxfId="1662"/>
    <tableColumn id="8" xr3:uid="{1D6E2530-B07E-40CF-804C-F8102FBE5A94}" name="Home_scored" dataDxfId="1661"/>
    <tableColumn id="9" xr3:uid="{C82B87C8-6150-4817-B1EA-C715A3418A15}" name="Away_scored" dataDxfId="1660"/>
    <tableColumn id="10" xr3:uid="{A2AC2D7C-99EF-4359-82E8-89B1A48AC9BA}" name="FGM" dataDxfId="1659"/>
    <tableColumn id="11" xr3:uid="{0A20631E-5645-4B62-99FA-A325A6DFAD0A}" name="FGA" dataDxfId="1658"/>
    <tableColumn id="12" xr3:uid="{CBA54BAF-E127-407E-A606-268202151D03}" name="FGp" dataDxfId="1657"/>
    <tableColumn id="13" xr3:uid="{CCAEABAF-6478-459C-9664-CE71ED0693D2}" name="P2M" dataDxfId="1656"/>
    <tableColumn id="14" xr3:uid="{D262DB42-6D5D-4868-80A3-288E3E07CC3A}" name="P2A" dataDxfId="1655"/>
    <tableColumn id="15" xr3:uid="{9A4A63BA-9544-456D-BDB4-C56768C381A2}" name="P2p" dataDxfId="1654"/>
    <tableColumn id="16" xr3:uid="{2BC78A55-AB09-4364-B3F6-31FBCB2C1044}" name="P3M" dataDxfId="1653"/>
    <tableColumn id="17" xr3:uid="{625CDDD6-1E0E-4358-B836-03CDB06A1A07}" name="P3A" dataDxfId="1652"/>
    <tableColumn id="18" xr3:uid="{7CC4F35E-3C86-4208-91F6-8883418FB572}" name="P3p" dataDxfId="1651"/>
    <tableColumn id="19" xr3:uid="{A534D253-B836-463B-B7E4-8B8A4737DD4E}" name="FTM" dataDxfId="1650"/>
    <tableColumn id="20" xr3:uid="{0985D771-D450-4AF7-A0C8-B4BDFC44D14B}" name="FTA" dataDxfId="1649"/>
    <tableColumn id="21" xr3:uid="{D8DBC72F-DB86-4012-A996-FD10FF29740D}" name="FTp" dataDxfId="1648"/>
    <tableColumn id="22" xr3:uid="{736B4E36-F304-4B58-8708-A7D17D839E13}" name="ORB" dataDxfId="1647"/>
    <tableColumn id="23" xr3:uid="{7A51AA5A-281C-457F-8034-C342255118A2}" name="DRB" dataDxfId="1646"/>
    <tableColumn id="24" xr3:uid="{2A3375F5-D1D1-41E1-9D03-7C2706E6E782}" name="TRB" dataDxfId="1645"/>
    <tableColumn id="25" xr3:uid="{592B459D-0AA3-4299-B334-845011408284}" name="AST" dataDxfId="1644"/>
    <tableColumn id="26" xr3:uid="{20023406-B966-40B2-A9E1-6C734A94959E}" name="STL" dataDxfId="1643"/>
    <tableColumn id="27" xr3:uid="{06F9D3D1-7EFD-45D0-B0D0-75475685F16B}" name="BLK" dataDxfId="1642"/>
    <tableColumn id="28" xr3:uid="{DAB6DC4E-4FE9-4E50-87EA-BA0649A1AD49}" name="TOV" dataDxfId="1641"/>
    <tableColumn id="29" xr3:uid="{DBDF4A4B-FFDF-4E8D-8883-1F0856899EC2}" name="PF" dataDxfId="1640"/>
    <tableColumn id="30" xr3:uid="{3ECCA01F-8698-4236-BA25-6862B7CA8058}" name="FGMop" dataDxfId="1639"/>
    <tableColumn id="31" xr3:uid="{8953E084-3D16-437D-A00C-792597016D2C}" name="FGAop" dataDxfId="1638"/>
    <tableColumn id="32" xr3:uid="{B3BFEC50-CBDE-4300-A0B4-B2E9259B800B}" name="FGpop" dataDxfId="1637"/>
    <tableColumn id="33" xr3:uid="{A72BE95C-9BCE-485D-9527-5D5C26510339}" name="P2Mop" dataDxfId="1636"/>
    <tableColumn id="34" xr3:uid="{C2C81404-F1E0-4A34-ACDA-7F012ED1FF91}" name="P2Aop" dataDxfId="1635"/>
    <tableColumn id="35" xr3:uid="{FAAC63A5-39D1-4699-B79F-2A59EC46DD8F}" name="P2pop" dataDxfId="1634"/>
    <tableColumn id="36" xr3:uid="{2F8E2EEC-BEA6-4627-9A7B-ABF786ADD05B}" name="P3Mop" dataDxfId="1633"/>
    <tableColumn id="37" xr3:uid="{D20749AA-6434-4700-B6DF-84C10CA3B920}" name="P3Aop" dataDxfId="1632"/>
    <tableColumn id="38" xr3:uid="{5096B644-625B-4350-ADAE-2BF83054AD20}" name="P3pop" dataDxfId="1631"/>
    <tableColumn id="39" xr3:uid="{8FFFAAD3-D42B-4C11-AA25-D2BD691A61C5}" name="FTMop" dataDxfId="1630"/>
    <tableColumn id="40" xr3:uid="{59E0C7BA-7F4A-41B1-86AC-BE20163913B5}" name="FTAop" dataDxfId="1629"/>
    <tableColumn id="41" xr3:uid="{BF1361A0-B641-47AE-9AC0-D0919FDDD12B}" name="FTpop" dataDxfId="1628"/>
    <tableColumn id="42" xr3:uid="{5872DB62-827A-4A8D-972B-7C26864CB157}" name="ORBop" dataDxfId="1627"/>
    <tableColumn id="43" xr3:uid="{2C057D9D-C2AA-43B2-9BFD-B4B546C424EB}" name="DRBop" dataDxfId="1626"/>
    <tableColumn id="44" xr3:uid="{4C199DE8-D5F8-4D51-9554-48BEAF75DF8C}" name="TRBop" dataDxfId="1625"/>
    <tableColumn id="45" xr3:uid="{3F7A0F04-E680-4E20-AE7B-633B6442C9E9}" name="ASTop" dataDxfId="1624"/>
    <tableColumn id="46" xr3:uid="{639847B4-A849-4BCE-BB5B-1595391E5E65}" name="STLop" dataDxfId="1623"/>
    <tableColumn id="47" xr3:uid="{269D8283-839A-4570-BC62-9EF93700D6A6}" name="BLKop" dataDxfId="1622"/>
    <tableColumn id="48" xr3:uid="{8D24E6CA-97B1-4428-B9AD-058334F34A9E}" name="TOVop" dataDxfId="1621"/>
    <tableColumn id="49" xr3:uid="{6AF246C6-257C-4024-A08E-C14E90CCCECF}" name="PFop" dataDxfId="1620"/>
    <tableColumn id="50" xr3:uid="{F03FD6A0-0197-442D-893C-0D4BF2C10678}" name="TS%" dataDxfId="1619"/>
    <tableColumn id="51" xr3:uid="{C2D5D7BE-9024-431F-BA6F-9B5AD38D0C75}" name="eFG%" dataDxfId="1618"/>
    <tableColumn id="52" xr3:uid="{6768C6D0-7FD5-4E18-8700-769EA7390B0A}" name="ORB%" dataDxfId="1617"/>
    <tableColumn id="53" xr3:uid="{B22B0641-F1F9-44CC-B331-B5C1C3B0EFCA}" name="DRB%" dataDxfId="1616"/>
    <tableColumn id="54" xr3:uid="{7B3D7324-6945-4B32-A3BF-D659AD6CFCEA}" name="TRB%" dataDxfId="1615"/>
    <tableColumn id="55" xr3:uid="{AF682AE8-743A-4C3D-94FB-42BCD8F13981}" name="Poss" dataDxfId="1614"/>
    <tableColumn id="56" xr3:uid="{C5F4D924-7330-4C61-B42F-631877D28A50}" name="AST%" dataDxfId="1613"/>
    <tableColumn id="57" xr3:uid="{B99158C3-B6F8-4863-90C0-E9EBDEED84DD}" name="FTFGA%" dataDxfId="1612"/>
    <tableColumn id="58" xr3:uid="{143C1A7C-B772-4FC4-B450-DD0DC2C00574}" name="TOV%" dataDxfId="1611"/>
    <tableColumn id="59" xr3:uid="{A1FBA1C9-4580-4B5B-998E-06897728F028}" name="ORtg" dataDxfId="1610"/>
    <tableColumn id="60" xr3:uid="{0336D4E9-C92B-4DEC-8A5C-F5FF16C09695}" name="DRtg" dataDxfId="1609"/>
    <tableColumn id="61" xr3:uid="{D8FED64A-64E0-4C0D-AFE4-5AE4E91A3184}" name="Pace" dataDxfId="1608"/>
    <tableColumn id="62" xr3:uid="{DF80F93C-D73B-4F25-B424-260EC0D9866D}" name="TS%op" dataDxfId="1607"/>
    <tableColumn id="63" xr3:uid="{F3979029-3E64-4C55-93A9-DEDD0832091C}" name="eFG%op" dataDxfId="1606"/>
    <tableColumn id="64" xr3:uid="{5969CB9D-6EC7-4747-9AC2-C34873C1E9B8}" name="ORB%op" dataDxfId="1605"/>
    <tableColumn id="65" xr3:uid="{F8A91364-D130-4B88-80F7-15FAF7468A9C}" name="DRB%op" dataDxfId="1604"/>
    <tableColumn id="66" xr3:uid="{5C6B606A-A023-40E9-9013-F887E5FB6A42}" name="TRB%op" dataDxfId="1603"/>
    <tableColumn id="67" xr3:uid="{F11BABA9-B9C6-4ECB-84C5-3AFEB9E14E21}" name="Possop" dataDxfId="1602"/>
    <tableColumn id="68" xr3:uid="{9E5FAD29-13C5-4775-BA04-9723739E5CD8}" name="AST%op" dataDxfId="1601"/>
    <tableColumn id="69" xr3:uid="{961EA95E-FAB5-486A-9E6A-C3CF83E26F4B}" name="FTFGA%op" dataDxfId="1600"/>
    <tableColumn id="70" xr3:uid="{8E402F83-306B-42DB-9C79-F4DBEE75C73F}" name="TOV%op" dataDxfId="1599"/>
    <tableColumn id="71" xr3:uid="{942311B6-5865-4628-A11B-F48C4BE10786}" name="ORtgop" dataDxfId="1598"/>
    <tableColumn id="72" xr3:uid="{0E1563B2-C6AF-48DB-B370-B1AFD34D918B}" name="DRtgop" dataDxfId="1597"/>
    <tableColumn id="73" xr3:uid="{837CEE3D-3E4D-42BA-87A9-317D80A64EEF}" name="Q1H" dataDxfId="1596"/>
    <tableColumn id="74" xr3:uid="{078074E9-4FC7-4824-BE7E-00B24CFC407A}" name="Q2H" dataDxfId="1595"/>
    <tableColumn id="75" xr3:uid="{169E7291-6503-4EAF-A6C5-B5688B66A292}" name="Q3H" dataDxfId="1594"/>
    <tableColumn id="76" xr3:uid="{7C3D0028-F112-4940-A16A-FEBB5EDE5E23}" name="Q4H" dataDxfId="1593"/>
    <tableColumn id="77" xr3:uid="{261BF41B-C4E6-45CC-BE2D-DB24A1425EE0}" name="Q1A" dataDxfId="1592"/>
    <tableColumn id="78" xr3:uid="{3C32BB71-E669-466C-B9F4-5592DAAA3DA1}" name="Q2A" dataDxfId="1591"/>
    <tableColumn id="79" xr3:uid="{2320FBA5-AF80-48CA-99BA-2C1ACD2413D6}" name="Q3A" dataDxfId="1590"/>
    <tableColumn id="80" xr3:uid="{AF0AB988-0FBF-4419-81FF-BF6CA31A403A}" name="Q4A" dataDxfId="1589"/>
    <tableColumn id="81" xr3:uid="{09B380A1-177A-41D6-A282-FC38D6761662}" name="FhalfH" dataDxfId="1588"/>
    <tableColumn id="82" xr3:uid="{49CA883B-95A0-4DBC-B71B-EE09E29661E8}" name="ShalfH" dataDxfId="1587"/>
    <tableColumn id="83" xr3:uid="{63BEC799-0B0C-4402-9D0C-64A72A22EF96}" name="FhalfA" dataDxfId="1586"/>
    <tableColumn id="84" xr3:uid="{0634558E-9D47-43FE-9C2B-33F6BAD19029}" name="ShalfA" dataDxfId="1585"/>
    <tableColumn id="85" xr3:uid="{C1418323-6C64-471C-AF8B-7A7EE47D2931}" name="win" dataDxfId="1584"/>
    <tableColumn id="86" xr3:uid="{F9BED4FA-86AB-4B15-9C6D-33922A20318B}" name="lose" dataDxfId="1583"/>
    <tableColumn id="87" xr3:uid="{3B1112A4-B725-4158-B911-BC5E7FD29F5E}" name="foraH" dataDxfId="1582"/>
    <tableColumn id="88" xr3:uid="{4B4E4540-727A-4E80-A7C1-9A9EBE79E8CA}" name="foraA" dataDxfId="1581"/>
    <tableColumn id="89" xr3:uid="{30962E41-17ED-436C-8129-142DEEC3715D}" name="total" dataDxfId="1580"/>
    <tableColumn id="90" xr3:uid="{47066658-3187-4928-826D-9F7D0C239D38}" name="link" dataDxfId="1579"/>
    <tableColumn id="91" xr3:uid="{EB7D3593-4B8F-404E-8E34-8D9A07882EFD}" name="abbr" dataDxfId="1578">
      <calculatedColumnFormula>VLOOKUP(leman[[#This Row],[Away_team]],all[[Full name]:[Abbr]],3,FALSE)</calculatedColumnFormula>
    </tableColumn>
    <tableColumn id="92" xr3:uid="{5A69D9F8-58F2-4804-829D-5A06B46B8EAE}" name="BetH" dataDxfId="1577">
      <calculatedColumnFormula>IF(OR(leman[[#This Row],[Result]]="w",leman[[#This Row],[Result]]="dw"),leman[[#This Row],[win]]-1,-1)</calculatedColumnFormula>
    </tableColumn>
    <tableColumn id="93" xr3:uid="{E690383D-F265-4030-99D8-1F2485D05981}" name="BetA" dataDxfId="1576">
      <calculatedColumnFormula>IF(OR(leman[[#This Row],[Result]]="L",leman[[#This Row],[Result]]="dl"),leman[[#This Row],[lose]]-1,-1)</calculatedColumnFormula>
    </tableColumn>
    <tableColumn id="94" xr3:uid="{F8E31C79-6A98-4502-A903-532824C02C43}" name="Tover" dataDxfId="1575">
      <calculatedColumnFormula>IF(OR((leman[[#This Row],[Home_scored]]+leman[[#This Row],[Away_scored]])&gt;leman[[#This Row],[total]],OR(leman[[#This Row],[Result]]="dw",leman[[#This Row],[Result]]="dl")),1,0)</calculatedColumnFormula>
    </tableColumn>
    <tableColumn id="95" xr3:uid="{0B07678F-076A-47B9-BADE-E44E3602A296}" name="Deviation" dataDxfId="1574">
      <calculatedColumnFormula>ABS((leman[[#This Row],[Home_scored]]+leman[[#This Row],[Away_scored]])-leman[[#This Row],[total]])+0.5</calculatedColumnFormula>
    </tableColumn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505341-66DF-4C21-9185-00C6DE03AC58}" name="portel" displayName="portel" ref="A3:CQ33" totalsRowShown="0" headerRowDxfId="1573" dataDxfId="1572">
  <autoFilter ref="A3:CQ33" xr:uid="{6F44C236-BD30-49C1-AC80-B66D4596B51B}"/>
  <tableColumns count="95">
    <tableColumn id="1" xr3:uid="{A6C02E3A-79D6-4FD2-ACD5-B6495AFB986C}" name="Tournament" dataDxfId="1571"/>
    <tableColumn id="2" xr3:uid="{3B26D374-F707-4A2A-A79A-E082CE0C8963}" name="Home_team" dataDxfId="1570"/>
    <tableColumn id="3" xr3:uid="{F9066BB9-A73F-4F4E-871D-3519B0C67747}" name="Stage" dataDxfId="1569"/>
    <tableColumn id="4" xr3:uid="{9F93525D-184B-4D1F-A168-F6904F315532}" name="Date" dataDxfId="1568"/>
    <tableColumn id="5" xr3:uid="{668864B9-35CB-472B-AC39-7C0A085B3742}" name="Location" dataDxfId="1567"/>
    <tableColumn id="6" xr3:uid="{AC3C9276-D40C-4953-A2A9-C2572458151E}" name="Away_team" dataDxfId="1566"/>
    <tableColumn id="7" xr3:uid="{4B16DCAE-E88D-4343-A113-3C997ED622C3}" name="Result" dataDxfId="1565"/>
    <tableColumn id="8" xr3:uid="{75C6D14B-6939-40E2-A196-884AD01FDCAD}" name="Home_scored" dataDxfId="1564"/>
    <tableColumn id="9" xr3:uid="{E1C9F749-5BAB-4105-9B9B-2C7D669231C7}" name="Away_scored" dataDxfId="1563"/>
    <tableColumn id="10" xr3:uid="{9EF809E5-EEAA-4D50-845F-DC052E283E14}" name="FGM" dataDxfId="1562"/>
    <tableColumn id="11" xr3:uid="{7CBACAFF-9A8A-4808-89FC-01366F198738}" name="FGA" dataDxfId="1561"/>
    <tableColumn id="12" xr3:uid="{52FBF4D2-1E1B-459A-9652-41D3213A67CA}" name="FGp" dataDxfId="1560"/>
    <tableColumn id="13" xr3:uid="{29E7E38E-6206-406A-8018-D50966068C9F}" name="P2M" dataDxfId="1559"/>
    <tableColumn id="14" xr3:uid="{18F28A1C-272A-41BB-8F58-C79ECC1EAF3F}" name="P2A" dataDxfId="1558"/>
    <tableColumn id="15" xr3:uid="{BF7704EA-8430-4597-A48A-B7FD8B27C06A}" name="P2p" dataDxfId="1557"/>
    <tableColumn id="16" xr3:uid="{9D10D8A8-5531-45D1-A819-0C9C98F38AC4}" name="P3M" dataDxfId="1556"/>
    <tableColumn id="17" xr3:uid="{BA63A80C-A5E5-46C6-A8FD-38CB60FC4326}" name="P3A" dataDxfId="1555"/>
    <tableColumn id="18" xr3:uid="{6652C30D-982B-4182-BDF4-D900FCC10F53}" name="P3p" dataDxfId="1554"/>
    <tableColumn id="19" xr3:uid="{9B8C98E5-D6E4-4A8A-8577-EDB6A847DFAE}" name="FTM" dataDxfId="1553"/>
    <tableColumn id="20" xr3:uid="{9FB96DAD-EE76-436D-9237-64CA312DC510}" name="FTA" dataDxfId="1552"/>
    <tableColumn id="21" xr3:uid="{E7FDFA7D-CCAA-4161-B0A9-6AED64C46F43}" name="FTp" dataDxfId="1551"/>
    <tableColumn id="22" xr3:uid="{9E8FBFB3-87BE-4F17-AAA1-6230C1584E5B}" name="ORB" dataDxfId="1550"/>
    <tableColumn id="23" xr3:uid="{28AFDD82-577C-4CFA-A50F-DEE468ACF6B1}" name="DRB" dataDxfId="1549"/>
    <tableColumn id="24" xr3:uid="{9C26102C-39A0-4189-9A65-DD26DE8DEED1}" name="TRB" dataDxfId="1548"/>
    <tableColumn id="25" xr3:uid="{F360F5FD-9B4B-4DD3-961E-311C004B423B}" name="AST" dataDxfId="1547"/>
    <tableColumn id="26" xr3:uid="{B3E3516D-6685-4FE6-ACFD-751CA377C4DE}" name="STL" dataDxfId="1546"/>
    <tableColumn id="27" xr3:uid="{DA2FDEBA-8C0E-4C00-BA90-43031A2981BD}" name="BLK" dataDxfId="1545"/>
    <tableColumn id="28" xr3:uid="{F7B90A5A-AD78-4FE3-AAEA-3F7AA5605A91}" name="TOV" dataDxfId="1544"/>
    <tableColumn id="29" xr3:uid="{3BB3BBA8-08C7-4962-9D6D-875693D1EECB}" name="PF" dataDxfId="1543"/>
    <tableColumn id="30" xr3:uid="{C4DF987B-6D6A-4346-81F0-110B096E1CC9}" name="FGMop" dataDxfId="1542"/>
    <tableColumn id="31" xr3:uid="{E986ACFA-3034-4053-B40E-95BC6366F289}" name="FGAop" dataDxfId="1541"/>
    <tableColumn id="32" xr3:uid="{CCACA1BE-B410-40F5-A086-D4C097826272}" name="FGpop" dataDxfId="1540"/>
    <tableColumn id="33" xr3:uid="{F02208BD-0309-495A-B784-1E0D5D3F3E78}" name="P2Mop" dataDxfId="1539"/>
    <tableColumn id="34" xr3:uid="{1E5FAC5F-D1F4-4FCA-BCD9-68094C6DDA6B}" name="P2Aop" dataDxfId="1538"/>
    <tableColumn id="35" xr3:uid="{1D4F851F-5DCB-41BF-B4DA-8C0E80AB9FA7}" name="P2pop" dataDxfId="1537"/>
    <tableColumn id="36" xr3:uid="{3F9F79D4-A6A7-481C-9DF0-2CFF23965A38}" name="P3Mop" dataDxfId="1536"/>
    <tableColumn id="37" xr3:uid="{F9CFBD3D-C2FA-4517-8E11-89D3C12A38EF}" name="P3Aop" dataDxfId="1535"/>
    <tableColumn id="38" xr3:uid="{232F1507-0C4A-4937-85C4-34001D8EBBFA}" name="P3pop" dataDxfId="1534"/>
    <tableColumn id="39" xr3:uid="{BBB25E00-25FE-4D65-AD6D-B8B661455B61}" name="FTMop" dataDxfId="1533"/>
    <tableColumn id="40" xr3:uid="{8AA465FC-4EBF-48DD-AC38-F90AD8BBDE57}" name="FTAop" dataDxfId="1532"/>
    <tableColumn id="41" xr3:uid="{97AB7445-DAE8-4110-B8E9-42EEBD4C4DC0}" name="FTpop" dataDxfId="1531"/>
    <tableColumn id="42" xr3:uid="{3650A531-E2D0-492D-84E7-CD72EA21357A}" name="ORBop" dataDxfId="1530"/>
    <tableColumn id="43" xr3:uid="{233E5A23-69A2-43E5-9B45-7C12FA23DDAC}" name="DRBop" dataDxfId="1529"/>
    <tableColumn id="44" xr3:uid="{BDFE00E2-B5BD-4DB6-8527-B68AA14BBE31}" name="TRBop" dataDxfId="1528"/>
    <tableColumn id="45" xr3:uid="{2DEA4D12-614C-4152-94E2-5B0AC3EE7435}" name="ASTop" dataDxfId="1527"/>
    <tableColumn id="46" xr3:uid="{1E409CC0-DED3-44A1-AA0B-15A3A2819EB7}" name="STLop" dataDxfId="1526"/>
    <tableColumn id="47" xr3:uid="{8AB2B17A-13DF-48D3-AC0E-21A2ED050A35}" name="BLKop" dataDxfId="1525"/>
    <tableColumn id="48" xr3:uid="{1C0E2238-53C3-4222-A872-F75CAE1C5320}" name="TOVop" dataDxfId="1524"/>
    <tableColumn id="49" xr3:uid="{E6B93F78-A092-4F9B-A16B-3141C674337B}" name="PFop" dataDxfId="1523"/>
    <tableColumn id="50" xr3:uid="{BE0FBF58-5507-426C-AFC6-9B23D13F2E07}" name="TS%" dataDxfId="1522"/>
    <tableColumn id="51" xr3:uid="{24136762-83DD-4351-9577-780550BD85BF}" name="eFG%" dataDxfId="1521"/>
    <tableColumn id="52" xr3:uid="{0A08FDA5-183B-4D42-8AA3-0056672FFED8}" name="ORB%" dataDxfId="1520"/>
    <tableColumn id="53" xr3:uid="{10F04071-4F98-4E26-89E2-8EA945825DEC}" name="DRB%" dataDxfId="1519"/>
    <tableColumn id="54" xr3:uid="{EEAB0E4F-C83B-4F10-9C7E-979330171081}" name="TRB%" dataDxfId="1518"/>
    <tableColumn id="55" xr3:uid="{7D51FFBC-F93E-4674-9B25-BBF23BD70812}" name="Poss" dataDxfId="1517"/>
    <tableColumn id="56" xr3:uid="{783B1A13-FB84-49A8-AFAA-1E6988E04272}" name="AST%" dataDxfId="1516"/>
    <tableColumn id="57" xr3:uid="{BD4F69C6-AF7C-41AD-A33F-79A3BC157EFE}" name="FTFGA%" dataDxfId="1515"/>
    <tableColumn id="58" xr3:uid="{528ABE17-9C1C-46B4-9262-801C8631983B}" name="TOV%" dataDxfId="1514"/>
    <tableColumn id="59" xr3:uid="{B360793F-962B-41B8-BCD2-4EC7025B8BB9}" name="ORtg" dataDxfId="1513"/>
    <tableColumn id="60" xr3:uid="{10E9E2B0-6992-4C95-AFDB-11D22EC41B77}" name="DRtg" dataDxfId="1512"/>
    <tableColumn id="61" xr3:uid="{824E069E-D4C7-4BB1-AF1C-31673B27AA0B}" name="Pace" dataDxfId="1511"/>
    <tableColumn id="62" xr3:uid="{A6BD2AAE-CA4F-4706-8990-F6823CD7AE25}" name="TS%op" dataDxfId="1510"/>
    <tableColumn id="63" xr3:uid="{CD4755EE-B533-4716-AC32-71894C4B0E6C}" name="eFG%op" dataDxfId="1509"/>
    <tableColumn id="64" xr3:uid="{418740F4-E969-45E8-BC24-3FB833EC141C}" name="ORB%op" dataDxfId="1508"/>
    <tableColumn id="65" xr3:uid="{EA070BFF-CEE9-425E-A4A6-7BAF05C4FCDF}" name="DRB%op" dataDxfId="1507"/>
    <tableColumn id="66" xr3:uid="{45B765C4-70B9-4C2C-8C15-BBD40979ED4B}" name="TRB%op" dataDxfId="1506"/>
    <tableColumn id="67" xr3:uid="{8D70E441-CE67-480E-B23F-177A8B93FF20}" name="Possop" dataDxfId="1505"/>
    <tableColumn id="68" xr3:uid="{F11DD89B-A7D3-4924-BD3D-E07B6C7727C8}" name="AST%op" dataDxfId="1504"/>
    <tableColumn id="69" xr3:uid="{7D6EE76D-0672-49BA-8EB9-D46D4D9CDBAD}" name="FTFGA%op" dataDxfId="1503"/>
    <tableColumn id="70" xr3:uid="{EC72F13A-EA27-4613-84D2-5C08FFD37A39}" name="TOV%op" dataDxfId="1502"/>
    <tableColumn id="71" xr3:uid="{E3F48CBC-0CF0-465A-8BFE-993E17843FD4}" name="ORtgop" dataDxfId="1501"/>
    <tableColumn id="72" xr3:uid="{03295828-42EA-49E6-B4D6-7F8A43E80D7E}" name="DRtgop" dataDxfId="1500"/>
    <tableColumn id="73" xr3:uid="{5572C200-B523-4E96-9ECB-00B75E1E7652}" name="Q1H" dataDxfId="1499"/>
    <tableColumn id="74" xr3:uid="{5A3F6424-C7E9-4A84-8F25-322A3E4C302E}" name="Q2H" dataDxfId="1498"/>
    <tableColumn id="75" xr3:uid="{D3E675CF-3E75-4A2B-AD70-6C4A2F07914A}" name="Q3H" dataDxfId="1497"/>
    <tableColumn id="76" xr3:uid="{E7BA444B-1499-4CFA-AE76-3A071ACE7532}" name="Q4H" dataDxfId="1496"/>
    <tableColumn id="77" xr3:uid="{39B7B1E7-294B-4BFA-BF4C-FF3C6FB9A876}" name="Q1A" dataDxfId="1495"/>
    <tableColumn id="78" xr3:uid="{86AA3E59-2780-4C5D-85BA-89812A1B500E}" name="Q2A" dataDxfId="1494"/>
    <tableColumn id="79" xr3:uid="{09A231FA-D31D-4C3D-8507-76F96AC8E914}" name="Q3A" dataDxfId="1493"/>
    <tableColumn id="80" xr3:uid="{35131DE9-70B3-497A-9B93-E11932B496DF}" name="Q4A" dataDxfId="1492"/>
    <tableColumn id="81" xr3:uid="{810A655A-EE81-4E0B-9950-863FE083586E}" name="FhalfH" dataDxfId="1491"/>
    <tableColumn id="82" xr3:uid="{F7582731-E2FA-46E3-B385-0AE8294C1133}" name="ShalfH" dataDxfId="1490"/>
    <tableColumn id="83" xr3:uid="{95E40912-6469-4397-B5F4-8ED091785E5D}" name="FhalfA" dataDxfId="1489"/>
    <tableColumn id="84" xr3:uid="{F8598BBF-7F1D-416E-BADA-D2D0141249B7}" name="ShalfA" dataDxfId="1488"/>
    <tableColumn id="85" xr3:uid="{E490C57A-6E21-47A4-BA00-37BE1AF53D44}" name="win" dataDxfId="1487"/>
    <tableColumn id="86" xr3:uid="{D9C53F77-FCBE-41C5-8B0A-7399B772EF79}" name="lose" dataDxfId="1486"/>
    <tableColumn id="87" xr3:uid="{5F429DB0-979D-47A0-863D-854ECDD38FC7}" name="foraH" dataDxfId="1485"/>
    <tableColumn id="88" xr3:uid="{12AD18D7-E626-4CBD-9DB8-4DF216CA9DAF}" name="foraA" dataDxfId="1484"/>
    <tableColumn id="89" xr3:uid="{209259B1-497D-4440-8605-2691CA4B862C}" name="total" dataDxfId="1483"/>
    <tableColumn id="90" xr3:uid="{285E0D63-1853-4274-ADED-2973B9D84CA5}" name="link" dataDxfId="1482"/>
    <tableColumn id="91" xr3:uid="{172811E7-3F53-4FFF-B438-4FCAC3889AC7}" name="abbr" dataDxfId="1481">
      <calculatedColumnFormula>VLOOKUP(portel[[#This Row],[Away_team]],all[[Full name]:[Abbr]],3,FALSE)</calculatedColumnFormula>
    </tableColumn>
    <tableColumn id="92" xr3:uid="{5CB62267-27B6-4B4A-B057-8029A469F379}" name="BetH" dataDxfId="1480">
      <calculatedColumnFormula>IF(OR(portel[[#This Row],[Result]]="w",portel[[#This Row],[Result]]="dw"),portel[[#This Row],[win]]-1,-1)</calculatedColumnFormula>
    </tableColumn>
    <tableColumn id="93" xr3:uid="{8704E1EB-569A-4A16-B92D-890BECC258E0}" name="BetA" dataDxfId="1479">
      <calculatedColumnFormula>IF(OR(portel[[#This Row],[Result]]="L",portel[[#This Row],[Result]]="dl"),portel[[#This Row],[lose]]-1,-1)</calculatedColumnFormula>
    </tableColumn>
    <tableColumn id="94" xr3:uid="{E739B470-4594-4B06-9260-C77277DBB378}" name="Tover" dataDxfId="1478">
      <calculatedColumnFormula>IF(OR((portel[[#This Row],[Home_scored]]+portel[[#This Row],[Away_scored]])&gt;portel[[#This Row],[total]],OR(portel[[#This Row],[Result]]="dw",portel[[#This Row],[Result]]="dl")),1,0)</calculatedColumnFormula>
    </tableColumn>
    <tableColumn id="95" xr3:uid="{4D75F3F3-DFAA-4661-A981-7AC88A568AC9}" name="Deviation" dataDxfId="1477">
      <calculatedColumnFormula>ABS((portel[[#This Row],[Home_scored]]+portel[[#This Row],[Away_scored]])-portel[[#This Row],[total]])+0.5</calculatedColumnFormula>
    </tableColumn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E6AD2DC-F118-44DD-B9A1-19F4B5530D61}" name="boulazac" displayName="boulazac" ref="A3:CQ33" totalsRowShown="0" headerRowDxfId="1476" dataDxfId="1475">
  <autoFilter ref="A3:CQ33" xr:uid="{6F44C236-BD30-49C1-AC80-B66D4596B51B}"/>
  <tableColumns count="95">
    <tableColumn id="1" xr3:uid="{A9D594A6-174D-4747-80DA-5B6013DAE81E}" name="Tournament" dataDxfId="1474"/>
    <tableColumn id="2" xr3:uid="{454E6CBB-807F-4427-9C1D-AD82B675D201}" name="Home_team" dataDxfId="1473"/>
    <tableColumn id="3" xr3:uid="{1F739374-76D5-497F-9774-C9253D9F8048}" name="Stage" dataDxfId="1472"/>
    <tableColumn id="4" xr3:uid="{33B7A542-C14B-4254-831F-99D78F39860B}" name="Date" dataDxfId="1471"/>
    <tableColumn id="5" xr3:uid="{485D9D5A-EC40-464D-BFCC-63C23A15DD55}" name="Location" dataDxfId="1470"/>
    <tableColumn id="6" xr3:uid="{2F67085E-C0DB-49C8-A3D8-4FD3A9726C78}" name="Away_team" dataDxfId="1469"/>
    <tableColumn id="7" xr3:uid="{290D0032-604E-4E2C-BAB4-CA36123337E0}" name="Result" dataDxfId="1468"/>
    <tableColumn id="8" xr3:uid="{F79C1841-9F41-4521-BD30-EEA5DDAF9E6D}" name="Home_scored" dataDxfId="1467"/>
    <tableColumn id="9" xr3:uid="{A7DFE2FE-EEB2-4AEC-B200-4E7EA3388FF2}" name="Away_scored" dataDxfId="1466"/>
    <tableColumn id="10" xr3:uid="{2496A484-3DD7-471A-9119-EB77781FA075}" name="FGM" dataDxfId="1465"/>
    <tableColumn id="11" xr3:uid="{99F4F545-9C42-4DE7-AAFF-03C50B2F4C10}" name="FGA" dataDxfId="1464"/>
    <tableColumn id="12" xr3:uid="{8275C23C-CE84-4AC2-9CBD-D1A7C6BD104F}" name="FGp" dataDxfId="1463"/>
    <tableColumn id="13" xr3:uid="{22F65756-3069-4691-893A-FF1F0DDC11E3}" name="P2M" dataDxfId="1462"/>
    <tableColumn id="14" xr3:uid="{0D7C6921-8677-46C4-ADFC-B438E0AA0A0B}" name="P2A" dataDxfId="1461"/>
    <tableColumn id="15" xr3:uid="{2BE7F9EC-798D-49DF-9C92-4F977E8743DD}" name="P2p" dataDxfId="1460"/>
    <tableColumn id="16" xr3:uid="{4FE67E29-FF4C-4B7A-A108-E17CD2E08C77}" name="P3M" dataDxfId="1459"/>
    <tableColumn id="17" xr3:uid="{42E709B2-C554-4435-BBB2-8501CB3AD1EE}" name="P3A" dataDxfId="1458"/>
    <tableColumn id="18" xr3:uid="{3FE29C18-8122-4C08-A9E7-A702EE13BD94}" name="P3p" dataDxfId="1457"/>
    <tableColumn id="19" xr3:uid="{60A343DA-C09E-4410-B79D-E46D7424AC8A}" name="FTM" dataDxfId="1456"/>
    <tableColumn id="20" xr3:uid="{00FB94FE-E7F7-4AE0-AF50-3AD8FB1CB5C0}" name="FTA" dataDxfId="1455"/>
    <tableColumn id="21" xr3:uid="{0D78E34F-E389-47C2-AE06-B7096277613E}" name="FTp" dataDxfId="1454"/>
    <tableColumn id="22" xr3:uid="{4B960CBF-0694-4BE9-9AD5-F858560DA49E}" name="ORB" dataDxfId="1453"/>
    <tableColumn id="23" xr3:uid="{7669A984-1C0C-4052-810E-629C6A264544}" name="DRB" dataDxfId="1452"/>
    <tableColumn id="24" xr3:uid="{91BBDCC1-5304-4A6D-B51C-18B11BFDA852}" name="TRB" dataDxfId="1451"/>
    <tableColumn id="25" xr3:uid="{A60FDEFC-008A-4AF5-8E3B-DDE1C0C6EC8C}" name="AST" dataDxfId="1450"/>
    <tableColumn id="26" xr3:uid="{9DCE2101-2C6B-4DB7-B221-1C71D2D21BB9}" name="STL" dataDxfId="1449"/>
    <tableColumn id="27" xr3:uid="{264AAC70-C094-4D59-BC87-AEEF6D144D21}" name="BLK" dataDxfId="1448"/>
    <tableColumn id="28" xr3:uid="{A3DCA016-77A5-4F4B-BA83-62565C6DDDDB}" name="TOV" dataDxfId="1447"/>
    <tableColumn id="29" xr3:uid="{DCC9E876-1DAE-4968-B979-1BDDC8A2A59A}" name="PF" dataDxfId="1446"/>
    <tableColumn id="30" xr3:uid="{912A5C99-DE23-4E68-88FB-7148A8C1B30D}" name="FGMop" dataDxfId="1445"/>
    <tableColumn id="31" xr3:uid="{95E1C0A9-6B91-479B-926A-E976B6AD6E7A}" name="FGAop" dataDxfId="1444"/>
    <tableColumn id="32" xr3:uid="{6E7ABF97-D383-4FAE-A3B4-A50BB96ECFFE}" name="FGpop" dataDxfId="1443"/>
    <tableColumn id="33" xr3:uid="{714399B7-384A-4A34-AF00-F224ACD7AAA0}" name="P2Mop" dataDxfId="1442"/>
    <tableColumn id="34" xr3:uid="{9C4D6EB6-1803-4C48-94CA-711DF6B30381}" name="P2Aop" dataDxfId="1441"/>
    <tableColumn id="35" xr3:uid="{5BC015EC-EA46-4BB7-8A1E-53D0DB566191}" name="P2pop" dataDxfId="1440"/>
    <tableColumn id="36" xr3:uid="{98221E26-8C15-40CC-B4E4-A35D0404897E}" name="P3Mop" dataDxfId="1439"/>
    <tableColumn id="37" xr3:uid="{70E1CB98-5B26-42C8-9D72-93C01F188FE5}" name="P3Aop" dataDxfId="1438"/>
    <tableColumn id="38" xr3:uid="{F7C19EC7-7807-4C20-998D-81407652E357}" name="P3pop" dataDxfId="1437"/>
    <tableColumn id="39" xr3:uid="{9ECA332A-2D2B-4553-A4F6-AC9E3BCAB529}" name="FTMop" dataDxfId="1436"/>
    <tableColumn id="40" xr3:uid="{50CDCAD5-6514-4717-B85A-3A18AD04B522}" name="FTAop" dataDxfId="1435"/>
    <tableColumn id="41" xr3:uid="{B3AD7F80-95BC-444F-95ED-CE1B24B61430}" name="FTpop" dataDxfId="1434"/>
    <tableColumn id="42" xr3:uid="{E32692FA-9460-4843-92FC-C1331FA8EED9}" name="ORBop" dataDxfId="1433"/>
    <tableColumn id="43" xr3:uid="{9120CC82-CE54-4014-A220-A5B81F9EF5EB}" name="DRBop" dataDxfId="1432"/>
    <tableColumn id="44" xr3:uid="{11FFD314-4757-41E8-B422-7E02ACCF4B41}" name="TRBop" dataDxfId="1431"/>
    <tableColumn id="45" xr3:uid="{0027D5E6-F7AA-4AC3-ABEE-47BC6AD8A0E2}" name="ASTop" dataDxfId="1430"/>
    <tableColumn id="46" xr3:uid="{B2121AC6-FC1F-48C4-955A-A9C92C8D56B4}" name="STLop" dataDxfId="1429"/>
    <tableColumn id="47" xr3:uid="{A6399686-E624-4998-9E2B-C472D4DF30DB}" name="BLKop" dataDxfId="1428"/>
    <tableColumn id="48" xr3:uid="{1FAA5DE2-CA11-46DB-989B-D7952D08B717}" name="TOVop" dataDxfId="1427"/>
    <tableColumn id="49" xr3:uid="{0502CE1E-3AE3-44EF-AB4E-D4F4B378309C}" name="PFop" dataDxfId="1426"/>
    <tableColumn id="50" xr3:uid="{C088DE60-FAD4-46DF-93FD-78B16196AA4F}" name="TS%" dataDxfId="1425"/>
    <tableColumn id="51" xr3:uid="{CF11427E-D044-4CDA-9C0E-6FEA261D0EF5}" name="eFG%" dataDxfId="1424"/>
    <tableColumn id="52" xr3:uid="{2BEDB233-8A6A-442D-8276-E0EEDCF0ACE4}" name="ORB%" dataDxfId="1423"/>
    <tableColumn id="53" xr3:uid="{05FE3978-EB50-4965-8ADC-B181A18B6B2E}" name="DRB%" dataDxfId="1422"/>
    <tableColumn id="54" xr3:uid="{6FAFD34D-7DDC-4234-91BA-EBC7CFAF2B3C}" name="TRB%" dataDxfId="1421"/>
    <tableColumn id="55" xr3:uid="{70B8980D-1DBA-4CE1-80A7-61239E693ADC}" name="Poss" dataDxfId="1420"/>
    <tableColumn id="56" xr3:uid="{6C2C4C82-30B5-4DF3-9BF1-B50D8111F7DC}" name="AST%" dataDxfId="1419"/>
    <tableColumn id="57" xr3:uid="{2D8756F3-601B-47A8-8786-9B401C7DF405}" name="FTFGA%" dataDxfId="1418"/>
    <tableColumn id="58" xr3:uid="{BBDDE6AA-1572-4D87-931B-F5968367C33B}" name="TOV%" dataDxfId="1417"/>
    <tableColumn id="59" xr3:uid="{71D6B85B-FE85-49D7-84A1-9EB782D46D34}" name="ORtg" dataDxfId="1416"/>
    <tableColumn id="60" xr3:uid="{4EFAE3E8-A158-4E07-A187-97C036095B43}" name="DRtg" dataDxfId="1415"/>
    <tableColumn id="61" xr3:uid="{C80CD20C-0C19-4EED-80FC-5B5D63F342D2}" name="Pace" dataDxfId="1414"/>
    <tableColumn id="62" xr3:uid="{AFD2C580-B9E4-46F8-88AA-9EFBA732A091}" name="TS%op" dataDxfId="1413"/>
    <tableColumn id="63" xr3:uid="{5484D320-5FD5-4A8B-B8D2-EEF1DD69E3BF}" name="eFG%op" dataDxfId="1412"/>
    <tableColumn id="64" xr3:uid="{860CA2D9-AB12-4429-9D6E-5023EF303664}" name="ORB%op" dataDxfId="1411"/>
    <tableColumn id="65" xr3:uid="{E0B62507-3F8F-42EE-BF75-85C71D30F479}" name="DRB%op" dataDxfId="1410"/>
    <tableColumn id="66" xr3:uid="{B7AB582B-C1E7-4C73-898B-AA238DDD1A22}" name="TRB%op" dataDxfId="1409"/>
    <tableColumn id="67" xr3:uid="{E6D4C8C0-EA38-4863-B25E-5C545D6DB95A}" name="Possop" dataDxfId="1408"/>
    <tableColumn id="68" xr3:uid="{52D9B494-4A86-4331-BDA4-FC9358A1E608}" name="AST%op" dataDxfId="1407"/>
    <tableColumn id="69" xr3:uid="{19126018-808F-422F-8AE8-C33E8E07C098}" name="FTFGA%op" dataDxfId="1406"/>
    <tableColumn id="70" xr3:uid="{5A8E033F-C355-4197-BBC6-CEA0CB79A856}" name="TOV%op" dataDxfId="1405"/>
    <tableColumn id="71" xr3:uid="{7C881A73-DC2E-42DD-A926-642DE7237320}" name="ORtgop" dataDxfId="1404"/>
    <tableColumn id="72" xr3:uid="{820384AE-B9DB-45AB-9DFF-C3CDAD5FAA75}" name="DRtgop" dataDxfId="1403"/>
    <tableColumn id="73" xr3:uid="{9A5CD670-1997-4C04-A9DF-2CDCFBFA8140}" name="Q1H" dataDxfId="1402"/>
    <tableColumn id="74" xr3:uid="{6137B8C3-5932-4B42-825D-CDBA3A060774}" name="Q2H" dataDxfId="1401"/>
    <tableColumn id="75" xr3:uid="{C29CB634-DAD0-4FED-B854-47F5E359A349}" name="Q3H" dataDxfId="1400"/>
    <tableColumn id="76" xr3:uid="{C0D849A5-A4A0-44B2-B5A4-13DDFF04DFBD}" name="Q4H" dataDxfId="1399"/>
    <tableColumn id="77" xr3:uid="{26B0F1BA-F1F3-402C-8726-384D47DDCC8A}" name="Q1A" dataDxfId="1398"/>
    <tableColumn id="78" xr3:uid="{DA47B56A-CEDC-42EA-98CD-E5EAED215A91}" name="Q2A" dataDxfId="1397"/>
    <tableColumn id="79" xr3:uid="{1D685E3A-7B26-4971-84EB-DB92D52351E3}" name="Q3A" dataDxfId="1396"/>
    <tableColumn id="80" xr3:uid="{7328BF4F-281B-49CB-B8D3-15092BBFA859}" name="Q4A" dataDxfId="1395"/>
    <tableColumn id="81" xr3:uid="{ED4744ED-2017-44F3-90D2-696366264D71}" name="FhalfH" dataDxfId="1394"/>
    <tableColumn id="82" xr3:uid="{D153F449-1D37-4439-B2CC-CBD9512C0C43}" name="ShalfH" dataDxfId="1393"/>
    <tableColumn id="83" xr3:uid="{F2D2CB8D-986E-4848-8C9C-6ED3DE173AB0}" name="FhalfA" dataDxfId="1392"/>
    <tableColumn id="84" xr3:uid="{DB9307FF-A307-45A2-BD46-7D8EBEC99FCA}" name="ShalfA" dataDxfId="1391"/>
    <tableColumn id="85" xr3:uid="{A0AFABC4-4C26-4049-AB37-8432182C384A}" name="win" dataDxfId="1390"/>
    <tableColumn id="86" xr3:uid="{5455618D-E364-45A1-BFA8-9ED2D389C142}" name="lose" dataDxfId="1389"/>
    <tableColumn id="87" xr3:uid="{A40BA837-D3E6-451F-AA19-E528060300C8}" name="foraH" dataDxfId="1388"/>
    <tableColumn id="88" xr3:uid="{3B05598D-96F9-4315-9503-E9BB28C05D31}" name="foraA" dataDxfId="1387"/>
    <tableColumn id="89" xr3:uid="{D1B382E1-60EF-4AD8-BB44-696D78533F56}" name="total" dataDxfId="1386"/>
    <tableColumn id="90" xr3:uid="{8B3B92C7-187A-4DF6-99AF-EDBF7442C338}" name="link" dataDxfId="1385"/>
    <tableColumn id="91" xr3:uid="{21B1CD6E-728F-427B-B742-857AF6764AEA}" name="abbr" dataDxfId="1384">
      <calculatedColumnFormula>VLOOKUP(boulazac[[#This Row],[Away_team]],all[[Full name]:[Abbr]],3,FALSE)</calculatedColumnFormula>
    </tableColumn>
    <tableColumn id="92" xr3:uid="{14EC0CDF-5576-4059-BC83-6533978B40D1}" name="BetH" dataDxfId="1383">
      <calculatedColumnFormula>IF(OR(boulazac[[#This Row],[Result]]="w",boulazac[[#This Row],[Result]]="dw"),boulazac[[#This Row],[win]]-1,-1)</calculatedColumnFormula>
    </tableColumn>
    <tableColumn id="93" xr3:uid="{E571727B-4728-4F7C-B09A-2E761371048F}" name="BetA" dataDxfId="1382">
      <calculatedColumnFormula>IF(OR(boulazac[[#This Row],[Result]]="L",boulazac[[#This Row],[Result]]="dl"),boulazac[[#This Row],[lose]]-1,-1)</calculatedColumnFormula>
    </tableColumn>
    <tableColumn id="94" xr3:uid="{B97FC801-8887-4BCC-8AAF-388E648CF55F}" name="Tover" dataDxfId="1381">
      <calculatedColumnFormula>IF(OR((boulazac[[#This Row],[Home_scored]]+boulazac[[#This Row],[Away_scored]])&gt;boulazac[[#This Row],[total]],OR(boulazac[[#This Row],[Result]]="dw",boulazac[[#This Row],[Result]]="dl")),1,0)</calculatedColumnFormula>
    </tableColumn>
    <tableColumn id="95" xr3:uid="{A49C30D9-561F-4401-860A-F4F4A3D05312}" name="Deviation" dataDxfId="1380">
      <calculatedColumnFormula>ABS((boulazac[[#This Row],[Home_scored]]+boulazac[[#This Row],[Away_scored]])-boulazac[[#This Row],[total]])+0.5</calculatedColumnFormula>
    </tableColumn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97F3EE6-C2F2-478E-9D2E-26F3FA50AB4C}" name="limoneg" displayName="limoneg" ref="A3:CQ33" totalsRowShown="0" headerRowDxfId="1379" dataDxfId="1378">
  <autoFilter ref="A3:CQ33" xr:uid="{6F44C236-BD30-49C1-AC80-B66D4596B51B}"/>
  <tableColumns count="95">
    <tableColumn id="1" xr3:uid="{739096EF-D9BA-4FED-B30B-BBA1DEFC883C}" name="Tournament" dataDxfId="1377"/>
    <tableColumn id="2" xr3:uid="{DE7653E4-7A70-4AA6-880A-A3BC92071008}" name="Home_team" dataDxfId="1376"/>
    <tableColumn id="3" xr3:uid="{F1E07C4F-A57C-4C24-BCB4-975E8F93AE08}" name="Stage" dataDxfId="1375"/>
    <tableColumn id="4" xr3:uid="{6688C4BA-F410-4B81-AF90-00454C85B4E6}" name="Date" dataDxfId="1374"/>
    <tableColumn id="5" xr3:uid="{9D34870C-A0CB-4605-BC99-2B23E7F6BD1B}" name="Location" dataDxfId="1373"/>
    <tableColumn id="6" xr3:uid="{F2FAD378-4AFD-4C12-881F-D3F71659B7D1}" name="Away_team" dataDxfId="1372"/>
    <tableColumn id="7" xr3:uid="{D3B2CB08-062B-4C74-ABB6-763B52457AC7}" name="Result" dataDxfId="1371"/>
    <tableColumn id="8" xr3:uid="{9509A7BD-5E9D-41E4-8C6D-05B9E7C5180D}" name="Home_scored" dataDxfId="1370"/>
    <tableColumn id="9" xr3:uid="{3F02D0CE-AB5A-41E9-B64F-C264A85A2964}" name="Away_scored" dataDxfId="1369"/>
    <tableColumn id="10" xr3:uid="{3482CE8C-F2D3-4581-8734-B40D3C799FCC}" name="FGM" dataDxfId="1368"/>
    <tableColumn id="11" xr3:uid="{833F98F2-9546-4D21-8F87-BB55AF16C0B7}" name="FGA" dataDxfId="1367"/>
    <tableColumn id="12" xr3:uid="{2D696FA5-A18C-4196-BEA6-A73A5E5A9891}" name="FGp" dataDxfId="1366"/>
    <tableColumn id="13" xr3:uid="{0FF4422D-21E4-4CF8-AE68-590939C2DCD0}" name="P2M" dataDxfId="1365"/>
    <tableColumn id="14" xr3:uid="{3B85651E-5DD4-4B45-8F2A-742D926304FA}" name="P2A" dataDxfId="1364"/>
    <tableColumn id="15" xr3:uid="{68216409-3034-4337-82D5-0CA157B2EF51}" name="P2p" dataDxfId="1363"/>
    <tableColumn id="16" xr3:uid="{A19A14A0-444C-404D-B309-6744C677E8C4}" name="P3M" dataDxfId="1362"/>
    <tableColumn id="17" xr3:uid="{7889B245-9ABD-4076-A026-7EDEAC70BE52}" name="P3A" dataDxfId="1361"/>
    <tableColumn id="18" xr3:uid="{B7F3E3CC-473C-47A4-B763-2952B879794B}" name="P3p" dataDxfId="1360"/>
    <tableColumn id="19" xr3:uid="{EC894F28-A314-4F19-8423-BF2E783F3F18}" name="FTM" dataDxfId="1359"/>
    <tableColumn id="20" xr3:uid="{FCC98E77-B0A1-4051-B9DA-69290C2EF860}" name="FTA" dataDxfId="1358"/>
    <tableColumn id="21" xr3:uid="{6C7664F9-44BA-4B3A-9A92-82EAC0B7F30B}" name="FTp" dataDxfId="1357"/>
    <tableColumn id="22" xr3:uid="{090F40AE-486E-4CCE-A6C0-C885D6E264A7}" name="ORB" dataDxfId="1356"/>
    <tableColumn id="23" xr3:uid="{C9D5F222-CC0B-4F27-A8FE-BDB01A055D43}" name="DRB" dataDxfId="1355"/>
    <tableColumn id="24" xr3:uid="{96D0893B-752F-4490-97AA-DEDE44ABAE04}" name="TRB" dataDxfId="1354"/>
    <tableColumn id="25" xr3:uid="{F5C06311-9569-4549-ACA8-B0D3022701F4}" name="AST" dataDxfId="1353"/>
    <tableColumn id="26" xr3:uid="{FA3A1FE9-F762-4F3C-9266-8F09C7D38DCC}" name="STL" dataDxfId="1352"/>
    <tableColumn id="27" xr3:uid="{DBBB7290-86C6-4723-AA74-E9963650080A}" name="BLK" dataDxfId="1351"/>
    <tableColumn id="28" xr3:uid="{AD76FC97-B007-4347-83BF-957D6C41BC0C}" name="TOV" dataDxfId="1350"/>
    <tableColumn id="29" xr3:uid="{76E730AE-29A3-43DA-9CE4-EB5CA396891D}" name="PF" dataDxfId="1349"/>
    <tableColumn id="30" xr3:uid="{557ACB81-5AB3-493B-A909-0119A8A32A54}" name="FGMop" dataDxfId="1348"/>
    <tableColumn id="31" xr3:uid="{574EE2A2-3883-4482-A899-FF3519248CB7}" name="FGAop" dataDxfId="1347"/>
    <tableColumn id="32" xr3:uid="{D5F29CC2-DD97-4622-90F5-AAC04092C780}" name="FGpop" dataDxfId="1346"/>
    <tableColumn id="33" xr3:uid="{3CDA8F44-0761-4C91-89E5-EEC5E5B38DB7}" name="P2Mop" dataDxfId="1345"/>
    <tableColumn id="34" xr3:uid="{598388E2-3A38-4342-8233-CFE19E902693}" name="P2Aop" dataDxfId="1344"/>
    <tableColumn id="35" xr3:uid="{AA063745-4500-4A9D-BF88-ECB12594186E}" name="P2pop" dataDxfId="1343"/>
    <tableColumn id="36" xr3:uid="{4CCD0561-FD23-4A7D-9C58-09BE99B9571A}" name="P3Mop" dataDxfId="1342"/>
    <tableColumn id="37" xr3:uid="{7076F77A-0391-4166-89D8-BFF39B770584}" name="P3Aop" dataDxfId="1341"/>
    <tableColumn id="38" xr3:uid="{14D87155-2C58-45EB-8BD5-0055C7494AAB}" name="P3pop" dataDxfId="1340"/>
    <tableColumn id="39" xr3:uid="{AB42AEC0-7D75-4D14-88E8-8B2ED34DFFBB}" name="FTMop" dataDxfId="1339"/>
    <tableColumn id="40" xr3:uid="{5CBE4284-D4AC-44F7-AF3F-E477D1D8C86C}" name="FTAop" dataDxfId="1338"/>
    <tableColumn id="41" xr3:uid="{768C450A-0BF1-456B-9478-3A9B5174ABB6}" name="FTpop" dataDxfId="1337"/>
    <tableColumn id="42" xr3:uid="{79DAA05B-4CD1-4AD9-8C27-9E6E1A46A7C7}" name="ORBop" dataDxfId="1336"/>
    <tableColumn id="43" xr3:uid="{2863251D-7A9E-4BFE-9800-0670C85CCC76}" name="DRBop" dataDxfId="1335"/>
    <tableColumn id="44" xr3:uid="{14047A0D-FFF4-4871-A8A0-1C032DA5A4EA}" name="TRBop" dataDxfId="1334"/>
    <tableColumn id="45" xr3:uid="{5F224026-1706-40E0-8B26-0A21160D354A}" name="ASTop" dataDxfId="1333"/>
    <tableColumn id="46" xr3:uid="{2B79C122-DC3F-4CDC-830D-21A5BFD350ED}" name="STLop" dataDxfId="1332"/>
    <tableColumn id="47" xr3:uid="{46164E34-C734-4CF0-B1BE-9557D9CC6CE1}" name="BLKop" dataDxfId="1331"/>
    <tableColumn id="48" xr3:uid="{E57262FD-E114-40B4-AA9C-14EAA7B141F0}" name="TOVop" dataDxfId="1330"/>
    <tableColumn id="49" xr3:uid="{690A686C-ADFE-4143-8681-DB76A5A2BF1D}" name="PFop" dataDxfId="1329"/>
    <tableColumn id="50" xr3:uid="{88FA0CC3-4730-47A1-B585-D3C6D3066D1C}" name="TS%" dataDxfId="1328"/>
    <tableColumn id="51" xr3:uid="{839CA26E-FD84-4F01-8029-AF23BBDCBB9C}" name="eFG%" dataDxfId="1327"/>
    <tableColumn id="52" xr3:uid="{18FC497D-B1E2-4EE9-9CE0-1CD762E9A402}" name="ORB%" dataDxfId="1326"/>
    <tableColumn id="53" xr3:uid="{EED1A9A5-0BAB-48C8-B89D-06BBB1E771C6}" name="DRB%" dataDxfId="1325"/>
    <tableColumn id="54" xr3:uid="{C3AFAC06-9738-47AB-A419-478223D596CF}" name="TRB%" dataDxfId="1324"/>
    <tableColumn id="55" xr3:uid="{EFEA7D9B-896B-4E87-A62D-6D9990CC0958}" name="Poss" dataDxfId="1323"/>
    <tableColumn id="56" xr3:uid="{46BD1836-0716-4851-872F-4ABA6900F483}" name="AST%" dataDxfId="1322"/>
    <tableColumn id="57" xr3:uid="{F05AA18A-2C10-440B-825C-813BFBD92842}" name="FTFGA%" dataDxfId="1321"/>
    <tableColumn id="58" xr3:uid="{858EC780-5CE0-47C3-A5A5-066F9EE4F04B}" name="TOV%" dataDxfId="1320"/>
    <tableColumn id="59" xr3:uid="{B3CA3A05-AB6F-4E90-9897-F4606A3334AA}" name="ORtg" dataDxfId="1319"/>
    <tableColumn id="60" xr3:uid="{50BB27D8-F07D-40F5-BD58-96A757ABF29E}" name="DRtg" dataDxfId="1318"/>
    <tableColumn id="61" xr3:uid="{0BED8138-C6AF-4FC2-9335-B66B938E2D2D}" name="Pace" dataDxfId="1317"/>
    <tableColumn id="62" xr3:uid="{9B35D068-25EF-47DE-9FE2-A55E883F8965}" name="TS%op" dataDxfId="1316"/>
    <tableColumn id="63" xr3:uid="{C6EAAAD2-AF7B-4513-88FA-FFA6F0EE9FE1}" name="eFG%op" dataDxfId="1315"/>
    <tableColumn id="64" xr3:uid="{AD5AE30A-444B-4923-A014-FD1FFACDB56B}" name="ORB%op" dataDxfId="1314"/>
    <tableColumn id="65" xr3:uid="{A46C71FA-4CA6-47B3-A284-62C6410FB078}" name="DRB%op" dataDxfId="1313"/>
    <tableColumn id="66" xr3:uid="{FF272D96-A683-4636-B743-9A24019CE96C}" name="TRB%op" dataDxfId="1312"/>
    <tableColumn id="67" xr3:uid="{6522A1BC-FFAB-4471-9B05-1136B6535A94}" name="Possop" dataDxfId="1311"/>
    <tableColumn id="68" xr3:uid="{AED5DF9E-8C19-4175-8DA5-577C1E2FC294}" name="AST%op" dataDxfId="1310"/>
    <tableColumn id="69" xr3:uid="{3BB91302-A8ED-455E-BEA9-AD50D66BC397}" name="FTFGA%op" dataDxfId="1309"/>
    <tableColumn id="70" xr3:uid="{1E074E34-3DFF-4451-821D-D61ABCB30972}" name="TOV%op" dataDxfId="1308"/>
    <tableColumn id="71" xr3:uid="{A435008E-6905-45F3-8605-0006B031DC48}" name="ORtgop" dataDxfId="1307"/>
    <tableColumn id="72" xr3:uid="{9BFF34E8-250B-4E96-9B9D-8292AFA2C872}" name="DRtgop" dataDxfId="1306"/>
    <tableColumn id="73" xr3:uid="{91641B62-9BEB-4F4C-BD65-C775E9F53ABE}" name="Q1H" dataDxfId="1305"/>
    <tableColumn id="74" xr3:uid="{40F85300-DD85-4118-9C6F-BBB7926DFCC7}" name="Q2H" dataDxfId="1304"/>
    <tableColumn id="75" xr3:uid="{5240ADBB-09BC-4700-9471-ECB67ADA5EA9}" name="Q3H" dataDxfId="1303"/>
    <tableColumn id="76" xr3:uid="{CC5DC130-DB7C-4DA4-9D46-C79AFD7690C4}" name="Q4H" dataDxfId="1302"/>
    <tableColumn id="77" xr3:uid="{0E25CDF3-FC77-495B-BF22-1B7E75E207B0}" name="Q1A" dataDxfId="1301"/>
    <tableColumn id="78" xr3:uid="{DC523C6F-53FF-48AF-ADEA-2BAC303ADE34}" name="Q2A" dataDxfId="1300"/>
    <tableColumn id="79" xr3:uid="{19345E99-B211-4F1C-8D2E-F6D46FDA8A1C}" name="Q3A" dataDxfId="1299"/>
    <tableColumn id="80" xr3:uid="{30221863-AE77-43EC-8F26-70571050F4DC}" name="Q4A" dataDxfId="1298"/>
    <tableColumn id="81" xr3:uid="{6A8B306B-E50E-45ED-94BB-4370622C4973}" name="FhalfH" dataDxfId="1297"/>
    <tableColumn id="82" xr3:uid="{4AFE6E29-EA28-4F41-9410-6B08B7B546C7}" name="ShalfH" dataDxfId="1296"/>
    <tableColumn id="83" xr3:uid="{8A1FBB77-5B5B-4879-8BE8-0C39418AFE95}" name="FhalfA" dataDxfId="1295"/>
    <tableColumn id="84" xr3:uid="{FDA02DB9-3EF5-4096-B12E-03BF7D8C4149}" name="ShalfA" dataDxfId="1294"/>
    <tableColumn id="85" xr3:uid="{64292141-81FF-42AF-873C-A6501852375D}" name="win" dataDxfId="1293"/>
    <tableColumn id="86" xr3:uid="{02D1EFBC-8F11-4508-9FA3-46D2B8BC472B}" name="lose" dataDxfId="1292"/>
    <tableColumn id="87" xr3:uid="{CB58B69A-4653-4AD7-932F-2609BE927497}" name="foraH" dataDxfId="1291"/>
    <tableColumn id="88" xr3:uid="{32D3BEAB-9A94-4301-87F1-95A258309C98}" name="foraA" dataDxfId="1290"/>
    <tableColumn id="89" xr3:uid="{67D8CC3D-194E-438E-9996-4D7F15401E60}" name="total" dataDxfId="1289"/>
    <tableColumn id="90" xr3:uid="{4424A400-F9B8-432B-8B72-04513C5796D1}" name="link" dataDxfId="1288"/>
    <tableColumn id="91" xr3:uid="{F10776DD-2D2D-469F-AC32-42354D3CC13A}" name="abbr" dataDxfId="1287">
      <calculatedColumnFormula>VLOOKUP(limoneg[[#This Row],[Away_team]],all[[Full name]:[Abbr]],3,FALSE)</calculatedColumnFormula>
    </tableColumn>
    <tableColumn id="92" xr3:uid="{D51A59F0-2154-4A2E-B7AF-B6CABBF7025E}" name="BetH" dataDxfId="1286">
      <calculatedColumnFormula>IF(OR(limoneg[[#This Row],[Result]]="w",limoneg[[#This Row],[Result]]="dw"),limoneg[[#This Row],[win]]-1,-1)</calculatedColumnFormula>
    </tableColumn>
    <tableColumn id="93" xr3:uid="{9B485ADD-50DF-4554-A638-716B4B55FA4D}" name="BetA" dataDxfId="1285">
      <calculatedColumnFormula>IF(OR(limoneg[[#This Row],[Result]]="L",limoneg[[#This Row],[Result]]="dl"),limoneg[[#This Row],[lose]]-1,-1)</calculatedColumnFormula>
    </tableColumn>
    <tableColumn id="94" xr3:uid="{86C51E9B-1CDA-46C8-A5E0-BD75BC36C0F6}" name="Tover" dataDxfId="1284">
      <calculatedColumnFormula>IF(OR((limoneg[[#This Row],[Home_scored]]+limoneg[[#This Row],[Away_scored]])&gt;limoneg[[#This Row],[total]],OR(limoneg[[#This Row],[Result]]="dw",limoneg[[#This Row],[Result]]="dl")),1,0)</calculatedColumnFormula>
    </tableColumn>
    <tableColumn id="95" xr3:uid="{03426A19-113B-41B4-9BCB-F8E8B5E0D18C}" name="Deviation" dataDxfId="1283">
      <calculatedColumnFormula>ABS((limoneg[[#This Row],[Home_scored]]+limoneg[[#This Row],[Away_scored]])-limoneg[[#This Row],[total]])+0.5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9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CQ38"/>
  <sheetViews>
    <sheetView topLeftCell="A3" zoomScale="80" zoomScaleNormal="80" workbookViewId="0">
      <selection activeCell="A39" sqref="A39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144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349</v>
      </c>
      <c r="B4" s="2" t="s">
        <v>302</v>
      </c>
      <c r="C4" s="3" t="s">
        <v>73</v>
      </c>
      <c r="D4" s="3">
        <v>45556</v>
      </c>
      <c r="E4" s="2" t="s">
        <v>140</v>
      </c>
      <c r="F4" s="2" t="s">
        <v>320</v>
      </c>
      <c r="G4" s="2" t="s">
        <v>75</v>
      </c>
      <c r="H4" s="2">
        <v>94</v>
      </c>
      <c r="I4" s="2">
        <v>65</v>
      </c>
      <c r="J4" s="2">
        <v>35</v>
      </c>
      <c r="K4" s="2">
        <v>68</v>
      </c>
      <c r="L4" s="2">
        <v>0.51470000000000005</v>
      </c>
      <c r="M4" s="2">
        <v>26</v>
      </c>
      <c r="N4" s="2">
        <v>42</v>
      </c>
      <c r="O4" s="2">
        <v>0.61899999999999999</v>
      </c>
      <c r="P4" s="2">
        <v>9</v>
      </c>
      <c r="Q4" s="2">
        <v>26</v>
      </c>
      <c r="R4" s="2">
        <v>0.34620000000000001</v>
      </c>
      <c r="S4" s="2">
        <v>15</v>
      </c>
      <c r="T4" s="2">
        <v>17</v>
      </c>
      <c r="U4" s="2">
        <v>0.88239999999999996</v>
      </c>
      <c r="V4" s="2">
        <v>10</v>
      </c>
      <c r="W4" s="2">
        <v>25</v>
      </c>
      <c r="X4" s="2">
        <v>35</v>
      </c>
      <c r="Y4" s="2">
        <v>22</v>
      </c>
      <c r="Z4" s="2">
        <v>11</v>
      </c>
      <c r="AA4" s="2">
        <v>3</v>
      </c>
      <c r="AB4" s="2">
        <v>12</v>
      </c>
      <c r="AC4" s="2">
        <v>16</v>
      </c>
      <c r="AD4" s="2">
        <v>25</v>
      </c>
      <c r="AE4" s="2">
        <v>67</v>
      </c>
      <c r="AF4" s="2">
        <v>0.37309999999999999</v>
      </c>
      <c r="AG4" s="2">
        <v>20</v>
      </c>
      <c r="AH4" s="2">
        <v>45</v>
      </c>
      <c r="AI4" s="2">
        <v>0.44440000000000002</v>
      </c>
      <c r="AJ4" s="2">
        <v>5</v>
      </c>
      <c r="AK4" s="2">
        <v>22</v>
      </c>
      <c r="AL4" s="2">
        <v>0.2273</v>
      </c>
      <c r="AM4" s="2">
        <v>10</v>
      </c>
      <c r="AN4" s="2">
        <v>15</v>
      </c>
      <c r="AO4" s="2">
        <v>0.66669999999999996</v>
      </c>
      <c r="AP4" s="2">
        <v>19</v>
      </c>
      <c r="AQ4" s="2">
        <v>23</v>
      </c>
      <c r="AR4" s="2">
        <v>42</v>
      </c>
      <c r="AS4" s="2">
        <v>11</v>
      </c>
      <c r="AT4" s="2">
        <v>6</v>
      </c>
      <c r="AU4" s="2">
        <v>2</v>
      </c>
      <c r="AV4" s="2">
        <v>21</v>
      </c>
      <c r="AW4" s="2">
        <v>19</v>
      </c>
      <c r="AX4" s="2">
        <v>0.62270000000000003</v>
      </c>
      <c r="AY4" s="2">
        <v>0.58089999999999997</v>
      </c>
      <c r="AZ4" s="2">
        <v>0.30299999999999999</v>
      </c>
      <c r="BA4" s="2">
        <v>0.56820000000000004</v>
      </c>
      <c r="BB4" s="2">
        <v>0.45450000000000002</v>
      </c>
      <c r="BC4" s="4">
        <v>76.710999999999999</v>
      </c>
      <c r="BD4" s="2">
        <v>0.62860000000000005</v>
      </c>
      <c r="BE4" s="2">
        <v>0.22059999999999999</v>
      </c>
      <c r="BF4" s="2">
        <v>0.13719999999999999</v>
      </c>
      <c r="BG4" s="2">
        <v>125</v>
      </c>
      <c r="BH4" s="2">
        <v>86.4</v>
      </c>
      <c r="BI4" s="2">
        <v>75.1905</v>
      </c>
      <c r="BJ4" s="2">
        <v>0.44159999999999999</v>
      </c>
      <c r="BK4" s="2">
        <v>0.41039999999999999</v>
      </c>
      <c r="BL4" s="2">
        <v>0.43180000000000002</v>
      </c>
      <c r="BM4" s="2">
        <v>0.69699999999999995</v>
      </c>
      <c r="BN4" s="2">
        <v>0.54549999999999998</v>
      </c>
      <c r="BO4" s="4">
        <v>73.67</v>
      </c>
      <c r="BP4" s="2">
        <v>0.44</v>
      </c>
      <c r="BQ4" s="2">
        <v>0.14929999999999999</v>
      </c>
      <c r="BR4" s="2">
        <v>0.222</v>
      </c>
      <c r="BS4" s="2">
        <v>86.4</v>
      </c>
      <c r="BT4" s="2">
        <v>125</v>
      </c>
      <c r="BU4" s="2">
        <v>27</v>
      </c>
      <c r="BV4" s="2">
        <v>21</v>
      </c>
      <c r="BW4" s="2">
        <v>26</v>
      </c>
      <c r="BX4" s="2">
        <v>20</v>
      </c>
      <c r="BY4" s="2">
        <v>15</v>
      </c>
      <c r="BZ4" s="2">
        <v>19</v>
      </c>
      <c r="CA4" s="2">
        <v>10</v>
      </c>
      <c r="CB4" s="2">
        <v>21</v>
      </c>
      <c r="CC4" s="2">
        <v>48</v>
      </c>
      <c r="CD4" s="2">
        <v>46</v>
      </c>
      <c r="CE4" s="2">
        <v>34</v>
      </c>
      <c r="CF4" s="2">
        <v>31</v>
      </c>
      <c r="CG4" s="2">
        <v>1.38</v>
      </c>
      <c r="CH4" s="2">
        <v>3.1</v>
      </c>
      <c r="CI4" s="2">
        <v>-6.5</v>
      </c>
      <c r="CJ4" s="2">
        <v>6.5</v>
      </c>
      <c r="CK4" s="2">
        <v>158.5</v>
      </c>
      <c r="CL4" s="2" t="s">
        <v>350</v>
      </c>
      <c r="CM4" s="4" t="str">
        <f>VLOOKUP(bourg[[#This Row],[Away_team]],all[[Full name]:[Abbr]],3,FALSE)</f>
        <v>POR</v>
      </c>
      <c r="CN4" s="4">
        <f>IF(OR(bourg[[#This Row],[Result]]="w",bourg[[#This Row],[Result]]="dw"),bourg[[#This Row],[win]]-1,-1)</f>
        <v>0.37999999999999989</v>
      </c>
      <c r="CO4" s="4">
        <f>IF(OR(bourg[[#This Row],[Result]]="L",bourg[[#This Row],[Result]]="dl"),bourg[[#This Row],[lose]]-1,-1)</f>
        <v>-1</v>
      </c>
      <c r="CP4" s="4">
        <f>IF(OR((bourg[[#This Row],[Home_scored]]+bourg[[#This Row],[Away_scored]])&gt;bourg[[#This Row],[total]],OR(bourg[[#This Row],[Result]]="dw",bourg[[#This Row],[Result]]="dl")),1,0)</f>
        <v>1</v>
      </c>
      <c r="CQ4" s="4">
        <f>ABS((bourg[[#This Row],[Home_scored]]+bourg[[#This Row],[Away_scored]])-bourg[[#This Row],[total]])+0.5</f>
        <v>1</v>
      </c>
    </row>
    <row r="5" spans="1:95" x14ac:dyDescent="0.25">
      <c r="A5" s="2" t="s">
        <v>349</v>
      </c>
      <c r="B5" s="2" t="s">
        <v>302</v>
      </c>
      <c r="C5" s="3" t="s">
        <v>73</v>
      </c>
      <c r="D5" s="3">
        <v>45564</v>
      </c>
      <c r="E5" s="2" t="s">
        <v>74</v>
      </c>
      <c r="F5" s="2" t="s">
        <v>327</v>
      </c>
      <c r="G5" s="2" t="s">
        <v>139</v>
      </c>
      <c r="H5" s="11">
        <v>85</v>
      </c>
      <c r="I5" s="11">
        <v>94</v>
      </c>
      <c r="J5" s="11">
        <v>28</v>
      </c>
      <c r="K5" s="11">
        <v>65</v>
      </c>
      <c r="L5" s="12">
        <v>0.43080000000000002</v>
      </c>
      <c r="M5" s="11">
        <v>19</v>
      </c>
      <c r="N5" s="11">
        <v>36</v>
      </c>
      <c r="O5" s="12">
        <v>0.52780000000000005</v>
      </c>
      <c r="P5" s="11">
        <v>9</v>
      </c>
      <c r="Q5" s="11">
        <v>29</v>
      </c>
      <c r="R5" s="12">
        <v>0.31030000000000002</v>
      </c>
      <c r="S5" s="11">
        <v>20</v>
      </c>
      <c r="T5" s="11">
        <v>29</v>
      </c>
      <c r="U5" s="12">
        <v>0.68969999999999998</v>
      </c>
      <c r="V5" s="11">
        <v>8</v>
      </c>
      <c r="W5" s="11">
        <v>18</v>
      </c>
      <c r="X5" s="11">
        <v>26</v>
      </c>
      <c r="Y5" s="11">
        <v>21</v>
      </c>
      <c r="Z5" s="11">
        <v>13</v>
      </c>
      <c r="AA5" s="11">
        <v>1</v>
      </c>
      <c r="AB5" s="11">
        <v>5</v>
      </c>
      <c r="AC5" s="11">
        <v>28</v>
      </c>
      <c r="AD5" s="11">
        <v>27</v>
      </c>
      <c r="AE5" s="11">
        <v>53</v>
      </c>
      <c r="AF5" s="12">
        <v>0.50939999999999996</v>
      </c>
      <c r="AG5" s="11">
        <v>17</v>
      </c>
      <c r="AH5" s="11">
        <v>26</v>
      </c>
      <c r="AI5" s="12">
        <v>0.65380000000000005</v>
      </c>
      <c r="AJ5" s="11">
        <v>10</v>
      </c>
      <c r="AK5" s="11">
        <v>27</v>
      </c>
      <c r="AL5" s="12">
        <v>0.37040000000000001</v>
      </c>
      <c r="AM5" s="11">
        <v>30</v>
      </c>
      <c r="AN5" s="11">
        <v>35</v>
      </c>
      <c r="AO5" s="12">
        <v>0.85709999999999997</v>
      </c>
      <c r="AP5" s="11">
        <v>10</v>
      </c>
      <c r="AQ5" s="11">
        <v>33</v>
      </c>
      <c r="AR5" s="11">
        <v>43</v>
      </c>
      <c r="AS5" s="11">
        <v>19</v>
      </c>
      <c r="AT5" s="11">
        <v>3</v>
      </c>
      <c r="AU5" s="11">
        <v>0</v>
      </c>
      <c r="AV5" s="11">
        <v>16</v>
      </c>
      <c r="AW5" s="11">
        <v>28</v>
      </c>
      <c r="AX5" s="12">
        <v>0.54659999999999997</v>
      </c>
      <c r="AY5" s="12">
        <v>0.5</v>
      </c>
      <c r="AZ5" s="12">
        <v>0.1951</v>
      </c>
      <c r="BA5" s="12">
        <v>0.64290000000000003</v>
      </c>
      <c r="BB5" s="12">
        <v>0.37680000000000002</v>
      </c>
      <c r="BC5" s="4">
        <v>69.418000000000006</v>
      </c>
      <c r="BD5" s="12">
        <v>0.75</v>
      </c>
      <c r="BE5" s="12">
        <v>0.30769999999999997</v>
      </c>
      <c r="BF5" s="12">
        <v>6.0400000000000002E-2</v>
      </c>
      <c r="BG5" s="4">
        <v>116.5</v>
      </c>
      <c r="BH5" s="4">
        <v>128.80000000000001</v>
      </c>
      <c r="BI5" s="4">
        <v>72.974000000000004</v>
      </c>
      <c r="BJ5" s="12">
        <v>0.68710000000000004</v>
      </c>
      <c r="BK5" s="12">
        <v>0.6038</v>
      </c>
      <c r="BL5" s="12">
        <v>0.35709999999999997</v>
      </c>
      <c r="BM5" s="12">
        <v>0.80489999999999995</v>
      </c>
      <c r="BN5" s="12">
        <v>0.62319999999999998</v>
      </c>
      <c r="BO5" s="4">
        <v>76.53</v>
      </c>
      <c r="BP5" s="12">
        <v>0.70369999999999999</v>
      </c>
      <c r="BQ5" s="12">
        <v>0.56599999999999995</v>
      </c>
      <c r="BR5" s="12">
        <v>0.18959999999999999</v>
      </c>
      <c r="BS5" s="4">
        <v>128.80000000000001</v>
      </c>
      <c r="BT5" s="4">
        <v>116.5</v>
      </c>
      <c r="BU5" s="11">
        <v>21</v>
      </c>
      <c r="BV5" s="11">
        <v>24</v>
      </c>
      <c r="BW5" s="11">
        <v>19</v>
      </c>
      <c r="BX5" s="11">
        <v>21</v>
      </c>
      <c r="BY5" s="11">
        <v>32</v>
      </c>
      <c r="BZ5" s="11">
        <v>17</v>
      </c>
      <c r="CA5" s="11">
        <v>23</v>
      </c>
      <c r="CB5" s="11">
        <v>22</v>
      </c>
      <c r="CC5" s="11">
        <v>45</v>
      </c>
      <c r="CD5" s="11">
        <v>40</v>
      </c>
      <c r="CE5" s="11">
        <v>49</v>
      </c>
      <c r="CF5" s="11">
        <v>45</v>
      </c>
      <c r="CG5" s="4">
        <v>1.8</v>
      </c>
      <c r="CH5" s="13">
        <v>2.0499999999999998</v>
      </c>
      <c r="CI5" s="4">
        <v>-1.5</v>
      </c>
      <c r="CJ5" s="4">
        <v>1.5</v>
      </c>
      <c r="CK5" s="4">
        <v>162.5</v>
      </c>
      <c r="CL5" s="2" t="s">
        <v>351</v>
      </c>
      <c r="CM5" s="4" t="str">
        <f>VLOOKUP(bourg[[#This Row],[Away_team]],all[[Full name]:[Abbr]],3,FALSE)</f>
        <v>LYO</v>
      </c>
      <c r="CN5" s="4">
        <f>IF(OR(bourg[[#This Row],[Result]]="w",bourg[[#This Row],[Result]]="dw"),bourg[[#This Row],[win]]-1,-1)</f>
        <v>-1</v>
      </c>
      <c r="CO5" s="4">
        <f>IF(OR(bourg[[#This Row],[Result]]="L",bourg[[#This Row],[Result]]="dl"),bourg[[#This Row],[lose]]-1,-1)</f>
        <v>1.0499999999999998</v>
      </c>
      <c r="CP5" s="4">
        <f>IF(OR((bourg[[#This Row],[Home_scored]]+bourg[[#This Row],[Away_scored]])&gt;bourg[[#This Row],[total]],OR(bourg[[#This Row],[Result]]="dw",bourg[[#This Row],[Result]]="dl")),1,0)</f>
        <v>1</v>
      </c>
      <c r="CQ5" s="4">
        <f>ABS((bourg[[#This Row],[Home_scored]]+bourg[[#This Row],[Away_scored]])-bourg[[#This Row],[total]])+0.5</f>
        <v>17</v>
      </c>
    </row>
    <row r="6" spans="1:95" x14ac:dyDescent="0.25">
      <c r="A6" s="2" t="s">
        <v>349</v>
      </c>
      <c r="B6" s="2" t="s">
        <v>302</v>
      </c>
      <c r="C6" s="3" t="s">
        <v>73</v>
      </c>
      <c r="D6" s="3">
        <v>45570</v>
      </c>
      <c r="E6" s="2" t="s">
        <v>140</v>
      </c>
      <c r="F6" s="2" t="s">
        <v>336</v>
      </c>
      <c r="G6" s="2" t="s">
        <v>75</v>
      </c>
      <c r="H6" s="11">
        <v>86</v>
      </c>
      <c r="I6" s="11">
        <v>61</v>
      </c>
      <c r="J6" s="11">
        <v>27</v>
      </c>
      <c r="K6" s="11">
        <v>52</v>
      </c>
      <c r="L6" s="12">
        <v>0.51919999999999999</v>
      </c>
      <c r="M6" s="11">
        <v>22</v>
      </c>
      <c r="N6" s="11">
        <v>34</v>
      </c>
      <c r="O6" s="12">
        <v>0.64710000000000001</v>
      </c>
      <c r="P6" s="11">
        <v>5</v>
      </c>
      <c r="Q6" s="11">
        <v>18</v>
      </c>
      <c r="R6" s="12">
        <v>0.27779999999999999</v>
      </c>
      <c r="S6" s="11">
        <v>27</v>
      </c>
      <c r="T6" s="11">
        <v>36</v>
      </c>
      <c r="U6" s="12">
        <v>0.75</v>
      </c>
      <c r="V6" s="11">
        <v>9</v>
      </c>
      <c r="W6" s="11">
        <v>30</v>
      </c>
      <c r="X6" s="11">
        <v>39</v>
      </c>
      <c r="Y6" s="11">
        <v>21</v>
      </c>
      <c r="Z6" s="11">
        <v>10</v>
      </c>
      <c r="AA6" s="11">
        <v>3</v>
      </c>
      <c r="AB6" s="11">
        <v>15</v>
      </c>
      <c r="AC6" s="11">
        <v>22</v>
      </c>
      <c r="AD6" s="11">
        <v>25</v>
      </c>
      <c r="AE6" s="11">
        <v>72</v>
      </c>
      <c r="AF6" s="12">
        <v>0.34720000000000001</v>
      </c>
      <c r="AG6" s="11">
        <v>20</v>
      </c>
      <c r="AH6" s="11">
        <v>48</v>
      </c>
      <c r="AI6" s="12">
        <v>0.41670000000000001</v>
      </c>
      <c r="AJ6" s="11">
        <v>5</v>
      </c>
      <c r="AK6" s="11">
        <v>24</v>
      </c>
      <c r="AL6" s="12">
        <v>0.20830000000000001</v>
      </c>
      <c r="AM6" s="11">
        <v>6</v>
      </c>
      <c r="AN6" s="11">
        <v>9</v>
      </c>
      <c r="AO6" s="12">
        <v>0.66669999999999996</v>
      </c>
      <c r="AP6" s="11">
        <v>18</v>
      </c>
      <c r="AQ6" s="11">
        <v>19</v>
      </c>
      <c r="AR6" s="11">
        <v>37</v>
      </c>
      <c r="AS6" s="11">
        <v>14</v>
      </c>
      <c r="AT6" s="11">
        <v>5</v>
      </c>
      <c r="AU6" s="11">
        <v>1</v>
      </c>
      <c r="AV6" s="11">
        <v>17</v>
      </c>
      <c r="AW6" s="11">
        <v>26</v>
      </c>
      <c r="AX6" s="12">
        <v>0.63380000000000003</v>
      </c>
      <c r="AY6" s="12">
        <v>0.56730000000000003</v>
      </c>
      <c r="AZ6" s="12">
        <v>0.32140000000000002</v>
      </c>
      <c r="BA6" s="12">
        <v>0.625</v>
      </c>
      <c r="BB6" s="12">
        <v>0.51319999999999999</v>
      </c>
      <c r="BC6" s="4">
        <v>75.227000000000004</v>
      </c>
      <c r="BD6" s="12">
        <v>0.77780000000000005</v>
      </c>
      <c r="BE6" s="12">
        <v>0.51919999999999999</v>
      </c>
      <c r="BF6" s="12">
        <v>0.18110000000000001</v>
      </c>
      <c r="BG6" s="4">
        <v>120</v>
      </c>
      <c r="BH6" s="4">
        <v>85.1</v>
      </c>
      <c r="BI6" s="4">
        <v>71.680999999999997</v>
      </c>
      <c r="BJ6" s="12">
        <v>0.40150000000000002</v>
      </c>
      <c r="BK6" s="12">
        <v>0.38190000000000002</v>
      </c>
      <c r="BL6" s="12">
        <v>0.375</v>
      </c>
      <c r="BM6" s="12">
        <v>0.67859999999999998</v>
      </c>
      <c r="BN6" s="12">
        <v>0.48680000000000001</v>
      </c>
      <c r="BO6" s="4">
        <v>68.135000000000005</v>
      </c>
      <c r="BP6" s="12">
        <v>0.56000000000000005</v>
      </c>
      <c r="BQ6" s="12">
        <v>8.3299999999999999E-2</v>
      </c>
      <c r="BR6" s="12">
        <v>0.18290000000000001</v>
      </c>
      <c r="BS6" s="4">
        <v>85.1</v>
      </c>
      <c r="BT6" s="4">
        <v>120</v>
      </c>
      <c r="BU6" s="11">
        <v>23</v>
      </c>
      <c r="BV6" s="11">
        <v>23</v>
      </c>
      <c r="BW6" s="11">
        <v>17</v>
      </c>
      <c r="BX6" s="11">
        <v>23</v>
      </c>
      <c r="BY6" s="11">
        <v>16</v>
      </c>
      <c r="BZ6" s="11">
        <v>19</v>
      </c>
      <c r="CA6" s="11">
        <v>18</v>
      </c>
      <c r="CB6" s="11">
        <v>8</v>
      </c>
      <c r="CC6" s="11">
        <v>46</v>
      </c>
      <c r="CD6" s="11">
        <v>40</v>
      </c>
      <c r="CE6" s="11">
        <v>35</v>
      </c>
      <c r="CF6" s="11">
        <v>26</v>
      </c>
      <c r="CG6" s="4">
        <v>1.53</v>
      </c>
      <c r="CH6" s="13">
        <v>2.6</v>
      </c>
      <c r="CI6" s="4">
        <v>-4.5</v>
      </c>
      <c r="CJ6" s="4">
        <v>4.5</v>
      </c>
      <c r="CK6" s="4">
        <v>165.5</v>
      </c>
      <c r="CL6" s="2" t="s">
        <v>352</v>
      </c>
      <c r="CM6" s="4" t="str">
        <f>VLOOKUP(bourg[[#This Row],[Away_team]],all[[Full name]:[Abbr]],3,FALSE)</f>
        <v>NAN</v>
      </c>
      <c r="CN6" s="4">
        <f>IF(OR(bourg[[#This Row],[Result]]="w",bourg[[#This Row],[Result]]="dw"),bourg[[#This Row],[win]]-1,-1)</f>
        <v>0.53</v>
      </c>
      <c r="CO6" s="4">
        <f>IF(OR(bourg[[#This Row],[Result]]="L",bourg[[#This Row],[Result]]="dl"),bourg[[#This Row],[lose]]-1,-1)</f>
        <v>-1</v>
      </c>
      <c r="CP6" s="4">
        <f>IF(OR((bourg[[#This Row],[Home_scored]]+bourg[[#This Row],[Away_scored]])&gt;bourg[[#This Row],[total]],OR(bourg[[#This Row],[Result]]="dw",bourg[[#This Row],[Result]]="dl")),1,0)</f>
        <v>0</v>
      </c>
      <c r="CQ6" s="4">
        <f>ABS((bourg[[#This Row],[Home_scored]]+bourg[[#This Row],[Away_scored]])-bourg[[#This Row],[total]])+0.5</f>
        <v>19</v>
      </c>
    </row>
    <row r="7" spans="1:95" x14ac:dyDescent="0.25">
      <c r="A7" s="2" t="s">
        <v>349</v>
      </c>
      <c r="B7" s="2" t="s">
        <v>302</v>
      </c>
      <c r="C7" s="3" t="s">
        <v>73</v>
      </c>
      <c r="D7" s="3">
        <v>45577</v>
      </c>
      <c r="E7" s="2" t="s">
        <v>74</v>
      </c>
      <c r="F7" s="2" t="s">
        <v>324</v>
      </c>
      <c r="G7" s="2" t="s">
        <v>75</v>
      </c>
      <c r="H7" s="11">
        <v>74</v>
      </c>
      <c r="I7" s="11">
        <v>70</v>
      </c>
      <c r="J7" s="11">
        <v>28</v>
      </c>
      <c r="K7" s="11">
        <v>67</v>
      </c>
      <c r="L7" s="12">
        <v>0.41789999999999999</v>
      </c>
      <c r="M7" s="11">
        <v>20</v>
      </c>
      <c r="N7" s="11">
        <v>40</v>
      </c>
      <c r="O7" s="12">
        <v>0.5</v>
      </c>
      <c r="P7" s="11">
        <v>8</v>
      </c>
      <c r="Q7" s="11">
        <v>27</v>
      </c>
      <c r="R7" s="12">
        <v>0.29630000000000001</v>
      </c>
      <c r="S7" s="11">
        <v>10</v>
      </c>
      <c r="T7" s="11">
        <v>17</v>
      </c>
      <c r="U7" s="12">
        <v>0.58819999999999995</v>
      </c>
      <c r="V7" s="11">
        <v>19</v>
      </c>
      <c r="W7" s="11">
        <v>27</v>
      </c>
      <c r="X7" s="11">
        <v>46</v>
      </c>
      <c r="Y7" s="11">
        <v>16</v>
      </c>
      <c r="Z7" s="11">
        <v>6</v>
      </c>
      <c r="AA7" s="11">
        <v>3</v>
      </c>
      <c r="AB7" s="11">
        <v>17</v>
      </c>
      <c r="AC7" s="11">
        <v>20</v>
      </c>
      <c r="AD7" s="11">
        <v>24</v>
      </c>
      <c r="AE7" s="11">
        <v>58</v>
      </c>
      <c r="AF7" s="12">
        <v>0.4138</v>
      </c>
      <c r="AG7" s="11">
        <v>15</v>
      </c>
      <c r="AH7" s="11">
        <v>33</v>
      </c>
      <c r="AI7" s="12">
        <v>0.45450000000000002</v>
      </c>
      <c r="AJ7" s="11">
        <v>9</v>
      </c>
      <c r="AK7" s="11">
        <v>25</v>
      </c>
      <c r="AL7" s="12">
        <v>0.36</v>
      </c>
      <c r="AM7" s="11">
        <v>13</v>
      </c>
      <c r="AN7" s="11">
        <v>21</v>
      </c>
      <c r="AO7" s="12">
        <v>0.61899999999999999</v>
      </c>
      <c r="AP7" s="11">
        <v>9</v>
      </c>
      <c r="AQ7" s="11">
        <v>23</v>
      </c>
      <c r="AR7" s="11">
        <v>32</v>
      </c>
      <c r="AS7" s="11">
        <v>18</v>
      </c>
      <c r="AT7" s="11">
        <v>10</v>
      </c>
      <c r="AU7" s="11">
        <v>6</v>
      </c>
      <c r="AV7" s="11">
        <v>16</v>
      </c>
      <c r="AW7" s="11">
        <v>19</v>
      </c>
      <c r="AX7" s="12">
        <v>0.49680000000000002</v>
      </c>
      <c r="AY7" s="12">
        <v>0.47760000000000002</v>
      </c>
      <c r="AZ7" s="12">
        <v>0.45240000000000002</v>
      </c>
      <c r="BA7" s="12">
        <v>0.75</v>
      </c>
      <c r="BB7" s="12">
        <v>0.5897</v>
      </c>
      <c r="BC7" s="4">
        <v>73.563999999999993</v>
      </c>
      <c r="BD7" s="12">
        <v>0.57140000000000002</v>
      </c>
      <c r="BE7" s="12">
        <v>0.14929999999999999</v>
      </c>
      <c r="BF7" s="12">
        <v>0.18579999999999999</v>
      </c>
      <c r="BG7" s="4">
        <v>101.6</v>
      </c>
      <c r="BH7" s="4">
        <v>96.1</v>
      </c>
      <c r="BI7" s="4">
        <v>72.866</v>
      </c>
      <c r="BJ7" s="12">
        <v>0.52049999999999996</v>
      </c>
      <c r="BK7" s="12">
        <v>0.4914</v>
      </c>
      <c r="BL7" s="12">
        <v>0.25</v>
      </c>
      <c r="BM7" s="12">
        <v>0.54759999999999998</v>
      </c>
      <c r="BN7" s="12">
        <v>0.4103</v>
      </c>
      <c r="BO7" s="4">
        <v>72.168000000000006</v>
      </c>
      <c r="BP7" s="12">
        <v>0.75</v>
      </c>
      <c r="BQ7" s="12">
        <v>0.22409999999999999</v>
      </c>
      <c r="BR7" s="12">
        <v>0.19220000000000001</v>
      </c>
      <c r="BS7" s="4">
        <v>96.1</v>
      </c>
      <c r="BT7" s="4">
        <v>101.6</v>
      </c>
      <c r="BU7" s="11">
        <v>10</v>
      </c>
      <c r="BV7" s="11">
        <v>26</v>
      </c>
      <c r="BW7" s="11">
        <v>19</v>
      </c>
      <c r="BX7" s="11">
        <v>19</v>
      </c>
      <c r="BY7" s="11">
        <v>23</v>
      </c>
      <c r="BZ7" s="11">
        <v>16</v>
      </c>
      <c r="CA7" s="11">
        <v>16</v>
      </c>
      <c r="CB7" s="11">
        <v>15</v>
      </c>
      <c r="CC7" s="11">
        <v>36</v>
      </c>
      <c r="CD7" s="11">
        <v>38</v>
      </c>
      <c r="CE7" s="11">
        <v>39</v>
      </c>
      <c r="CF7" s="11">
        <v>31</v>
      </c>
      <c r="CG7" s="4">
        <v>1.1399999999999999</v>
      </c>
      <c r="CH7" s="13">
        <v>6</v>
      </c>
      <c r="CI7" s="4">
        <v>-11.5</v>
      </c>
      <c r="CJ7" s="4">
        <v>11.5</v>
      </c>
      <c r="CK7" s="4">
        <v>164.5</v>
      </c>
      <c r="CL7" s="2" t="s">
        <v>353</v>
      </c>
      <c r="CM7" s="4" t="str">
        <f>VLOOKUP(bourg[[#This Row],[Away_team]],all[[Full name]:[Abbr]],3,FALSE)</f>
        <v>LIM</v>
      </c>
      <c r="CN7" s="4">
        <f>IF(OR(bourg[[#This Row],[Result]]="w",bourg[[#This Row],[Result]]="dw"),bourg[[#This Row],[win]]-1,-1)</f>
        <v>0.1399999999999999</v>
      </c>
      <c r="CO7" s="4">
        <f>IF(OR(bourg[[#This Row],[Result]]="L",bourg[[#This Row],[Result]]="dl"),bourg[[#This Row],[lose]]-1,-1)</f>
        <v>-1</v>
      </c>
      <c r="CP7" s="4">
        <f>IF(OR((bourg[[#This Row],[Home_scored]]+bourg[[#This Row],[Away_scored]])&gt;bourg[[#This Row],[total]],OR(bourg[[#This Row],[Result]]="dw",bourg[[#This Row],[Result]]="dl")),1,0)</f>
        <v>0</v>
      </c>
      <c r="CQ7" s="4">
        <f>ABS((bourg[[#This Row],[Home_scored]]+bourg[[#This Row],[Away_scored]])-bourg[[#This Row],[total]])+0.5</f>
        <v>21</v>
      </c>
    </row>
    <row r="8" spans="1:95" x14ac:dyDescent="0.25">
      <c r="A8" s="2" t="s">
        <v>349</v>
      </c>
      <c r="B8" s="2" t="s">
        <v>302</v>
      </c>
      <c r="C8" s="3" t="s">
        <v>73</v>
      </c>
      <c r="D8" s="3">
        <v>45584</v>
      </c>
      <c r="E8" s="2" t="s">
        <v>74</v>
      </c>
      <c r="F8" s="2" t="s">
        <v>311</v>
      </c>
      <c r="G8" s="2" t="s">
        <v>143</v>
      </c>
      <c r="H8" s="11">
        <v>80</v>
      </c>
      <c r="I8" s="11">
        <v>80</v>
      </c>
      <c r="J8" s="11">
        <v>22</v>
      </c>
      <c r="K8" s="11">
        <v>57</v>
      </c>
      <c r="L8" s="12">
        <v>0.38600000000000001</v>
      </c>
      <c r="M8" s="11">
        <v>15</v>
      </c>
      <c r="N8" s="11">
        <v>35</v>
      </c>
      <c r="O8" s="12">
        <v>0.42859999999999998</v>
      </c>
      <c r="P8" s="11">
        <v>7</v>
      </c>
      <c r="Q8" s="11">
        <v>22</v>
      </c>
      <c r="R8" s="12">
        <v>0.31819999999999998</v>
      </c>
      <c r="S8" s="11">
        <v>29</v>
      </c>
      <c r="T8" s="11">
        <v>37</v>
      </c>
      <c r="U8" s="12">
        <v>0.78380000000000005</v>
      </c>
      <c r="V8" s="11">
        <v>10</v>
      </c>
      <c r="W8" s="11">
        <v>26</v>
      </c>
      <c r="X8" s="11">
        <v>36</v>
      </c>
      <c r="Y8" s="11">
        <v>21</v>
      </c>
      <c r="Z8" s="11">
        <v>7</v>
      </c>
      <c r="AA8" s="11">
        <v>1</v>
      </c>
      <c r="AB8" s="11">
        <v>16</v>
      </c>
      <c r="AC8" s="11">
        <v>20</v>
      </c>
      <c r="AD8" s="11">
        <v>32</v>
      </c>
      <c r="AE8" s="11">
        <v>64</v>
      </c>
      <c r="AF8" s="12">
        <v>0.5</v>
      </c>
      <c r="AG8" s="11">
        <v>28</v>
      </c>
      <c r="AH8" s="11">
        <v>43</v>
      </c>
      <c r="AI8" s="12">
        <v>0.6512</v>
      </c>
      <c r="AJ8" s="11">
        <v>4</v>
      </c>
      <c r="AK8" s="11">
        <v>21</v>
      </c>
      <c r="AL8" s="12">
        <v>0.1905</v>
      </c>
      <c r="AM8" s="11">
        <v>12</v>
      </c>
      <c r="AN8" s="11">
        <v>16</v>
      </c>
      <c r="AO8" s="12">
        <v>0.75</v>
      </c>
      <c r="AP8" s="11">
        <v>8</v>
      </c>
      <c r="AQ8" s="11">
        <v>26</v>
      </c>
      <c r="AR8" s="11">
        <v>34</v>
      </c>
      <c r="AS8" s="11">
        <v>22</v>
      </c>
      <c r="AT8" s="11">
        <v>8</v>
      </c>
      <c r="AU8" s="11">
        <v>1</v>
      </c>
      <c r="AV8" s="11">
        <v>16</v>
      </c>
      <c r="AW8" s="11">
        <v>29</v>
      </c>
      <c r="AX8" s="12">
        <v>0.54590000000000005</v>
      </c>
      <c r="AY8" s="12">
        <v>0.44740000000000002</v>
      </c>
      <c r="AZ8" s="12">
        <v>0.27779999999999999</v>
      </c>
      <c r="BA8" s="12">
        <v>0.76470000000000005</v>
      </c>
      <c r="BB8" s="12">
        <v>0.51429999999999998</v>
      </c>
      <c r="BC8" s="4">
        <v>77.397000000000006</v>
      </c>
      <c r="BD8" s="12">
        <v>0.95450000000000002</v>
      </c>
      <c r="BE8" s="12">
        <v>0.50880000000000003</v>
      </c>
      <c r="BF8" s="12">
        <v>0.1792</v>
      </c>
      <c r="BG8" s="4">
        <v>102.7</v>
      </c>
      <c r="BH8" s="4">
        <v>102.7</v>
      </c>
      <c r="BI8" s="4">
        <v>77.870500000000007</v>
      </c>
      <c r="BJ8" s="12">
        <v>0.56310000000000004</v>
      </c>
      <c r="BK8" s="12">
        <v>0.53129999999999999</v>
      </c>
      <c r="BL8" s="12">
        <v>0.23530000000000001</v>
      </c>
      <c r="BM8" s="12">
        <v>0.72219999999999995</v>
      </c>
      <c r="BN8" s="12">
        <v>0.48570000000000002</v>
      </c>
      <c r="BO8" s="4">
        <v>78.343999999999994</v>
      </c>
      <c r="BP8" s="12">
        <v>0.6875</v>
      </c>
      <c r="BQ8" s="12">
        <v>0.1875</v>
      </c>
      <c r="BR8" s="12">
        <v>0.18379999999999999</v>
      </c>
      <c r="BS8" s="4">
        <v>102.7</v>
      </c>
      <c r="BT8" s="4">
        <v>102.7</v>
      </c>
      <c r="BU8" s="11">
        <v>16</v>
      </c>
      <c r="BV8" s="11">
        <v>23</v>
      </c>
      <c r="BW8" s="11">
        <v>25</v>
      </c>
      <c r="BX8" s="11">
        <v>16</v>
      </c>
      <c r="BY8" s="11">
        <v>20</v>
      </c>
      <c r="BZ8" s="11">
        <v>21</v>
      </c>
      <c r="CA8" s="11">
        <v>12</v>
      </c>
      <c r="CB8" s="11">
        <v>27</v>
      </c>
      <c r="CC8" s="11">
        <v>39</v>
      </c>
      <c r="CD8" s="11">
        <v>41</v>
      </c>
      <c r="CE8" s="11">
        <v>41</v>
      </c>
      <c r="CF8" s="11">
        <v>39</v>
      </c>
      <c r="CG8" s="4">
        <v>1.26</v>
      </c>
      <c r="CH8" s="13">
        <v>4</v>
      </c>
      <c r="CI8" s="4">
        <v>-8.5</v>
      </c>
      <c r="CJ8" s="4">
        <v>8.5</v>
      </c>
      <c r="CK8" s="4">
        <v>164.5</v>
      </c>
      <c r="CL8" s="2" t="s">
        <v>354</v>
      </c>
      <c r="CM8" s="4" t="str">
        <f>VLOOKUP(bourg[[#This Row],[Away_team]],all[[Full name]:[Abbr]],3,FALSE)</f>
        <v>DIJ</v>
      </c>
      <c r="CN8" s="4">
        <f>IF(OR(bourg[[#This Row],[Result]]="w",bourg[[#This Row],[Result]]="dw"),bourg[[#This Row],[win]]-1,-1)</f>
        <v>-1</v>
      </c>
      <c r="CO8" s="4">
        <f>IF(OR(bourg[[#This Row],[Result]]="L",bourg[[#This Row],[Result]]="dl"),bourg[[#This Row],[lose]]-1,-1)</f>
        <v>3</v>
      </c>
      <c r="CP8" s="4">
        <f>IF(OR((bourg[[#This Row],[Home_scored]]+bourg[[#This Row],[Away_scored]])&gt;bourg[[#This Row],[total]],OR(bourg[[#This Row],[Result]]="dw",bourg[[#This Row],[Result]]="dl")),1,0)</f>
        <v>1</v>
      </c>
      <c r="CQ8" s="4">
        <f>ABS((bourg[[#This Row],[Home_scored]]+bourg[[#This Row],[Away_scored]])-bourg[[#This Row],[total]])+0.5</f>
        <v>5</v>
      </c>
    </row>
    <row r="9" spans="1:95" x14ac:dyDescent="0.25">
      <c r="A9" s="2" t="s">
        <v>349</v>
      </c>
      <c r="B9" s="2" t="s">
        <v>302</v>
      </c>
      <c r="C9" s="3" t="s">
        <v>73</v>
      </c>
      <c r="D9" s="3">
        <v>45592</v>
      </c>
      <c r="E9" s="2" t="s">
        <v>140</v>
      </c>
      <c r="F9" s="2" t="s">
        <v>314</v>
      </c>
      <c r="G9" s="2" t="s">
        <v>75</v>
      </c>
      <c r="H9" s="11">
        <v>83</v>
      </c>
      <c r="I9" s="11">
        <v>75</v>
      </c>
      <c r="J9" s="11">
        <v>22</v>
      </c>
      <c r="K9" s="11">
        <v>58</v>
      </c>
      <c r="L9" s="12">
        <v>0.37930000000000003</v>
      </c>
      <c r="M9" s="11">
        <v>19</v>
      </c>
      <c r="N9" s="11">
        <v>41</v>
      </c>
      <c r="O9" s="12">
        <v>0.46339999999999998</v>
      </c>
      <c r="P9" s="11">
        <v>3</v>
      </c>
      <c r="Q9" s="11">
        <v>17</v>
      </c>
      <c r="R9" s="12">
        <v>0.17649999999999999</v>
      </c>
      <c r="S9" s="11">
        <v>36</v>
      </c>
      <c r="T9" s="11">
        <v>40</v>
      </c>
      <c r="U9" s="12">
        <v>0.9</v>
      </c>
      <c r="V9" s="11">
        <v>14</v>
      </c>
      <c r="W9" s="11">
        <v>33</v>
      </c>
      <c r="X9" s="11">
        <v>47</v>
      </c>
      <c r="Y9" s="11">
        <v>10</v>
      </c>
      <c r="Z9" s="11">
        <v>4</v>
      </c>
      <c r="AA9" s="11">
        <v>4</v>
      </c>
      <c r="AB9" s="11">
        <v>15</v>
      </c>
      <c r="AC9" s="11">
        <v>31</v>
      </c>
      <c r="AD9" s="11">
        <v>27</v>
      </c>
      <c r="AE9" s="11">
        <v>56</v>
      </c>
      <c r="AF9" s="12">
        <v>0.48209999999999997</v>
      </c>
      <c r="AG9" s="11">
        <v>19</v>
      </c>
      <c r="AH9" s="11">
        <v>37</v>
      </c>
      <c r="AI9" s="12">
        <v>0.51349999999999996</v>
      </c>
      <c r="AJ9" s="11">
        <v>8</v>
      </c>
      <c r="AK9" s="11">
        <v>19</v>
      </c>
      <c r="AL9" s="12">
        <v>0.42109999999999997</v>
      </c>
      <c r="AM9" s="11">
        <v>13</v>
      </c>
      <c r="AN9" s="11">
        <v>33</v>
      </c>
      <c r="AO9" s="12">
        <v>0.39389999999999997</v>
      </c>
      <c r="AP9" s="11">
        <v>8</v>
      </c>
      <c r="AQ9" s="11">
        <v>24</v>
      </c>
      <c r="AR9" s="11">
        <v>32</v>
      </c>
      <c r="AS9" s="11">
        <v>14</v>
      </c>
      <c r="AT9" s="11">
        <v>6</v>
      </c>
      <c r="AU9" s="11">
        <v>0</v>
      </c>
      <c r="AV9" s="11">
        <v>12</v>
      </c>
      <c r="AW9" s="11">
        <v>30</v>
      </c>
      <c r="AX9" s="12">
        <v>0.54890000000000005</v>
      </c>
      <c r="AY9" s="12">
        <v>0.4052</v>
      </c>
      <c r="AZ9" s="12">
        <v>0.36840000000000001</v>
      </c>
      <c r="BA9" s="12">
        <v>0.80489999999999995</v>
      </c>
      <c r="BB9" s="12">
        <v>0.59489999999999998</v>
      </c>
      <c r="BC9" s="4">
        <v>77.525999999999996</v>
      </c>
      <c r="BD9" s="12">
        <v>0.45450000000000002</v>
      </c>
      <c r="BE9" s="12">
        <v>0.62070000000000003</v>
      </c>
      <c r="BF9" s="12">
        <v>0.1656</v>
      </c>
      <c r="BG9" s="4">
        <v>110</v>
      </c>
      <c r="BH9" s="4">
        <v>99.4</v>
      </c>
      <c r="BI9" s="4">
        <v>75.484499999999997</v>
      </c>
      <c r="BJ9" s="12">
        <v>0.53180000000000005</v>
      </c>
      <c r="BK9" s="12">
        <v>0.55359999999999998</v>
      </c>
      <c r="BL9" s="12">
        <v>0.1951</v>
      </c>
      <c r="BM9" s="12">
        <v>0.63160000000000005</v>
      </c>
      <c r="BN9" s="12">
        <v>0.40510000000000002</v>
      </c>
      <c r="BO9" s="4">
        <v>73.442999999999998</v>
      </c>
      <c r="BP9" s="12">
        <v>0.51849999999999996</v>
      </c>
      <c r="BQ9" s="12">
        <v>0.2321</v>
      </c>
      <c r="BR9" s="12">
        <v>0.1454</v>
      </c>
      <c r="BS9" s="4">
        <v>99.4</v>
      </c>
      <c r="BT9" s="4">
        <v>110</v>
      </c>
      <c r="BU9" s="11">
        <v>17</v>
      </c>
      <c r="BV9" s="11">
        <v>28</v>
      </c>
      <c r="BW9" s="11">
        <v>15</v>
      </c>
      <c r="BX9" s="11">
        <v>23</v>
      </c>
      <c r="BY9" s="11">
        <v>19</v>
      </c>
      <c r="BZ9" s="11">
        <v>16</v>
      </c>
      <c r="CA9" s="11">
        <v>20</v>
      </c>
      <c r="CB9" s="11">
        <v>20</v>
      </c>
      <c r="CC9" s="11">
        <v>45</v>
      </c>
      <c r="CD9" s="11">
        <v>38</v>
      </c>
      <c r="CE9" s="11">
        <v>35</v>
      </c>
      <c r="CF9" s="11">
        <v>40</v>
      </c>
      <c r="CG9" s="4">
        <v>1.53</v>
      </c>
      <c r="CH9" s="13">
        <v>2.6</v>
      </c>
      <c r="CI9" s="4">
        <v>-4.5</v>
      </c>
      <c r="CJ9" s="4">
        <v>4.5</v>
      </c>
      <c r="CK9" s="4">
        <v>157.5</v>
      </c>
      <c r="CL9" s="2" t="s">
        <v>355</v>
      </c>
      <c r="CM9" s="4" t="str">
        <f>VLOOKUP(bourg[[#This Row],[Away_team]],all[[Full name]:[Abbr]],3,FALSE)</f>
        <v>DUN</v>
      </c>
      <c r="CN9" s="4">
        <f>IF(OR(bourg[[#This Row],[Result]]="w",bourg[[#This Row],[Result]]="dw"),bourg[[#This Row],[win]]-1,-1)</f>
        <v>0.53</v>
      </c>
      <c r="CO9" s="4">
        <f>IF(OR(bourg[[#This Row],[Result]]="L",bourg[[#This Row],[Result]]="dl"),bourg[[#This Row],[lose]]-1,-1)</f>
        <v>-1</v>
      </c>
      <c r="CP9" s="4">
        <f>IF(OR((bourg[[#This Row],[Home_scored]]+bourg[[#This Row],[Away_scored]])&gt;bourg[[#This Row],[total]],OR(bourg[[#This Row],[Result]]="dw",bourg[[#This Row],[Result]]="dl")),1,0)</f>
        <v>1</v>
      </c>
      <c r="CQ9" s="4">
        <f>ABS((bourg[[#This Row],[Home_scored]]+bourg[[#This Row],[Away_scored]])-bourg[[#This Row],[total]])+0.5</f>
        <v>1</v>
      </c>
    </row>
    <row r="10" spans="1:95" x14ac:dyDescent="0.25">
      <c r="A10" s="2" t="s">
        <v>349</v>
      </c>
      <c r="B10" s="2" t="s">
        <v>302</v>
      </c>
      <c r="C10" s="3" t="s">
        <v>73</v>
      </c>
      <c r="D10" s="3">
        <v>45598</v>
      </c>
      <c r="E10" s="2" t="s">
        <v>74</v>
      </c>
      <c r="F10" s="2" t="s">
        <v>345</v>
      </c>
      <c r="G10" s="2" t="s">
        <v>139</v>
      </c>
      <c r="H10" s="11">
        <v>89</v>
      </c>
      <c r="I10" s="11">
        <v>96</v>
      </c>
      <c r="J10" s="11">
        <v>27</v>
      </c>
      <c r="K10" s="11">
        <v>65</v>
      </c>
      <c r="L10" s="12">
        <v>0.41539999999999999</v>
      </c>
      <c r="M10" s="11">
        <v>20</v>
      </c>
      <c r="N10" s="11">
        <v>44</v>
      </c>
      <c r="O10" s="12">
        <v>0.45450000000000002</v>
      </c>
      <c r="P10" s="11">
        <v>7</v>
      </c>
      <c r="Q10" s="11">
        <v>21</v>
      </c>
      <c r="R10" s="12">
        <v>0.33329999999999999</v>
      </c>
      <c r="S10" s="11">
        <v>28</v>
      </c>
      <c r="T10" s="11">
        <v>36</v>
      </c>
      <c r="U10" s="12">
        <v>0.77780000000000005</v>
      </c>
      <c r="V10" s="11">
        <v>16</v>
      </c>
      <c r="W10" s="11">
        <v>21</v>
      </c>
      <c r="X10" s="11">
        <v>37</v>
      </c>
      <c r="Y10" s="11">
        <v>19</v>
      </c>
      <c r="Z10" s="11">
        <v>6</v>
      </c>
      <c r="AA10" s="11">
        <v>4</v>
      </c>
      <c r="AB10" s="11">
        <v>14</v>
      </c>
      <c r="AC10" s="11">
        <v>26</v>
      </c>
      <c r="AD10" s="11">
        <v>33</v>
      </c>
      <c r="AE10" s="11">
        <v>61</v>
      </c>
      <c r="AF10" s="12">
        <v>0.54100000000000004</v>
      </c>
      <c r="AG10" s="11">
        <v>25</v>
      </c>
      <c r="AH10" s="11">
        <v>39</v>
      </c>
      <c r="AI10" s="12">
        <v>0.64100000000000001</v>
      </c>
      <c r="AJ10" s="11">
        <v>8</v>
      </c>
      <c r="AK10" s="11">
        <v>22</v>
      </c>
      <c r="AL10" s="12">
        <v>0.36359999999999998</v>
      </c>
      <c r="AM10" s="11">
        <v>22</v>
      </c>
      <c r="AN10" s="11">
        <v>28</v>
      </c>
      <c r="AO10" s="12">
        <v>0.78569999999999995</v>
      </c>
      <c r="AP10" s="11">
        <v>12</v>
      </c>
      <c r="AQ10" s="11">
        <v>25</v>
      </c>
      <c r="AR10" s="11">
        <v>37</v>
      </c>
      <c r="AS10" s="11">
        <v>21</v>
      </c>
      <c r="AT10" s="11">
        <v>5</v>
      </c>
      <c r="AU10" s="11">
        <v>4</v>
      </c>
      <c r="AV10" s="11">
        <v>16</v>
      </c>
      <c r="AW10" s="11">
        <v>28</v>
      </c>
      <c r="AX10" s="12">
        <v>0.55049999999999999</v>
      </c>
      <c r="AY10" s="12">
        <v>0.46920000000000001</v>
      </c>
      <c r="AZ10" s="12">
        <v>0.39019999999999999</v>
      </c>
      <c r="BA10" s="12">
        <v>0.63639999999999997</v>
      </c>
      <c r="BB10" s="12">
        <v>0.5</v>
      </c>
      <c r="BC10" s="4">
        <v>75.816999999999993</v>
      </c>
      <c r="BD10" s="12">
        <v>0.70369999999999999</v>
      </c>
      <c r="BE10" s="12">
        <v>0.43080000000000002</v>
      </c>
      <c r="BF10" s="12">
        <v>0.14760000000000001</v>
      </c>
      <c r="BG10" s="4">
        <v>115.4</v>
      </c>
      <c r="BH10" s="4">
        <v>124.4</v>
      </c>
      <c r="BI10" s="4">
        <v>77.150000000000006</v>
      </c>
      <c r="BJ10" s="12">
        <v>0.65469999999999995</v>
      </c>
      <c r="BK10" s="12">
        <v>0.60660000000000003</v>
      </c>
      <c r="BL10" s="12">
        <v>0.36359999999999998</v>
      </c>
      <c r="BM10" s="12">
        <v>0.60980000000000001</v>
      </c>
      <c r="BN10" s="12">
        <v>0.5</v>
      </c>
      <c r="BO10" s="4">
        <v>78.483000000000004</v>
      </c>
      <c r="BP10" s="12">
        <v>0.63639999999999997</v>
      </c>
      <c r="BQ10" s="12">
        <v>0.36070000000000002</v>
      </c>
      <c r="BR10" s="12">
        <v>0.17910000000000001</v>
      </c>
      <c r="BS10" s="4">
        <v>124.4</v>
      </c>
      <c r="BT10" s="4">
        <v>115.4</v>
      </c>
      <c r="BU10" s="11">
        <v>16</v>
      </c>
      <c r="BV10" s="11">
        <v>29</v>
      </c>
      <c r="BW10" s="11">
        <v>20</v>
      </c>
      <c r="BX10" s="11">
        <v>24</v>
      </c>
      <c r="BY10" s="11">
        <v>17</v>
      </c>
      <c r="BZ10" s="11">
        <v>27</v>
      </c>
      <c r="CA10" s="11">
        <v>24</v>
      </c>
      <c r="CB10" s="11">
        <v>28</v>
      </c>
      <c r="CC10" s="11">
        <v>45</v>
      </c>
      <c r="CD10" s="11">
        <v>44</v>
      </c>
      <c r="CE10" s="11">
        <v>44</v>
      </c>
      <c r="CF10" s="11">
        <v>52</v>
      </c>
      <c r="CG10" s="4">
        <v>1.26</v>
      </c>
      <c r="CH10" s="13">
        <v>4</v>
      </c>
      <c r="CI10" s="4">
        <v>-8.5</v>
      </c>
      <c r="CJ10" s="4">
        <v>8.5</v>
      </c>
      <c r="CK10" s="4">
        <v>163.5</v>
      </c>
      <c r="CL10" s="2" t="s">
        <v>356</v>
      </c>
      <c r="CM10" s="4" t="str">
        <f>VLOOKUP(bourg[[#This Row],[Away_team]],all[[Full name]:[Abbr]],3,FALSE)</f>
        <v>STR</v>
      </c>
      <c r="CN10" s="4">
        <f>IF(OR(bourg[[#This Row],[Result]]="w",bourg[[#This Row],[Result]]="dw"),bourg[[#This Row],[win]]-1,-1)</f>
        <v>-1</v>
      </c>
      <c r="CO10" s="4">
        <f>IF(OR(bourg[[#This Row],[Result]]="L",bourg[[#This Row],[Result]]="dl"),bourg[[#This Row],[lose]]-1,-1)</f>
        <v>3</v>
      </c>
      <c r="CP10" s="4">
        <f>IF(OR((bourg[[#This Row],[Home_scored]]+bourg[[#This Row],[Away_scored]])&gt;bourg[[#This Row],[total]],OR(bourg[[#This Row],[Result]]="dw",bourg[[#This Row],[Result]]="dl")),1,0)</f>
        <v>1</v>
      </c>
      <c r="CQ10" s="4">
        <f>ABS((bourg[[#This Row],[Home_scored]]+bourg[[#This Row],[Away_scored]])-bourg[[#This Row],[total]])+0.5</f>
        <v>22</v>
      </c>
    </row>
    <row r="11" spans="1:95" x14ac:dyDescent="0.25">
      <c r="A11" s="2" t="s">
        <v>349</v>
      </c>
      <c r="B11" s="2" t="s">
        <v>302</v>
      </c>
      <c r="C11" s="3" t="s">
        <v>73</v>
      </c>
      <c r="D11" s="3">
        <v>45605</v>
      </c>
      <c r="E11" s="2" t="s">
        <v>140</v>
      </c>
      <c r="F11" s="2" t="s">
        <v>323</v>
      </c>
      <c r="G11" s="2" t="s">
        <v>75</v>
      </c>
      <c r="H11" s="11">
        <v>86</v>
      </c>
      <c r="I11" s="11">
        <v>78</v>
      </c>
      <c r="J11" s="11">
        <v>29</v>
      </c>
      <c r="K11" s="11">
        <v>60</v>
      </c>
      <c r="L11" s="12">
        <v>0.48330000000000001</v>
      </c>
      <c r="M11" s="11">
        <v>22</v>
      </c>
      <c r="N11" s="11">
        <v>40</v>
      </c>
      <c r="O11" s="12">
        <v>0.55000000000000004</v>
      </c>
      <c r="P11" s="11">
        <v>7</v>
      </c>
      <c r="Q11" s="11">
        <v>20</v>
      </c>
      <c r="R11" s="12">
        <v>0.35</v>
      </c>
      <c r="S11" s="11">
        <v>21</v>
      </c>
      <c r="T11" s="11">
        <v>25</v>
      </c>
      <c r="U11" s="12">
        <v>0.84</v>
      </c>
      <c r="V11" s="11">
        <v>11</v>
      </c>
      <c r="W11" s="11">
        <v>27</v>
      </c>
      <c r="X11" s="11">
        <v>38</v>
      </c>
      <c r="Y11" s="11">
        <v>20</v>
      </c>
      <c r="Z11" s="11">
        <v>9</v>
      </c>
      <c r="AA11" s="11">
        <v>1</v>
      </c>
      <c r="AB11" s="11">
        <v>15</v>
      </c>
      <c r="AC11" s="11">
        <v>22</v>
      </c>
      <c r="AD11" s="11">
        <v>28</v>
      </c>
      <c r="AE11" s="11">
        <v>56</v>
      </c>
      <c r="AF11" s="12">
        <v>0.5</v>
      </c>
      <c r="AG11" s="11">
        <v>23</v>
      </c>
      <c r="AH11" s="11">
        <v>39</v>
      </c>
      <c r="AI11" s="12">
        <v>0.5897</v>
      </c>
      <c r="AJ11" s="11">
        <v>5</v>
      </c>
      <c r="AK11" s="11">
        <v>17</v>
      </c>
      <c r="AL11" s="12">
        <v>0.29409999999999997</v>
      </c>
      <c r="AM11" s="11">
        <v>17</v>
      </c>
      <c r="AN11" s="11">
        <v>24</v>
      </c>
      <c r="AO11" s="12">
        <v>0.70830000000000004</v>
      </c>
      <c r="AP11" s="11">
        <v>4</v>
      </c>
      <c r="AQ11" s="11">
        <v>21</v>
      </c>
      <c r="AR11" s="11">
        <v>25</v>
      </c>
      <c r="AS11" s="11">
        <v>24</v>
      </c>
      <c r="AT11" s="11">
        <v>10</v>
      </c>
      <c r="AU11" s="11">
        <v>4</v>
      </c>
      <c r="AV11" s="11">
        <v>12</v>
      </c>
      <c r="AW11" s="11">
        <v>25</v>
      </c>
      <c r="AX11" s="12">
        <v>0.60560000000000003</v>
      </c>
      <c r="AY11" s="12">
        <v>0.54169999999999996</v>
      </c>
      <c r="AZ11" s="12">
        <v>0.34379999999999999</v>
      </c>
      <c r="BA11" s="12">
        <v>0.871</v>
      </c>
      <c r="BB11" s="12">
        <v>0.60319999999999996</v>
      </c>
      <c r="BC11" s="4">
        <v>75.397999999999996</v>
      </c>
      <c r="BD11" s="12">
        <v>0.68969999999999998</v>
      </c>
      <c r="BE11" s="12">
        <v>0.35</v>
      </c>
      <c r="BF11" s="12">
        <v>0.1744</v>
      </c>
      <c r="BG11" s="4">
        <v>116.1</v>
      </c>
      <c r="BH11" s="4">
        <v>105.3</v>
      </c>
      <c r="BI11" s="4">
        <v>74.102000000000004</v>
      </c>
      <c r="BJ11" s="12">
        <v>0.58589999999999998</v>
      </c>
      <c r="BK11" s="12">
        <v>0.54459999999999997</v>
      </c>
      <c r="BL11" s="12">
        <v>0.129</v>
      </c>
      <c r="BM11" s="12">
        <v>0.65629999999999999</v>
      </c>
      <c r="BN11" s="12">
        <v>0.39679999999999999</v>
      </c>
      <c r="BO11" s="4">
        <v>72.805999999999997</v>
      </c>
      <c r="BP11" s="12">
        <v>0.85709999999999997</v>
      </c>
      <c r="BQ11" s="12">
        <v>0.30359999999999998</v>
      </c>
      <c r="BR11" s="12">
        <v>0.1527</v>
      </c>
      <c r="BS11" s="4">
        <v>105.3</v>
      </c>
      <c r="BT11" s="4">
        <v>116.1</v>
      </c>
      <c r="BU11" s="11">
        <v>22</v>
      </c>
      <c r="BV11" s="11">
        <v>30</v>
      </c>
      <c r="BW11" s="11">
        <v>19</v>
      </c>
      <c r="BX11" s="11">
        <v>15</v>
      </c>
      <c r="BY11" s="11">
        <v>20</v>
      </c>
      <c r="BZ11" s="11">
        <v>20</v>
      </c>
      <c r="CA11" s="11">
        <v>17</v>
      </c>
      <c r="CB11" s="11">
        <v>21</v>
      </c>
      <c r="CC11" s="11">
        <v>52</v>
      </c>
      <c r="CD11" s="11">
        <v>34</v>
      </c>
      <c r="CE11" s="11">
        <v>40</v>
      </c>
      <c r="CF11" s="11">
        <v>38</v>
      </c>
      <c r="CG11" s="4">
        <v>1.32</v>
      </c>
      <c r="CH11" s="13">
        <v>3.5</v>
      </c>
      <c r="CI11" s="4">
        <v>-7.5</v>
      </c>
      <c r="CJ11" s="4">
        <v>7.5</v>
      </c>
      <c r="CK11" s="4">
        <v>151.5</v>
      </c>
      <c r="CL11" s="2" t="s">
        <v>357</v>
      </c>
      <c r="CM11" s="4" t="e">
        <f>VLOOKUP(bourg[[#This Row],[Away_team]],all[[Full name]:[Abbr]],3,FALSE)</f>
        <v>#N/A</v>
      </c>
      <c r="CN11" s="4">
        <f>IF(OR(bourg[[#This Row],[Result]]="w",bourg[[#This Row],[Result]]="dw"),bourg[[#This Row],[win]]-1,-1)</f>
        <v>0.32000000000000006</v>
      </c>
      <c r="CO11" s="4">
        <f>IF(OR(bourg[[#This Row],[Result]]="L",bourg[[#This Row],[Result]]="dl"),bourg[[#This Row],[lose]]-1,-1)</f>
        <v>-1</v>
      </c>
      <c r="CP11" s="4">
        <f>IF(OR((bourg[[#This Row],[Home_scored]]+bourg[[#This Row],[Away_scored]])&gt;bourg[[#This Row],[total]],OR(bourg[[#This Row],[Result]]="dw",bourg[[#This Row],[Result]]="dl")),1,0)</f>
        <v>1</v>
      </c>
      <c r="CQ11" s="4">
        <f>ABS((bourg[[#This Row],[Home_scored]]+bourg[[#This Row],[Away_scored]])-bourg[[#This Row],[total]])+0.5</f>
        <v>13</v>
      </c>
    </row>
    <row r="12" spans="1:95" x14ac:dyDescent="0.25">
      <c r="A12" s="2" t="s">
        <v>349</v>
      </c>
      <c r="B12" s="2" t="s">
        <v>302</v>
      </c>
      <c r="C12" s="3" t="s">
        <v>73</v>
      </c>
      <c r="D12" s="3">
        <v>45612</v>
      </c>
      <c r="E12" s="2" t="s">
        <v>140</v>
      </c>
      <c r="F12" s="2" t="s">
        <v>305</v>
      </c>
      <c r="G12" s="2" t="s">
        <v>75</v>
      </c>
      <c r="H12" s="11">
        <v>93</v>
      </c>
      <c r="I12" s="11">
        <v>86</v>
      </c>
      <c r="J12" s="11">
        <v>32</v>
      </c>
      <c r="K12" s="11">
        <v>65</v>
      </c>
      <c r="L12" s="12">
        <v>0.49230000000000002</v>
      </c>
      <c r="M12" s="11">
        <v>22</v>
      </c>
      <c r="N12" s="11">
        <v>42</v>
      </c>
      <c r="O12" s="12">
        <v>0.52380000000000004</v>
      </c>
      <c r="P12" s="11">
        <v>10</v>
      </c>
      <c r="Q12" s="11">
        <v>23</v>
      </c>
      <c r="R12" s="12">
        <v>0.43480000000000002</v>
      </c>
      <c r="S12" s="11">
        <v>19</v>
      </c>
      <c r="T12" s="11">
        <v>26</v>
      </c>
      <c r="U12" s="12">
        <v>0.73080000000000001</v>
      </c>
      <c r="V12" s="11">
        <v>11</v>
      </c>
      <c r="W12" s="11">
        <v>26</v>
      </c>
      <c r="X12" s="11">
        <v>37</v>
      </c>
      <c r="Y12" s="11">
        <v>22</v>
      </c>
      <c r="Z12" s="11">
        <v>4</v>
      </c>
      <c r="AA12" s="11">
        <v>3</v>
      </c>
      <c r="AB12" s="11">
        <v>9</v>
      </c>
      <c r="AC12" s="11">
        <v>23</v>
      </c>
      <c r="AD12" s="11">
        <v>29</v>
      </c>
      <c r="AE12" s="11">
        <v>60</v>
      </c>
      <c r="AF12" s="12">
        <v>0.48330000000000001</v>
      </c>
      <c r="AG12" s="11">
        <v>19</v>
      </c>
      <c r="AH12" s="11">
        <v>36</v>
      </c>
      <c r="AI12" s="12">
        <v>0.52780000000000005</v>
      </c>
      <c r="AJ12" s="11">
        <v>10</v>
      </c>
      <c r="AK12" s="11">
        <v>24</v>
      </c>
      <c r="AL12" s="12">
        <v>0.41670000000000001</v>
      </c>
      <c r="AM12" s="11">
        <v>18</v>
      </c>
      <c r="AN12" s="11">
        <v>20</v>
      </c>
      <c r="AO12" s="12">
        <v>0.9</v>
      </c>
      <c r="AP12" s="11">
        <v>9</v>
      </c>
      <c r="AQ12" s="11">
        <v>24</v>
      </c>
      <c r="AR12" s="11">
        <v>33</v>
      </c>
      <c r="AS12" s="11">
        <v>16</v>
      </c>
      <c r="AT12" s="11">
        <v>1</v>
      </c>
      <c r="AU12" s="11">
        <v>2</v>
      </c>
      <c r="AV12" s="11">
        <v>13</v>
      </c>
      <c r="AW12" s="11">
        <v>25</v>
      </c>
      <c r="AX12" s="12">
        <v>0.60829999999999995</v>
      </c>
      <c r="AY12" s="12">
        <v>0.56920000000000004</v>
      </c>
      <c r="AZ12" s="12">
        <v>0.31430000000000002</v>
      </c>
      <c r="BA12" s="12">
        <v>0.7429</v>
      </c>
      <c r="BB12" s="12">
        <v>0.52859999999999996</v>
      </c>
      <c r="BC12" s="4">
        <v>73.902000000000001</v>
      </c>
      <c r="BD12" s="12">
        <v>0.6875</v>
      </c>
      <c r="BE12" s="12">
        <v>0.2923</v>
      </c>
      <c r="BF12" s="12">
        <v>0.1053</v>
      </c>
      <c r="BG12" s="4">
        <v>127.5</v>
      </c>
      <c r="BH12" s="4">
        <v>117.9</v>
      </c>
      <c r="BI12" s="4">
        <v>72.927999999999997</v>
      </c>
      <c r="BJ12" s="12">
        <v>0.625</v>
      </c>
      <c r="BK12" s="12">
        <v>0.56669999999999998</v>
      </c>
      <c r="BL12" s="12">
        <v>0.2571</v>
      </c>
      <c r="BM12" s="12">
        <v>0.68569999999999998</v>
      </c>
      <c r="BN12" s="12">
        <v>0.47139999999999999</v>
      </c>
      <c r="BO12" s="4">
        <v>71.953999999999994</v>
      </c>
      <c r="BP12" s="12">
        <v>0.55169999999999997</v>
      </c>
      <c r="BQ12" s="12">
        <v>0.3</v>
      </c>
      <c r="BR12" s="12">
        <v>0.15890000000000001</v>
      </c>
      <c r="BS12" s="4">
        <v>117.9</v>
      </c>
      <c r="BT12" s="4">
        <v>127.5</v>
      </c>
      <c r="BU12" s="11">
        <v>23</v>
      </c>
      <c r="BV12" s="11">
        <v>20</v>
      </c>
      <c r="BW12" s="11">
        <v>31</v>
      </c>
      <c r="BX12" s="11">
        <v>19</v>
      </c>
      <c r="BY12" s="11">
        <v>22</v>
      </c>
      <c r="BZ12" s="11">
        <v>21</v>
      </c>
      <c r="CA12" s="11">
        <v>17</v>
      </c>
      <c r="CB12" s="11">
        <v>26</v>
      </c>
      <c r="CC12" s="11">
        <v>43</v>
      </c>
      <c r="CD12" s="11">
        <v>50</v>
      </c>
      <c r="CE12" s="11">
        <v>43</v>
      </c>
      <c r="CF12" s="11">
        <v>43</v>
      </c>
      <c r="CG12" s="4">
        <v>1.45</v>
      </c>
      <c r="CH12" s="13">
        <v>2.8</v>
      </c>
      <c r="CI12" s="4">
        <v>-5.5</v>
      </c>
      <c r="CJ12" s="4">
        <v>5.5</v>
      </c>
      <c r="CK12" s="4">
        <v>167.5</v>
      </c>
      <c r="CL12" s="2" t="s">
        <v>358</v>
      </c>
      <c r="CM12" s="4" t="str">
        <f>VLOOKUP(bourg[[#This Row],[Away_team]],all[[Full name]:[Abbr]],3,FALSE)</f>
        <v>CHA</v>
      </c>
      <c r="CN12" s="4">
        <f>IF(OR(bourg[[#This Row],[Result]]="w",bourg[[#This Row],[Result]]="dw"),bourg[[#This Row],[win]]-1,-1)</f>
        <v>0.44999999999999996</v>
      </c>
      <c r="CO12" s="4">
        <f>IF(OR(bourg[[#This Row],[Result]]="L",bourg[[#This Row],[Result]]="dl"),bourg[[#This Row],[lose]]-1,-1)</f>
        <v>-1</v>
      </c>
      <c r="CP12" s="4">
        <f>IF(OR((bourg[[#This Row],[Home_scored]]+bourg[[#This Row],[Away_scored]])&gt;bourg[[#This Row],[total]],OR(bourg[[#This Row],[Result]]="dw",bourg[[#This Row],[Result]]="dl")),1,0)</f>
        <v>1</v>
      </c>
      <c r="CQ12" s="4">
        <f>ABS((bourg[[#This Row],[Home_scored]]+bourg[[#This Row],[Away_scored]])-bourg[[#This Row],[total]])+0.5</f>
        <v>12</v>
      </c>
    </row>
    <row r="13" spans="1:95" x14ac:dyDescent="0.25">
      <c r="A13" s="2" t="s">
        <v>349</v>
      </c>
      <c r="B13" s="2" t="s">
        <v>302</v>
      </c>
      <c r="C13" s="3" t="s">
        <v>73</v>
      </c>
      <c r="D13" s="3">
        <v>45627</v>
      </c>
      <c r="E13" s="2" t="s">
        <v>74</v>
      </c>
      <c r="F13" s="2" t="s">
        <v>330</v>
      </c>
      <c r="G13" s="2" t="s">
        <v>139</v>
      </c>
      <c r="H13" s="11">
        <v>94</v>
      </c>
      <c r="I13" s="11">
        <v>109</v>
      </c>
      <c r="J13" s="11">
        <v>27</v>
      </c>
      <c r="K13" s="11">
        <v>65</v>
      </c>
      <c r="L13" s="12">
        <v>0.41539999999999999</v>
      </c>
      <c r="M13" s="11">
        <v>17</v>
      </c>
      <c r="N13" s="11">
        <v>38</v>
      </c>
      <c r="O13" s="12">
        <v>0.44740000000000002</v>
      </c>
      <c r="P13" s="11">
        <v>10</v>
      </c>
      <c r="Q13" s="11">
        <v>27</v>
      </c>
      <c r="R13" s="12">
        <v>0.37040000000000001</v>
      </c>
      <c r="S13" s="11">
        <v>30</v>
      </c>
      <c r="T13" s="11">
        <v>42</v>
      </c>
      <c r="U13" s="12">
        <v>0.71430000000000005</v>
      </c>
      <c r="V13" s="11">
        <v>15</v>
      </c>
      <c r="W13" s="11">
        <v>15</v>
      </c>
      <c r="X13" s="11">
        <v>30</v>
      </c>
      <c r="Y13" s="11">
        <v>20</v>
      </c>
      <c r="Z13" s="11">
        <v>8</v>
      </c>
      <c r="AA13" s="11">
        <v>1</v>
      </c>
      <c r="AB13" s="11">
        <v>10</v>
      </c>
      <c r="AC13" s="11">
        <v>30</v>
      </c>
      <c r="AD13" s="11">
        <v>36</v>
      </c>
      <c r="AE13" s="11">
        <v>56</v>
      </c>
      <c r="AF13" s="12">
        <v>0.64290000000000003</v>
      </c>
      <c r="AG13" s="11">
        <v>27</v>
      </c>
      <c r="AH13" s="11">
        <v>36</v>
      </c>
      <c r="AI13" s="12">
        <v>0.75</v>
      </c>
      <c r="AJ13" s="11">
        <v>9</v>
      </c>
      <c r="AK13" s="11">
        <v>20</v>
      </c>
      <c r="AL13" s="12">
        <v>0.45</v>
      </c>
      <c r="AM13" s="11">
        <v>28</v>
      </c>
      <c r="AN13" s="11">
        <v>32</v>
      </c>
      <c r="AO13" s="12">
        <v>0.875</v>
      </c>
      <c r="AP13" s="11">
        <v>5</v>
      </c>
      <c r="AQ13" s="11">
        <v>28</v>
      </c>
      <c r="AR13" s="11">
        <v>33</v>
      </c>
      <c r="AS13" s="11">
        <v>27</v>
      </c>
      <c r="AT13" s="11">
        <v>2</v>
      </c>
      <c r="AU13" s="11">
        <v>1</v>
      </c>
      <c r="AV13" s="11">
        <v>14</v>
      </c>
      <c r="AW13" s="11">
        <v>28</v>
      </c>
      <c r="AX13" s="12">
        <v>0.56299999999999994</v>
      </c>
      <c r="AY13" s="12">
        <v>0.49230000000000002</v>
      </c>
      <c r="AZ13" s="12">
        <v>0.3488</v>
      </c>
      <c r="BA13" s="12">
        <v>0.75</v>
      </c>
      <c r="BB13" s="12">
        <v>0.47620000000000001</v>
      </c>
      <c r="BC13" s="4">
        <v>71.47</v>
      </c>
      <c r="BD13" s="12">
        <v>0.74070000000000003</v>
      </c>
      <c r="BE13" s="12">
        <v>0.46150000000000002</v>
      </c>
      <c r="BF13" s="12">
        <v>0.107</v>
      </c>
      <c r="BG13" s="4">
        <v>124.5</v>
      </c>
      <c r="BH13" s="4">
        <v>144.30000000000001</v>
      </c>
      <c r="BI13" s="4">
        <v>75.513999999999996</v>
      </c>
      <c r="BJ13" s="12">
        <v>0.77769999999999995</v>
      </c>
      <c r="BK13" s="12">
        <v>0.72319999999999995</v>
      </c>
      <c r="BL13" s="12">
        <v>0.25</v>
      </c>
      <c r="BM13" s="12">
        <v>0.6512</v>
      </c>
      <c r="BN13" s="12">
        <v>0.52380000000000004</v>
      </c>
      <c r="BO13" s="4">
        <v>79.558000000000007</v>
      </c>
      <c r="BP13" s="12">
        <v>0.75</v>
      </c>
      <c r="BQ13" s="12">
        <v>0.5</v>
      </c>
      <c r="BR13" s="12">
        <v>0.16650000000000001</v>
      </c>
      <c r="BS13" s="4">
        <v>144.30000000000001</v>
      </c>
      <c r="BT13" s="4">
        <v>124.5</v>
      </c>
      <c r="BU13" s="11">
        <v>30</v>
      </c>
      <c r="BV13" s="11">
        <v>27</v>
      </c>
      <c r="BW13" s="11">
        <v>22</v>
      </c>
      <c r="BX13" s="11">
        <v>15</v>
      </c>
      <c r="BY13" s="11">
        <v>22</v>
      </c>
      <c r="BZ13" s="11">
        <v>32</v>
      </c>
      <c r="CA13" s="11">
        <v>27</v>
      </c>
      <c r="CB13" s="11">
        <v>28</v>
      </c>
      <c r="CC13" s="11">
        <v>57</v>
      </c>
      <c r="CD13" s="11">
        <v>37</v>
      </c>
      <c r="CE13" s="11">
        <v>54</v>
      </c>
      <c r="CF13" s="11">
        <v>55</v>
      </c>
      <c r="CG13" s="4">
        <v>2.6</v>
      </c>
      <c r="CH13" s="13">
        <v>1.53</v>
      </c>
      <c r="CI13" s="4">
        <v>4.5</v>
      </c>
      <c r="CJ13" s="4">
        <v>-4.5</v>
      </c>
      <c r="CK13" s="4">
        <v>160.5</v>
      </c>
      <c r="CL13" s="2" t="s">
        <v>359</v>
      </c>
      <c r="CM13" s="4" t="str">
        <f>VLOOKUP(bourg[[#This Row],[Away_team]],all[[Full name]:[Abbr]],3,FALSE)</f>
        <v>MON</v>
      </c>
      <c r="CN13" s="4">
        <f>IF(OR(bourg[[#This Row],[Result]]="w",bourg[[#This Row],[Result]]="dw"),bourg[[#This Row],[win]]-1,-1)</f>
        <v>-1</v>
      </c>
      <c r="CO13" s="4">
        <f>IF(OR(bourg[[#This Row],[Result]]="L",bourg[[#This Row],[Result]]="dl"),bourg[[#This Row],[lose]]-1,-1)</f>
        <v>0.53</v>
      </c>
      <c r="CP13" s="4">
        <f>IF(OR((bourg[[#This Row],[Home_scored]]+bourg[[#This Row],[Away_scored]])&gt;bourg[[#This Row],[total]],OR(bourg[[#This Row],[Result]]="dw",bourg[[#This Row],[Result]]="dl")),1,0)</f>
        <v>1</v>
      </c>
      <c r="CQ13" s="4">
        <f>ABS((bourg[[#This Row],[Home_scored]]+bourg[[#This Row],[Away_scored]])-bourg[[#This Row],[total]])+0.5</f>
        <v>43</v>
      </c>
    </row>
    <row r="14" spans="1:95" x14ac:dyDescent="0.25">
      <c r="A14" s="2" t="s">
        <v>349</v>
      </c>
      <c r="B14" s="2" t="s">
        <v>302</v>
      </c>
      <c r="C14" s="3" t="s">
        <v>73</v>
      </c>
      <c r="D14" s="3">
        <v>45633</v>
      </c>
      <c r="E14" s="2" t="s">
        <v>74</v>
      </c>
      <c r="F14" s="2" t="s">
        <v>317</v>
      </c>
      <c r="G14" s="2" t="s">
        <v>75</v>
      </c>
      <c r="H14" s="11">
        <v>94</v>
      </c>
      <c r="I14" s="11">
        <v>87</v>
      </c>
      <c r="J14" s="11">
        <v>29</v>
      </c>
      <c r="K14" s="11">
        <v>53</v>
      </c>
      <c r="L14" s="12">
        <v>0.54720000000000002</v>
      </c>
      <c r="M14" s="11">
        <v>18</v>
      </c>
      <c r="N14" s="11">
        <v>24</v>
      </c>
      <c r="O14" s="12">
        <v>0.75</v>
      </c>
      <c r="P14" s="11">
        <v>11</v>
      </c>
      <c r="Q14" s="11">
        <v>29</v>
      </c>
      <c r="R14" s="12">
        <v>0.37930000000000003</v>
      </c>
      <c r="S14" s="11">
        <v>25</v>
      </c>
      <c r="T14" s="11">
        <v>29</v>
      </c>
      <c r="U14" s="12">
        <v>0.86209999999999998</v>
      </c>
      <c r="V14" s="11">
        <v>3</v>
      </c>
      <c r="W14" s="11">
        <v>15</v>
      </c>
      <c r="X14" s="11">
        <v>18</v>
      </c>
      <c r="Y14" s="11">
        <v>22</v>
      </c>
      <c r="Z14" s="11">
        <v>10</v>
      </c>
      <c r="AA14" s="11">
        <v>2</v>
      </c>
      <c r="AB14" s="11">
        <v>8</v>
      </c>
      <c r="AC14" s="11">
        <v>26</v>
      </c>
      <c r="AD14" s="11">
        <v>32</v>
      </c>
      <c r="AE14" s="11">
        <v>53</v>
      </c>
      <c r="AF14" s="12">
        <v>0.6038</v>
      </c>
      <c r="AG14" s="11">
        <v>26</v>
      </c>
      <c r="AH14" s="11">
        <v>35</v>
      </c>
      <c r="AI14" s="12">
        <v>0.7429</v>
      </c>
      <c r="AJ14" s="11">
        <v>6</v>
      </c>
      <c r="AK14" s="11">
        <v>18</v>
      </c>
      <c r="AL14" s="12">
        <v>0.33329999999999999</v>
      </c>
      <c r="AM14" s="11">
        <v>17</v>
      </c>
      <c r="AN14" s="11">
        <v>27</v>
      </c>
      <c r="AO14" s="12">
        <v>0.62960000000000005</v>
      </c>
      <c r="AP14" s="11">
        <v>10</v>
      </c>
      <c r="AQ14" s="11">
        <v>22</v>
      </c>
      <c r="AR14" s="11">
        <v>32</v>
      </c>
      <c r="AS14" s="11">
        <v>14</v>
      </c>
      <c r="AT14" s="11">
        <v>4</v>
      </c>
      <c r="AU14" s="11">
        <v>0</v>
      </c>
      <c r="AV14" s="11">
        <v>17</v>
      </c>
      <c r="AW14" s="11">
        <v>22</v>
      </c>
      <c r="AX14" s="12">
        <v>0.7147</v>
      </c>
      <c r="AY14" s="12">
        <v>0.65090000000000003</v>
      </c>
      <c r="AZ14" s="12">
        <v>0.12</v>
      </c>
      <c r="BA14" s="12">
        <v>0.6</v>
      </c>
      <c r="BB14" s="12">
        <v>0.36</v>
      </c>
      <c r="BC14" s="4">
        <v>68.319999999999993</v>
      </c>
      <c r="BD14" s="12">
        <v>0.75860000000000005</v>
      </c>
      <c r="BE14" s="12">
        <v>0.47170000000000001</v>
      </c>
      <c r="BF14" s="12">
        <v>0.1085</v>
      </c>
      <c r="BG14" s="4">
        <v>132.30000000000001</v>
      </c>
      <c r="BH14" s="4">
        <v>122.5</v>
      </c>
      <c r="BI14" s="4">
        <v>71.049000000000007</v>
      </c>
      <c r="BJ14" s="12">
        <v>0.67049999999999998</v>
      </c>
      <c r="BK14" s="12">
        <v>0.66039999999999999</v>
      </c>
      <c r="BL14" s="12">
        <v>0.4</v>
      </c>
      <c r="BM14" s="12">
        <v>0.88</v>
      </c>
      <c r="BN14" s="12">
        <v>0.64</v>
      </c>
      <c r="BO14" s="4">
        <v>73.778000000000006</v>
      </c>
      <c r="BP14" s="12">
        <v>0.4375</v>
      </c>
      <c r="BQ14" s="12">
        <v>0.32079999999999997</v>
      </c>
      <c r="BR14" s="12">
        <v>0.20760000000000001</v>
      </c>
      <c r="BS14" s="4">
        <v>122.5</v>
      </c>
      <c r="BT14" s="4">
        <v>132.30000000000001</v>
      </c>
      <c r="BU14" s="11">
        <v>28</v>
      </c>
      <c r="BV14" s="11">
        <v>24</v>
      </c>
      <c r="BW14" s="11">
        <v>18</v>
      </c>
      <c r="BX14" s="11">
        <v>24</v>
      </c>
      <c r="BY14" s="11">
        <v>17</v>
      </c>
      <c r="BZ14" s="11">
        <v>22</v>
      </c>
      <c r="CA14" s="11">
        <v>29</v>
      </c>
      <c r="CB14" s="11">
        <v>19</v>
      </c>
      <c r="CC14" s="11">
        <v>52</v>
      </c>
      <c r="CD14" s="11">
        <v>42</v>
      </c>
      <c r="CE14" s="11">
        <v>39</v>
      </c>
      <c r="CF14" s="11">
        <v>48</v>
      </c>
      <c r="CG14" s="4">
        <v>1.32</v>
      </c>
      <c r="CH14" s="13">
        <v>3.5</v>
      </c>
      <c r="CI14" s="4">
        <v>-7.5</v>
      </c>
      <c r="CJ14" s="4">
        <v>7.5</v>
      </c>
      <c r="CK14" s="4">
        <v>166.5</v>
      </c>
      <c r="CL14" s="2" t="s">
        <v>435</v>
      </c>
      <c r="CM14" s="4" t="str">
        <f>VLOOKUP(bourg[[#This Row],[Away_team]],all[[Full name]:[Abbr]],3,FALSE)</f>
        <v>LEM</v>
      </c>
      <c r="CN14" s="4">
        <f>IF(OR(bourg[[#This Row],[Result]]="w",bourg[[#This Row],[Result]]="dw"),bourg[[#This Row],[win]]-1,-1)</f>
        <v>0.32000000000000006</v>
      </c>
      <c r="CO14" s="4">
        <f>IF(OR(bourg[[#This Row],[Result]]="L",bourg[[#This Row],[Result]]="dl"),bourg[[#This Row],[lose]]-1,-1)</f>
        <v>-1</v>
      </c>
      <c r="CP14" s="4">
        <f>IF(OR((bourg[[#This Row],[Home_scored]]+bourg[[#This Row],[Away_scored]])&gt;bourg[[#This Row],[total]],OR(bourg[[#This Row],[Result]]="dw",bourg[[#This Row],[Result]]="dl")),1,0)</f>
        <v>1</v>
      </c>
      <c r="CQ14" s="4">
        <f>ABS((bourg[[#This Row],[Home_scored]]+bourg[[#This Row],[Away_scored]])-bourg[[#This Row],[total]])+0.5</f>
        <v>15</v>
      </c>
    </row>
    <row r="15" spans="1:95" x14ac:dyDescent="0.25">
      <c r="A15" s="2" t="s">
        <v>349</v>
      </c>
      <c r="B15" s="2" t="s">
        <v>302</v>
      </c>
      <c r="C15" s="3" t="s">
        <v>73</v>
      </c>
      <c r="D15" s="3">
        <v>45640</v>
      </c>
      <c r="E15" s="2" t="s">
        <v>140</v>
      </c>
      <c r="F15" s="2" t="s">
        <v>308</v>
      </c>
      <c r="G15" s="2" t="s">
        <v>75</v>
      </c>
      <c r="H15" s="11">
        <v>102</v>
      </c>
      <c r="I15" s="11">
        <v>67</v>
      </c>
      <c r="J15" s="11">
        <v>34</v>
      </c>
      <c r="K15" s="11">
        <v>64</v>
      </c>
      <c r="L15" s="12">
        <v>0.53129999999999999</v>
      </c>
      <c r="M15" s="11">
        <v>18</v>
      </c>
      <c r="N15" s="11">
        <v>30</v>
      </c>
      <c r="O15" s="12">
        <v>0.6</v>
      </c>
      <c r="P15" s="11">
        <v>16</v>
      </c>
      <c r="Q15" s="11">
        <v>34</v>
      </c>
      <c r="R15" s="12">
        <v>0.47060000000000002</v>
      </c>
      <c r="S15" s="11">
        <v>18</v>
      </c>
      <c r="T15" s="11">
        <v>22</v>
      </c>
      <c r="U15" s="12">
        <v>0.81820000000000004</v>
      </c>
      <c r="V15" s="11">
        <v>9</v>
      </c>
      <c r="W15" s="11">
        <v>30</v>
      </c>
      <c r="X15" s="11">
        <v>39</v>
      </c>
      <c r="Y15" s="11">
        <v>24</v>
      </c>
      <c r="Z15" s="11">
        <v>10</v>
      </c>
      <c r="AA15" s="11">
        <v>5</v>
      </c>
      <c r="AB15" s="11">
        <v>14</v>
      </c>
      <c r="AC15" s="11">
        <v>24</v>
      </c>
      <c r="AD15" s="11">
        <v>23</v>
      </c>
      <c r="AE15" s="11">
        <v>60</v>
      </c>
      <c r="AF15" s="12">
        <v>0.38329999999999997</v>
      </c>
      <c r="AG15" s="11">
        <v>19</v>
      </c>
      <c r="AH15" s="11">
        <v>34</v>
      </c>
      <c r="AI15" s="12">
        <v>0.55879999999999996</v>
      </c>
      <c r="AJ15" s="11">
        <v>4</v>
      </c>
      <c r="AK15" s="11">
        <v>26</v>
      </c>
      <c r="AL15" s="12">
        <v>0.15379999999999999</v>
      </c>
      <c r="AM15" s="11">
        <v>17</v>
      </c>
      <c r="AN15" s="11">
        <v>22</v>
      </c>
      <c r="AO15" s="12">
        <v>0.77270000000000005</v>
      </c>
      <c r="AP15" s="11">
        <v>5</v>
      </c>
      <c r="AQ15" s="11">
        <v>21</v>
      </c>
      <c r="AR15" s="11">
        <v>26</v>
      </c>
      <c r="AS15" s="11">
        <v>14</v>
      </c>
      <c r="AT15" s="11">
        <v>3</v>
      </c>
      <c r="AU15" s="11">
        <v>0</v>
      </c>
      <c r="AV15" s="11">
        <v>15</v>
      </c>
      <c r="AW15" s="11">
        <v>24</v>
      </c>
      <c r="AX15" s="12">
        <v>0.69220000000000004</v>
      </c>
      <c r="AY15" s="12">
        <v>0.65629999999999999</v>
      </c>
      <c r="AZ15" s="12">
        <v>0.3</v>
      </c>
      <c r="BA15" s="12">
        <v>0.85709999999999997</v>
      </c>
      <c r="BB15" s="12">
        <v>0.6</v>
      </c>
      <c r="BC15" s="4">
        <v>79.391999999999996</v>
      </c>
      <c r="BD15" s="12">
        <v>0.70589999999999997</v>
      </c>
      <c r="BE15" s="12">
        <v>0.28129999999999999</v>
      </c>
      <c r="BF15" s="12">
        <v>0.15970000000000001</v>
      </c>
      <c r="BG15" s="4">
        <v>131.1</v>
      </c>
      <c r="BH15" s="4">
        <v>86.1</v>
      </c>
      <c r="BI15" s="4">
        <v>77.789500000000004</v>
      </c>
      <c r="BJ15" s="12">
        <v>0.48080000000000001</v>
      </c>
      <c r="BK15" s="12">
        <v>0.41670000000000001</v>
      </c>
      <c r="BL15" s="12">
        <v>0.1429</v>
      </c>
      <c r="BM15" s="12">
        <v>0.7</v>
      </c>
      <c r="BN15" s="12">
        <v>0.4</v>
      </c>
      <c r="BO15" s="4">
        <v>76.186999999999998</v>
      </c>
      <c r="BP15" s="12">
        <v>0.60870000000000002</v>
      </c>
      <c r="BQ15" s="12">
        <v>0.2833</v>
      </c>
      <c r="BR15" s="12">
        <v>0.17710000000000001</v>
      </c>
      <c r="BS15" s="4">
        <v>86.1</v>
      </c>
      <c r="BT15" s="4">
        <v>131.1</v>
      </c>
      <c r="BU15" s="11">
        <v>24</v>
      </c>
      <c r="BV15" s="11">
        <v>30</v>
      </c>
      <c r="BW15" s="11">
        <v>32</v>
      </c>
      <c r="BX15" s="11">
        <v>16</v>
      </c>
      <c r="BY15" s="11">
        <v>21</v>
      </c>
      <c r="BZ15" s="11">
        <v>15</v>
      </c>
      <c r="CA15" s="11">
        <v>19</v>
      </c>
      <c r="CB15" s="11">
        <v>12</v>
      </c>
      <c r="CC15" s="11">
        <v>54</v>
      </c>
      <c r="CD15" s="11">
        <v>48</v>
      </c>
      <c r="CE15" s="11">
        <v>36</v>
      </c>
      <c r="CF15" s="11">
        <v>31</v>
      </c>
      <c r="CG15" s="4">
        <v>2.2000000000000002</v>
      </c>
      <c r="CH15" s="13">
        <v>1.71</v>
      </c>
      <c r="CI15" s="4">
        <v>2.5</v>
      </c>
      <c r="CJ15" s="4">
        <v>-2.5</v>
      </c>
      <c r="CK15" s="4">
        <v>164.5</v>
      </c>
      <c r="CL15" s="2" t="s">
        <v>444</v>
      </c>
      <c r="CM15" s="4" t="str">
        <f>VLOOKUP(bourg[[#This Row],[Away_team]],all[[Full name]:[Abbr]],3,FALSE)</f>
        <v>CHO</v>
      </c>
      <c r="CN15" s="4">
        <f>IF(OR(bourg[[#This Row],[Result]]="w",bourg[[#This Row],[Result]]="dw"),bourg[[#This Row],[win]]-1,-1)</f>
        <v>1.2000000000000002</v>
      </c>
      <c r="CO15" s="4">
        <f>IF(OR(bourg[[#This Row],[Result]]="L",bourg[[#This Row],[Result]]="dl"),bourg[[#This Row],[lose]]-1,-1)</f>
        <v>-1</v>
      </c>
      <c r="CP15" s="4">
        <f>IF(OR((bourg[[#This Row],[Home_scored]]+bourg[[#This Row],[Away_scored]])&gt;bourg[[#This Row],[total]],OR(bourg[[#This Row],[Result]]="dw",bourg[[#This Row],[Result]]="dl")),1,0)</f>
        <v>1</v>
      </c>
      <c r="CQ15" s="4">
        <f>ABS((bourg[[#This Row],[Home_scored]]+bourg[[#This Row],[Away_scored]])-bourg[[#This Row],[total]])+0.5</f>
        <v>5</v>
      </c>
    </row>
    <row r="16" spans="1:95" x14ac:dyDescent="0.25">
      <c r="A16" s="2" t="s">
        <v>349</v>
      </c>
      <c r="B16" s="2" t="s">
        <v>302</v>
      </c>
      <c r="C16" s="3" t="s">
        <v>73</v>
      </c>
      <c r="D16" s="3">
        <v>45648</v>
      </c>
      <c r="E16" s="2" t="s">
        <v>140</v>
      </c>
      <c r="F16" s="2" t="s">
        <v>333</v>
      </c>
      <c r="G16" s="2" t="s">
        <v>139</v>
      </c>
      <c r="H16" s="11">
        <v>79</v>
      </c>
      <c r="I16" s="11">
        <v>84</v>
      </c>
      <c r="J16" s="11">
        <v>30</v>
      </c>
      <c r="K16" s="11">
        <v>66</v>
      </c>
      <c r="L16" s="12">
        <v>0.45450000000000002</v>
      </c>
      <c r="M16" s="11">
        <v>23</v>
      </c>
      <c r="N16" s="11">
        <v>43</v>
      </c>
      <c r="O16" s="12">
        <v>0.53490000000000004</v>
      </c>
      <c r="P16" s="11">
        <v>7</v>
      </c>
      <c r="Q16" s="11">
        <v>23</v>
      </c>
      <c r="R16" s="12">
        <v>0.30430000000000001</v>
      </c>
      <c r="S16" s="11">
        <v>12</v>
      </c>
      <c r="T16" s="11">
        <v>18</v>
      </c>
      <c r="U16" s="12">
        <v>0.66669999999999996</v>
      </c>
      <c r="V16" s="11">
        <v>16</v>
      </c>
      <c r="W16" s="11">
        <v>22</v>
      </c>
      <c r="X16" s="11">
        <v>38</v>
      </c>
      <c r="Y16" s="11">
        <v>22</v>
      </c>
      <c r="Z16" s="11">
        <v>7</v>
      </c>
      <c r="AA16" s="11">
        <v>3</v>
      </c>
      <c r="AB16" s="11">
        <v>13</v>
      </c>
      <c r="AC16" s="11">
        <v>24</v>
      </c>
      <c r="AD16" s="11">
        <v>31</v>
      </c>
      <c r="AE16" s="11">
        <v>64</v>
      </c>
      <c r="AF16" s="12">
        <v>0.4844</v>
      </c>
      <c r="AG16" s="11">
        <v>22</v>
      </c>
      <c r="AH16" s="11">
        <v>43</v>
      </c>
      <c r="AI16" s="12">
        <v>0.51160000000000005</v>
      </c>
      <c r="AJ16" s="11">
        <v>9</v>
      </c>
      <c r="AK16" s="11">
        <v>21</v>
      </c>
      <c r="AL16" s="12">
        <v>0.42859999999999998</v>
      </c>
      <c r="AM16" s="11">
        <v>13</v>
      </c>
      <c r="AN16" s="11">
        <v>17</v>
      </c>
      <c r="AO16" s="12">
        <v>0.76470000000000005</v>
      </c>
      <c r="AP16" s="11">
        <v>13</v>
      </c>
      <c r="AQ16" s="11">
        <v>21</v>
      </c>
      <c r="AR16" s="11">
        <v>34</v>
      </c>
      <c r="AS16" s="11">
        <v>25</v>
      </c>
      <c r="AT16" s="11">
        <v>4</v>
      </c>
      <c r="AU16" s="11">
        <v>2</v>
      </c>
      <c r="AV16" s="11">
        <v>11</v>
      </c>
      <c r="AW16" s="11">
        <v>23</v>
      </c>
      <c r="AX16" s="12">
        <v>0.53439999999999999</v>
      </c>
      <c r="AY16" s="12">
        <v>0.50760000000000005</v>
      </c>
      <c r="AZ16" s="12">
        <v>0.43240000000000001</v>
      </c>
      <c r="BA16" s="12">
        <v>0.62860000000000005</v>
      </c>
      <c r="BB16" s="12">
        <v>0.52780000000000005</v>
      </c>
      <c r="BC16" s="4">
        <v>69.980999999999995</v>
      </c>
      <c r="BD16" s="12">
        <v>0.73329999999999995</v>
      </c>
      <c r="BE16" s="12">
        <v>0.18179999999999999</v>
      </c>
      <c r="BF16" s="12">
        <v>0.14960000000000001</v>
      </c>
      <c r="BG16" s="4">
        <v>114.3</v>
      </c>
      <c r="BH16" s="4">
        <v>121.5</v>
      </c>
      <c r="BI16" s="4">
        <v>69.14</v>
      </c>
      <c r="BJ16" s="12">
        <v>0.58760000000000001</v>
      </c>
      <c r="BK16" s="12">
        <v>0.55469999999999997</v>
      </c>
      <c r="BL16" s="12">
        <v>0.37140000000000001</v>
      </c>
      <c r="BM16" s="12">
        <v>0.56759999999999999</v>
      </c>
      <c r="BN16" s="12">
        <v>0.47220000000000001</v>
      </c>
      <c r="BO16" s="4">
        <v>68.299000000000007</v>
      </c>
      <c r="BP16" s="12">
        <v>0.80649999999999999</v>
      </c>
      <c r="BQ16" s="12">
        <v>0.2031</v>
      </c>
      <c r="BR16" s="12">
        <v>0.13339999999999999</v>
      </c>
      <c r="BS16" s="4">
        <v>121.5</v>
      </c>
      <c r="BT16" s="4">
        <v>114.3</v>
      </c>
      <c r="BU16" s="11">
        <v>20</v>
      </c>
      <c r="BV16" s="11">
        <v>21</v>
      </c>
      <c r="BW16" s="11">
        <v>19</v>
      </c>
      <c r="BX16" s="11">
        <v>19</v>
      </c>
      <c r="BY16" s="11">
        <v>15</v>
      </c>
      <c r="BZ16" s="11">
        <v>23</v>
      </c>
      <c r="CA16" s="11">
        <v>19</v>
      </c>
      <c r="CB16" s="11">
        <v>27</v>
      </c>
      <c r="CC16" s="11">
        <v>41</v>
      </c>
      <c r="CD16" s="11">
        <v>38</v>
      </c>
      <c r="CE16" s="11">
        <v>38</v>
      </c>
      <c r="CF16" s="11">
        <v>46</v>
      </c>
      <c r="CG16" s="4">
        <v>1.45</v>
      </c>
      <c r="CH16" s="13">
        <v>2.8</v>
      </c>
      <c r="CI16" s="4">
        <v>-5.5</v>
      </c>
      <c r="CJ16" s="4">
        <v>5.5</v>
      </c>
      <c r="CK16" s="4">
        <v>169.5</v>
      </c>
      <c r="CL16" s="2" t="s">
        <v>457</v>
      </c>
      <c r="CM16" s="4" t="str">
        <f>VLOOKUP(bourg[[#This Row],[Away_team]],all[[Full name]:[Abbr]],3,FALSE)</f>
        <v>NCY</v>
      </c>
      <c r="CN16" s="4">
        <f>IF(OR(bourg[[#This Row],[Result]]="w",bourg[[#This Row],[Result]]="dw"),bourg[[#This Row],[win]]-1,-1)</f>
        <v>-1</v>
      </c>
      <c r="CO16" s="4">
        <f>IF(OR(bourg[[#This Row],[Result]]="L",bourg[[#This Row],[Result]]="dl"),bourg[[#This Row],[lose]]-1,-1)</f>
        <v>1.7999999999999998</v>
      </c>
      <c r="CP16" s="4">
        <f>IF(OR((bourg[[#This Row],[Home_scored]]+bourg[[#This Row],[Away_scored]])&gt;bourg[[#This Row],[total]],OR(bourg[[#This Row],[Result]]="dw",bourg[[#This Row],[Result]]="dl")),1,0)</f>
        <v>0</v>
      </c>
      <c r="CQ16" s="4">
        <f>ABS((bourg[[#This Row],[Home_scored]]+bourg[[#This Row],[Away_scored]])-bourg[[#This Row],[total]])+0.5</f>
        <v>7</v>
      </c>
    </row>
    <row r="17" spans="1:95" x14ac:dyDescent="0.25">
      <c r="A17" s="2" t="s">
        <v>349</v>
      </c>
      <c r="B17" s="2" t="s">
        <v>302</v>
      </c>
      <c r="C17" s="3" t="s">
        <v>73</v>
      </c>
      <c r="D17" s="3">
        <v>45653</v>
      </c>
      <c r="E17" s="2" t="s">
        <v>74</v>
      </c>
      <c r="F17" s="2" t="s">
        <v>342</v>
      </c>
      <c r="G17" s="2" t="s">
        <v>75</v>
      </c>
      <c r="H17" s="11">
        <v>96</v>
      </c>
      <c r="I17" s="11">
        <v>85</v>
      </c>
      <c r="J17" s="11">
        <v>32</v>
      </c>
      <c r="K17" s="11">
        <v>58</v>
      </c>
      <c r="L17" s="12">
        <v>0.55169999999999997</v>
      </c>
      <c r="M17" s="11">
        <v>23</v>
      </c>
      <c r="N17" s="11">
        <v>39</v>
      </c>
      <c r="O17" s="12">
        <v>0.5897</v>
      </c>
      <c r="P17" s="11">
        <v>9</v>
      </c>
      <c r="Q17" s="11">
        <v>19</v>
      </c>
      <c r="R17" s="12">
        <v>0.47370000000000001</v>
      </c>
      <c r="S17" s="11">
        <v>23</v>
      </c>
      <c r="T17" s="11">
        <v>28</v>
      </c>
      <c r="U17" s="12">
        <v>0.82140000000000002</v>
      </c>
      <c r="V17" s="11">
        <v>9</v>
      </c>
      <c r="W17" s="11">
        <v>23</v>
      </c>
      <c r="X17" s="11">
        <v>32</v>
      </c>
      <c r="Y17" s="11">
        <v>19</v>
      </c>
      <c r="Z17" s="11">
        <v>5</v>
      </c>
      <c r="AA17" s="11">
        <v>2</v>
      </c>
      <c r="AB17" s="11">
        <v>11</v>
      </c>
      <c r="AC17" s="11">
        <v>21</v>
      </c>
      <c r="AD17" s="11">
        <v>28</v>
      </c>
      <c r="AE17" s="11">
        <v>58</v>
      </c>
      <c r="AF17" s="12">
        <v>0.48280000000000001</v>
      </c>
      <c r="AG17" s="11">
        <v>16</v>
      </c>
      <c r="AH17" s="11">
        <v>33</v>
      </c>
      <c r="AI17" s="12">
        <v>0.48480000000000001</v>
      </c>
      <c r="AJ17" s="11">
        <v>12</v>
      </c>
      <c r="AK17" s="11">
        <v>25</v>
      </c>
      <c r="AL17" s="12">
        <v>0.48</v>
      </c>
      <c r="AM17" s="11">
        <v>17</v>
      </c>
      <c r="AN17" s="11">
        <v>24</v>
      </c>
      <c r="AO17" s="12">
        <v>0.70830000000000004</v>
      </c>
      <c r="AP17" s="11">
        <v>11</v>
      </c>
      <c r="AQ17" s="11">
        <v>20</v>
      </c>
      <c r="AR17" s="11">
        <v>31</v>
      </c>
      <c r="AS17" s="11">
        <v>21</v>
      </c>
      <c r="AT17" s="11">
        <v>7</v>
      </c>
      <c r="AU17" s="11">
        <v>0</v>
      </c>
      <c r="AV17" s="11">
        <v>12</v>
      </c>
      <c r="AW17" s="11">
        <v>25</v>
      </c>
      <c r="AX17" s="12">
        <v>0.68259999999999998</v>
      </c>
      <c r="AY17" s="12">
        <v>0.62929999999999997</v>
      </c>
      <c r="AZ17" s="12">
        <v>0.31030000000000002</v>
      </c>
      <c r="BA17" s="12">
        <v>0.67649999999999999</v>
      </c>
      <c r="BB17" s="12">
        <v>0.50790000000000002</v>
      </c>
      <c r="BC17" s="4">
        <v>72.376000000000005</v>
      </c>
      <c r="BD17" s="12">
        <v>0.59379999999999999</v>
      </c>
      <c r="BE17" s="12">
        <v>0.39660000000000001</v>
      </c>
      <c r="BF17" s="12">
        <v>0.1353</v>
      </c>
      <c r="BG17" s="4">
        <v>136.6</v>
      </c>
      <c r="BH17" s="4">
        <v>120.9</v>
      </c>
      <c r="BI17" s="4">
        <v>70.293000000000006</v>
      </c>
      <c r="BJ17" s="12">
        <v>0.61990000000000001</v>
      </c>
      <c r="BK17" s="12">
        <v>0.58620000000000005</v>
      </c>
      <c r="BL17" s="12">
        <v>0.32350000000000001</v>
      </c>
      <c r="BM17" s="12">
        <v>0.68969999999999998</v>
      </c>
      <c r="BN17" s="12">
        <v>0.49209999999999998</v>
      </c>
      <c r="BO17" s="4">
        <v>68.209999999999994</v>
      </c>
      <c r="BP17" s="12">
        <v>0.75</v>
      </c>
      <c r="BQ17" s="12">
        <v>0.29310000000000003</v>
      </c>
      <c r="BR17" s="12">
        <v>0.14899999999999999</v>
      </c>
      <c r="BS17" s="4">
        <v>120.9</v>
      </c>
      <c r="BT17" s="4">
        <v>136.6</v>
      </c>
      <c r="BU17" s="11">
        <v>30</v>
      </c>
      <c r="BV17" s="11">
        <v>22</v>
      </c>
      <c r="BW17" s="11">
        <v>19</v>
      </c>
      <c r="BX17" s="11">
        <v>25</v>
      </c>
      <c r="BY17" s="11">
        <v>20</v>
      </c>
      <c r="BZ17" s="11">
        <v>21</v>
      </c>
      <c r="CA17" s="11">
        <v>28</v>
      </c>
      <c r="CB17" s="11">
        <v>16</v>
      </c>
      <c r="CC17" s="11">
        <v>52</v>
      </c>
      <c r="CD17" s="11">
        <v>44</v>
      </c>
      <c r="CE17" s="11">
        <v>41</v>
      </c>
      <c r="CF17" s="11">
        <v>44</v>
      </c>
      <c r="CG17" s="4">
        <v>1.32</v>
      </c>
      <c r="CH17" s="13">
        <v>3.5</v>
      </c>
      <c r="CI17" s="4">
        <v>-7.5</v>
      </c>
      <c r="CJ17" s="4">
        <v>7.5</v>
      </c>
      <c r="CK17" s="4">
        <v>164.5</v>
      </c>
      <c r="CL17" s="2" t="s">
        <v>463</v>
      </c>
      <c r="CM17" s="4" t="str">
        <f>VLOOKUP(bourg[[#This Row],[Away_team]],all[[Full name]:[Abbr]],3,FALSE)</f>
        <v>SQU</v>
      </c>
      <c r="CN17" s="4">
        <f>IF(OR(bourg[[#This Row],[Result]]="w",bourg[[#This Row],[Result]]="dw"),bourg[[#This Row],[win]]-1,-1)</f>
        <v>0.32000000000000006</v>
      </c>
      <c r="CO17" s="4">
        <f>IF(OR(bourg[[#This Row],[Result]]="L",bourg[[#This Row],[Result]]="dl"),bourg[[#This Row],[lose]]-1,-1)</f>
        <v>-1</v>
      </c>
      <c r="CP17" s="4">
        <f>IF(OR((bourg[[#This Row],[Home_scored]]+bourg[[#This Row],[Away_scored]])&gt;bourg[[#This Row],[total]],OR(bourg[[#This Row],[Result]]="dw",bourg[[#This Row],[Result]]="dl")),1,0)</f>
        <v>1</v>
      </c>
      <c r="CQ17" s="4">
        <f>ABS((bourg[[#This Row],[Home_scored]]+bourg[[#This Row],[Away_scored]])-bourg[[#This Row],[total]])+0.5</f>
        <v>17</v>
      </c>
    </row>
    <row r="18" spans="1:95" x14ac:dyDescent="0.25">
      <c r="A18" s="2" t="s">
        <v>349</v>
      </c>
      <c r="B18" s="2" t="s">
        <v>302</v>
      </c>
      <c r="C18" s="3" t="s">
        <v>73</v>
      </c>
      <c r="D18" s="3">
        <v>45669</v>
      </c>
      <c r="E18" s="2" t="s">
        <v>140</v>
      </c>
      <c r="F18" s="2" t="s">
        <v>339</v>
      </c>
      <c r="G18" s="2" t="s">
        <v>139</v>
      </c>
      <c r="H18" s="11">
        <v>89</v>
      </c>
      <c r="I18" s="11">
        <v>98</v>
      </c>
      <c r="J18" s="11">
        <v>30</v>
      </c>
      <c r="K18" s="11">
        <v>63</v>
      </c>
      <c r="L18" s="12">
        <v>0.47620000000000001</v>
      </c>
      <c r="M18" s="11">
        <v>23</v>
      </c>
      <c r="N18" s="11">
        <v>45</v>
      </c>
      <c r="O18" s="12">
        <v>0.5111</v>
      </c>
      <c r="P18" s="11">
        <v>7</v>
      </c>
      <c r="Q18" s="11">
        <v>18</v>
      </c>
      <c r="R18" s="12">
        <v>0.38890000000000002</v>
      </c>
      <c r="S18" s="11">
        <v>22</v>
      </c>
      <c r="T18" s="11">
        <v>26</v>
      </c>
      <c r="U18" s="12">
        <v>0.84619999999999995</v>
      </c>
      <c r="V18" s="11">
        <v>9</v>
      </c>
      <c r="W18" s="11">
        <v>22</v>
      </c>
      <c r="X18" s="11">
        <v>31</v>
      </c>
      <c r="Y18" s="11">
        <v>19</v>
      </c>
      <c r="Z18" s="11">
        <v>6</v>
      </c>
      <c r="AA18" s="11">
        <v>2</v>
      </c>
      <c r="AB18" s="11">
        <v>11</v>
      </c>
      <c r="AC18" s="11">
        <v>24</v>
      </c>
      <c r="AD18" s="11">
        <v>35</v>
      </c>
      <c r="AE18" s="11">
        <v>63</v>
      </c>
      <c r="AF18" s="12">
        <v>0.55559999999999998</v>
      </c>
      <c r="AG18" s="11">
        <v>26</v>
      </c>
      <c r="AH18" s="11">
        <v>38</v>
      </c>
      <c r="AI18" s="12">
        <v>0.68420000000000003</v>
      </c>
      <c r="AJ18" s="11">
        <v>9</v>
      </c>
      <c r="AK18" s="11">
        <v>25</v>
      </c>
      <c r="AL18" s="12">
        <v>0.36</v>
      </c>
      <c r="AM18" s="11">
        <v>19</v>
      </c>
      <c r="AN18" s="11">
        <v>26</v>
      </c>
      <c r="AO18" s="12">
        <v>0.73080000000000001</v>
      </c>
      <c r="AP18" s="11">
        <v>10</v>
      </c>
      <c r="AQ18" s="11">
        <v>24</v>
      </c>
      <c r="AR18" s="11">
        <v>34</v>
      </c>
      <c r="AS18" s="11">
        <v>20</v>
      </c>
      <c r="AT18" s="11">
        <v>2</v>
      </c>
      <c r="AU18" s="11">
        <v>1</v>
      </c>
      <c r="AV18" s="11">
        <v>13</v>
      </c>
      <c r="AW18" s="11">
        <v>27</v>
      </c>
      <c r="AX18" s="12">
        <v>0.5978</v>
      </c>
      <c r="AY18" s="12">
        <v>0.53169999999999995</v>
      </c>
      <c r="AZ18" s="12">
        <v>0.2727</v>
      </c>
      <c r="BA18" s="12">
        <v>0.6875</v>
      </c>
      <c r="BB18" s="12">
        <v>0.47689999999999999</v>
      </c>
      <c r="BC18" s="4">
        <v>74.149000000000001</v>
      </c>
      <c r="BD18" s="12">
        <v>0.63329999999999997</v>
      </c>
      <c r="BE18" s="12">
        <v>0.34920000000000001</v>
      </c>
      <c r="BF18" s="12">
        <v>0.12870000000000001</v>
      </c>
      <c r="BG18" s="4">
        <v>117.3</v>
      </c>
      <c r="BH18" s="4">
        <v>129.19999999999999</v>
      </c>
      <c r="BI18" s="4">
        <v>75.868499999999997</v>
      </c>
      <c r="BJ18" s="12">
        <v>0.65820000000000001</v>
      </c>
      <c r="BK18" s="12">
        <v>0.627</v>
      </c>
      <c r="BL18" s="12">
        <v>0.3125</v>
      </c>
      <c r="BM18" s="12">
        <v>0.72729999999999995</v>
      </c>
      <c r="BN18" s="12">
        <v>0.52310000000000001</v>
      </c>
      <c r="BO18" s="4">
        <v>77.587999999999994</v>
      </c>
      <c r="BP18" s="12">
        <v>0.57140000000000002</v>
      </c>
      <c r="BQ18" s="12">
        <v>0.30159999999999998</v>
      </c>
      <c r="BR18" s="12">
        <v>0.1487</v>
      </c>
      <c r="BS18" s="4">
        <v>129.19999999999999</v>
      </c>
      <c r="BT18" s="4">
        <v>117.3</v>
      </c>
      <c r="BU18" s="11">
        <v>21</v>
      </c>
      <c r="BV18" s="11">
        <v>32</v>
      </c>
      <c r="BW18" s="11">
        <v>18</v>
      </c>
      <c r="BX18" s="11">
        <v>18</v>
      </c>
      <c r="BY18" s="11">
        <v>24</v>
      </c>
      <c r="BZ18" s="11">
        <v>26</v>
      </c>
      <c r="CA18" s="11">
        <v>28</v>
      </c>
      <c r="CB18" s="11">
        <v>20</v>
      </c>
      <c r="CC18" s="11">
        <v>53</v>
      </c>
      <c r="CD18" s="11">
        <v>36</v>
      </c>
      <c r="CE18" s="11">
        <v>50</v>
      </c>
      <c r="CF18" s="11">
        <v>48</v>
      </c>
      <c r="CG18" s="4">
        <v>3.3</v>
      </c>
      <c r="CH18" s="13">
        <v>1.36</v>
      </c>
      <c r="CI18" s="4">
        <v>-7</v>
      </c>
      <c r="CJ18" s="4">
        <v>-7</v>
      </c>
      <c r="CK18" s="4">
        <v>176.5</v>
      </c>
      <c r="CL18" s="2" t="s">
        <v>474</v>
      </c>
      <c r="CM18" s="4" t="str">
        <f>VLOOKUP(bourg[[#This Row],[Away_team]],all[[Full name]:[Abbr]],3,FALSE)</f>
        <v>PAR</v>
      </c>
      <c r="CN18" s="4">
        <f>IF(OR(bourg[[#This Row],[Result]]="w",bourg[[#This Row],[Result]]="dw"),bourg[[#This Row],[win]]-1,-1)</f>
        <v>-1</v>
      </c>
      <c r="CO18" s="4">
        <f>IF(OR(bourg[[#This Row],[Result]]="L",bourg[[#This Row],[Result]]="dl"),bourg[[#This Row],[lose]]-1,-1)</f>
        <v>0.3600000000000001</v>
      </c>
      <c r="CP18" s="4">
        <f>IF(OR((bourg[[#This Row],[Home_scored]]+bourg[[#This Row],[Away_scored]])&gt;bourg[[#This Row],[total]],OR(bourg[[#This Row],[Result]]="dw",bourg[[#This Row],[Result]]="dl")),1,0)</f>
        <v>1</v>
      </c>
      <c r="CQ18" s="4">
        <f>ABS((bourg[[#This Row],[Home_scored]]+bourg[[#This Row],[Away_scored]])-bourg[[#This Row],[total]])+0.5</f>
        <v>11</v>
      </c>
    </row>
    <row r="19" spans="1:95" x14ac:dyDescent="0.25">
      <c r="A19" s="2" t="s">
        <v>349</v>
      </c>
      <c r="B19" s="2" t="s">
        <v>302</v>
      </c>
      <c r="C19" s="3" t="s">
        <v>73</v>
      </c>
      <c r="D19" s="3">
        <v>45674</v>
      </c>
      <c r="E19" s="2" t="s">
        <v>140</v>
      </c>
      <c r="F19" s="2" t="s">
        <v>345</v>
      </c>
      <c r="G19" s="2" t="s">
        <v>75</v>
      </c>
      <c r="H19" s="11">
        <v>76</v>
      </c>
      <c r="I19" s="11">
        <v>70</v>
      </c>
      <c r="J19" s="11">
        <v>24</v>
      </c>
      <c r="K19" s="11">
        <v>56</v>
      </c>
      <c r="L19" s="12">
        <v>0.42859999999999998</v>
      </c>
      <c r="M19" s="11">
        <v>20</v>
      </c>
      <c r="N19" s="11">
        <v>33</v>
      </c>
      <c r="O19" s="12">
        <v>0.60609999999999997</v>
      </c>
      <c r="P19" s="11">
        <v>4</v>
      </c>
      <c r="Q19" s="11">
        <v>23</v>
      </c>
      <c r="R19" s="12">
        <v>0.1739</v>
      </c>
      <c r="S19" s="11">
        <v>24</v>
      </c>
      <c r="T19" s="11">
        <v>32</v>
      </c>
      <c r="U19" s="12">
        <v>0.75</v>
      </c>
      <c r="V19" s="11">
        <v>11</v>
      </c>
      <c r="W19" s="11">
        <v>26</v>
      </c>
      <c r="X19" s="11">
        <v>37</v>
      </c>
      <c r="Y19" s="11">
        <v>17</v>
      </c>
      <c r="Z19" s="11">
        <v>11</v>
      </c>
      <c r="AA19" s="11">
        <v>4</v>
      </c>
      <c r="AB19" s="11">
        <v>18</v>
      </c>
      <c r="AC19" s="11">
        <v>19</v>
      </c>
      <c r="AD19" s="11">
        <v>25</v>
      </c>
      <c r="AE19" s="11">
        <v>70</v>
      </c>
      <c r="AF19" s="12">
        <v>0.35709999999999997</v>
      </c>
      <c r="AG19" s="11">
        <v>17</v>
      </c>
      <c r="AH19" s="11">
        <v>41</v>
      </c>
      <c r="AI19" s="12">
        <v>0.41460000000000002</v>
      </c>
      <c r="AJ19" s="11">
        <v>8</v>
      </c>
      <c r="AK19" s="11">
        <v>29</v>
      </c>
      <c r="AL19" s="12">
        <v>0.27589999999999998</v>
      </c>
      <c r="AM19" s="11">
        <v>12</v>
      </c>
      <c r="AN19" s="11">
        <v>18</v>
      </c>
      <c r="AO19" s="12">
        <v>0.66669999999999996</v>
      </c>
      <c r="AP19" s="11">
        <v>20</v>
      </c>
      <c r="AQ19" s="11">
        <v>23</v>
      </c>
      <c r="AR19" s="11">
        <v>43</v>
      </c>
      <c r="AS19" s="11">
        <v>18</v>
      </c>
      <c r="AT19" s="11">
        <v>12</v>
      </c>
      <c r="AU19" s="11">
        <v>3</v>
      </c>
      <c r="AV19" s="11">
        <v>17</v>
      </c>
      <c r="AW19" s="11">
        <v>26</v>
      </c>
      <c r="AX19" s="12">
        <v>0.54220000000000002</v>
      </c>
      <c r="AY19" s="12">
        <v>0.46429999999999999</v>
      </c>
      <c r="AZ19" s="12">
        <v>0.32350000000000001</v>
      </c>
      <c r="BA19" s="12">
        <v>0.56520000000000004</v>
      </c>
      <c r="BB19" s="12">
        <v>0.46250000000000002</v>
      </c>
      <c r="BC19" s="4">
        <v>76.620999999999995</v>
      </c>
      <c r="BD19" s="12">
        <v>0.70830000000000004</v>
      </c>
      <c r="BE19" s="12">
        <v>0.42859999999999998</v>
      </c>
      <c r="BF19" s="12">
        <v>0.2044</v>
      </c>
      <c r="BG19" s="4">
        <v>102.4</v>
      </c>
      <c r="BH19" s="4">
        <v>94.3</v>
      </c>
      <c r="BI19" s="4">
        <v>74.212999999999994</v>
      </c>
      <c r="BJ19" s="12">
        <v>0.44919999999999999</v>
      </c>
      <c r="BK19" s="12">
        <v>0.4143</v>
      </c>
      <c r="BL19" s="12">
        <v>0.43480000000000002</v>
      </c>
      <c r="BM19" s="12">
        <v>0.67649999999999999</v>
      </c>
      <c r="BN19" s="12">
        <v>0.53749999999999998</v>
      </c>
      <c r="BO19" s="4">
        <v>71.805000000000007</v>
      </c>
      <c r="BP19" s="12">
        <v>0.72</v>
      </c>
      <c r="BQ19" s="12">
        <v>0.1714</v>
      </c>
      <c r="BR19" s="12">
        <v>0.17910000000000001</v>
      </c>
      <c r="BS19" s="4">
        <v>94.3</v>
      </c>
      <c r="BT19" s="4">
        <v>102.4</v>
      </c>
      <c r="BU19" s="11">
        <v>21</v>
      </c>
      <c r="BV19" s="11">
        <v>16</v>
      </c>
      <c r="BW19" s="11">
        <v>23</v>
      </c>
      <c r="BX19" s="11">
        <v>16</v>
      </c>
      <c r="BY19" s="11">
        <v>14</v>
      </c>
      <c r="BZ19" s="11">
        <v>18</v>
      </c>
      <c r="CA19" s="11">
        <v>25</v>
      </c>
      <c r="CB19" s="11">
        <v>13</v>
      </c>
      <c r="CC19" s="11">
        <v>37</v>
      </c>
      <c r="CD19" s="11">
        <v>39</v>
      </c>
      <c r="CE19" s="11">
        <v>32</v>
      </c>
      <c r="CF19" s="11">
        <v>38</v>
      </c>
      <c r="CG19" s="4">
        <v>1.61</v>
      </c>
      <c r="CH19" s="13">
        <v>2.4</v>
      </c>
      <c r="CI19" s="4">
        <v>-3.5</v>
      </c>
      <c r="CJ19" s="4">
        <v>3.5</v>
      </c>
      <c r="CK19" s="4">
        <v>168.5</v>
      </c>
      <c r="CL19" s="2" t="s">
        <v>475</v>
      </c>
      <c r="CM19" s="4" t="str">
        <f>VLOOKUP(bourg[[#This Row],[Away_team]],all[[Full name]:[Abbr]],3,FALSE)</f>
        <v>STR</v>
      </c>
      <c r="CN19" s="4">
        <f>IF(OR(bourg[[#This Row],[Result]]="w",bourg[[#This Row],[Result]]="dw"),bourg[[#This Row],[win]]-1,-1)</f>
        <v>0.6100000000000001</v>
      </c>
      <c r="CO19" s="4">
        <f>IF(OR(bourg[[#This Row],[Result]]="L",bourg[[#This Row],[Result]]="dl"),bourg[[#This Row],[lose]]-1,-1)</f>
        <v>-1</v>
      </c>
      <c r="CP19" s="4">
        <f>IF(OR((bourg[[#This Row],[Home_scored]]+bourg[[#This Row],[Away_scored]])&gt;bourg[[#This Row],[total]],OR(bourg[[#This Row],[Result]]="dw",bourg[[#This Row],[Result]]="dl")),1,0)</f>
        <v>0</v>
      </c>
      <c r="CQ19" s="4">
        <f>ABS((bourg[[#This Row],[Home_scored]]+bourg[[#This Row],[Away_scored]])-bourg[[#This Row],[total]])+0.5</f>
        <v>23</v>
      </c>
    </row>
    <row r="20" spans="1:95" x14ac:dyDescent="0.25">
      <c r="A20" s="2" t="s">
        <v>349</v>
      </c>
      <c r="B20" s="2" t="s">
        <v>302</v>
      </c>
      <c r="C20" s="3" t="s">
        <v>73</v>
      </c>
      <c r="D20" s="3">
        <v>45682</v>
      </c>
      <c r="E20" s="2" t="s">
        <v>74</v>
      </c>
      <c r="F20" s="2" t="s">
        <v>336</v>
      </c>
      <c r="G20" s="2" t="s">
        <v>75</v>
      </c>
      <c r="H20" s="11">
        <v>100</v>
      </c>
      <c r="I20" s="11">
        <v>97</v>
      </c>
      <c r="J20" s="11">
        <v>34</v>
      </c>
      <c r="K20" s="11">
        <v>53</v>
      </c>
      <c r="L20" s="12">
        <v>0.64149999999999996</v>
      </c>
      <c r="M20" s="11">
        <v>19</v>
      </c>
      <c r="N20" s="11">
        <v>27</v>
      </c>
      <c r="O20" s="12">
        <v>0.70369999999999999</v>
      </c>
      <c r="P20" s="11">
        <v>15</v>
      </c>
      <c r="Q20" s="11">
        <v>26</v>
      </c>
      <c r="R20" s="12">
        <v>0.57689999999999997</v>
      </c>
      <c r="S20" s="11">
        <v>17</v>
      </c>
      <c r="T20" s="11">
        <v>23</v>
      </c>
      <c r="U20" s="12">
        <v>0.73909999999999998</v>
      </c>
      <c r="V20" s="11">
        <v>10</v>
      </c>
      <c r="W20" s="11">
        <v>27</v>
      </c>
      <c r="X20" s="11">
        <v>37</v>
      </c>
      <c r="Y20" s="11">
        <v>25</v>
      </c>
      <c r="Z20" s="11">
        <v>2</v>
      </c>
      <c r="AA20" s="11">
        <v>2</v>
      </c>
      <c r="AB20" s="11">
        <v>19</v>
      </c>
      <c r="AC20" s="11">
        <v>19</v>
      </c>
      <c r="AD20" s="11">
        <v>38</v>
      </c>
      <c r="AE20" s="11">
        <v>68</v>
      </c>
      <c r="AF20" s="12">
        <v>0.55879999999999996</v>
      </c>
      <c r="AG20" s="11">
        <v>30</v>
      </c>
      <c r="AH20" s="11">
        <v>45</v>
      </c>
      <c r="AI20" s="12">
        <v>0.66669999999999996</v>
      </c>
      <c r="AJ20" s="11">
        <v>8</v>
      </c>
      <c r="AK20" s="11">
        <v>23</v>
      </c>
      <c r="AL20" s="12">
        <v>0.3478</v>
      </c>
      <c r="AM20" s="11">
        <v>13</v>
      </c>
      <c r="AN20" s="11">
        <v>17</v>
      </c>
      <c r="AO20" s="12">
        <v>0.76470000000000005</v>
      </c>
      <c r="AP20" s="11">
        <v>5</v>
      </c>
      <c r="AQ20" s="11">
        <v>12</v>
      </c>
      <c r="AR20" s="11">
        <v>17</v>
      </c>
      <c r="AS20" s="11">
        <v>23</v>
      </c>
      <c r="AT20" s="11">
        <v>12</v>
      </c>
      <c r="AU20" s="11">
        <v>0</v>
      </c>
      <c r="AV20" s="11">
        <v>7</v>
      </c>
      <c r="AW20" s="11">
        <v>22</v>
      </c>
      <c r="AX20" s="12">
        <v>0.79210000000000003</v>
      </c>
      <c r="AY20" s="12">
        <v>0.78300000000000003</v>
      </c>
      <c r="AZ20" s="12">
        <v>0.45450000000000002</v>
      </c>
      <c r="BA20" s="12">
        <v>0.84379999999999999</v>
      </c>
      <c r="BB20" s="12">
        <v>0.68520000000000003</v>
      </c>
      <c r="BC20" s="4">
        <v>75.704999999999998</v>
      </c>
      <c r="BD20" s="12">
        <v>0.73529999999999995</v>
      </c>
      <c r="BE20" s="12">
        <v>0.32079999999999997</v>
      </c>
      <c r="BF20" s="12">
        <v>0.23139999999999999</v>
      </c>
      <c r="BG20" s="4">
        <v>135.1</v>
      </c>
      <c r="BH20" s="4">
        <v>131</v>
      </c>
      <c r="BI20" s="4">
        <v>74.031999999999996</v>
      </c>
      <c r="BJ20" s="12">
        <v>0.64259999999999995</v>
      </c>
      <c r="BK20" s="12">
        <v>0.61760000000000004</v>
      </c>
      <c r="BL20" s="12">
        <v>0.15629999999999999</v>
      </c>
      <c r="BM20" s="12">
        <v>0.54549999999999998</v>
      </c>
      <c r="BN20" s="12">
        <v>0.31480000000000002</v>
      </c>
      <c r="BO20" s="4">
        <v>72.358999999999995</v>
      </c>
      <c r="BP20" s="12">
        <v>0.60529999999999995</v>
      </c>
      <c r="BQ20" s="12">
        <v>0.19120000000000001</v>
      </c>
      <c r="BR20" s="12">
        <v>8.4900000000000003E-2</v>
      </c>
      <c r="BS20" s="4">
        <v>131</v>
      </c>
      <c r="BT20" s="4">
        <v>135.1</v>
      </c>
      <c r="BU20" s="11">
        <v>26</v>
      </c>
      <c r="BV20" s="11">
        <v>24</v>
      </c>
      <c r="BW20" s="11">
        <v>25</v>
      </c>
      <c r="BX20" s="11">
        <v>25</v>
      </c>
      <c r="BY20" s="11">
        <v>30</v>
      </c>
      <c r="BZ20" s="11">
        <v>19</v>
      </c>
      <c r="CA20" s="11">
        <v>18</v>
      </c>
      <c r="CB20" s="11">
        <v>30</v>
      </c>
      <c r="CC20" s="11">
        <v>50</v>
      </c>
      <c r="CD20" s="11">
        <v>50</v>
      </c>
      <c r="CE20" s="11">
        <v>49</v>
      </c>
      <c r="CF20" s="11">
        <v>48</v>
      </c>
      <c r="CG20" s="4">
        <v>1.26</v>
      </c>
      <c r="CH20" s="13">
        <v>4</v>
      </c>
      <c r="CI20" s="4">
        <v>-8.5</v>
      </c>
      <c r="CJ20" s="4">
        <v>8.5</v>
      </c>
      <c r="CK20" s="4">
        <v>170.5</v>
      </c>
      <c r="CL20" s="2" t="s">
        <v>486</v>
      </c>
      <c r="CM20" s="4" t="str">
        <f>VLOOKUP(bourg[[#This Row],[Away_team]],all[[Full name]:[Abbr]],3,FALSE)</f>
        <v>NAN</v>
      </c>
      <c r="CN20" s="4">
        <f>IF(OR(bourg[[#This Row],[Result]]="w",bourg[[#This Row],[Result]]="dw"),bourg[[#This Row],[win]]-1,-1)</f>
        <v>0.26</v>
      </c>
      <c r="CO20" s="4">
        <f>IF(OR(bourg[[#This Row],[Result]]="L",bourg[[#This Row],[Result]]="dl"),bourg[[#This Row],[lose]]-1,-1)</f>
        <v>-1</v>
      </c>
      <c r="CP20" s="4">
        <f>IF(OR((bourg[[#This Row],[Home_scored]]+bourg[[#This Row],[Away_scored]])&gt;bourg[[#This Row],[total]],OR(bourg[[#This Row],[Result]]="dw",bourg[[#This Row],[Result]]="dl")),1,0)</f>
        <v>1</v>
      </c>
      <c r="CQ20" s="4">
        <f>ABS((bourg[[#This Row],[Home_scored]]+bourg[[#This Row],[Away_scored]])-bourg[[#This Row],[total]])+0.5</f>
        <v>27</v>
      </c>
    </row>
    <row r="21" spans="1:95" x14ac:dyDescent="0.25">
      <c r="A21" s="2" t="s">
        <v>349</v>
      </c>
      <c r="B21" s="2" t="s">
        <v>302</v>
      </c>
      <c r="C21" s="3" t="s">
        <v>73</v>
      </c>
      <c r="D21" s="3">
        <v>45690</v>
      </c>
      <c r="E21" s="2" t="s">
        <v>74</v>
      </c>
      <c r="F21" s="2" t="s">
        <v>305</v>
      </c>
      <c r="G21" s="2" t="s">
        <v>75</v>
      </c>
      <c r="H21" s="11">
        <v>103</v>
      </c>
      <c r="I21" s="11">
        <v>77</v>
      </c>
      <c r="J21" s="11">
        <v>35</v>
      </c>
      <c r="K21" s="11">
        <v>65</v>
      </c>
      <c r="L21" s="12">
        <v>0.53849999999999998</v>
      </c>
      <c r="M21" s="11">
        <v>24</v>
      </c>
      <c r="N21" s="11">
        <v>40</v>
      </c>
      <c r="O21" s="12">
        <v>0.6</v>
      </c>
      <c r="P21" s="11">
        <v>11</v>
      </c>
      <c r="Q21" s="11">
        <v>25</v>
      </c>
      <c r="R21" s="12">
        <v>0.44</v>
      </c>
      <c r="S21" s="11">
        <v>22</v>
      </c>
      <c r="T21" s="11">
        <v>22</v>
      </c>
      <c r="U21" s="12">
        <v>1</v>
      </c>
      <c r="V21" s="11">
        <v>10</v>
      </c>
      <c r="W21" s="11">
        <v>23</v>
      </c>
      <c r="X21" s="11">
        <v>33</v>
      </c>
      <c r="Y21" s="11">
        <v>33</v>
      </c>
      <c r="Z21" s="11">
        <v>21</v>
      </c>
      <c r="AA21" s="11">
        <v>3</v>
      </c>
      <c r="AB21" s="11">
        <v>10</v>
      </c>
      <c r="AC21" s="11">
        <v>14</v>
      </c>
      <c r="AD21" s="11">
        <v>29</v>
      </c>
      <c r="AE21" s="11">
        <v>61</v>
      </c>
      <c r="AF21" s="12">
        <v>0.47539999999999999</v>
      </c>
      <c r="AG21" s="11">
        <v>22</v>
      </c>
      <c r="AH21" s="11">
        <v>41</v>
      </c>
      <c r="AI21" s="12">
        <v>0.53659999999999997</v>
      </c>
      <c r="AJ21" s="11">
        <v>7</v>
      </c>
      <c r="AK21" s="11">
        <v>20</v>
      </c>
      <c r="AL21" s="12">
        <v>0.35</v>
      </c>
      <c r="AM21" s="11">
        <v>12</v>
      </c>
      <c r="AN21" s="11">
        <v>15</v>
      </c>
      <c r="AO21" s="12">
        <v>0.8</v>
      </c>
      <c r="AP21" s="11">
        <v>10</v>
      </c>
      <c r="AQ21" s="11">
        <v>22</v>
      </c>
      <c r="AR21" s="11">
        <v>32</v>
      </c>
      <c r="AS21" s="11">
        <v>32</v>
      </c>
      <c r="AT21" s="11">
        <v>18</v>
      </c>
      <c r="AU21" s="11">
        <v>1</v>
      </c>
      <c r="AV21" s="11">
        <v>20</v>
      </c>
      <c r="AW21" s="11">
        <v>24</v>
      </c>
      <c r="AX21" s="12">
        <v>0.68959999999999999</v>
      </c>
      <c r="AY21" s="12">
        <v>0.62309999999999999</v>
      </c>
      <c r="AZ21" s="12">
        <v>0.3125</v>
      </c>
      <c r="BA21" s="12">
        <v>0.69699999999999995</v>
      </c>
      <c r="BB21" s="12">
        <v>0.50770000000000004</v>
      </c>
      <c r="BC21" s="4">
        <v>74.072999999999993</v>
      </c>
      <c r="BD21" s="12">
        <v>0.94289999999999996</v>
      </c>
      <c r="BE21" s="12">
        <v>0.33850000000000002</v>
      </c>
      <c r="BF21" s="12">
        <v>0.1181</v>
      </c>
      <c r="BG21" s="4">
        <v>137</v>
      </c>
      <c r="BH21" s="4">
        <v>102.4</v>
      </c>
      <c r="BI21" s="4">
        <v>75.186499999999995</v>
      </c>
      <c r="BJ21" s="12">
        <v>0.56950000000000001</v>
      </c>
      <c r="BK21" s="12">
        <v>0.53280000000000005</v>
      </c>
      <c r="BL21" s="12">
        <v>0.30299999999999999</v>
      </c>
      <c r="BM21" s="12">
        <v>0.6875</v>
      </c>
      <c r="BN21" s="12">
        <v>0.49230000000000002</v>
      </c>
      <c r="BO21" s="4">
        <v>76.3</v>
      </c>
      <c r="BP21" s="12">
        <v>1.1033999999999999</v>
      </c>
      <c r="BQ21" s="12">
        <v>0.19670000000000001</v>
      </c>
      <c r="BR21" s="12">
        <v>0.2283</v>
      </c>
      <c r="BS21" s="4">
        <v>102.4</v>
      </c>
      <c r="BT21" s="4">
        <v>137</v>
      </c>
      <c r="BU21" s="11">
        <v>29</v>
      </c>
      <c r="BV21" s="11">
        <v>27</v>
      </c>
      <c r="BW21" s="11">
        <v>26</v>
      </c>
      <c r="BX21" s="11">
        <v>21</v>
      </c>
      <c r="BY21" s="11">
        <v>15</v>
      </c>
      <c r="BZ21" s="11">
        <v>19</v>
      </c>
      <c r="CA21" s="11">
        <v>22</v>
      </c>
      <c r="CB21" s="11">
        <v>21</v>
      </c>
      <c r="CC21" s="11">
        <v>56</v>
      </c>
      <c r="CD21" s="11">
        <v>47</v>
      </c>
      <c r="CE21" s="11">
        <v>34</v>
      </c>
      <c r="CF21" s="11">
        <v>43</v>
      </c>
      <c r="CG21" s="4">
        <v>1.22</v>
      </c>
      <c r="CH21" s="13">
        <v>4.5</v>
      </c>
      <c r="CI21" s="4">
        <v>-9.5</v>
      </c>
      <c r="CJ21" s="4">
        <v>9.5</v>
      </c>
      <c r="CK21" s="4">
        <v>172.5</v>
      </c>
      <c r="CL21" s="2" t="s">
        <v>497</v>
      </c>
      <c r="CM21" s="4" t="str">
        <f>VLOOKUP(bourg[[#This Row],[Away_team]],all[[Full name]:[Abbr]],3,FALSE)</f>
        <v>CHA</v>
      </c>
      <c r="CN21" s="4">
        <f>IF(OR(bourg[[#This Row],[Result]]="w",bourg[[#This Row],[Result]]="dw"),bourg[[#This Row],[win]]-1,-1)</f>
        <v>0.21999999999999997</v>
      </c>
      <c r="CO21" s="4">
        <f>IF(OR(bourg[[#This Row],[Result]]="L",bourg[[#This Row],[Result]]="dl"),bourg[[#This Row],[lose]]-1,-1)</f>
        <v>-1</v>
      </c>
      <c r="CP21" s="4">
        <f>IF(OR((bourg[[#This Row],[Home_scored]]+bourg[[#This Row],[Away_scored]])&gt;bourg[[#This Row],[total]],OR(bourg[[#This Row],[Result]]="dw",bourg[[#This Row],[Result]]="dl")),1,0)</f>
        <v>1</v>
      </c>
      <c r="CQ21" s="4">
        <f>ABS((bourg[[#This Row],[Home_scored]]+bourg[[#This Row],[Away_scored]])-bourg[[#This Row],[total]])+0.5</f>
        <v>8</v>
      </c>
    </row>
    <row r="22" spans="1:95" x14ac:dyDescent="0.25">
      <c r="A22" s="2" t="s">
        <v>349</v>
      </c>
      <c r="B22" s="2" t="s">
        <v>302</v>
      </c>
      <c r="C22" s="3" t="s">
        <v>73</v>
      </c>
      <c r="D22" s="3">
        <v>45696</v>
      </c>
      <c r="E22" s="2" t="s">
        <v>140</v>
      </c>
      <c r="F22" s="2" t="s">
        <v>342</v>
      </c>
      <c r="G22" s="2" t="s">
        <v>75</v>
      </c>
      <c r="H22" s="11">
        <v>83</v>
      </c>
      <c r="I22" s="11">
        <v>81</v>
      </c>
      <c r="J22" s="11">
        <v>27</v>
      </c>
      <c r="K22" s="11">
        <v>51</v>
      </c>
      <c r="L22" s="12">
        <v>0.52939999999999998</v>
      </c>
      <c r="M22" s="11">
        <v>17</v>
      </c>
      <c r="N22" s="11">
        <v>31</v>
      </c>
      <c r="O22" s="12">
        <v>0.5484</v>
      </c>
      <c r="P22" s="11">
        <v>10</v>
      </c>
      <c r="Q22" s="11">
        <v>20</v>
      </c>
      <c r="R22" s="12">
        <v>0.5</v>
      </c>
      <c r="S22" s="11">
        <v>19</v>
      </c>
      <c r="T22" s="11">
        <v>24</v>
      </c>
      <c r="U22" s="12">
        <v>0.79169999999999996</v>
      </c>
      <c r="V22" s="11">
        <v>4</v>
      </c>
      <c r="W22" s="11">
        <v>22</v>
      </c>
      <c r="X22" s="11">
        <v>26</v>
      </c>
      <c r="Y22" s="11">
        <v>16</v>
      </c>
      <c r="Z22" s="11">
        <v>9</v>
      </c>
      <c r="AA22" s="11">
        <v>3</v>
      </c>
      <c r="AB22" s="11">
        <v>9</v>
      </c>
      <c r="AC22" s="11">
        <v>19</v>
      </c>
      <c r="AD22" s="11">
        <v>30</v>
      </c>
      <c r="AE22" s="11">
        <v>62</v>
      </c>
      <c r="AF22" s="12">
        <v>0.4839</v>
      </c>
      <c r="AG22" s="11">
        <v>22</v>
      </c>
      <c r="AH22" s="11">
        <v>38</v>
      </c>
      <c r="AI22" s="12">
        <v>0.57889999999999997</v>
      </c>
      <c r="AJ22" s="11">
        <v>8</v>
      </c>
      <c r="AK22" s="11">
        <v>24</v>
      </c>
      <c r="AL22" s="12">
        <v>0.33329999999999999</v>
      </c>
      <c r="AM22" s="11">
        <v>13</v>
      </c>
      <c r="AN22" s="11">
        <v>21</v>
      </c>
      <c r="AO22" s="12">
        <v>0.61899999999999999</v>
      </c>
      <c r="AP22" s="11">
        <v>15</v>
      </c>
      <c r="AQ22" s="11">
        <v>20</v>
      </c>
      <c r="AR22" s="11">
        <v>35</v>
      </c>
      <c r="AS22" s="11">
        <v>17</v>
      </c>
      <c r="AT22" s="11">
        <v>5</v>
      </c>
      <c r="AU22" s="11">
        <v>2</v>
      </c>
      <c r="AV22" s="11">
        <v>14</v>
      </c>
      <c r="AW22" s="11">
        <v>26</v>
      </c>
      <c r="AX22" s="12">
        <v>0.67410000000000003</v>
      </c>
      <c r="AY22" s="12">
        <v>0.62749999999999995</v>
      </c>
      <c r="AZ22" s="12">
        <v>0.16669999999999999</v>
      </c>
      <c r="BA22" s="12">
        <v>0.59460000000000002</v>
      </c>
      <c r="BB22" s="12">
        <v>0.42620000000000002</v>
      </c>
      <c r="BC22" s="4">
        <v>65.649000000000001</v>
      </c>
      <c r="BD22" s="12">
        <v>0.59260000000000002</v>
      </c>
      <c r="BE22" s="12">
        <v>0.3725</v>
      </c>
      <c r="BF22" s="12">
        <v>0.12759999999999999</v>
      </c>
      <c r="BG22" s="4">
        <v>122.6</v>
      </c>
      <c r="BH22" s="4">
        <v>119.7</v>
      </c>
      <c r="BI22" s="4">
        <v>67.6875</v>
      </c>
      <c r="BJ22" s="12">
        <v>0.56850000000000001</v>
      </c>
      <c r="BK22" s="12">
        <v>0.5484</v>
      </c>
      <c r="BL22" s="12">
        <v>0.40539999999999998</v>
      </c>
      <c r="BM22" s="12">
        <v>0.83330000000000004</v>
      </c>
      <c r="BN22" s="12">
        <v>0.57379999999999998</v>
      </c>
      <c r="BO22" s="4">
        <v>69.725999999999999</v>
      </c>
      <c r="BP22" s="12">
        <v>0.56669999999999998</v>
      </c>
      <c r="BQ22" s="12">
        <v>0.2097</v>
      </c>
      <c r="BR22" s="12">
        <v>0.16420000000000001</v>
      </c>
      <c r="BS22" s="4">
        <v>119.7</v>
      </c>
      <c r="BT22" s="4">
        <v>122.6</v>
      </c>
      <c r="BU22" s="11">
        <v>21</v>
      </c>
      <c r="BV22" s="11">
        <v>19</v>
      </c>
      <c r="BW22" s="11">
        <v>18</v>
      </c>
      <c r="BX22" s="11">
        <v>25</v>
      </c>
      <c r="BY22" s="11">
        <v>21</v>
      </c>
      <c r="BZ22" s="11">
        <v>15</v>
      </c>
      <c r="CA22" s="11">
        <v>22</v>
      </c>
      <c r="CB22" s="11">
        <v>23</v>
      </c>
      <c r="CC22" s="11">
        <v>40</v>
      </c>
      <c r="CD22" s="11">
        <v>43</v>
      </c>
      <c r="CE22" s="11">
        <v>36</v>
      </c>
      <c r="CF22" s="11">
        <v>45</v>
      </c>
      <c r="CG22" s="4">
        <v>1.61</v>
      </c>
      <c r="CH22" s="13">
        <v>2.4</v>
      </c>
      <c r="CI22" s="4">
        <v>-3.5</v>
      </c>
      <c r="CJ22" s="4">
        <v>3.5</v>
      </c>
      <c r="CK22" s="4">
        <v>163.5</v>
      </c>
      <c r="CL22" s="2" t="s">
        <v>501</v>
      </c>
      <c r="CM22" s="4" t="str">
        <f>VLOOKUP(bourg[[#This Row],[Away_team]],all[[Full name]:[Abbr]],3,FALSE)</f>
        <v>SQU</v>
      </c>
      <c r="CN22" s="4">
        <f>IF(OR(bourg[[#This Row],[Result]]="w",bourg[[#This Row],[Result]]="dw"),bourg[[#This Row],[win]]-1,-1)</f>
        <v>0.6100000000000001</v>
      </c>
      <c r="CO22" s="4">
        <f>IF(OR(bourg[[#This Row],[Result]]="L",bourg[[#This Row],[Result]]="dl"),bourg[[#This Row],[lose]]-1,-1)</f>
        <v>-1</v>
      </c>
      <c r="CP22" s="4">
        <f>IF(OR((bourg[[#This Row],[Home_scored]]+bourg[[#This Row],[Away_scored]])&gt;bourg[[#This Row],[total]],OR(bourg[[#This Row],[Result]]="dw",bourg[[#This Row],[Result]]="dl")),1,0)</f>
        <v>1</v>
      </c>
      <c r="CQ22" s="4">
        <f>ABS((bourg[[#This Row],[Home_scored]]+bourg[[#This Row],[Away_scored]])-bourg[[#This Row],[total]])+0.5</f>
        <v>1</v>
      </c>
    </row>
    <row r="23" spans="1:95" x14ac:dyDescent="0.25">
      <c r="A23" s="2" t="s">
        <v>349</v>
      </c>
      <c r="B23" s="2" t="s">
        <v>302</v>
      </c>
      <c r="C23" s="3" t="s">
        <v>73</v>
      </c>
      <c r="D23" s="3">
        <v>45717</v>
      </c>
      <c r="E23" s="2" t="s">
        <v>74</v>
      </c>
      <c r="F23" s="2" t="s">
        <v>333</v>
      </c>
      <c r="G23" s="2" t="s">
        <v>139</v>
      </c>
      <c r="H23" s="11">
        <v>81</v>
      </c>
      <c r="I23" s="11">
        <v>93</v>
      </c>
      <c r="J23" s="11">
        <v>23</v>
      </c>
      <c r="K23" s="11">
        <v>64</v>
      </c>
      <c r="L23" s="12">
        <v>0.3594</v>
      </c>
      <c r="M23" s="11">
        <v>16</v>
      </c>
      <c r="N23" s="11">
        <v>35</v>
      </c>
      <c r="O23" s="12">
        <v>0.45710000000000001</v>
      </c>
      <c r="P23" s="11">
        <v>7</v>
      </c>
      <c r="Q23" s="11">
        <v>29</v>
      </c>
      <c r="R23" s="12">
        <v>0.2414</v>
      </c>
      <c r="S23" s="11">
        <v>28</v>
      </c>
      <c r="T23" s="11">
        <v>35</v>
      </c>
      <c r="U23" s="12">
        <v>0.8</v>
      </c>
      <c r="V23" s="11">
        <v>16</v>
      </c>
      <c r="W23" s="11">
        <v>19</v>
      </c>
      <c r="X23" s="11">
        <v>35</v>
      </c>
      <c r="Y23" s="11">
        <v>12</v>
      </c>
      <c r="Z23" s="11">
        <v>10</v>
      </c>
      <c r="AA23" s="11">
        <v>4</v>
      </c>
      <c r="AB23" s="11">
        <v>13</v>
      </c>
      <c r="AC23" s="11">
        <v>20</v>
      </c>
      <c r="AD23" s="11">
        <v>34</v>
      </c>
      <c r="AE23" s="11">
        <v>58</v>
      </c>
      <c r="AF23" s="12">
        <v>0.58620000000000005</v>
      </c>
      <c r="AG23" s="11">
        <v>23</v>
      </c>
      <c r="AH23" s="11">
        <v>38</v>
      </c>
      <c r="AI23" s="12">
        <v>0.60529999999999995</v>
      </c>
      <c r="AJ23" s="11">
        <v>11</v>
      </c>
      <c r="AK23" s="11">
        <v>20</v>
      </c>
      <c r="AL23" s="12">
        <v>0.55000000000000004</v>
      </c>
      <c r="AM23" s="11">
        <v>14</v>
      </c>
      <c r="AN23" s="11">
        <v>22</v>
      </c>
      <c r="AO23" s="12">
        <v>0.63639999999999997</v>
      </c>
      <c r="AP23" s="11">
        <v>8</v>
      </c>
      <c r="AQ23" s="11">
        <v>29</v>
      </c>
      <c r="AR23" s="11">
        <v>37</v>
      </c>
      <c r="AS23" s="11">
        <v>20</v>
      </c>
      <c r="AT23" s="11">
        <v>7</v>
      </c>
      <c r="AU23" s="11">
        <v>1</v>
      </c>
      <c r="AV23" s="11">
        <v>18</v>
      </c>
      <c r="AW23" s="11">
        <v>24</v>
      </c>
      <c r="AX23" s="12">
        <v>0.5101</v>
      </c>
      <c r="AY23" s="12">
        <v>0.41410000000000002</v>
      </c>
      <c r="AZ23" s="12">
        <v>0.35560000000000003</v>
      </c>
      <c r="BA23" s="12">
        <v>0.70369999999999999</v>
      </c>
      <c r="BB23" s="12">
        <v>0.48609999999999998</v>
      </c>
      <c r="BC23" s="4">
        <v>70.944999999999993</v>
      </c>
      <c r="BD23" s="12">
        <v>0.52170000000000005</v>
      </c>
      <c r="BE23" s="12">
        <v>0.4375</v>
      </c>
      <c r="BF23" s="12">
        <v>0.14069999999999999</v>
      </c>
      <c r="BG23" s="4">
        <v>107.9</v>
      </c>
      <c r="BH23" s="4">
        <v>123.8</v>
      </c>
      <c r="BI23" s="4">
        <v>75.096500000000006</v>
      </c>
      <c r="BJ23" s="12">
        <v>0.68710000000000004</v>
      </c>
      <c r="BK23" s="12">
        <v>0.68100000000000005</v>
      </c>
      <c r="BL23" s="12">
        <v>0.29630000000000001</v>
      </c>
      <c r="BM23" s="12">
        <v>0.64439999999999997</v>
      </c>
      <c r="BN23" s="12">
        <v>0.51390000000000002</v>
      </c>
      <c r="BO23" s="4">
        <v>79.248000000000005</v>
      </c>
      <c r="BP23" s="12">
        <v>0.58819999999999995</v>
      </c>
      <c r="BQ23" s="12">
        <v>0.2414</v>
      </c>
      <c r="BR23" s="12">
        <v>0.21010000000000001</v>
      </c>
      <c r="BS23" s="4">
        <v>123.8</v>
      </c>
      <c r="BT23" s="4">
        <v>107.9</v>
      </c>
      <c r="BU23" s="11">
        <v>27</v>
      </c>
      <c r="BV23" s="11">
        <v>18</v>
      </c>
      <c r="BW23" s="11">
        <v>11</v>
      </c>
      <c r="BX23" s="11">
        <v>25</v>
      </c>
      <c r="BY23" s="11">
        <v>20</v>
      </c>
      <c r="BZ23" s="11">
        <v>23</v>
      </c>
      <c r="CA23" s="11">
        <v>29</v>
      </c>
      <c r="CB23" s="11">
        <v>21</v>
      </c>
      <c r="CC23" s="11">
        <v>45</v>
      </c>
      <c r="CD23" s="11">
        <v>36</v>
      </c>
      <c r="CE23" s="11">
        <v>43</v>
      </c>
      <c r="CF23" s="11">
        <v>50</v>
      </c>
      <c r="CG23" s="4">
        <v>1.25</v>
      </c>
      <c r="CH23" s="13">
        <v>4.2</v>
      </c>
      <c r="CI23" s="4">
        <v>-9</v>
      </c>
      <c r="CJ23" s="4">
        <v>-9</v>
      </c>
      <c r="CK23" s="4">
        <v>174.5</v>
      </c>
      <c r="CL23" s="2" t="s">
        <v>509</v>
      </c>
      <c r="CM23" s="4" t="str">
        <f>VLOOKUP(bourg[[#This Row],[Away_team]],all[[Full name]:[Abbr]],3,FALSE)</f>
        <v>NCY</v>
      </c>
      <c r="CN23" s="4">
        <f>IF(OR(bourg[[#This Row],[Result]]="w",bourg[[#This Row],[Result]]="dw"),bourg[[#This Row],[win]]-1,-1)</f>
        <v>-1</v>
      </c>
      <c r="CO23" s="4">
        <f>IF(OR(bourg[[#This Row],[Result]]="L",bourg[[#This Row],[Result]]="dl"),bourg[[#This Row],[lose]]-1,-1)</f>
        <v>3.2</v>
      </c>
      <c r="CP23" s="4">
        <f>IF(OR((bourg[[#This Row],[Home_scored]]+bourg[[#This Row],[Away_scored]])&gt;bourg[[#This Row],[total]],OR(bourg[[#This Row],[Result]]="dw",bourg[[#This Row],[Result]]="dl")),1,0)</f>
        <v>0</v>
      </c>
      <c r="CQ23" s="4">
        <f>ABS((bourg[[#This Row],[Home_scored]]+bourg[[#This Row],[Away_scored]])-bourg[[#This Row],[total]])+0.5</f>
        <v>1</v>
      </c>
    </row>
    <row r="24" spans="1:95" x14ac:dyDescent="0.25">
      <c r="A24" s="2" t="s">
        <v>349</v>
      </c>
      <c r="B24" s="2" t="s">
        <v>302</v>
      </c>
      <c r="C24" s="3" t="s">
        <v>73</v>
      </c>
      <c r="D24" s="3">
        <v>45724</v>
      </c>
      <c r="E24" s="2" t="s">
        <v>74</v>
      </c>
      <c r="F24" s="2" t="s">
        <v>314</v>
      </c>
      <c r="G24" s="2" t="s">
        <v>75</v>
      </c>
      <c r="H24" s="11">
        <v>94</v>
      </c>
      <c r="I24" s="11">
        <v>84</v>
      </c>
      <c r="J24" s="11">
        <v>30</v>
      </c>
      <c r="K24" s="11">
        <v>66</v>
      </c>
      <c r="L24" s="12">
        <v>0.45450000000000002</v>
      </c>
      <c r="M24" s="11">
        <v>26</v>
      </c>
      <c r="N24" s="11">
        <v>44</v>
      </c>
      <c r="O24" s="12">
        <v>0.59089999999999998</v>
      </c>
      <c r="P24" s="11">
        <v>4</v>
      </c>
      <c r="Q24" s="11">
        <v>22</v>
      </c>
      <c r="R24" s="12">
        <v>0.18179999999999999</v>
      </c>
      <c r="S24" s="11">
        <v>30</v>
      </c>
      <c r="T24" s="11">
        <v>37</v>
      </c>
      <c r="U24" s="12">
        <v>0.81079999999999997</v>
      </c>
      <c r="V24" s="11">
        <v>15</v>
      </c>
      <c r="W24" s="11">
        <v>24</v>
      </c>
      <c r="X24" s="11">
        <v>39</v>
      </c>
      <c r="Y24" s="11">
        <v>19</v>
      </c>
      <c r="Z24" s="11">
        <v>8</v>
      </c>
      <c r="AA24" s="11">
        <v>1</v>
      </c>
      <c r="AB24" s="11">
        <v>7</v>
      </c>
      <c r="AC24" s="11">
        <v>27</v>
      </c>
      <c r="AD24" s="11">
        <v>23</v>
      </c>
      <c r="AE24" s="11">
        <v>51</v>
      </c>
      <c r="AF24" s="12">
        <v>0.45100000000000001</v>
      </c>
      <c r="AG24" s="11">
        <v>12</v>
      </c>
      <c r="AH24" s="11">
        <v>27</v>
      </c>
      <c r="AI24" s="12">
        <v>0.44440000000000002</v>
      </c>
      <c r="AJ24" s="11">
        <v>11</v>
      </c>
      <c r="AK24" s="11">
        <v>24</v>
      </c>
      <c r="AL24" s="12">
        <v>0.45829999999999999</v>
      </c>
      <c r="AM24" s="11">
        <v>27</v>
      </c>
      <c r="AN24" s="11">
        <v>32</v>
      </c>
      <c r="AO24" s="12">
        <v>0.84379999999999999</v>
      </c>
      <c r="AP24" s="11">
        <v>5</v>
      </c>
      <c r="AQ24" s="11">
        <v>26</v>
      </c>
      <c r="AR24" s="11">
        <v>31</v>
      </c>
      <c r="AS24" s="11">
        <v>11</v>
      </c>
      <c r="AT24" s="11">
        <v>2</v>
      </c>
      <c r="AU24" s="11">
        <v>0</v>
      </c>
      <c r="AV24" s="11">
        <v>12</v>
      </c>
      <c r="AW24" s="11">
        <v>32</v>
      </c>
      <c r="AX24" s="12">
        <v>0.57120000000000004</v>
      </c>
      <c r="AY24" s="12">
        <v>0.48480000000000001</v>
      </c>
      <c r="AZ24" s="12">
        <v>0.3659</v>
      </c>
      <c r="BA24" s="12">
        <v>0.8276</v>
      </c>
      <c r="BB24" s="12">
        <v>0.55710000000000004</v>
      </c>
      <c r="BC24" s="4">
        <v>72.984999999999999</v>
      </c>
      <c r="BD24" s="12">
        <v>0.63329999999999997</v>
      </c>
      <c r="BE24" s="12">
        <v>0.45450000000000002</v>
      </c>
      <c r="BF24" s="12">
        <v>7.8399999999999997E-2</v>
      </c>
      <c r="BG24" s="4">
        <v>130.6</v>
      </c>
      <c r="BH24" s="4">
        <v>116.7</v>
      </c>
      <c r="BI24" s="4">
        <v>71.976500000000001</v>
      </c>
      <c r="BJ24" s="12">
        <v>0.64539999999999997</v>
      </c>
      <c r="BK24" s="12">
        <v>0.55879999999999996</v>
      </c>
      <c r="BL24" s="12">
        <v>0.1724</v>
      </c>
      <c r="BM24" s="12">
        <v>0.6341</v>
      </c>
      <c r="BN24" s="12">
        <v>0.44290000000000002</v>
      </c>
      <c r="BO24" s="4">
        <v>70.968000000000004</v>
      </c>
      <c r="BP24" s="12">
        <v>0.4783</v>
      </c>
      <c r="BQ24" s="12">
        <v>0.52939999999999998</v>
      </c>
      <c r="BR24" s="12">
        <v>0.15570000000000001</v>
      </c>
      <c r="BS24" s="4">
        <v>116.7</v>
      </c>
      <c r="BT24" s="4">
        <v>130.6</v>
      </c>
      <c r="BU24" s="11">
        <v>19</v>
      </c>
      <c r="BV24" s="11">
        <v>29</v>
      </c>
      <c r="BW24" s="11">
        <v>24</v>
      </c>
      <c r="BX24" s="11">
        <v>22</v>
      </c>
      <c r="BY24" s="11">
        <v>25</v>
      </c>
      <c r="BZ24" s="11">
        <v>21</v>
      </c>
      <c r="CA24" s="11">
        <v>20</v>
      </c>
      <c r="CB24" s="11">
        <v>18</v>
      </c>
      <c r="CC24" s="11">
        <v>48</v>
      </c>
      <c r="CD24" s="11">
        <v>46</v>
      </c>
      <c r="CE24" s="11">
        <v>46</v>
      </c>
      <c r="CF24" s="11">
        <v>38</v>
      </c>
      <c r="CG24" s="4">
        <v>1.32</v>
      </c>
      <c r="CH24" s="13">
        <v>3.5</v>
      </c>
      <c r="CI24" s="4">
        <v>-7.5</v>
      </c>
      <c r="CJ24" s="4">
        <v>7.5</v>
      </c>
      <c r="CK24" s="4">
        <v>161.5</v>
      </c>
      <c r="CL24" s="2" t="s">
        <v>519</v>
      </c>
      <c r="CM24" s="4" t="str">
        <f>VLOOKUP(bourg[[#This Row],[Away_team]],all[[Full name]:[Abbr]],3,FALSE)</f>
        <v>DUN</v>
      </c>
      <c r="CN24" s="4">
        <f>IF(OR(bourg[[#This Row],[Result]]="w",bourg[[#This Row],[Result]]="dw"),bourg[[#This Row],[win]]-1,-1)</f>
        <v>0.32000000000000006</v>
      </c>
      <c r="CO24" s="4">
        <f>IF(OR(bourg[[#This Row],[Result]]="L",bourg[[#This Row],[Result]]="dl"),bourg[[#This Row],[lose]]-1,-1)</f>
        <v>-1</v>
      </c>
      <c r="CP24" s="4">
        <f>IF(OR((bourg[[#This Row],[Home_scored]]+bourg[[#This Row],[Away_scored]])&gt;bourg[[#This Row],[total]],OR(bourg[[#This Row],[Result]]="dw",bourg[[#This Row],[Result]]="dl")),1,0)</f>
        <v>1</v>
      </c>
      <c r="CQ24" s="4">
        <f>ABS((bourg[[#This Row],[Home_scored]]+bourg[[#This Row],[Away_scored]])-bourg[[#This Row],[total]])+0.5</f>
        <v>17</v>
      </c>
    </row>
    <row r="25" spans="1:95" x14ac:dyDescent="0.25">
      <c r="A25" s="2" t="s">
        <v>349</v>
      </c>
      <c r="B25" s="2" t="s">
        <v>302</v>
      </c>
      <c r="C25" s="3" t="s">
        <v>73</v>
      </c>
      <c r="D25" s="3">
        <v>45738</v>
      </c>
      <c r="E25" s="2" t="s">
        <v>140</v>
      </c>
      <c r="F25" s="2" t="s">
        <v>324</v>
      </c>
      <c r="G25" s="2" t="s">
        <v>75</v>
      </c>
      <c r="H25" s="11">
        <v>87</v>
      </c>
      <c r="I25" s="11">
        <v>63</v>
      </c>
      <c r="J25" s="11">
        <v>36</v>
      </c>
      <c r="K25" s="11">
        <v>71</v>
      </c>
      <c r="L25" s="12">
        <v>0.50700000000000001</v>
      </c>
      <c r="M25" s="11">
        <v>31</v>
      </c>
      <c r="N25" s="11">
        <v>50</v>
      </c>
      <c r="O25" s="12">
        <v>0.62</v>
      </c>
      <c r="P25" s="11">
        <v>5</v>
      </c>
      <c r="Q25" s="11">
        <v>21</v>
      </c>
      <c r="R25" s="12">
        <v>0.23810000000000001</v>
      </c>
      <c r="S25" s="11">
        <v>10</v>
      </c>
      <c r="T25" s="11">
        <v>18</v>
      </c>
      <c r="U25" s="12">
        <v>0.55559999999999998</v>
      </c>
      <c r="V25" s="11">
        <v>18</v>
      </c>
      <c r="W25" s="11">
        <v>31</v>
      </c>
      <c r="X25" s="11">
        <v>49</v>
      </c>
      <c r="Y25" s="11">
        <v>27</v>
      </c>
      <c r="Z25" s="11">
        <v>9</v>
      </c>
      <c r="AA25" s="11">
        <v>2</v>
      </c>
      <c r="AB25" s="11">
        <v>13</v>
      </c>
      <c r="AC25" s="11">
        <v>19</v>
      </c>
      <c r="AD25" s="11">
        <v>22</v>
      </c>
      <c r="AE25" s="11">
        <v>62</v>
      </c>
      <c r="AF25" s="12">
        <v>0.3548</v>
      </c>
      <c r="AG25" s="11">
        <v>16</v>
      </c>
      <c r="AH25" s="11">
        <v>40</v>
      </c>
      <c r="AI25" s="12">
        <v>0.4</v>
      </c>
      <c r="AJ25" s="11">
        <v>6</v>
      </c>
      <c r="AK25" s="11">
        <v>22</v>
      </c>
      <c r="AL25" s="12">
        <v>0.2727</v>
      </c>
      <c r="AM25" s="11">
        <v>13</v>
      </c>
      <c r="AN25" s="11">
        <v>21</v>
      </c>
      <c r="AO25" s="12">
        <v>0.61899999999999999</v>
      </c>
      <c r="AP25" s="11">
        <v>14</v>
      </c>
      <c r="AQ25" s="11">
        <v>20</v>
      </c>
      <c r="AR25" s="11">
        <v>34</v>
      </c>
      <c r="AS25" s="11">
        <v>21</v>
      </c>
      <c r="AT25" s="11">
        <v>5</v>
      </c>
      <c r="AU25" s="11">
        <v>2</v>
      </c>
      <c r="AV25" s="11">
        <v>15</v>
      </c>
      <c r="AW25" s="11">
        <v>17</v>
      </c>
      <c r="AX25" s="12">
        <v>0.55120000000000002</v>
      </c>
      <c r="AY25" s="12">
        <v>0.5423</v>
      </c>
      <c r="AZ25" s="12">
        <v>0.47370000000000001</v>
      </c>
      <c r="BA25" s="12">
        <v>0.68889999999999996</v>
      </c>
      <c r="BB25" s="12">
        <v>0.59040000000000004</v>
      </c>
      <c r="BC25" s="4">
        <v>77.442999999999998</v>
      </c>
      <c r="BD25" s="12">
        <v>0.75</v>
      </c>
      <c r="BE25" s="12">
        <v>0.14080000000000001</v>
      </c>
      <c r="BF25" s="12">
        <v>0.1414</v>
      </c>
      <c r="BG25" s="4">
        <v>119.8</v>
      </c>
      <c r="BH25" s="4">
        <v>86.8</v>
      </c>
      <c r="BI25" s="4">
        <v>72.609499999999997</v>
      </c>
      <c r="BJ25" s="12">
        <v>0.44219999999999998</v>
      </c>
      <c r="BK25" s="12">
        <v>0.4032</v>
      </c>
      <c r="BL25" s="12">
        <v>0.31109999999999999</v>
      </c>
      <c r="BM25" s="12">
        <v>0.52629999999999999</v>
      </c>
      <c r="BN25" s="12">
        <v>0.40960000000000002</v>
      </c>
      <c r="BO25" s="4">
        <v>67.775999999999996</v>
      </c>
      <c r="BP25" s="12">
        <v>0.95450000000000002</v>
      </c>
      <c r="BQ25" s="12">
        <v>0.2097</v>
      </c>
      <c r="BR25" s="12">
        <v>0.1739</v>
      </c>
      <c r="BS25" s="4">
        <v>86.8</v>
      </c>
      <c r="BT25" s="4">
        <v>119.8</v>
      </c>
      <c r="BU25" s="11">
        <v>29</v>
      </c>
      <c r="BV25" s="11">
        <v>20</v>
      </c>
      <c r="BW25" s="11">
        <v>22</v>
      </c>
      <c r="BX25" s="11">
        <v>16</v>
      </c>
      <c r="BY25" s="11">
        <v>18</v>
      </c>
      <c r="BZ25" s="11">
        <v>17</v>
      </c>
      <c r="CA25" s="11">
        <v>12</v>
      </c>
      <c r="CB25" s="11">
        <v>16</v>
      </c>
      <c r="CC25" s="11">
        <v>49</v>
      </c>
      <c r="CD25" s="11">
        <v>38</v>
      </c>
      <c r="CE25" s="11">
        <v>35</v>
      </c>
      <c r="CF25" s="11">
        <v>28</v>
      </c>
      <c r="CG25" s="4">
        <v>1.52</v>
      </c>
      <c r="CH25" s="13">
        <v>2.6</v>
      </c>
      <c r="CI25" s="4">
        <v>-4.5</v>
      </c>
      <c r="CJ25" s="4">
        <v>4.5</v>
      </c>
      <c r="CK25" s="4">
        <v>165.5</v>
      </c>
      <c r="CL25" s="2" t="s">
        <v>524</v>
      </c>
      <c r="CM25" s="4" t="str">
        <f>VLOOKUP(bourg[[#This Row],[Away_team]],all[[Full name]:[Abbr]],3,FALSE)</f>
        <v>LIM</v>
      </c>
      <c r="CN25" s="4">
        <f>IF(OR(bourg[[#This Row],[Result]]="w",bourg[[#This Row],[Result]]="dw"),bourg[[#This Row],[win]]-1,-1)</f>
        <v>0.52</v>
      </c>
      <c r="CO25" s="4">
        <f>IF(OR(bourg[[#This Row],[Result]]="L",bourg[[#This Row],[Result]]="dl"),bourg[[#This Row],[lose]]-1,-1)</f>
        <v>-1</v>
      </c>
      <c r="CP25" s="4">
        <f>IF(OR((bourg[[#This Row],[Home_scored]]+bourg[[#This Row],[Away_scored]])&gt;bourg[[#This Row],[total]],OR(bourg[[#This Row],[Result]]="dw",bourg[[#This Row],[Result]]="dl")),1,0)</f>
        <v>0</v>
      </c>
      <c r="CQ25" s="4">
        <f>ABS((bourg[[#This Row],[Home_scored]]+bourg[[#This Row],[Away_scored]])-bourg[[#This Row],[total]])+0.5</f>
        <v>16</v>
      </c>
    </row>
    <row r="26" spans="1:95" x14ac:dyDescent="0.25">
      <c r="A26" s="2" t="s">
        <v>349</v>
      </c>
      <c r="B26" s="2" t="s">
        <v>302</v>
      </c>
      <c r="C26" s="3" t="s">
        <v>73</v>
      </c>
      <c r="D26" s="3">
        <v>45745</v>
      </c>
      <c r="E26" s="2" t="s">
        <v>74</v>
      </c>
      <c r="F26" s="2" t="s">
        <v>323</v>
      </c>
      <c r="G26" s="2" t="s">
        <v>75</v>
      </c>
      <c r="H26" s="11">
        <v>87</v>
      </c>
      <c r="I26" s="11">
        <v>67</v>
      </c>
      <c r="J26" s="11">
        <v>32</v>
      </c>
      <c r="K26" s="11">
        <v>66</v>
      </c>
      <c r="L26" s="12">
        <v>0.48480000000000001</v>
      </c>
      <c r="M26" s="11">
        <v>27</v>
      </c>
      <c r="N26" s="11">
        <v>48</v>
      </c>
      <c r="O26" s="12">
        <v>0.5625</v>
      </c>
      <c r="P26" s="11">
        <v>5</v>
      </c>
      <c r="Q26" s="11">
        <v>18</v>
      </c>
      <c r="R26" s="12">
        <v>0.27779999999999999</v>
      </c>
      <c r="S26" s="11">
        <v>18</v>
      </c>
      <c r="T26" s="11">
        <v>31</v>
      </c>
      <c r="U26" s="12">
        <v>0.5806</v>
      </c>
      <c r="V26" s="11">
        <v>17</v>
      </c>
      <c r="W26" s="11">
        <v>27</v>
      </c>
      <c r="X26" s="11">
        <v>44</v>
      </c>
      <c r="Y26" s="11">
        <v>22</v>
      </c>
      <c r="Z26" s="11">
        <v>5</v>
      </c>
      <c r="AA26" s="11">
        <v>4</v>
      </c>
      <c r="AB26" s="11">
        <v>10</v>
      </c>
      <c r="AC26" s="11">
        <v>16</v>
      </c>
      <c r="AD26" s="11">
        <v>25</v>
      </c>
      <c r="AE26" s="11">
        <v>55</v>
      </c>
      <c r="AF26" s="12">
        <v>0.45450000000000002</v>
      </c>
      <c r="AG26" s="11">
        <v>18</v>
      </c>
      <c r="AH26" s="11">
        <v>33</v>
      </c>
      <c r="AI26" s="12">
        <v>0.54549999999999998</v>
      </c>
      <c r="AJ26" s="11">
        <v>7</v>
      </c>
      <c r="AK26" s="11">
        <v>22</v>
      </c>
      <c r="AL26" s="12">
        <v>0.31819999999999998</v>
      </c>
      <c r="AM26" s="11">
        <v>10</v>
      </c>
      <c r="AN26" s="11">
        <v>14</v>
      </c>
      <c r="AO26" s="12">
        <v>0.71430000000000005</v>
      </c>
      <c r="AP26" s="11">
        <v>4</v>
      </c>
      <c r="AQ26" s="11">
        <v>23</v>
      </c>
      <c r="AR26" s="11">
        <v>27</v>
      </c>
      <c r="AS26" s="11">
        <v>17</v>
      </c>
      <c r="AT26" s="11">
        <v>7</v>
      </c>
      <c r="AU26" s="11">
        <v>2</v>
      </c>
      <c r="AV26" s="11">
        <v>16</v>
      </c>
      <c r="AW26" s="11">
        <v>26</v>
      </c>
      <c r="AX26" s="12">
        <v>0.54620000000000002</v>
      </c>
      <c r="AY26" s="12">
        <v>0.52270000000000005</v>
      </c>
      <c r="AZ26" s="12">
        <v>0.42499999999999999</v>
      </c>
      <c r="BA26" s="12">
        <v>0.871</v>
      </c>
      <c r="BB26" s="12">
        <v>0.61970000000000003</v>
      </c>
      <c r="BC26" s="4">
        <v>74.343999999999994</v>
      </c>
      <c r="BD26" s="12">
        <v>0.6875</v>
      </c>
      <c r="BE26" s="12">
        <v>0.2727</v>
      </c>
      <c r="BF26" s="12">
        <v>0.1116</v>
      </c>
      <c r="BG26" s="4">
        <v>119</v>
      </c>
      <c r="BH26" s="4">
        <v>91.7</v>
      </c>
      <c r="BI26" s="4">
        <v>73.093999999999994</v>
      </c>
      <c r="BJ26" s="12">
        <v>0.54769999999999996</v>
      </c>
      <c r="BK26" s="12">
        <v>0.51819999999999999</v>
      </c>
      <c r="BL26" s="12">
        <v>0.129</v>
      </c>
      <c r="BM26" s="12">
        <v>0.57499999999999996</v>
      </c>
      <c r="BN26" s="12">
        <v>0.38030000000000003</v>
      </c>
      <c r="BO26" s="4">
        <v>71.843999999999994</v>
      </c>
      <c r="BP26" s="12">
        <v>0.68</v>
      </c>
      <c r="BQ26" s="12">
        <v>0.18179999999999999</v>
      </c>
      <c r="BR26" s="12">
        <v>0.2074</v>
      </c>
      <c r="BS26" s="4">
        <v>91.7</v>
      </c>
      <c r="BT26" s="4">
        <v>119</v>
      </c>
      <c r="BU26" s="11">
        <v>23</v>
      </c>
      <c r="BV26" s="11">
        <v>28</v>
      </c>
      <c r="BW26" s="11">
        <v>22</v>
      </c>
      <c r="BX26" s="11">
        <v>14</v>
      </c>
      <c r="BY26" s="11">
        <v>13</v>
      </c>
      <c r="BZ26" s="11">
        <v>15</v>
      </c>
      <c r="CA26" s="11">
        <v>18</v>
      </c>
      <c r="CB26" s="11">
        <v>21</v>
      </c>
      <c r="CC26" s="11">
        <v>51</v>
      </c>
      <c r="CD26" s="11">
        <v>36</v>
      </c>
      <c r="CE26" s="11">
        <v>28</v>
      </c>
      <c r="CF26" s="11">
        <v>39</v>
      </c>
      <c r="CG26" s="4">
        <v>1.1399999999999999</v>
      </c>
      <c r="CH26" s="13">
        <v>6</v>
      </c>
      <c r="CI26" s="4">
        <v>-11.5</v>
      </c>
      <c r="CJ26" s="4">
        <v>11.5</v>
      </c>
      <c r="CK26" s="4">
        <v>161.5</v>
      </c>
      <c r="CL26" s="2" t="s">
        <v>531</v>
      </c>
      <c r="CM26" s="4" t="e">
        <f>VLOOKUP(bourg[[#This Row],[Away_team]],all[[Full name]:[Abbr]],3,FALSE)</f>
        <v>#N/A</v>
      </c>
      <c r="CN26" s="4">
        <f>IF(OR(bourg[[#This Row],[Result]]="w",bourg[[#This Row],[Result]]="dw"),bourg[[#This Row],[win]]-1,-1)</f>
        <v>0.1399999999999999</v>
      </c>
      <c r="CO26" s="4">
        <f>IF(OR(bourg[[#This Row],[Result]]="L",bourg[[#This Row],[Result]]="dl"),bourg[[#This Row],[lose]]-1,-1)</f>
        <v>-1</v>
      </c>
      <c r="CP26" s="4">
        <f>IF(OR((bourg[[#This Row],[Home_scored]]+bourg[[#This Row],[Away_scored]])&gt;bourg[[#This Row],[total]],OR(bourg[[#This Row],[Result]]="dw",bourg[[#This Row],[Result]]="dl")),1,0)</f>
        <v>0</v>
      </c>
      <c r="CQ26" s="4">
        <f>ABS((bourg[[#This Row],[Home_scored]]+bourg[[#This Row],[Away_scored]])-bourg[[#This Row],[total]])+0.5</f>
        <v>8</v>
      </c>
    </row>
    <row r="27" spans="1:95" x14ac:dyDescent="0.25">
      <c r="A27" s="2" t="s">
        <v>349</v>
      </c>
      <c r="B27" s="2" t="s">
        <v>302</v>
      </c>
      <c r="C27" s="3" t="s">
        <v>73</v>
      </c>
      <c r="D27" s="3">
        <v>45752</v>
      </c>
      <c r="E27" s="2" t="s">
        <v>140</v>
      </c>
      <c r="F27" s="2" t="s">
        <v>311</v>
      </c>
      <c r="G27" s="2" t="s">
        <v>139</v>
      </c>
      <c r="H27" s="11">
        <v>95</v>
      </c>
      <c r="I27" s="11">
        <v>97</v>
      </c>
      <c r="J27" s="11">
        <v>28</v>
      </c>
      <c r="K27" s="11">
        <v>60</v>
      </c>
      <c r="L27" s="12">
        <v>0.4667</v>
      </c>
      <c r="M27" s="11">
        <v>21</v>
      </c>
      <c r="N27" s="11">
        <v>37</v>
      </c>
      <c r="O27" s="12">
        <v>0.56759999999999999</v>
      </c>
      <c r="P27" s="11">
        <v>7</v>
      </c>
      <c r="Q27" s="11">
        <v>23</v>
      </c>
      <c r="R27" s="12">
        <v>0.30430000000000001</v>
      </c>
      <c r="S27" s="11">
        <v>32</v>
      </c>
      <c r="T27" s="11">
        <v>42</v>
      </c>
      <c r="U27" s="12">
        <v>0.76190000000000002</v>
      </c>
      <c r="V27" s="11">
        <v>12</v>
      </c>
      <c r="W27" s="11">
        <v>25</v>
      </c>
      <c r="X27" s="11">
        <v>37</v>
      </c>
      <c r="Y27" s="11">
        <v>11</v>
      </c>
      <c r="Z27" s="11">
        <v>2</v>
      </c>
      <c r="AA27" s="11">
        <v>2</v>
      </c>
      <c r="AB27" s="11">
        <v>10</v>
      </c>
      <c r="AC27" s="11">
        <v>26</v>
      </c>
      <c r="AD27" s="11">
        <v>32</v>
      </c>
      <c r="AE27" s="11">
        <v>62</v>
      </c>
      <c r="AF27" s="12">
        <v>0.5161</v>
      </c>
      <c r="AG27" s="11">
        <v>23</v>
      </c>
      <c r="AH27" s="11">
        <v>41</v>
      </c>
      <c r="AI27" s="12">
        <v>0.56100000000000005</v>
      </c>
      <c r="AJ27" s="11">
        <v>9</v>
      </c>
      <c r="AK27" s="11">
        <v>21</v>
      </c>
      <c r="AL27" s="12">
        <v>0.42859999999999998</v>
      </c>
      <c r="AM27" s="11">
        <v>24</v>
      </c>
      <c r="AN27" s="11">
        <v>26</v>
      </c>
      <c r="AO27" s="12">
        <v>0.92310000000000003</v>
      </c>
      <c r="AP27" s="11">
        <v>5</v>
      </c>
      <c r="AQ27" s="11">
        <v>25</v>
      </c>
      <c r="AR27" s="11">
        <v>30</v>
      </c>
      <c r="AS27" s="11">
        <v>27</v>
      </c>
      <c r="AT27" s="11">
        <v>5</v>
      </c>
      <c r="AU27" s="11">
        <v>1</v>
      </c>
      <c r="AV27" s="11">
        <v>6</v>
      </c>
      <c r="AW27" s="11">
        <v>35</v>
      </c>
      <c r="AX27" s="12">
        <v>0.60519999999999996</v>
      </c>
      <c r="AY27" s="12">
        <v>0.52500000000000002</v>
      </c>
      <c r="AZ27" s="12">
        <v>0.32429999999999998</v>
      </c>
      <c r="BA27" s="12">
        <v>0.83330000000000004</v>
      </c>
      <c r="BB27" s="12">
        <v>0.55220000000000002</v>
      </c>
      <c r="BC27" s="4">
        <v>75.694999999999993</v>
      </c>
      <c r="BD27" s="12">
        <v>0.39290000000000003</v>
      </c>
      <c r="BE27" s="12">
        <v>0.5333</v>
      </c>
      <c r="BF27" s="12">
        <v>0.113</v>
      </c>
      <c r="BG27" s="4">
        <v>127.7</v>
      </c>
      <c r="BH27" s="4">
        <v>130.4</v>
      </c>
      <c r="BI27" s="4">
        <v>74.372500000000002</v>
      </c>
      <c r="BJ27" s="12">
        <v>0.66039999999999999</v>
      </c>
      <c r="BK27" s="12">
        <v>0.5887</v>
      </c>
      <c r="BL27" s="12">
        <v>0.16669999999999999</v>
      </c>
      <c r="BM27" s="12">
        <v>0.67569999999999997</v>
      </c>
      <c r="BN27" s="12">
        <v>0.44779999999999998</v>
      </c>
      <c r="BO27" s="4">
        <v>73.05</v>
      </c>
      <c r="BP27" s="12">
        <v>0.84379999999999999</v>
      </c>
      <c r="BQ27" s="12">
        <v>0.3871</v>
      </c>
      <c r="BR27" s="12">
        <v>7.5499999999999998E-2</v>
      </c>
      <c r="BS27" s="4">
        <v>130.4</v>
      </c>
      <c r="BT27" s="4">
        <v>127.7</v>
      </c>
      <c r="BU27" s="11">
        <v>18</v>
      </c>
      <c r="BV27" s="11">
        <v>27</v>
      </c>
      <c r="BW27" s="11">
        <v>21</v>
      </c>
      <c r="BX27" s="11">
        <v>29</v>
      </c>
      <c r="BY27" s="11">
        <v>19</v>
      </c>
      <c r="BZ27" s="11">
        <v>29</v>
      </c>
      <c r="CA27" s="11">
        <v>20</v>
      </c>
      <c r="CB27" s="11">
        <v>29</v>
      </c>
      <c r="CC27" s="11">
        <v>45</v>
      </c>
      <c r="CD27" s="11">
        <v>50</v>
      </c>
      <c r="CE27" s="11">
        <v>48</v>
      </c>
      <c r="CF27" s="11">
        <v>49</v>
      </c>
      <c r="CG27" s="4">
        <v>1.71</v>
      </c>
      <c r="CH27" s="13">
        <v>2.2000000000000002</v>
      </c>
      <c r="CI27" s="4">
        <v>-2.5</v>
      </c>
      <c r="CJ27" s="4">
        <v>2.5</v>
      </c>
      <c r="CK27" s="4">
        <v>170.5</v>
      </c>
      <c r="CL27" s="2" t="s">
        <v>539</v>
      </c>
      <c r="CM27" s="4" t="str">
        <f>VLOOKUP(bourg[[#This Row],[Away_team]],all[[Full name]:[Abbr]],3,FALSE)</f>
        <v>DIJ</v>
      </c>
      <c r="CN27" s="4">
        <f>IF(OR(bourg[[#This Row],[Result]]="w",bourg[[#This Row],[Result]]="dw"),bourg[[#This Row],[win]]-1,-1)</f>
        <v>-1</v>
      </c>
      <c r="CO27" s="4">
        <f>IF(OR(bourg[[#This Row],[Result]]="L",bourg[[#This Row],[Result]]="dl"),bourg[[#This Row],[lose]]-1,-1)</f>
        <v>1.2000000000000002</v>
      </c>
      <c r="CP27" s="4">
        <f>IF(OR((bourg[[#This Row],[Home_scored]]+bourg[[#This Row],[Away_scored]])&gt;bourg[[#This Row],[total]],OR(bourg[[#This Row],[Result]]="dw",bourg[[#This Row],[Result]]="dl")),1,0)</f>
        <v>1</v>
      </c>
      <c r="CQ27" s="4">
        <f>ABS((bourg[[#This Row],[Home_scored]]+bourg[[#This Row],[Away_scored]])-bourg[[#This Row],[total]])+0.5</f>
        <v>22</v>
      </c>
    </row>
    <row r="28" spans="1:95" x14ac:dyDescent="0.25">
      <c r="A28" s="2" t="s">
        <v>349</v>
      </c>
      <c r="B28" s="2" t="s">
        <v>302</v>
      </c>
      <c r="C28" s="3" t="s">
        <v>73</v>
      </c>
      <c r="D28" s="3">
        <v>45759</v>
      </c>
      <c r="E28" s="2" t="s">
        <v>74</v>
      </c>
      <c r="F28" s="2" t="s">
        <v>339</v>
      </c>
      <c r="G28" s="2" t="s">
        <v>139</v>
      </c>
      <c r="H28" s="11">
        <v>91</v>
      </c>
      <c r="I28" s="11">
        <v>98</v>
      </c>
      <c r="J28" s="11">
        <v>37</v>
      </c>
      <c r="K28" s="11">
        <v>70</v>
      </c>
      <c r="L28" s="12">
        <v>0.52859999999999996</v>
      </c>
      <c r="M28" s="11">
        <v>29</v>
      </c>
      <c r="N28" s="11">
        <v>48</v>
      </c>
      <c r="O28" s="12">
        <v>0.60419999999999996</v>
      </c>
      <c r="P28" s="11">
        <v>8</v>
      </c>
      <c r="Q28" s="11">
        <v>22</v>
      </c>
      <c r="R28" s="12">
        <v>0.36359999999999998</v>
      </c>
      <c r="S28" s="11">
        <v>9</v>
      </c>
      <c r="T28" s="11">
        <v>15</v>
      </c>
      <c r="U28" s="12">
        <v>0.6</v>
      </c>
      <c r="V28" s="11">
        <v>10</v>
      </c>
      <c r="W28" s="11">
        <v>19</v>
      </c>
      <c r="X28" s="11">
        <v>29</v>
      </c>
      <c r="Y28" s="11">
        <v>21</v>
      </c>
      <c r="Z28" s="11">
        <v>8</v>
      </c>
      <c r="AA28" s="11">
        <v>1</v>
      </c>
      <c r="AB28" s="11">
        <v>8</v>
      </c>
      <c r="AC28" s="11">
        <v>19</v>
      </c>
      <c r="AD28" s="11">
        <v>35</v>
      </c>
      <c r="AE28" s="11">
        <v>66</v>
      </c>
      <c r="AF28" s="12">
        <v>0.53029999999999999</v>
      </c>
      <c r="AG28" s="11">
        <v>24</v>
      </c>
      <c r="AH28" s="11">
        <v>36</v>
      </c>
      <c r="AI28" s="12">
        <v>0.66669999999999996</v>
      </c>
      <c r="AJ28" s="11">
        <v>11</v>
      </c>
      <c r="AK28" s="11">
        <v>30</v>
      </c>
      <c r="AL28" s="12">
        <v>0.36670000000000003</v>
      </c>
      <c r="AM28" s="11">
        <v>17</v>
      </c>
      <c r="AN28" s="11">
        <v>19</v>
      </c>
      <c r="AO28" s="12">
        <v>0.89470000000000005</v>
      </c>
      <c r="AP28" s="11">
        <v>14</v>
      </c>
      <c r="AQ28" s="11">
        <v>23</v>
      </c>
      <c r="AR28" s="11">
        <v>37</v>
      </c>
      <c r="AS28" s="11">
        <v>22</v>
      </c>
      <c r="AT28" s="11">
        <v>3</v>
      </c>
      <c r="AU28" s="11">
        <v>3</v>
      </c>
      <c r="AV28" s="11">
        <v>13</v>
      </c>
      <c r="AW28" s="11">
        <v>19</v>
      </c>
      <c r="AX28" s="12">
        <v>0.59399999999999997</v>
      </c>
      <c r="AY28" s="12">
        <v>0.5857</v>
      </c>
      <c r="AZ28" s="12">
        <v>0.30299999999999999</v>
      </c>
      <c r="BA28" s="12">
        <v>0.57579999999999998</v>
      </c>
      <c r="BB28" s="12">
        <v>0.43940000000000001</v>
      </c>
      <c r="BC28" s="4">
        <v>71.823999999999998</v>
      </c>
      <c r="BD28" s="12">
        <v>0.56759999999999999</v>
      </c>
      <c r="BE28" s="12">
        <v>0.12859999999999999</v>
      </c>
      <c r="BF28" s="12">
        <v>9.4600000000000004E-2</v>
      </c>
      <c r="BG28" s="4">
        <v>124.8</v>
      </c>
      <c r="BH28" s="4">
        <v>134.4</v>
      </c>
      <c r="BI28" s="4">
        <v>72.936499999999995</v>
      </c>
      <c r="BJ28" s="12">
        <v>0.65900000000000003</v>
      </c>
      <c r="BK28" s="12">
        <v>0.61360000000000003</v>
      </c>
      <c r="BL28" s="12">
        <v>0.42420000000000002</v>
      </c>
      <c r="BM28" s="12">
        <v>0.69699999999999995</v>
      </c>
      <c r="BN28" s="12">
        <v>0.56059999999999999</v>
      </c>
      <c r="BO28" s="4">
        <v>74.049000000000007</v>
      </c>
      <c r="BP28" s="12">
        <v>0.62860000000000005</v>
      </c>
      <c r="BQ28" s="12">
        <v>0.2576</v>
      </c>
      <c r="BR28" s="12">
        <v>0.14879999999999999</v>
      </c>
      <c r="BS28" s="4">
        <v>134.4</v>
      </c>
      <c r="BT28" s="4">
        <v>124.8</v>
      </c>
      <c r="BU28" s="11">
        <v>25</v>
      </c>
      <c r="BV28" s="11">
        <v>23</v>
      </c>
      <c r="BW28" s="11">
        <v>32</v>
      </c>
      <c r="BX28" s="11">
        <v>11</v>
      </c>
      <c r="BY28" s="11">
        <v>26</v>
      </c>
      <c r="BZ28" s="11">
        <v>23</v>
      </c>
      <c r="CA28" s="11">
        <v>23</v>
      </c>
      <c r="CB28" s="11">
        <v>26</v>
      </c>
      <c r="CC28" s="11">
        <v>48</v>
      </c>
      <c r="CD28" s="11">
        <v>43</v>
      </c>
      <c r="CE28" s="11">
        <v>49</v>
      </c>
      <c r="CF28" s="11">
        <v>49</v>
      </c>
      <c r="CG28" s="4">
        <v>2.2000000000000002</v>
      </c>
      <c r="CH28" s="13">
        <v>1.71</v>
      </c>
      <c r="CI28" s="4">
        <v>2.5</v>
      </c>
      <c r="CJ28" s="4">
        <v>-2.5</v>
      </c>
      <c r="CK28" s="4">
        <v>177.5</v>
      </c>
      <c r="CL28" s="2" t="s">
        <v>547</v>
      </c>
      <c r="CM28" s="4" t="str">
        <f>VLOOKUP(bourg[[#This Row],[Away_team]],all[[Full name]:[Abbr]],3,FALSE)</f>
        <v>PAR</v>
      </c>
      <c r="CN28" s="4">
        <f>IF(OR(bourg[[#This Row],[Result]]="w",bourg[[#This Row],[Result]]="dw"),bourg[[#This Row],[win]]-1,-1)</f>
        <v>-1</v>
      </c>
      <c r="CO28" s="4">
        <f>IF(OR(bourg[[#This Row],[Result]]="L",bourg[[#This Row],[Result]]="dl"),bourg[[#This Row],[lose]]-1,-1)</f>
        <v>0.71</v>
      </c>
      <c r="CP28" s="4">
        <f>IF(OR((bourg[[#This Row],[Home_scored]]+bourg[[#This Row],[Away_scored]])&gt;bourg[[#This Row],[total]],OR(bourg[[#This Row],[Result]]="dw",bourg[[#This Row],[Result]]="dl")),1,0)</f>
        <v>1</v>
      </c>
      <c r="CQ28" s="4">
        <f>ABS((bourg[[#This Row],[Home_scored]]+bourg[[#This Row],[Away_scored]])-bourg[[#This Row],[total]])+0.5</f>
        <v>12</v>
      </c>
    </row>
    <row r="29" spans="1:95" x14ac:dyDescent="0.25">
      <c r="A29" s="2" t="s">
        <v>349</v>
      </c>
      <c r="B29" s="2" t="s">
        <v>302</v>
      </c>
      <c r="C29" s="3" t="s">
        <v>73</v>
      </c>
      <c r="D29" s="3">
        <v>45765</v>
      </c>
      <c r="E29" s="2" t="s">
        <v>140</v>
      </c>
      <c r="F29" s="2" t="s">
        <v>327</v>
      </c>
      <c r="G29" s="2" t="s">
        <v>139</v>
      </c>
      <c r="H29" s="11">
        <v>80</v>
      </c>
      <c r="I29" s="11">
        <v>89</v>
      </c>
      <c r="J29" s="11">
        <v>26</v>
      </c>
      <c r="K29" s="11">
        <v>56</v>
      </c>
      <c r="L29" s="12">
        <v>0.46429999999999999</v>
      </c>
      <c r="M29" s="11">
        <v>19</v>
      </c>
      <c r="N29" s="11">
        <v>41</v>
      </c>
      <c r="O29" s="12">
        <v>0.46339999999999998</v>
      </c>
      <c r="P29" s="11">
        <v>7</v>
      </c>
      <c r="Q29" s="11">
        <v>15</v>
      </c>
      <c r="R29" s="12">
        <v>0.4667</v>
      </c>
      <c r="S29" s="11">
        <v>21</v>
      </c>
      <c r="T29" s="11">
        <v>25</v>
      </c>
      <c r="U29" s="12">
        <v>0.84</v>
      </c>
      <c r="V29" s="11">
        <v>14</v>
      </c>
      <c r="W29" s="11">
        <v>15</v>
      </c>
      <c r="X29" s="11">
        <v>29</v>
      </c>
      <c r="Y29" s="11">
        <v>15</v>
      </c>
      <c r="Z29" s="11">
        <v>6</v>
      </c>
      <c r="AA29" s="11">
        <v>3</v>
      </c>
      <c r="AB29" s="11">
        <v>14</v>
      </c>
      <c r="AC29" s="11">
        <v>20</v>
      </c>
      <c r="AD29" s="11">
        <v>35</v>
      </c>
      <c r="AE29" s="11">
        <v>63</v>
      </c>
      <c r="AF29" s="12">
        <v>0.55559999999999998</v>
      </c>
      <c r="AG29" s="11">
        <v>28</v>
      </c>
      <c r="AH29" s="11">
        <v>39</v>
      </c>
      <c r="AI29" s="12">
        <v>0.71789999999999998</v>
      </c>
      <c r="AJ29" s="11">
        <v>7</v>
      </c>
      <c r="AK29" s="11">
        <v>24</v>
      </c>
      <c r="AL29" s="12">
        <v>0.29170000000000001</v>
      </c>
      <c r="AM29" s="11">
        <v>12</v>
      </c>
      <c r="AN29" s="11">
        <v>17</v>
      </c>
      <c r="AO29" s="12">
        <v>0.70589999999999997</v>
      </c>
      <c r="AP29" s="11">
        <v>14</v>
      </c>
      <c r="AQ29" s="11">
        <v>19</v>
      </c>
      <c r="AR29" s="11">
        <v>33</v>
      </c>
      <c r="AS29" s="11">
        <v>15</v>
      </c>
      <c r="AT29" s="11">
        <v>5</v>
      </c>
      <c r="AU29" s="11">
        <v>2</v>
      </c>
      <c r="AV29" s="11">
        <v>12</v>
      </c>
      <c r="AW29" s="11">
        <v>24</v>
      </c>
      <c r="AX29" s="12">
        <v>0.59699999999999998</v>
      </c>
      <c r="AY29" s="12">
        <v>0.52680000000000005</v>
      </c>
      <c r="AZ29" s="12">
        <v>0.42420000000000002</v>
      </c>
      <c r="BA29" s="12">
        <v>0.51719999999999999</v>
      </c>
      <c r="BB29" s="12">
        <v>0.4677</v>
      </c>
      <c r="BC29" s="4">
        <v>64.503</v>
      </c>
      <c r="BD29" s="12">
        <v>0.57689999999999997</v>
      </c>
      <c r="BE29" s="12">
        <v>0.375</v>
      </c>
      <c r="BF29" s="12">
        <v>0.17280000000000001</v>
      </c>
      <c r="BG29" s="4">
        <v>119.8</v>
      </c>
      <c r="BH29" s="4">
        <v>133.19999999999999</v>
      </c>
      <c r="BI29" s="4">
        <v>66.796499999999995</v>
      </c>
      <c r="BJ29" s="12">
        <v>0.63139999999999996</v>
      </c>
      <c r="BK29" s="12">
        <v>0.61109999999999998</v>
      </c>
      <c r="BL29" s="12">
        <v>0.48280000000000001</v>
      </c>
      <c r="BM29" s="12">
        <v>0.57579999999999998</v>
      </c>
      <c r="BN29" s="12">
        <v>0.5323</v>
      </c>
      <c r="BO29" s="4">
        <v>69.09</v>
      </c>
      <c r="BP29" s="12">
        <v>0.42859999999999998</v>
      </c>
      <c r="BQ29" s="12">
        <v>0.1905</v>
      </c>
      <c r="BR29" s="12">
        <v>0.14549999999999999</v>
      </c>
      <c r="BS29" s="4">
        <v>133.19999999999999</v>
      </c>
      <c r="BT29" s="4">
        <v>119.8</v>
      </c>
      <c r="BU29" s="11">
        <v>18</v>
      </c>
      <c r="BV29" s="11">
        <v>32</v>
      </c>
      <c r="BW29" s="11">
        <v>14</v>
      </c>
      <c r="BX29" s="11">
        <v>16</v>
      </c>
      <c r="BY29" s="11">
        <v>26</v>
      </c>
      <c r="BZ29" s="11">
        <v>15</v>
      </c>
      <c r="CA29" s="11">
        <v>22</v>
      </c>
      <c r="CB29" s="11">
        <v>26</v>
      </c>
      <c r="CC29" s="11">
        <v>50</v>
      </c>
      <c r="CD29" s="11">
        <v>30</v>
      </c>
      <c r="CE29" s="11">
        <v>41</v>
      </c>
      <c r="CF29" s="11">
        <v>48</v>
      </c>
      <c r="CG29" s="4">
        <v>4</v>
      </c>
      <c r="CH29" s="13">
        <v>1.26</v>
      </c>
      <c r="CI29" s="4">
        <v>8.5</v>
      </c>
      <c r="CJ29" s="4">
        <v>-8.5</v>
      </c>
      <c r="CK29" s="4">
        <v>169.5</v>
      </c>
      <c r="CL29" s="2" t="s">
        <v>554</v>
      </c>
      <c r="CM29" s="4" t="str">
        <f>VLOOKUP(bourg[[#This Row],[Away_team]],all[[Full name]:[Abbr]],3,FALSE)</f>
        <v>LYO</v>
      </c>
      <c r="CN29" s="4">
        <f>IF(OR(bourg[[#This Row],[Result]]="w",bourg[[#This Row],[Result]]="dw"),bourg[[#This Row],[win]]-1,-1)</f>
        <v>-1</v>
      </c>
      <c r="CO29" s="4">
        <f>IF(OR(bourg[[#This Row],[Result]]="L",bourg[[#This Row],[Result]]="dl"),bourg[[#This Row],[lose]]-1,-1)</f>
        <v>0.26</v>
      </c>
      <c r="CP29" s="4">
        <f>IF(OR((bourg[[#This Row],[Home_scored]]+bourg[[#This Row],[Away_scored]])&gt;bourg[[#This Row],[total]],OR(bourg[[#This Row],[Result]]="dw",bourg[[#This Row],[Result]]="dl")),1,0)</f>
        <v>0</v>
      </c>
      <c r="CQ29" s="4">
        <f>ABS((bourg[[#This Row],[Home_scored]]+bourg[[#This Row],[Away_scored]])-bourg[[#This Row],[total]])+0.5</f>
        <v>1</v>
      </c>
    </row>
    <row r="30" spans="1:95" x14ac:dyDescent="0.25">
      <c r="A30" s="2" t="s">
        <v>349</v>
      </c>
      <c r="B30" s="2" t="s">
        <v>302</v>
      </c>
      <c r="C30" s="3" t="s">
        <v>73</v>
      </c>
      <c r="D30" s="3">
        <v>45776</v>
      </c>
      <c r="E30" s="2" t="s">
        <v>140</v>
      </c>
      <c r="F30" s="2" t="s">
        <v>317</v>
      </c>
      <c r="G30" s="2" t="s">
        <v>139</v>
      </c>
      <c r="H30" s="11">
        <v>92</v>
      </c>
      <c r="I30" s="11">
        <v>96</v>
      </c>
      <c r="J30" s="11">
        <v>34</v>
      </c>
      <c r="K30" s="11">
        <v>64</v>
      </c>
      <c r="L30" s="12">
        <v>0.53129999999999999</v>
      </c>
      <c r="M30" s="11">
        <v>24</v>
      </c>
      <c r="N30" s="11">
        <v>42</v>
      </c>
      <c r="O30" s="12">
        <v>0.57140000000000002</v>
      </c>
      <c r="P30" s="11">
        <v>10</v>
      </c>
      <c r="Q30" s="11">
        <v>22</v>
      </c>
      <c r="R30" s="12">
        <v>0.45450000000000002</v>
      </c>
      <c r="S30" s="11">
        <v>14</v>
      </c>
      <c r="T30" s="11">
        <v>15</v>
      </c>
      <c r="U30" s="12">
        <v>0.93330000000000002</v>
      </c>
      <c r="V30" s="11">
        <v>5</v>
      </c>
      <c r="W30" s="11">
        <v>19</v>
      </c>
      <c r="X30" s="11">
        <v>24</v>
      </c>
      <c r="Y30" s="11">
        <v>22</v>
      </c>
      <c r="Z30" s="11">
        <v>10</v>
      </c>
      <c r="AA30" s="11">
        <v>5</v>
      </c>
      <c r="AB30" s="11">
        <v>15</v>
      </c>
      <c r="AC30" s="11">
        <v>21</v>
      </c>
      <c r="AD30" s="11">
        <v>35</v>
      </c>
      <c r="AE30" s="11">
        <v>69</v>
      </c>
      <c r="AF30" s="12">
        <v>0.50719999999999998</v>
      </c>
      <c r="AG30" s="11">
        <v>27</v>
      </c>
      <c r="AH30" s="11">
        <v>50</v>
      </c>
      <c r="AI30" s="12">
        <v>0.54</v>
      </c>
      <c r="AJ30" s="11">
        <v>8</v>
      </c>
      <c r="AK30" s="11">
        <v>19</v>
      </c>
      <c r="AL30" s="12">
        <v>0.42109999999999997</v>
      </c>
      <c r="AM30" s="11">
        <v>18</v>
      </c>
      <c r="AN30" s="11">
        <v>25</v>
      </c>
      <c r="AO30" s="12">
        <v>0.72</v>
      </c>
      <c r="AP30" s="11">
        <v>15</v>
      </c>
      <c r="AQ30" s="11">
        <v>23</v>
      </c>
      <c r="AR30" s="11">
        <v>38</v>
      </c>
      <c r="AS30" s="11">
        <v>22</v>
      </c>
      <c r="AT30" s="11">
        <v>9</v>
      </c>
      <c r="AU30" s="11">
        <v>0</v>
      </c>
      <c r="AV30" s="11">
        <v>17</v>
      </c>
      <c r="AW30" s="11">
        <v>17</v>
      </c>
      <c r="AX30" s="12">
        <v>0.65159999999999996</v>
      </c>
      <c r="AY30" s="12">
        <v>0.60940000000000005</v>
      </c>
      <c r="AZ30" s="12">
        <v>0.17860000000000001</v>
      </c>
      <c r="BA30" s="12">
        <v>0.55879999999999996</v>
      </c>
      <c r="BB30" s="12">
        <v>0.3871</v>
      </c>
      <c r="BC30" s="4">
        <v>78.313000000000002</v>
      </c>
      <c r="BD30" s="12">
        <v>0.64710000000000001</v>
      </c>
      <c r="BE30" s="12">
        <v>0.21879999999999999</v>
      </c>
      <c r="BF30" s="12">
        <v>0.17519999999999999</v>
      </c>
      <c r="BG30" s="4">
        <v>115</v>
      </c>
      <c r="BH30" s="4">
        <v>120</v>
      </c>
      <c r="BI30" s="4">
        <v>79.975999999999999</v>
      </c>
      <c r="BJ30" s="12">
        <v>0.6</v>
      </c>
      <c r="BK30" s="12">
        <v>0.56520000000000004</v>
      </c>
      <c r="BL30" s="12">
        <v>0.44119999999999998</v>
      </c>
      <c r="BM30" s="12">
        <v>0.82140000000000002</v>
      </c>
      <c r="BN30" s="12">
        <v>0.6129</v>
      </c>
      <c r="BO30" s="4">
        <v>81.638999999999996</v>
      </c>
      <c r="BP30" s="12">
        <v>0.62860000000000005</v>
      </c>
      <c r="BQ30" s="12">
        <v>0.26090000000000002</v>
      </c>
      <c r="BR30" s="12">
        <v>0.17530000000000001</v>
      </c>
      <c r="BS30" s="4">
        <v>120</v>
      </c>
      <c r="BT30" s="4">
        <v>115</v>
      </c>
      <c r="BU30" s="11">
        <v>23</v>
      </c>
      <c r="BV30" s="11">
        <v>20</v>
      </c>
      <c r="BW30" s="11">
        <v>22</v>
      </c>
      <c r="BX30" s="11">
        <v>27</v>
      </c>
      <c r="BY30" s="11">
        <v>21</v>
      </c>
      <c r="BZ30" s="11">
        <v>26</v>
      </c>
      <c r="CA30" s="11">
        <v>26</v>
      </c>
      <c r="CB30" s="11">
        <v>23</v>
      </c>
      <c r="CC30" s="11">
        <v>43</v>
      </c>
      <c r="CD30" s="11">
        <v>49</v>
      </c>
      <c r="CE30" s="11">
        <v>47</v>
      </c>
      <c r="CF30" s="11">
        <v>49</v>
      </c>
      <c r="CG30" s="4">
        <v>2.0499999999999998</v>
      </c>
      <c r="CH30" s="13">
        <v>1.8</v>
      </c>
      <c r="CI30" s="4">
        <v>1.5</v>
      </c>
      <c r="CJ30" s="4">
        <v>-1.5</v>
      </c>
      <c r="CK30" s="4">
        <v>171.5</v>
      </c>
      <c r="CL30" s="2" t="s">
        <v>568</v>
      </c>
      <c r="CM30" s="4" t="str">
        <f>VLOOKUP(bourg[[#This Row],[Away_team]],all[[Full name]:[Abbr]],3,FALSE)</f>
        <v>LEM</v>
      </c>
      <c r="CN30" s="4">
        <f>IF(OR(bourg[[#This Row],[Result]]="w",bourg[[#This Row],[Result]]="dw"),bourg[[#This Row],[win]]-1,-1)</f>
        <v>-1</v>
      </c>
      <c r="CO30" s="4">
        <f>IF(OR(bourg[[#This Row],[Result]]="L",bourg[[#This Row],[Result]]="dl"),bourg[[#This Row],[lose]]-1,-1)</f>
        <v>0.8</v>
      </c>
      <c r="CP30" s="4">
        <f>IF(OR((bourg[[#This Row],[Home_scored]]+bourg[[#This Row],[Away_scored]])&gt;bourg[[#This Row],[total]],OR(bourg[[#This Row],[Result]]="dw",bourg[[#This Row],[Result]]="dl")),1,0)</f>
        <v>1</v>
      </c>
      <c r="CQ30" s="4">
        <f>ABS((bourg[[#This Row],[Home_scored]]+bourg[[#This Row],[Away_scored]])-bourg[[#This Row],[total]])+0.5</f>
        <v>17</v>
      </c>
    </row>
    <row r="31" spans="1:95" x14ac:dyDescent="0.25">
      <c r="A31" s="2" t="s">
        <v>349</v>
      </c>
      <c r="B31" s="2" t="s">
        <v>302</v>
      </c>
      <c r="C31" s="3" t="s">
        <v>73</v>
      </c>
      <c r="D31" s="3">
        <v>45780</v>
      </c>
      <c r="E31" s="2" t="s">
        <v>74</v>
      </c>
      <c r="F31" s="2" t="s">
        <v>320</v>
      </c>
      <c r="G31" s="2" t="s">
        <v>75</v>
      </c>
      <c r="H31" s="11">
        <v>98</v>
      </c>
      <c r="I31" s="11">
        <v>69</v>
      </c>
      <c r="J31" s="11">
        <v>37</v>
      </c>
      <c r="K31" s="11">
        <v>66</v>
      </c>
      <c r="L31" s="12">
        <v>0.56059999999999999</v>
      </c>
      <c r="M31" s="11">
        <v>29</v>
      </c>
      <c r="N31" s="11">
        <v>45</v>
      </c>
      <c r="O31" s="12">
        <v>0.64439999999999997</v>
      </c>
      <c r="P31" s="11">
        <v>8</v>
      </c>
      <c r="Q31" s="11">
        <v>21</v>
      </c>
      <c r="R31" s="12">
        <v>0.38100000000000001</v>
      </c>
      <c r="S31" s="11">
        <v>16</v>
      </c>
      <c r="T31" s="11">
        <v>22</v>
      </c>
      <c r="U31" s="12">
        <v>0.72729999999999995</v>
      </c>
      <c r="V31" s="11">
        <v>10</v>
      </c>
      <c r="W31" s="11">
        <v>25</v>
      </c>
      <c r="X31" s="11">
        <v>35</v>
      </c>
      <c r="Y31" s="11">
        <v>27</v>
      </c>
      <c r="Z31" s="11">
        <v>12</v>
      </c>
      <c r="AA31" s="11">
        <v>2</v>
      </c>
      <c r="AB31" s="11">
        <v>10</v>
      </c>
      <c r="AC31" s="11">
        <v>19</v>
      </c>
      <c r="AD31" s="11">
        <v>25</v>
      </c>
      <c r="AE31" s="11">
        <v>55</v>
      </c>
      <c r="AF31" s="12">
        <v>0.45450000000000002</v>
      </c>
      <c r="AG31" s="11">
        <v>20</v>
      </c>
      <c r="AH31" s="11">
        <v>36</v>
      </c>
      <c r="AI31" s="12">
        <v>0.55559999999999998</v>
      </c>
      <c r="AJ31" s="11">
        <v>5</v>
      </c>
      <c r="AK31" s="11">
        <v>19</v>
      </c>
      <c r="AL31" s="12">
        <v>0.26319999999999999</v>
      </c>
      <c r="AM31" s="11">
        <v>14</v>
      </c>
      <c r="AN31" s="11">
        <v>20</v>
      </c>
      <c r="AO31" s="12">
        <v>0.7</v>
      </c>
      <c r="AP31" s="11">
        <v>7</v>
      </c>
      <c r="AQ31" s="11">
        <v>22</v>
      </c>
      <c r="AR31" s="11">
        <v>29</v>
      </c>
      <c r="AS31" s="11">
        <v>10</v>
      </c>
      <c r="AT31" s="11">
        <v>6</v>
      </c>
      <c r="AU31" s="11">
        <v>0</v>
      </c>
      <c r="AV31" s="11">
        <v>19</v>
      </c>
      <c r="AW31" s="11">
        <v>22</v>
      </c>
      <c r="AX31" s="12">
        <v>0.64749999999999996</v>
      </c>
      <c r="AY31" s="12">
        <v>0.62119999999999997</v>
      </c>
      <c r="AZ31" s="12">
        <v>0.3125</v>
      </c>
      <c r="BA31" s="12">
        <v>0.78129999999999999</v>
      </c>
      <c r="BB31" s="12">
        <v>0.54690000000000005</v>
      </c>
      <c r="BC31" s="4">
        <v>75.933999999999997</v>
      </c>
      <c r="BD31" s="12">
        <v>0.72970000000000002</v>
      </c>
      <c r="BE31" s="12">
        <v>0.2424</v>
      </c>
      <c r="BF31" s="12">
        <v>0.1167</v>
      </c>
      <c r="BG31" s="4">
        <v>130.5</v>
      </c>
      <c r="BH31" s="4">
        <v>91.9</v>
      </c>
      <c r="BI31" s="4">
        <v>75.093000000000004</v>
      </c>
      <c r="BJ31" s="12">
        <v>0.54079999999999995</v>
      </c>
      <c r="BK31" s="12">
        <v>0.5</v>
      </c>
      <c r="BL31" s="12">
        <v>0.21879999999999999</v>
      </c>
      <c r="BM31" s="12">
        <v>0.6875</v>
      </c>
      <c r="BN31" s="12">
        <v>0.4531</v>
      </c>
      <c r="BO31" s="4">
        <v>74.251999999999995</v>
      </c>
      <c r="BP31" s="12">
        <v>0.4</v>
      </c>
      <c r="BQ31" s="12">
        <v>0.2545</v>
      </c>
      <c r="BR31" s="12">
        <v>0.22950000000000001</v>
      </c>
      <c r="BS31" s="4">
        <v>91.9</v>
      </c>
      <c r="BT31" s="4">
        <v>130.5</v>
      </c>
      <c r="BU31" s="11">
        <v>25</v>
      </c>
      <c r="BV31" s="11">
        <v>24</v>
      </c>
      <c r="BW31" s="11">
        <v>25</v>
      </c>
      <c r="BX31" s="11">
        <v>24</v>
      </c>
      <c r="BY31" s="11">
        <v>19</v>
      </c>
      <c r="BZ31" s="11">
        <v>12</v>
      </c>
      <c r="CA31" s="11">
        <v>20</v>
      </c>
      <c r="CB31" s="11">
        <v>18</v>
      </c>
      <c r="CC31" s="11">
        <v>49</v>
      </c>
      <c r="CD31" s="11">
        <v>49</v>
      </c>
      <c r="CE31" s="11">
        <v>31</v>
      </c>
      <c r="CF31" s="11">
        <v>38</v>
      </c>
      <c r="CG31" s="4">
        <v>1.1399999999999999</v>
      </c>
      <c r="CH31" s="13">
        <v>6</v>
      </c>
      <c r="CI31" s="4">
        <v>-11.5</v>
      </c>
      <c r="CJ31" s="4">
        <v>11.5</v>
      </c>
      <c r="CK31" s="4">
        <v>164.5</v>
      </c>
      <c r="CL31" s="2" t="s">
        <v>573</v>
      </c>
      <c r="CM31" s="4" t="str">
        <f>VLOOKUP(bourg[[#This Row],[Away_team]],all[[Full name]:[Abbr]],3,FALSE)</f>
        <v>POR</v>
      </c>
      <c r="CN31" s="4">
        <f>IF(OR(bourg[[#This Row],[Result]]="w",bourg[[#This Row],[Result]]="dw"),bourg[[#This Row],[win]]-1,-1)</f>
        <v>0.1399999999999999</v>
      </c>
      <c r="CO31" s="4">
        <f>IF(OR(bourg[[#This Row],[Result]]="L",bourg[[#This Row],[Result]]="dl"),bourg[[#This Row],[lose]]-1,-1)</f>
        <v>-1</v>
      </c>
      <c r="CP31" s="4">
        <f>IF(OR((bourg[[#This Row],[Home_scored]]+bourg[[#This Row],[Away_scored]])&gt;bourg[[#This Row],[total]],OR(bourg[[#This Row],[Result]]="dw",bourg[[#This Row],[Result]]="dl")),1,0)</f>
        <v>1</v>
      </c>
      <c r="CQ31" s="4">
        <f>ABS((bourg[[#This Row],[Home_scored]]+bourg[[#This Row],[Away_scored]])-bourg[[#This Row],[total]])+0.5</f>
        <v>3</v>
      </c>
    </row>
    <row r="32" spans="1:95" x14ac:dyDescent="0.25">
      <c r="A32" s="2" t="s">
        <v>349</v>
      </c>
      <c r="B32" s="2" t="s">
        <v>302</v>
      </c>
      <c r="C32" s="28" t="s">
        <v>73</v>
      </c>
      <c r="D32" s="28">
        <v>45788</v>
      </c>
      <c r="E32" s="2" t="s">
        <v>140</v>
      </c>
      <c r="F32" s="2" t="s">
        <v>330</v>
      </c>
      <c r="G32" s="2" t="s">
        <v>75</v>
      </c>
      <c r="H32" s="11">
        <v>100</v>
      </c>
      <c r="I32" s="11">
        <v>73</v>
      </c>
      <c r="J32" s="11">
        <v>32</v>
      </c>
      <c r="K32" s="11">
        <v>63</v>
      </c>
      <c r="L32" s="12">
        <v>0.50790000000000002</v>
      </c>
      <c r="M32" s="11">
        <v>21</v>
      </c>
      <c r="N32" s="11">
        <v>38</v>
      </c>
      <c r="O32" s="12">
        <v>0.55259999999999998</v>
      </c>
      <c r="P32" s="11">
        <v>11</v>
      </c>
      <c r="Q32" s="11">
        <v>25</v>
      </c>
      <c r="R32" s="12">
        <v>0.44</v>
      </c>
      <c r="S32" s="11">
        <v>25</v>
      </c>
      <c r="T32" s="11">
        <v>29</v>
      </c>
      <c r="U32" s="12">
        <v>0.86209999999999998</v>
      </c>
      <c r="V32" s="11">
        <v>16</v>
      </c>
      <c r="W32" s="11">
        <v>33</v>
      </c>
      <c r="X32" s="11">
        <v>49</v>
      </c>
      <c r="Y32" s="11">
        <v>22</v>
      </c>
      <c r="Z32" s="11">
        <v>6</v>
      </c>
      <c r="AA32" s="11">
        <v>5</v>
      </c>
      <c r="AB32" s="11">
        <v>19</v>
      </c>
      <c r="AC32" s="11">
        <v>20</v>
      </c>
      <c r="AD32" s="11">
        <v>25</v>
      </c>
      <c r="AE32" s="11">
        <v>65</v>
      </c>
      <c r="AF32" s="12">
        <v>0.3846</v>
      </c>
      <c r="AG32" s="11">
        <v>17</v>
      </c>
      <c r="AH32" s="11">
        <v>39</v>
      </c>
      <c r="AI32" s="12">
        <v>0.43590000000000001</v>
      </c>
      <c r="AJ32" s="11">
        <v>8</v>
      </c>
      <c r="AK32" s="11">
        <v>26</v>
      </c>
      <c r="AL32" s="12">
        <v>0.30769999999999997</v>
      </c>
      <c r="AM32" s="11">
        <v>15</v>
      </c>
      <c r="AN32" s="11">
        <v>19</v>
      </c>
      <c r="AO32" s="12">
        <v>0.78949999999999998</v>
      </c>
      <c r="AP32" s="11">
        <v>8</v>
      </c>
      <c r="AQ32" s="11">
        <v>16</v>
      </c>
      <c r="AR32" s="11">
        <v>24</v>
      </c>
      <c r="AS32" s="11">
        <v>20</v>
      </c>
      <c r="AT32" s="11">
        <v>11</v>
      </c>
      <c r="AU32" s="11">
        <v>2</v>
      </c>
      <c r="AV32" s="11">
        <v>10</v>
      </c>
      <c r="AW32" s="11">
        <v>29</v>
      </c>
      <c r="AX32" s="12">
        <v>0.66</v>
      </c>
      <c r="AY32" s="12">
        <v>0.59519999999999995</v>
      </c>
      <c r="AZ32" s="12">
        <v>0.5</v>
      </c>
      <c r="BA32" s="12">
        <v>0.80489999999999995</v>
      </c>
      <c r="BB32" s="12">
        <v>0.67120000000000002</v>
      </c>
      <c r="BC32" s="4">
        <v>82.769000000000005</v>
      </c>
      <c r="BD32" s="12">
        <v>0.6875</v>
      </c>
      <c r="BE32" s="12">
        <v>0.39679999999999999</v>
      </c>
      <c r="BF32" s="12">
        <v>0.20050000000000001</v>
      </c>
      <c r="BG32" s="4">
        <v>132.4</v>
      </c>
      <c r="BH32" s="4">
        <v>96.6</v>
      </c>
      <c r="BI32" s="4">
        <v>75.551000000000002</v>
      </c>
      <c r="BJ32" s="12">
        <v>0.4975</v>
      </c>
      <c r="BK32" s="12">
        <v>0.44619999999999999</v>
      </c>
      <c r="BL32" s="12">
        <v>0.1951</v>
      </c>
      <c r="BM32" s="12">
        <v>0.5</v>
      </c>
      <c r="BN32" s="12">
        <v>0.32879999999999998</v>
      </c>
      <c r="BO32" s="4">
        <v>68.332999999999998</v>
      </c>
      <c r="BP32" s="12">
        <v>0.8</v>
      </c>
      <c r="BQ32" s="12">
        <v>0.23080000000000001</v>
      </c>
      <c r="BR32" s="12">
        <v>0.12</v>
      </c>
      <c r="BS32" s="4">
        <v>96.6</v>
      </c>
      <c r="BT32" s="4">
        <v>132.4</v>
      </c>
      <c r="BU32" s="11">
        <v>27</v>
      </c>
      <c r="BV32" s="11">
        <v>28</v>
      </c>
      <c r="BW32" s="11">
        <v>20</v>
      </c>
      <c r="BX32" s="11">
        <v>25</v>
      </c>
      <c r="BY32" s="11">
        <v>19</v>
      </c>
      <c r="BZ32" s="11">
        <v>10</v>
      </c>
      <c r="CA32" s="11">
        <v>31</v>
      </c>
      <c r="CB32" s="11">
        <v>13</v>
      </c>
      <c r="CC32" s="11">
        <v>55</v>
      </c>
      <c r="CD32" s="11">
        <v>45</v>
      </c>
      <c r="CE32" s="11">
        <v>29</v>
      </c>
      <c r="CF32" s="11">
        <v>44</v>
      </c>
      <c r="CG32" s="4">
        <v>4.5</v>
      </c>
      <c r="CH32" s="13">
        <v>1.22</v>
      </c>
      <c r="CI32" s="4">
        <v>9.5</v>
      </c>
      <c r="CJ32" s="4">
        <v>-9.5</v>
      </c>
      <c r="CK32" s="4">
        <v>170.5</v>
      </c>
      <c r="CL32" s="2" t="s">
        <v>582</v>
      </c>
      <c r="CM32" s="4" t="str">
        <f>VLOOKUP(bourg[[#This Row],[Away_team]],all[[Full name]:[Abbr]],3,FALSE)</f>
        <v>MON</v>
      </c>
      <c r="CN32" s="4">
        <f>IF(OR(bourg[[#This Row],[Result]]="w",bourg[[#This Row],[Result]]="dw"),bourg[[#This Row],[win]]-1,-1)</f>
        <v>3.5</v>
      </c>
      <c r="CO32" s="4">
        <f>IF(OR(bourg[[#This Row],[Result]]="L",bourg[[#This Row],[Result]]="dl"),bourg[[#This Row],[lose]]-1,-1)</f>
        <v>-1</v>
      </c>
      <c r="CP32" s="4">
        <f>IF(OR((bourg[[#This Row],[Home_scored]]+bourg[[#This Row],[Away_scored]])&gt;bourg[[#This Row],[total]],OR(bourg[[#This Row],[Result]]="dw",bourg[[#This Row],[Result]]="dl")),1,0)</f>
        <v>1</v>
      </c>
      <c r="CQ32" s="4">
        <f>ABS((bourg[[#This Row],[Home_scored]]+bourg[[#This Row],[Away_scored]])-bourg[[#This Row],[total]])+0.5</f>
        <v>3</v>
      </c>
    </row>
    <row r="33" spans="1:95" x14ac:dyDescent="0.25">
      <c r="A33" s="2" t="s">
        <v>349</v>
      </c>
      <c r="B33" s="2" t="s">
        <v>302</v>
      </c>
      <c r="C33" s="28" t="s">
        <v>73</v>
      </c>
      <c r="D33" s="28">
        <v>45794</v>
      </c>
      <c r="E33" s="2" t="s">
        <v>74</v>
      </c>
      <c r="F33" s="2" t="s">
        <v>308</v>
      </c>
      <c r="G33" s="2" t="s">
        <v>139</v>
      </c>
      <c r="H33" s="11">
        <v>86</v>
      </c>
      <c r="I33" s="11">
        <v>89</v>
      </c>
      <c r="J33" s="11">
        <v>30</v>
      </c>
      <c r="K33" s="11">
        <v>63</v>
      </c>
      <c r="L33" s="12">
        <v>0.47620000000000001</v>
      </c>
      <c r="M33" s="11">
        <v>19</v>
      </c>
      <c r="N33" s="11">
        <v>36</v>
      </c>
      <c r="O33" s="12">
        <v>0.52780000000000005</v>
      </c>
      <c r="P33" s="11">
        <v>11</v>
      </c>
      <c r="Q33" s="11">
        <v>27</v>
      </c>
      <c r="R33" s="12">
        <v>0.40739999999999998</v>
      </c>
      <c r="S33" s="11">
        <v>15</v>
      </c>
      <c r="T33" s="11">
        <v>23</v>
      </c>
      <c r="U33" s="12">
        <v>0.6522</v>
      </c>
      <c r="V33" s="11">
        <v>12</v>
      </c>
      <c r="W33" s="11">
        <v>21</v>
      </c>
      <c r="X33" s="11">
        <v>33</v>
      </c>
      <c r="Y33" s="11">
        <v>24</v>
      </c>
      <c r="Z33" s="11">
        <v>6</v>
      </c>
      <c r="AA33" s="11">
        <v>5</v>
      </c>
      <c r="AB33" s="11">
        <v>10</v>
      </c>
      <c r="AC33" s="11">
        <v>20</v>
      </c>
      <c r="AD33" s="11">
        <v>36</v>
      </c>
      <c r="AE33" s="11">
        <v>65</v>
      </c>
      <c r="AF33" s="12">
        <v>0.55379999999999996</v>
      </c>
      <c r="AG33" s="11">
        <v>25</v>
      </c>
      <c r="AH33" s="11">
        <v>43</v>
      </c>
      <c r="AI33" s="12">
        <v>0.58140000000000003</v>
      </c>
      <c r="AJ33" s="11">
        <v>11</v>
      </c>
      <c r="AK33" s="11">
        <v>22</v>
      </c>
      <c r="AL33" s="12">
        <v>0.5</v>
      </c>
      <c r="AM33" s="11">
        <v>6</v>
      </c>
      <c r="AN33" s="11">
        <v>10</v>
      </c>
      <c r="AO33" s="12">
        <v>0.6</v>
      </c>
      <c r="AP33" s="11">
        <v>8</v>
      </c>
      <c r="AQ33" s="11">
        <v>27</v>
      </c>
      <c r="AR33" s="11">
        <v>35</v>
      </c>
      <c r="AS33" s="11">
        <v>25</v>
      </c>
      <c r="AT33" s="11">
        <v>4</v>
      </c>
      <c r="AU33" s="11">
        <v>2</v>
      </c>
      <c r="AV33" s="11">
        <v>10</v>
      </c>
      <c r="AW33" s="11">
        <v>22</v>
      </c>
      <c r="AX33" s="12">
        <v>0.58809999999999996</v>
      </c>
      <c r="AY33" s="12">
        <v>0.5635</v>
      </c>
      <c r="AZ33" s="12">
        <v>0.30769999999999997</v>
      </c>
      <c r="BA33" s="12">
        <v>0.72409999999999997</v>
      </c>
      <c r="BB33" s="12">
        <v>0.48530000000000001</v>
      </c>
      <c r="BC33" s="4">
        <v>69.36</v>
      </c>
      <c r="BD33" s="12">
        <v>0.8</v>
      </c>
      <c r="BE33" s="12">
        <v>0.23810000000000001</v>
      </c>
      <c r="BF33" s="12">
        <v>0.1203</v>
      </c>
      <c r="BG33" s="4">
        <v>121.8</v>
      </c>
      <c r="BH33" s="4">
        <v>126</v>
      </c>
      <c r="BI33" s="4">
        <v>70.633499999999998</v>
      </c>
      <c r="BJ33" s="12">
        <v>0.64119999999999999</v>
      </c>
      <c r="BK33" s="12">
        <v>0.63849999999999996</v>
      </c>
      <c r="BL33" s="12">
        <v>0.27589999999999998</v>
      </c>
      <c r="BM33" s="12">
        <v>0.69230000000000003</v>
      </c>
      <c r="BN33" s="12">
        <v>0.51470000000000005</v>
      </c>
      <c r="BO33" s="4">
        <v>71.906999999999996</v>
      </c>
      <c r="BP33" s="12">
        <v>0.69440000000000002</v>
      </c>
      <c r="BQ33" s="12">
        <v>9.2299999999999993E-2</v>
      </c>
      <c r="BR33" s="12">
        <v>0.12590000000000001</v>
      </c>
      <c r="BS33" s="4">
        <v>126</v>
      </c>
      <c r="BT33" s="4">
        <v>121.8</v>
      </c>
      <c r="BU33" s="11">
        <v>23</v>
      </c>
      <c r="BV33" s="11">
        <v>25</v>
      </c>
      <c r="BW33" s="11">
        <v>27</v>
      </c>
      <c r="BX33" s="11">
        <v>11</v>
      </c>
      <c r="BY33" s="11">
        <v>19</v>
      </c>
      <c r="BZ33" s="11">
        <v>24</v>
      </c>
      <c r="CA33" s="11">
        <v>27</v>
      </c>
      <c r="CB33" s="11">
        <v>19</v>
      </c>
      <c r="CC33" s="11">
        <v>48</v>
      </c>
      <c r="CD33" s="11">
        <v>38</v>
      </c>
      <c r="CE33" s="11">
        <v>43</v>
      </c>
      <c r="CF33" s="11">
        <v>46</v>
      </c>
      <c r="CG33" s="4">
        <v>1.45</v>
      </c>
      <c r="CH33" s="13">
        <v>2.8</v>
      </c>
      <c r="CI33" s="4">
        <v>-5.5</v>
      </c>
      <c r="CJ33" s="4">
        <v>5.5</v>
      </c>
      <c r="CK33" s="4">
        <v>169.5</v>
      </c>
      <c r="CL33" s="2" t="s">
        <v>587</v>
      </c>
      <c r="CM33" s="4" t="str">
        <f>VLOOKUP(bourg[[#This Row],[Away_team]],all[[Full name]:[Abbr]],3,FALSE)</f>
        <v>CHO</v>
      </c>
      <c r="CN33" s="4">
        <f>IF(OR(bourg[[#This Row],[Result]]="w",bourg[[#This Row],[Result]]="dw"),bourg[[#This Row],[win]]-1,-1)</f>
        <v>-1</v>
      </c>
      <c r="CO33" s="4">
        <f>IF(OR(bourg[[#This Row],[Result]]="L",bourg[[#This Row],[Result]]="dl"),bourg[[#This Row],[lose]]-1,-1)</f>
        <v>1.7999999999999998</v>
      </c>
      <c r="CP33" s="4">
        <f>IF(OR((bourg[[#This Row],[Home_scored]]+bourg[[#This Row],[Away_scored]])&gt;bourg[[#This Row],[total]],OR(bourg[[#This Row],[Result]]="dw",bourg[[#This Row],[Result]]="dl")),1,0)</f>
        <v>1</v>
      </c>
      <c r="CQ33" s="4">
        <f>ABS((bourg[[#This Row],[Home_scored]]+bourg[[#This Row],[Away_scored]])-bourg[[#This Row],[total]])+0.5</f>
        <v>6</v>
      </c>
    </row>
    <row r="34" spans="1:95" x14ac:dyDescent="0.25">
      <c r="A34" s="2" t="s">
        <v>349</v>
      </c>
      <c r="B34" s="2" t="s">
        <v>302</v>
      </c>
      <c r="C34" s="28" t="s">
        <v>594</v>
      </c>
      <c r="D34" s="28">
        <v>45803</v>
      </c>
      <c r="E34" s="2" t="s">
        <v>140</v>
      </c>
      <c r="F34" s="2" t="s">
        <v>308</v>
      </c>
      <c r="G34" s="2" t="s">
        <v>75</v>
      </c>
      <c r="H34" s="11">
        <v>95</v>
      </c>
      <c r="I34" s="11">
        <v>71</v>
      </c>
      <c r="J34" s="11">
        <v>36</v>
      </c>
      <c r="K34" s="11">
        <v>66</v>
      </c>
      <c r="L34" s="12">
        <v>0.54549999999999998</v>
      </c>
      <c r="M34" s="11">
        <v>25</v>
      </c>
      <c r="N34" s="11">
        <v>36</v>
      </c>
      <c r="O34" s="12">
        <v>0.69440000000000002</v>
      </c>
      <c r="P34" s="11">
        <v>11</v>
      </c>
      <c r="Q34" s="11">
        <v>30</v>
      </c>
      <c r="R34" s="12">
        <v>0.36670000000000003</v>
      </c>
      <c r="S34" s="11">
        <v>12</v>
      </c>
      <c r="T34" s="11">
        <v>20</v>
      </c>
      <c r="U34" s="12">
        <v>0.6</v>
      </c>
      <c r="V34" s="11">
        <v>10</v>
      </c>
      <c r="W34" s="11">
        <v>25</v>
      </c>
      <c r="X34" s="11">
        <v>35</v>
      </c>
      <c r="Y34" s="11">
        <v>22</v>
      </c>
      <c r="Z34" s="11">
        <v>11</v>
      </c>
      <c r="AA34" s="11">
        <v>2</v>
      </c>
      <c r="AB34" s="11">
        <v>10</v>
      </c>
      <c r="AC34" s="11">
        <v>23</v>
      </c>
      <c r="AD34" s="11">
        <v>26</v>
      </c>
      <c r="AE34" s="11">
        <v>54</v>
      </c>
      <c r="AF34" s="12">
        <v>0.48149999999999998</v>
      </c>
      <c r="AG34" s="11">
        <v>21</v>
      </c>
      <c r="AH34" s="11">
        <v>34</v>
      </c>
      <c r="AI34" s="12">
        <v>0.61760000000000004</v>
      </c>
      <c r="AJ34" s="11">
        <v>5</v>
      </c>
      <c r="AK34" s="11">
        <v>20</v>
      </c>
      <c r="AL34" s="12">
        <v>0.25</v>
      </c>
      <c r="AM34" s="11">
        <v>14</v>
      </c>
      <c r="AN34" s="11">
        <v>23</v>
      </c>
      <c r="AO34" s="12">
        <v>0.60870000000000002</v>
      </c>
      <c r="AP34" s="11">
        <v>10</v>
      </c>
      <c r="AQ34" s="11">
        <v>24</v>
      </c>
      <c r="AR34" s="11">
        <v>34</v>
      </c>
      <c r="AS34" s="11">
        <v>18</v>
      </c>
      <c r="AT34" s="11">
        <v>5</v>
      </c>
      <c r="AU34" s="11">
        <v>3</v>
      </c>
      <c r="AV34" s="11">
        <v>20</v>
      </c>
      <c r="AW34" s="11">
        <v>24</v>
      </c>
      <c r="AX34" s="12">
        <v>0.63500000000000001</v>
      </c>
      <c r="AY34" s="12">
        <v>0.62880000000000003</v>
      </c>
      <c r="AZ34" s="12">
        <v>0.29409999999999997</v>
      </c>
      <c r="BA34" s="12">
        <v>0.71430000000000005</v>
      </c>
      <c r="BB34" s="12">
        <v>0.50719999999999998</v>
      </c>
      <c r="BC34" s="4">
        <v>74.828999999999994</v>
      </c>
      <c r="BD34" s="12">
        <v>0.61109999999999998</v>
      </c>
      <c r="BE34" s="12">
        <v>0.18179999999999999</v>
      </c>
      <c r="BF34" s="12">
        <v>0.1179</v>
      </c>
      <c r="BG34" s="4">
        <v>127.3</v>
      </c>
      <c r="BH34" s="4">
        <v>95.2</v>
      </c>
      <c r="BI34" s="4">
        <v>74.608500000000006</v>
      </c>
      <c r="BJ34" s="12">
        <v>0.55359999999999998</v>
      </c>
      <c r="BK34" s="12">
        <v>0.52780000000000005</v>
      </c>
      <c r="BL34" s="12">
        <v>0.28570000000000001</v>
      </c>
      <c r="BM34" s="12">
        <v>0.70589999999999997</v>
      </c>
      <c r="BN34" s="12">
        <v>0.49280000000000002</v>
      </c>
      <c r="BO34" s="4">
        <v>74.388000000000005</v>
      </c>
      <c r="BP34" s="12">
        <v>0.69230000000000003</v>
      </c>
      <c r="BQ34" s="12">
        <v>0.25929999999999997</v>
      </c>
      <c r="BR34" s="12">
        <v>0.23780000000000001</v>
      </c>
      <c r="BS34" s="4">
        <v>95.2</v>
      </c>
      <c r="BT34" s="4">
        <v>127.3</v>
      </c>
      <c r="BU34" s="11">
        <v>24</v>
      </c>
      <c r="BV34" s="11">
        <v>16</v>
      </c>
      <c r="BW34" s="11">
        <v>25</v>
      </c>
      <c r="BX34" s="11">
        <v>30</v>
      </c>
      <c r="BY34" s="11">
        <v>15</v>
      </c>
      <c r="BZ34" s="11">
        <v>15</v>
      </c>
      <c r="CA34" s="11">
        <v>23</v>
      </c>
      <c r="CB34" s="11">
        <v>18</v>
      </c>
      <c r="CC34" s="11">
        <v>40</v>
      </c>
      <c r="CD34" s="11">
        <v>55</v>
      </c>
      <c r="CE34" s="11">
        <v>30</v>
      </c>
      <c r="CF34" s="11">
        <v>41</v>
      </c>
      <c r="CG34" s="4">
        <v>2.1</v>
      </c>
      <c r="CH34" s="13">
        <v>1.76</v>
      </c>
      <c r="CI34" s="4">
        <v>-2</v>
      </c>
      <c r="CJ34" s="4">
        <v>-2</v>
      </c>
      <c r="CK34" s="4">
        <v>167.5</v>
      </c>
      <c r="CL34" s="2" t="s">
        <v>598</v>
      </c>
      <c r="CM34" s="4" t="str">
        <f>VLOOKUP(bourg[[#This Row],[Away_team]],all[[Full name]:[Abbr]],3,FALSE)</f>
        <v>CHO</v>
      </c>
      <c r="CN34" s="4">
        <f>IF(OR(bourg[[#This Row],[Result]]="w",bourg[[#This Row],[Result]]="dw"),bourg[[#This Row],[win]]-1,-1)</f>
        <v>1.1000000000000001</v>
      </c>
      <c r="CO34" s="4">
        <f>IF(OR(bourg[[#This Row],[Result]]="L",bourg[[#This Row],[Result]]="dl"),bourg[[#This Row],[lose]]-1,-1)</f>
        <v>-1</v>
      </c>
      <c r="CP34" s="4">
        <f>IF(OR((bourg[[#This Row],[Home_scored]]+bourg[[#This Row],[Away_scored]])&gt;bourg[[#This Row],[total]],OR(bourg[[#This Row],[Result]]="dw",bourg[[#This Row],[Result]]="dl")),1,0)</f>
        <v>0</v>
      </c>
      <c r="CQ34" s="4">
        <f>ABS((bourg[[#This Row],[Home_scored]]+bourg[[#This Row],[Away_scored]])-bourg[[#This Row],[total]])+0.5</f>
        <v>2</v>
      </c>
    </row>
    <row r="35" spans="1:95" x14ac:dyDescent="0.25">
      <c r="A35" s="2" t="s">
        <v>349</v>
      </c>
      <c r="B35" s="2" t="s">
        <v>302</v>
      </c>
      <c r="C35" s="28" t="s">
        <v>594</v>
      </c>
      <c r="D35" s="28">
        <v>45805</v>
      </c>
      <c r="E35" s="2" t="s">
        <v>74</v>
      </c>
      <c r="F35" s="2" t="s">
        <v>308</v>
      </c>
      <c r="G35" s="2" t="s">
        <v>75</v>
      </c>
      <c r="H35" s="11">
        <v>94</v>
      </c>
      <c r="I35" s="11">
        <v>89</v>
      </c>
      <c r="J35" s="11">
        <v>30</v>
      </c>
      <c r="K35" s="11">
        <v>61</v>
      </c>
      <c r="L35" s="12">
        <v>0.49180000000000001</v>
      </c>
      <c r="M35" s="11">
        <v>22</v>
      </c>
      <c r="N35" s="11">
        <v>42</v>
      </c>
      <c r="O35" s="12">
        <v>0.52380000000000004</v>
      </c>
      <c r="P35" s="11">
        <v>8</v>
      </c>
      <c r="Q35" s="11">
        <v>19</v>
      </c>
      <c r="R35" s="12">
        <v>0.42109999999999997</v>
      </c>
      <c r="S35" s="11">
        <v>26</v>
      </c>
      <c r="T35" s="11">
        <v>33</v>
      </c>
      <c r="U35" s="12">
        <v>0.78790000000000004</v>
      </c>
      <c r="V35" s="11">
        <v>9</v>
      </c>
      <c r="W35" s="11">
        <v>22</v>
      </c>
      <c r="X35" s="11">
        <v>31</v>
      </c>
      <c r="Y35" s="11">
        <v>21</v>
      </c>
      <c r="Z35" s="11">
        <v>5</v>
      </c>
      <c r="AA35" s="11">
        <v>11</v>
      </c>
      <c r="AB35" s="11">
        <v>7</v>
      </c>
      <c r="AC35" s="11">
        <v>26</v>
      </c>
      <c r="AD35" s="11">
        <v>32</v>
      </c>
      <c r="AE35" s="11">
        <v>74</v>
      </c>
      <c r="AF35" s="12">
        <v>0.43240000000000001</v>
      </c>
      <c r="AG35" s="11">
        <v>27</v>
      </c>
      <c r="AH35" s="11">
        <v>51</v>
      </c>
      <c r="AI35" s="12">
        <v>0.52939999999999998</v>
      </c>
      <c r="AJ35" s="11">
        <v>5</v>
      </c>
      <c r="AK35" s="11">
        <v>23</v>
      </c>
      <c r="AL35" s="12">
        <v>0.21740000000000001</v>
      </c>
      <c r="AM35" s="11">
        <v>20</v>
      </c>
      <c r="AN35" s="11">
        <v>26</v>
      </c>
      <c r="AO35" s="12">
        <v>0.76919999999999999</v>
      </c>
      <c r="AP35" s="11">
        <v>22</v>
      </c>
      <c r="AQ35" s="11">
        <v>24</v>
      </c>
      <c r="AR35" s="11">
        <v>46</v>
      </c>
      <c r="AS35" s="11">
        <v>11</v>
      </c>
      <c r="AT35" s="11">
        <v>3</v>
      </c>
      <c r="AU35" s="11">
        <v>16</v>
      </c>
      <c r="AV35" s="11">
        <v>3</v>
      </c>
      <c r="AW35" s="11">
        <v>27</v>
      </c>
      <c r="AX35" s="12">
        <v>0.62239999999999995</v>
      </c>
      <c r="AY35" s="12">
        <v>0.55740000000000001</v>
      </c>
      <c r="AZ35" s="12">
        <v>0.2727</v>
      </c>
      <c r="BA35" s="12">
        <v>0.5</v>
      </c>
      <c r="BB35" s="12">
        <v>0.40260000000000001</v>
      </c>
      <c r="BC35" s="4">
        <v>71.569999999999993</v>
      </c>
      <c r="BD35" s="12">
        <v>0.7</v>
      </c>
      <c r="BE35" s="12">
        <v>0.42620000000000002</v>
      </c>
      <c r="BF35" s="12">
        <v>8.48E-2</v>
      </c>
      <c r="BG35" s="4">
        <v>136.80000000000001</v>
      </c>
      <c r="BH35" s="4">
        <v>129.5</v>
      </c>
      <c r="BI35" s="4">
        <v>68.738500000000002</v>
      </c>
      <c r="BJ35" s="12">
        <v>0.52080000000000004</v>
      </c>
      <c r="BK35" s="12">
        <v>0.4662</v>
      </c>
      <c r="BL35" s="12">
        <v>0.5</v>
      </c>
      <c r="BM35" s="12">
        <v>0.72729999999999995</v>
      </c>
      <c r="BN35" s="12">
        <v>0.59740000000000004</v>
      </c>
      <c r="BO35" s="4">
        <v>65.906999999999996</v>
      </c>
      <c r="BP35" s="12">
        <v>0.34379999999999999</v>
      </c>
      <c r="BQ35" s="12">
        <v>0.27029999999999998</v>
      </c>
      <c r="BR35" s="12">
        <v>3.39E-2</v>
      </c>
      <c r="BS35" s="4">
        <v>129.5</v>
      </c>
      <c r="BT35" s="4">
        <v>136.80000000000001</v>
      </c>
      <c r="BU35" s="11">
        <v>24</v>
      </c>
      <c r="BV35" s="11">
        <v>25</v>
      </c>
      <c r="BW35" s="11">
        <v>26</v>
      </c>
      <c r="BX35" s="11">
        <v>19</v>
      </c>
      <c r="BY35" s="11">
        <v>13</v>
      </c>
      <c r="BZ35" s="11">
        <v>23</v>
      </c>
      <c r="CA35" s="11">
        <v>28</v>
      </c>
      <c r="CB35" s="11">
        <v>25</v>
      </c>
      <c r="CC35" s="11">
        <v>49</v>
      </c>
      <c r="CD35" s="11">
        <v>45</v>
      </c>
      <c r="CE35" s="11">
        <v>36</v>
      </c>
      <c r="CF35" s="11">
        <v>53</v>
      </c>
      <c r="CG35" s="4">
        <v>1.32</v>
      </c>
      <c r="CH35" s="13">
        <v>3.5</v>
      </c>
      <c r="CI35" s="4">
        <v>-7.5</v>
      </c>
      <c r="CJ35" s="4">
        <v>7.5</v>
      </c>
      <c r="CK35" s="4">
        <v>168.5</v>
      </c>
      <c r="CL35" s="2" t="s">
        <v>601</v>
      </c>
      <c r="CM35" s="4" t="str">
        <f>VLOOKUP(bourg[[#This Row],[Away_team]],all[[Full name]:[Abbr]],3,FALSE)</f>
        <v>CHO</v>
      </c>
      <c r="CN35" s="4">
        <f>IF(OR(bourg[[#This Row],[Result]]="w",bourg[[#This Row],[Result]]="dw"),bourg[[#This Row],[win]]-1,-1)</f>
        <v>0.32000000000000006</v>
      </c>
      <c r="CO35" s="4">
        <f>IF(OR(bourg[[#This Row],[Result]]="L",bourg[[#This Row],[Result]]="dl"),bourg[[#This Row],[lose]]-1,-1)</f>
        <v>-1</v>
      </c>
      <c r="CP35" s="4">
        <f>IF(OR((bourg[[#This Row],[Home_scored]]+bourg[[#This Row],[Away_scored]])&gt;bourg[[#This Row],[total]],OR(bourg[[#This Row],[Result]]="dw",bourg[[#This Row],[Result]]="dl")),1,0)</f>
        <v>1</v>
      </c>
      <c r="CQ35" s="4">
        <f>ABS((bourg[[#This Row],[Home_scored]]+bourg[[#This Row],[Away_scored]])-bourg[[#This Row],[total]])+0.5</f>
        <v>15</v>
      </c>
    </row>
    <row r="36" spans="1:95" x14ac:dyDescent="0.25">
      <c r="A36" s="2" t="s">
        <v>349</v>
      </c>
      <c r="B36" s="2" t="s">
        <v>302</v>
      </c>
      <c r="C36" s="28" t="s">
        <v>594</v>
      </c>
      <c r="D36" s="28">
        <v>45812</v>
      </c>
      <c r="E36" s="2" t="s">
        <v>140</v>
      </c>
      <c r="F36" s="2" t="s">
        <v>339</v>
      </c>
      <c r="G36" s="2" t="s">
        <v>139</v>
      </c>
      <c r="H36" s="11">
        <v>89</v>
      </c>
      <c r="I36" s="11">
        <v>100</v>
      </c>
      <c r="J36" s="11">
        <v>36</v>
      </c>
      <c r="K36" s="11">
        <v>68</v>
      </c>
      <c r="L36" s="12">
        <v>0.52939999999999998</v>
      </c>
      <c r="M36" s="11">
        <v>29</v>
      </c>
      <c r="N36" s="11">
        <v>48</v>
      </c>
      <c r="O36" s="12">
        <v>0.60419999999999996</v>
      </c>
      <c r="P36" s="11">
        <v>7</v>
      </c>
      <c r="Q36" s="11">
        <v>20</v>
      </c>
      <c r="R36" s="12">
        <v>0.35</v>
      </c>
      <c r="S36" s="11">
        <v>10</v>
      </c>
      <c r="T36" s="11">
        <v>16</v>
      </c>
      <c r="U36" s="12">
        <v>0.625</v>
      </c>
      <c r="V36" s="11">
        <v>11</v>
      </c>
      <c r="W36" s="11">
        <v>21</v>
      </c>
      <c r="X36" s="11">
        <v>32</v>
      </c>
      <c r="Y36" s="11">
        <v>31</v>
      </c>
      <c r="Z36" s="11">
        <v>3</v>
      </c>
      <c r="AA36" s="11">
        <v>15</v>
      </c>
      <c r="AB36" s="11">
        <v>5</v>
      </c>
      <c r="AC36" s="11">
        <v>27</v>
      </c>
      <c r="AD36" s="11">
        <v>35</v>
      </c>
      <c r="AE36" s="11">
        <v>65</v>
      </c>
      <c r="AF36" s="12">
        <v>0.53849999999999998</v>
      </c>
      <c r="AG36" s="11">
        <v>23</v>
      </c>
      <c r="AH36" s="11">
        <v>34</v>
      </c>
      <c r="AI36" s="12">
        <v>0.67649999999999999</v>
      </c>
      <c r="AJ36" s="11">
        <v>12</v>
      </c>
      <c r="AK36" s="11">
        <v>31</v>
      </c>
      <c r="AL36" s="12">
        <v>0.3871</v>
      </c>
      <c r="AM36" s="11">
        <v>18</v>
      </c>
      <c r="AN36" s="11">
        <v>21</v>
      </c>
      <c r="AO36" s="12">
        <v>0.85709999999999997</v>
      </c>
      <c r="AP36" s="11">
        <v>10</v>
      </c>
      <c r="AQ36" s="11">
        <v>24</v>
      </c>
      <c r="AR36" s="11">
        <v>34</v>
      </c>
      <c r="AS36" s="11">
        <v>24</v>
      </c>
      <c r="AT36" s="11">
        <v>2</v>
      </c>
      <c r="AU36" s="11">
        <v>14</v>
      </c>
      <c r="AV36" s="11">
        <v>6</v>
      </c>
      <c r="AW36" s="11">
        <v>25</v>
      </c>
      <c r="AX36" s="12">
        <v>0.59299999999999997</v>
      </c>
      <c r="AY36" s="12">
        <v>0.58089999999999997</v>
      </c>
      <c r="AZ36" s="12">
        <v>0.31430000000000002</v>
      </c>
      <c r="BA36" s="12">
        <v>0.6774</v>
      </c>
      <c r="BB36" s="12">
        <v>0.48480000000000001</v>
      </c>
      <c r="BC36" s="4">
        <v>67.63</v>
      </c>
      <c r="BD36" s="12">
        <v>0.86109999999999998</v>
      </c>
      <c r="BE36" s="12">
        <v>0.14710000000000001</v>
      </c>
      <c r="BF36" s="12">
        <v>6.25E-2</v>
      </c>
      <c r="BG36" s="4">
        <v>129.4</v>
      </c>
      <c r="BH36" s="4">
        <v>145.4</v>
      </c>
      <c r="BI36" s="4">
        <v>68.794499999999999</v>
      </c>
      <c r="BJ36" s="12">
        <v>0.67349999999999999</v>
      </c>
      <c r="BK36" s="12">
        <v>0.63080000000000003</v>
      </c>
      <c r="BL36" s="12">
        <v>0.3226</v>
      </c>
      <c r="BM36" s="12">
        <v>0.68569999999999998</v>
      </c>
      <c r="BN36" s="12">
        <v>0.51519999999999999</v>
      </c>
      <c r="BO36" s="4">
        <v>69.959000000000003</v>
      </c>
      <c r="BP36" s="12">
        <v>0.68569999999999998</v>
      </c>
      <c r="BQ36" s="12">
        <v>0.27689999999999998</v>
      </c>
      <c r="BR36" s="12">
        <v>7.4800000000000005E-2</v>
      </c>
      <c r="BS36" s="4">
        <v>145.4</v>
      </c>
      <c r="BT36" s="4">
        <v>129.4</v>
      </c>
      <c r="BU36" s="11">
        <v>28</v>
      </c>
      <c r="BV36" s="11">
        <v>25</v>
      </c>
      <c r="BW36" s="11">
        <v>21</v>
      </c>
      <c r="BX36" s="11">
        <v>15</v>
      </c>
      <c r="BY36" s="11">
        <v>29</v>
      </c>
      <c r="BZ36" s="11">
        <v>23</v>
      </c>
      <c r="CA36" s="11">
        <v>27</v>
      </c>
      <c r="CB36" s="11">
        <v>21</v>
      </c>
      <c r="CC36" s="11">
        <v>53</v>
      </c>
      <c r="CD36" s="11">
        <v>36</v>
      </c>
      <c r="CE36" s="11">
        <v>52</v>
      </c>
      <c r="CF36" s="11">
        <v>48</v>
      </c>
      <c r="CG36" s="4">
        <v>3.45</v>
      </c>
      <c r="CH36" s="13">
        <v>1.32</v>
      </c>
      <c r="CI36" s="4">
        <v>7.5</v>
      </c>
      <c r="CJ36" s="4">
        <v>-7.5</v>
      </c>
      <c r="CK36" s="4">
        <v>178.5</v>
      </c>
      <c r="CL36" s="2" t="s">
        <v>610</v>
      </c>
      <c r="CM36" s="4" t="str">
        <f>VLOOKUP(bourg[[#This Row],[Away_team]],all[[Full name]:[Abbr]],3,FALSE)</f>
        <v>PAR</v>
      </c>
      <c r="CN36" s="4">
        <f>IF(OR(bourg[[#This Row],[Result]]="w",bourg[[#This Row],[Result]]="dw"),bourg[[#This Row],[win]]-1,-1)</f>
        <v>-1</v>
      </c>
      <c r="CO36" s="4">
        <f>IF(OR(bourg[[#This Row],[Result]]="L",bourg[[#This Row],[Result]]="dl"),bourg[[#This Row],[lose]]-1,-1)</f>
        <v>0.32000000000000006</v>
      </c>
      <c r="CP36" s="4">
        <f>IF(OR((bourg[[#This Row],[Home_scored]]+bourg[[#This Row],[Away_scored]])&gt;bourg[[#This Row],[total]],OR(bourg[[#This Row],[Result]]="dw",bourg[[#This Row],[Result]]="dl")),1,0)</f>
        <v>1</v>
      </c>
      <c r="CQ36" s="4">
        <f>ABS((bourg[[#This Row],[Home_scored]]+bourg[[#This Row],[Away_scored]])-bourg[[#This Row],[total]])+0.5</f>
        <v>11</v>
      </c>
    </row>
    <row r="37" spans="1:95" x14ac:dyDescent="0.25">
      <c r="A37" s="2" t="s">
        <v>349</v>
      </c>
      <c r="B37" s="2" t="s">
        <v>302</v>
      </c>
      <c r="C37" s="28" t="s">
        <v>594</v>
      </c>
      <c r="D37" s="28">
        <v>45814</v>
      </c>
      <c r="E37" s="2" t="s">
        <v>140</v>
      </c>
      <c r="F37" s="2" t="s">
        <v>339</v>
      </c>
      <c r="G37" s="2" t="s">
        <v>139</v>
      </c>
      <c r="H37" s="11">
        <v>103</v>
      </c>
      <c r="I37" s="11">
        <v>117</v>
      </c>
      <c r="J37" s="11">
        <v>38</v>
      </c>
      <c r="K37" s="11">
        <v>71</v>
      </c>
      <c r="L37" s="12">
        <v>0.53520000000000001</v>
      </c>
      <c r="M37" s="11">
        <v>30</v>
      </c>
      <c r="N37" s="11">
        <v>48</v>
      </c>
      <c r="O37" s="12">
        <v>0.625</v>
      </c>
      <c r="P37" s="11">
        <v>8</v>
      </c>
      <c r="Q37" s="11">
        <v>23</v>
      </c>
      <c r="R37" s="12">
        <v>0.3478</v>
      </c>
      <c r="S37" s="11">
        <v>19</v>
      </c>
      <c r="T37" s="11">
        <v>26</v>
      </c>
      <c r="U37" s="12">
        <v>0.73080000000000001</v>
      </c>
      <c r="V37" s="11">
        <v>15</v>
      </c>
      <c r="W37" s="11">
        <v>21</v>
      </c>
      <c r="X37" s="11">
        <v>36</v>
      </c>
      <c r="Y37" s="11">
        <v>20</v>
      </c>
      <c r="Z37" s="11">
        <v>2</v>
      </c>
      <c r="AA37" s="11">
        <v>13</v>
      </c>
      <c r="AB37" s="11">
        <v>0</v>
      </c>
      <c r="AC37" s="11">
        <v>29</v>
      </c>
      <c r="AD37" s="11">
        <v>39</v>
      </c>
      <c r="AE37" s="11">
        <v>67</v>
      </c>
      <c r="AF37" s="12">
        <v>0.58209999999999995</v>
      </c>
      <c r="AG37" s="11">
        <v>25</v>
      </c>
      <c r="AH37" s="11">
        <v>37</v>
      </c>
      <c r="AI37" s="12">
        <v>0.67569999999999997</v>
      </c>
      <c r="AJ37" s="11">
        <v>14</v>
      </c>
      <c r="AK37" s="11">
        <v>30</v>
      </c>
      <c r="AL37" s="12">
        <v>0.4667</v>
      </c>
      <c r="AM37" s="11">
        <v>25</v>
      </c>
      <c r="AN37" s="11">
        <v>27</v>
      </c>
      <c r="AO37" s="12">
        <v>0.92589999999999995</v>
      </c>
      <c r="AP37" s="11">
        <v>7</v>
      </c>
      <c r="AQ37" s="11">
        <v>23</v>
      </c>
      <c r="AR37" s="11">
        <v>30</v>
      </c>
      <c r="AS37" s="11">
        <v>18</v>
      </c>
      <c r="AT37" s="11">
        <v>2</v>
      </c>
      <c r="AU37" s="11">
        <v>7</v>
      </c>
      <c r="AV37" s="11">
        <v>6</v>
      </c>
      <c r="AW37" s="11">
        <v>24</v>
      </c>
      <c r="AX37" s="12">
        <v>0.62470000000000003</v>
      </c>
      <c r="AY37" s="12">
        <v>0.59150000000000003</v>
      </c>
      <c r="AZ37" s="12">
        <v>0.3947</v>
      </c>
      <c r="BA37" s="12">
        <v>0.75</v>
      </c>
      <c r="BB37" s="12">
        <v>0.54549999999999998</v>
      </c>
      <c r="BC37" s="4">
        <v>66.688000000000002</v>
      </c>
      <c r="BD37" s="12">
        <v>0.52629999999999999</v>
      </c>
      <c r="BE37" s="12">
        <v>0.2676</v>
      </c>
      <c r="BF37" s="12">
        <v>0</v>
      </c>
      <c r="BG37" s="4">
        <v>143.6</v>
      </c>
      <c r="BH37" s="4">
        <v>163.1</v>
      </c>
      <c r="BI37" s="4">
        <v>71.748500000000007</v>
      </c>
      <c r="BJ37" s="12">
        <v>0.74160000000000004</v>
      </c>
      <c r="BK37" s="12">
        <v>0.68659999999999999</v>
      </c>
      <c r="BL37" s="12">
        <v>0.25</v>
      </c>
      <c r="BM37" s="12">
        <v>0.60529999999999995</v>
      </c>
      <c r="BN37" s="12">
        <v>0.45450000000000002</v>
      </c>
      <c r="BO37" s="4">
        <v>76.808999999999997</v>
      </c>
      <c r="BP37" s="12">
        <v>0.46150000000000002</v>
      </c>
      <c r="BQ37" s="12">
        <v>0.37309999999999999</v>
      </c>
      <c r="BR37" s="12">
        <v>7.0699999999999999E-2</v>
      </c>
      <c r="BS37" s="4">
        <v>163.1</v>
      </c>
      <c r="BT37" s="4">
        <v>143.6</v>
      </c>
      <c r="BU37" s="11">
        <v>30</v>
      </c>
      <c r="BV37" s="11">
        <v>27</v>
      </c>
      <c r="BW37" s="11">
        <v>23</v>
      </c>
      <c r="BX37" s="11">
        <v>23</v>
      </c>
      <c r="BY37" s="11">
        <v>25</v>
      </c>
      <c r="BZ37" s="11">
        <v>30</v>
      </c>
      <c r="CA37" s="11">
        <v>31</v>
      </c>
      <c r="CB37" s="11">
        <v>31</v>
      </c>
      <c r="CC37" s="11">
        <v>57</v>
      </c>
      <c r="CD37" s="11">
        <v>46</v>
      </c>
      <c r="CE37" s="11">
        <v>55</v>
      </c>
      <c r="CF37" s="11">
        <v>62</v>
      </c>
      <c r="CG37" s="4">
        <v>4.2</v>
      </c>
      <c r="CH37" s="13">
        <v>1.25</v>
      </c>
      <c r="CI37" s="4">
        <v>-9</v>
      </c>
      <c r="CJ37" s="4">
        <v>-9</v>
      </c>
      <c r="CK37" s="4">
        <v>181.5</v>
      </c>
      <c r="CL37" s="2" t="s">
        <v>612</v>
      </c>
      <c r="CM37" s="4" t="str">
        <f>VLOOKUP(bourg[[#This Row],[Away_team]],all[[Full name]:[Abbr]],3,FALSE)</f>
        <v>PAR</v>
      </c>
      <c r="CN37" s="4">
        <f>IF(OR(bourg[[#This Row],[Result]]="w",bourg[[#This Row],[Result]]="dw"),bourg[[#This Row],[win]]-1,-1)</f>
        <v>-1</v>
      </c>
      <c r="CO37" s="4">
        <f>IF(OR(bourg[[#This Row],[Result]]="L",bourg[[#This Row],[Result]]="dl"),bourg[[#This Row],[lose]]-1,-1)</f>
        <v>0.25</v>
      </c>
      <c r="CP37" s="4">
        <f>IF(OR((bourg[[#This Row],[Home_scored]]+bourg[[#This Row],[Away_scored]])&gt;bourg[[#This Row],[total]],OR(bourg[[#This Row],[Result]]="dw",bourg[[#This Row],[Result]]="dl")),1,0)</f>
        <v>1</v>
      </c>
      <c r="CQ37" s="4">
        <f>ABS((bourg[[#This Row],[Home_scored]]+bourg[[#This Row],[Away_scored]])-bourg[[#This Row],[total]])+0.5</f>
        <v>39</v>
      </c>
    </row>
    <row r="38" spans="1:95" x14ac:dyDescent="0.25">
      <c r="A38" s="2" t="s">
        <v>349</v>
      </c>
      <c r="B38" s="2" t="s">
        <v>302</v>
      </c>
      <c r="C38" s="28" t="s">
        <v>594</v>
      </c>
      <c r="D38" s="28">
        <v>45816</v>
      </c>
      <c r="E38" s="2" t="s">
        <v>74</v>
      </c>
      <c r="F38" s="2" t="s">
        <v>339</v>
      </c>
      <c r="G38" s="2" t="s">
        <v>139</v>
      </c>
      <c r="H38" s="11">
        <v>93</v>
      </c>
      <c r="I38" s="11">
        <v>103</v>
      </c>
      <c r="J38" s="11">
        <v>34</v>
      </c>
      <c r="K38" s="11">
        <v>71</v>
      </c>
      <c r="L38" s="12">
        <v>0.47889999999999999</v>
      </c>
      <c r="M38" s="11">
        <v>27</v>
      </c>
      <c r="N38" s="11">
        <v>45</v>
      </c>
      <c r="O38" s="12">
        <v>0.6</v>
      </c>
      <c r="P38" s="11">
        <v>7</v>
      </c>
      <c r="Q38" s="11">
        <v>26</v>
      </c>
      <c r="R38" s="12">
        <v>0.26919999999999999</v>
      </c>
      <c r="S38" s="11">
        <v>18</v>
      </c>
      <c r="T38" s="11">
        <v>21</v>
      </c>
      <c r="U38" s="12">
        <v>0.85709999999999997</v>
      </c>
      <c r="V38" s="11">
        <v>15</v>
      </c>
      <c r="W38" s="11">
        <v>21</v>
      </c>
      <c r="X38" s="11">
        <v>36</v>
      </c>
      <c r="Y38" s="11">
        <v>22</v>
      </c>
      <c r="Z38" s="11">
        <v>2</v>
      </c>
      <c r="AA38" s="11">
        <v>9</v>
      </c>
      <c r="AB38" s="11">
        <v>7</v>
      </c>
      <c r="AC38" s="11">
        <v>22</v>
      </c>
      <c r="AD38" s="11">
        <v>32</v>
      </c>
      <c r="AE38" s="11">
        <v>66</v>
      </c>
      <c r="AF38" s="12">
        <v>0.48480000000000001</v>
      </c>
      <c r="AG38" s="11">
        <v>20</v>
      </c>
      <c r="AH38" s="11">
        <v>36</v>
      </c>
      <c r="AI38" s="12">
        <v>0.55559999999999998</v>
      </c>
      <c r="AJ38" s="11">
        <v>12</v>
      </c>
      <c r="AK38" s="11">
        <v>30</v>
      </c>
      <c r="AL38" s="12">
        <v>0.4</v>
      </c>
      <c r="AM38" s="11">
        <v>27</v>
      </c>
      <c r="AN38" s="11">
        <v>30</v>
      </c>
      <c r="AO38" s="12">
        <v>0.9</v>
      </c>
      <c r="AP38" s="11">
        <v>14</v>
      </c>
      <c r="AQ38" s="11">
        <v>23</v>
      </c>
      <c r="AR38" s="11">
        <v>37</v>
      </c>
      <c r="AS38" s="11">
        <v>23</v>
      </c>
      <c r="AT38" s="11">
        <v>0</v>
      </c>
      <c r="AU38" s="11">
        <v>11</v>
      </c>
      <c r="AV38" s="11">
        <v>3</v>
      </c>
      <c r="AW38" s="11">
        <v>24</v>
      </c>
      <c r="AX38" s="12">
        <v>0.57950000000000002</v>
      </c>
      <c r="AY38" s="12">
        <v>0.5282</v>
      </c>
      <c r="AZ38" s="12">
        <v>0.3947</v>
      </c>
      <c r="BA38" s="12">
        <v>0.6</v>
      </c>
      <c r="BB38" s="12">
        <v>0.49320000000000003</v>
      </c>
      <c r="BC38" s="4">
        <v>69.903999999999996</v>
      </c>
      <c r="BD38" s="12">
        <v>0.64710000000000001</v>
      </c>
      <c r="BE38" s="12">
        <v>0.2535</v>
      </c>
      <c r="BF38" s="12">
        <v>8.0199999999999994E-2</v>
      </c>
      <c r="BG38" s="4">
        <v>135.6</v>
      </c>
      <c r="BH38" s="4">
        <v>150.19999999999999</v>
      </c>
      <c r="BI38" s="4">
        <v>68.569500000000005</v>
      </c>
      <c r="BJ38" s="12">
        <v>0.65029999999999999</v>
      </c>
      <c r="BK38" s="12">
        <v>0.57579999999999998</v>
      </c>
      <c r="BL38" s="12">
        <v>0.4</v>
      </c>
      <c r="BM38" s="12">
        <v>0.60529999999999995</v>
      </c>
      <c r="BN38" s="12">
        <v>0.50680000000000003</v>
      </c>
      <c r="BO38" s="4">
        <v>67.234999999999999</v>
      </c>
      <c r="BP38" s="12">
        <v>0.71879999999999999</v>
      </c>
      <c r="BQ38" s="12">
        <v>0.40910000000000002</v>
      </c>
      <c r="BR38" s="12">
        <v>3.6499999999999998E-2</v>
      </c>
      <c r="BS38" s="4">
        <v>150.19999999999999</v>
      </c>
      <c r="BT38" s="4">
        <v>135.6</v>
      </c>
      <c r="BU38" s="11">
        <v>28</v>
      </c>
      <c r="BV38" s="11">
        <v>28</v>
      </c>
      <c r="BW38" s="11">
        <v>19</v>
      </c>
      <c r="BX38" s="11">
        <v>18</v>
      </c>
      <c r="BY38" s="11">
        <v>26</v>
      </c>
      <c r="BZ38" s="11">
        <v>26</v>
      </c>
      <c r="CA38" s="11">
        <v>23</v>
      </c>
      <c r="CB38" s="11">
        <v>28</v>
      </c>
      <c r="CC38" s="11">
        <v>56</v>
      </c>
      <c r="CD38" s="11">
        <v>37</v>
      </c>
      <c r="CE38" s="11">
        <v>52</v>
      </c>
      <c r="CF38" s="11">
        <v>51</v>
      </c>
      <c r="CG38" s="4">
        <v>2.0499999999999998</v>
      </c>
      <c r="CH38" s="13">
        <v>1.8</v>
      </c>
      <c r="CI38" s="4">
        <v>1.5</v>
      </c>
      <c r="CJ38" s="4">
        <v>-1.5</v>
      </c>
      <c r="CK38" s="4">
        <v>184.5</v>
      </c>
      <c r="CL38" s="2" t="s">
        <v>614</v>
      </c>
      <c r="CM38" s="4" t="str">
        <f>VLOOKUP(bourg[[#This Row],[Away_team]],all[[Full name]:[Abbr]],3,FALSE)</f>
        <v>PAR</v>
      </c>
      <c r="CN38" s="4">
        <f>IF(OR(bourg[[#This Row],[Result]]="w",bourg[[#This Row],[Result]]="dw"),bourg[[#This Row],[win]]-1,-1)</f>
        <v>-1</v>
      </c>
      <c r="CO38" s="4">
        <f>IF(OR(bourg[[#This Row],[Result]]="L",bourg[[#This Row],[Result]]="dl"),bourg[[#This Row],[lose]]-1,-1)</f>
        <v>0.8</v>
      </c>
      <c r="CP38" s="4">
        <f>IF(OR((bourg[[#This Row],[Home_scored]]+bourg[[#This Row],[Away_scored]])&gt;bourg[[#This Row],[total]],OR(bourg[[#This Row],[Result]]="dw",bourg[[#This Row],[Result]]="dl")),1,0)</f>
        <v>1</v>
      </c>
      <c r="CQ38" s="4">
        <f>ABS((bourg[[#This Row],[Home_scored]]+bourg[[#This Row],[Away_scored]])-bourg[[#This Row],[total]])+0.5</f>
        <v>12</v>
      </c>
    </row>
  </sheetData>
  <phoneticPr fontId="11" type="noConversion"/>
  <conditionalFormatting sqref="A4:A38">
    <cfRule type="expression" dxfId="401" priority="4">
      <formula>SUMPRODUCT(--ISERROR(B4:CL4))&gt;0</formula>
    </cfRule>
  </conditionalFormatting>
  <conditionalFormatting sqref="B4:B38">
    <cfRule type="uniqueValues" dxfId="400" priority="442"/>
  </conditionalFormatting>
  <conditionalFormatting sqref="D4:D38">
    <cfRule type="duplicateValues" dxfId="399" priority="444"/>
  </conditionalFormatting>
  <conditionalFormatting sqref="H4:H38">
    <cfRule type="expression" dxfId="398" priority="6">
      <formula>H4=BU4+BV4+BW4+BX4</formula>
    </cfRule>
  </conditionalFormatting>
  <conditionalFormatting sqref="I4:I38">
    <cfRule type="expression" dxfId="397" priority="5">
      <formula>I4=BY4+BZ4+CA4+CB4</formula>
    </cfRule>
  </conditionalFormatting>
  <hyperlinks>
    <hyperlink ref="A1" location="all_data!A1" display="rating" xr:uid="{7157BB76-4ACA-41BC-8DAA-B95B97ECC06E}"/>
  </hyperlink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CD77-6895-4B62-82BD-3FB0DA957AC4}">
  <sheetPr codeName="Sheet13"/>
  <dimension ref="A1:CQ40"/>
  <sheetViews>
    <sheetView zoomScale="80" zoomScaleNormal="80" workbookViewId="0">
      <selection activeCell="A41" sqref="A41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349</v>
      </c>
      <c r="B4" s="2" t="s">
        <v>327</v>
      </c>
      <c r="C4" s="2" t="s">
        <v>73</v>
      </c>
      <c r="D4" s="3">
        <v>45557</v>
      </c>
      <c r="E4" s="2" t="s">
        <v>74</v>
      </c>
      <c r="F4" s="2" t="s">
        <v>317</v>
      </c>
      <c r="G4" s="2" t="s">
        <v>75</v>
      </c>
      <c r="H4" s="2">
        <v>85</v>
      </c>
      <c r="I4" s="2">
        <v>71</v>
      </c>
      <c r="J4" s="2">
        <v>28</v>
      </c>
      <c r="K4" s="2">
        <v>56</v>
      </c>
      <c r="L4" s="2">
        <v>0.5</v>
      </c>
      <c r="M4" s="2">
        <v>21</v>
      </c>
      <c r="N4" s="2">
        <v>33</v>
      </c>
      <c r="O4" s="2">
        <v>0.63639999999999997</v>
      </c>
      <c r="P4" s="2">
        <v>7</v>
      </c>
      <c r="Q4" s="2">
        <v>23</v>
      </c>
      <c r="R4" s="2">
        <v>0.30430000000000001</v>
      </c>
      <c r="S4" s="2">
        <v>22</v>
      </c>
      <c r="T4" s="2">
        <v>27</v>
      </c>
      <c r="U4" s="2">
        <v>0.81479999999999997</v>
      </c>
      <c r="V4" s="2">
        <v>9</v>
      </c>
      <c r="W4" s="2">
        <v>31</v>
      </c>
      <c r="X4" s="2">
        <v>40</v>
      </c>
      <c r="Y4" s="2">
        <v>22</v>
      </c>
      <c r="Z4" s="2">
        <v>7</v>
      </c>
      <c r="AA4" s="2">
        <v>5</v>
      </c>
      <c r="AB4" s="2">
        <v>14</v>
      </c>
      <c r="AC4" s="2">
        <v>18</v>
      </c>
      <c r="AD4" s="2">
        <v>25</v>
      </c>
      <c r="AE4" s="2">
        <v>66</v>
      </c>
      <c r="AF4" s="2">
        <v>0.37880000000000003</v>
      </c>
      <c r="AG4" s="2">
        <v>16</v>
      </c>
      <c r="AH4" s="2">
        <v>40</v>
      </c>
      <c r="AI4" s="2">
        <v>0.4</v>
      </c>
      <c r="AJ4" s="2">
        <v>9</v>
      </c>
      <c r="AK4" s="2">
        <v>26</v>
      </c>
      <c r="AL4" s="2">
        <v>0.34620000000000001</v>
      </c>
      <c r="AM4" s="2">
        <v>12</v>
      </c>
      <c r="AN4" s="2">
        <v>20</v>
      </c>
      <c r="AO4" s="2">
        <v>0.6</v>
      </c>
      <c r="AP4" s="2">
        <v>13</v>
      </c>
      <c r="AQ4" s="2">
        <v>19</v>
      </c>
      <c r="AR4" s="2">
        <v>32</v>
      </c>
      <c r="AS4" s="2">
        <v>12</v>
      </c>
      <c r="AT4" s="2">
        <v>8</v>
      </c>
      <c r="AU4" s="2">
        <v>2</v>
      </c>
      <c r="AV4" s="2">
        <v>10</v>
      </c>
      <c r="AW4" s="2">
        <v>23</v>
      </c>
      <c r="AX4" s="2">
        <v>0.62609999999999999</v>
      </c>
      <c r="AY4" s="2">
        <v>0.5625</v>
      </c>
      <c r="AZ4" s="2">
        <v>0.32140000000000002</v>
      </c>
      <c r="BA4" s="2">
        <v>0.70450000000000002</v>
      </c>
      <c r="BB4" s="2">
        <v>0.55559999999999998</v>
      </c>
      <c r="BC4" s="4">
        <v>74.058999999999997</v>
      </c>
      <c r="BD4" s="2">
        <v>0.78569999999999995</v>
      </c>
      <c r="BE4" s="2">
        <v>0.39290000000000003</v>
      </c>
      <c r="BF4" s="2">
        <v>0.17100000000000001</v>
      </c>
      <c r="BG4" s="2">
        <v>121.2</v>
      </c>
      <c r="BH4" s="2">
        <v>101.3</v>
      </c>
      <c r="BI4" s="2">
        <v>70.118499999999997</v>
      </c>
      <c r="BJ4" s="2">
        <v>0.47460000000000002</v>
      </c>
      <c r="BK4" s="2">
        <v>0.44700000000000001</v>
      </c>
      <c r="BL4" s="2">
        <v>0.29549999999999998</v>
      </c>
      <c r="BM4" s="2">
        <v>0.67859999999999998</v>
      </c>
      <c r="BN4" s="2">
        <v>0.44440000000000002</v>
      </c>
      <c r="BO4" s="4">
        <v>66.177999999999997</v>
      </c>
      <c r="BP4" s="2">
        <v>0.48</v>
      </c>
      <c r="BQ4" s="2">
        <v>0.18179999999999999</v>
      </c>
      <c r="BR4" s="2">
        <v>0.1179</v>
      </c>
      <c r="BS4" s="2">
        <v>101.3</v>
      </c>
      <c r="BT4" s="2">
        <v>121.2</v>
      </c>
      <c r="BU4" s="2">
        <v>18</v>
      </c>
      <c r="BV4" s="2">
        <v>25</v>
      </c>
      <c r="BW4" s="2">
        <v>25</v>
      </c>
      <c r="BX4" s="2">
        <v>17</v>
      </c>
      <c r="BY4" s="2">
        <v>23</v>
      </c>
      <c r="BZ4" s="2">
        <v>14</v>
      </c>
      <c r="CA4" s="2">
        <v>19</v>
      </c>
      <c r="CB4" s="2">
        <v>15</v>
      </c>
      <c r="CC4" s="2">
        <v>43</v>
      </c>
      <c r="CD4" s="2">
        <v>42</v>
      </c>
      <c r="CE4" s="2">
        <v>37</v>
      </c>
      <c r="CF4" s="2">
        <v>34</v>
      </c>
      <c r="CG4" s="2">
        <v>1.22</v>
      </c>
      <c r="CH4" s="2">
        <v>4.5</v>
      </c>
      <c r="CI4" s="2">
        <v>-9.5</v>
      </c>
      <c r="CJ4" s="2">
        <v>9.5</v>
      </c>
      <c r="CK4" s="2">
        <v>161.5</v>
      </c>
      <c r="CL4" s="2" t="s">
        <v>394</v>
      </c>
      <c r="CM4" s="4" t="str">
        <f>VLOOKUP(lyon[[#This Row],[Away_team]],all[[Full name]:[Abbr]],3,FALSE)</f>
        <v>LEM</v>
      </c>
      <c r="CN4" s="4">
        <f>IF(OR(lyon[[#This Row],[Result]]="w",lyon[[#This Row],[Result]]="dw"),lyon[[#This Row],[win]]-1,-1)</f>
        <v>0.21999999999999997</v>
      </c>
      <c r="CO4" s="4">
        <f>IF(OR(lyon[[#This Row],[Result]]="L",lyon[[#This Row],[Result]]="dl"),lyon[[#This Row],[lose]]-1,-1)</f>
        <v>-1</v>
      </c>
      <c r="CP4" s="4">
        <f>IF(OR((lyon[[#This Row],[Home_scored]]+lyon[[#This Row],[Away_scored]])&gt;lyon[[#This Row],[total]],OR(lyon[[#This Row],[Result]]="dw",lyon[[#This Row],[Result]]="dl")),1,0)</f>
        <v>0</v>
      </c>
      <c r="CQ4" s="4">
        <f>ABS((lyon[[#This Row],[Home_scored]]+lyon[[#This Row],[Away_scored]])-lyon[[#This Row],[total]])+0.5</f>
        <v>6</v>
      </c>
    </row>
    <row r="5" spans="1:95" x14ac:dyDescent="0.25">
      <c r="A5" s="2" t="s">
        <v>349</v>
      </c>
      <c r="B5" s="2" t="s">
        <v>327</v>
      </c>
      <c r="C5" s="3" t="s">
        <v>73</v>
      </c>
      <c r="D5" s="3">
        <v>45564</v>
      </c>
      <c r="E5" s="2" t="s">
        <v>140</v>
      </c>
      <c r="F5" s="2" t="s">
        <v>302</v>
      </c>
      <c r="G5" s="2" t="s">
        <v>75</v>
      </c>
      <c r="H5" s="11">
        <v>94</v>
      </c>
      <c r="I5" s="11">
        <v>85</v>
      </c>
      <c r="J5" s="11">
        <v>27</v>
      </c>
      <c r="K5" s="11">
        <v>53</v>
      </c>
      <c r="L5" s="12">
        <v>0.50939999999999996</v>
      </c>
      <c r="M5" s="11">
        <v>17</v>
      </c>
      <c r="N5" s="11">
        <v>26</v>
      </c>
      <c r="O5" s="12">
        <v>0.65380000000000005</v>
      </c>
      <c r="P5" s="11">
        <v>10</v>
      </c>
      <c r="Q5" s="11">
        <v>27</v>
      </c>
      <c r="R5" s="12">
        <v>0.37040000000000001</v>
      </c>
      <c r="S5" s="11">
        <v>30</v>
      </c>
      <c r="T5" s="11">
        <v>35</v>
      </c>
      <c r="U5" s="12">
        <v>0.85709999999999997</v>
      </c>
      <c r="V5" s="11">
        <v>10</v>
      </c>
      <c r="W5" s="11">
        <v>33</v>
      </c>
      <c r="X5" s="11">
        <v>43</v>
      </c>
      <c r="Y5" s="11">
        <v>19</v>
      </c>
      <c r="Z5" s="11">
        <v>3</v>
      </c>
      <c r="AA5" s="11">
        <v>0</v>
      </c>
      <c r="AB5" s="11">
        <v>16</v>
      </c>
      <c r="AC5" s="11">
        <v>28</v>
      </c>
      <c r="AD5" s="11">
        <v>28</v>
      </c>
      <c r="AE5" s="11">
        <v>65</v>
      </c>
      <c r="AF5" s="12">
        <v>0.43080000000000002</v>
      </c>
      <c r="AG5" s="11">
        <v>19</v>
      </c>
      <c r="AH5" s="11">
        <v>36</v>
      </c>
      <c r="AI5" s="12">
        <v>0.52780000000000005</v>
      </c>
      <c r="AJ5" s="11">
        <v>9</v>
      </c>
      <c r="AK5" s="11">
        <v>29</v>
      </c>
      <c r="AL5" s="12">
        <v>0.31030000000000002</v>
      </c>
      <c r="AM5" s="11">
        <v>20</v>
      </c>
      <c r="AN5" s="11">
        <v>29</v>
      </c>
      <c r="AO5" s="12">
        <v>0.68969999999999998</v>
      </c>
      <c r="AP5" s="11">
        <v>8</v>
      </c>
      <c r="AQ5" s="11">
        <v>18</v>
      </c>
      <c r="AR5" s="11">
        <v>26</v>
      </c>
      <c r="AS5" s="11">
        <v>21</v>
      </c>
      <c r="AT5" s="11">
        <v>13</v>
      </c>
      <c r="AU5" s="11">
        <v>1</v>
      </c>
      <c r="AV5" s="11">
        <v>5</v>
      </c>
      <c r="AW5" s="11">
        <v>28</v>
      </c>
      <c r="AX5" s="12">
        <v>0.68710000000000004</v>
      </c>
      <c r="AY5" s="12">
        <v>0.6038</v>
      </c>
      <c r="AZ5" s="12">
        <v>0.35709999999999997</v>
      </c>
      <c r="BA5" s="12">
        <v>0.80489999999999995</v>
      </c>
      <c r="BB5" s="12">
        <v>0.62319999999999998</v>
      </c>
      <c r="BC5" s="4">
        <v>76.53</v>
      </c>
      <c r="BD5" s="12">
        <v>0.70369999999999999</v>
      </c>
      <c r="BE5" s="12">
        <v>0.56599999999999995</v>
      </c>
      <c r="BF5" s="12">
        <v>0.18959999999999999</v>
      </c>
      <c r="BG5" s="4">
        <v>128.80000000000001</v>
      </c>
      <c r="BH5" s="4">
        <v>116.5</v>
      </c>
      <c r="BI5" s="4">
        <v>72.974000000000004</v>
      </c>
      <c r="BJ5" s="12">
        <v>0.54659999999999997</v>
      </c>
      <c r="BK5" s="12">
        <v>0.5</v>
      </c>
      <c r="BL5" s="12">
        <v>0.1951</v>
      </c>
      <c r="BM5" s="12">
        <v>0.64290000000000003</v>
      </c>
      <c r="BN5" s="12">
        <v>0.37680000000000002</v>
      </c>
      <c r="BO5" s="4">
        <v>69.418000000000006</v>
      </c>
      <c r="BP5" s="12">
        <v>0.75</v>
      </c>
      <c r="BQ5" s="12">
        <v>0.30769999999999997</v>
      </c>
      <c r="BR5" s="12">
        <v>6.0400000000000002E-2</v>
      </c>
      <c r="BS5" s="4">
        <v>116.5</v>
      </c>
      <c r="BT5" s="4">
        <v>128.80000000000001</v>
      </c>
      <c r="BU5" s="11">
        <v>32</v>
      </c>
      <c r="BV5" s="11">
        <v>17</v>
      </c>
      <c r="BW5" s="11">
        <v>23</v>
      </c>
      <c r="BX5" s="11">
        <v>22</v>
      </c>
      <c r="BY5" s="11">
        <v>21</v>
      </c>
      <c r="BZ5" s="11">
        <v>24</v>
      </c>
      <c r="CA5" s="11">
        <v>19</v>
      </c>
      <c r="CB5" s="11">
        <v>21</v>
      </c>
      <c r="CC5" s="11">
        <v>49</v>
      </c>
      <c r="CD5" s="11">
        <v>45</v>
      </c>
      <c r="CE5" s="11">
        <v>45</v>
      </c>
      <c r="CF5" s="11">
        <v>40</v>
      </c>
      <c r="CG5" s="4">
        <v>2.0499999999999998</v>
      </c>
      <c r="CH5" s="13">
        <v>1.8</v>
      </c>
      <c r="CI5" s="4">
        <v>1.5</v>
      </c>
      <c r="CJ5" s="4">
        <v>-1.5</v>
      </c>
      <c r="CK5" s="4">
        <v>162.5</v>
      </c>
      <c r="CL5" s="2" t="s">
        <v>351</v>
      </c>
      <c r="CM5" s="4" t="str">
        <f>VLOOKUP(lyon[[#This Row],[Away_team]],all[[Full name]:[Abbr]],3,FALSE)</f>
        <v>BUR</v>
      </c>
      <c r="CN5" s="4">
        <f>IF(OR(lyon[[#This Row],[Result]]="w",lyon[[#This Row],[Result]]="dw"),lyon[[#This Row],[win]]-1,-1)</f>
        <v>1.0499999999999998</v>
      </c>
      <c r="CO5" s="4">
        <f>IF(OR(lyon[[#This Row],[Result]]="L",lyon[[#This Row],[Result]]="dl"),lyon[[#This Row],[lose]]-1,-1)</f>
        <v>-1</v>
      </c>
      <c r="CP5" s="4">
        <f>IF(OR((lyon[[#This Row],[Home_scored]]+lyon[[#This Row],[Away_scored]])&gt;lyon[[#This Row],[total]],OR(lyon[[#This Row],[Result]]="dw",lyon[[#This Row],[Result]]="dl")),1,0)</f>
        <v>1</v>
      </c>
      <c r="CQ5" s="4">
        <f>ABS((lyon[[#This Row],[Home_scored]]+lyon[[#This Row],[Away_scored]])-lyon[[#This Row],[total]])+0.5</f>
        <v>17</v>
      </c>
    </row>
    <row r="6" spans="1:95" x14ac:dyDescent="0.25">
      <c r="A6" s="2" t="s">
        <v>349</v>
      </c>
      <c r="B6" s="2" t="s">
        <v>327</v>
      </c>
      <c r="C6" s="3" t="s">
        <v>73</v>
      </c>
      <c r="D6" s="3">
        <v>45571</v>
      </c>
      <c r="E6" s="2" t="s">
        <v>74</v>
      </c>
      <c r="F6" s="2" t="s">
        <v>330</v>
      </c>
      <c r="G6" s="2" t="s">
        <v>75</v>
      </c>
      <c r="H6" s="11">
        <v>88</v>
      </c>
      <c r="I6" s="11">
        <v>71</v>
      </c>
      <c r="J6" s="11">
        <v>27</v>
      </c>
      <c r="K6" s="11">
        <v>55</v>
      </c>
      <c r="L6" s="12">
        <v>0.4909</v>
      </c>
      <c r="M6" s="11">
        <v>18</v>
      </c>
      <c r="N6" s="11">
        <v>34</v>
      </c>
      <c r="O6" s="12">
        <v>0.52939999999999998</v>
      </c>
      <c r="P6" s="11">
        <v>9</v>
      </c>
      <c r="Q6" s="11">
        <v>21</v>
      </c>
      <c r="R6" s="12">
        <v>0.42859999999999998</v>
      </c>
      <c r="S6" s="11">
        <v>25</v>
      </c>
      <c r="T6" s="11">
        <v>31</v>
      </c>
      <c r="U6" s="12">
        <v>0.80649999999999999</v>
      </c>
      <c r="V6" s="11">
        <v>11</v>
      </c>
      <c r="W6" s="11">
        <v>24</v>
      </c>
      <c r="X6" s="11">
        <v>35</v>
      </c>
      <c r="Y6" s="11">
        <v>16</v>
      </c>
      <c r="Z6" s="11">
        <v>8</v>
      </c>
      <c r="AA6" s="11">
        <v>3</v>
      </c>
      <c r="AB6" s="11">
        <v>13</v>
      </c>
      <c r="AC6" s="11">
        <v>16</v>
      </c>
      <c r="AD6" s="11">
        <v>29</v>
      </c>
      <c r="AE6" s="11">
        <v>74</v>
      </c>
      <c r="AF6" s="12">
        <v>0.39190000000000003</v>
      </c>
      <c r="AG6" s="11">
        <v>23</v>
      </c>
      <c r="AH6" s="11">
        <v>45</v>
      </c>
      <c r="AI6" s="12">
        <v>0.5111</v>
      </c>
      <c r="AJ6" s="11">
        <v>6</v>
      </c>
      <c r="AK6" s="11">
        <v>29</v>
      </c>
      <c r="AL6" s="12">
        <v>0.2069</v>
      </c>
      <c r="AM6" s="11">
        <v>7</v>
      </c>
      <c r="AN6" s="11">
        <v>12</v>
      </c>
      <c r="AO6" s="12">
        <v>0.58330000000000004</v>
      </c>
      <c r="AP6" s="11">
        <v>20</v>
      </c>
      <c r="AQ6" s="11">
        <v>19</v>
      </c>
      <c r="AR6" s="11">
        <v>39</v>
      </c>
      <c r="AS6" s="11">
        <v>17</v>
      </c>
      <c r="AT6" s="11">
        <v>5</v>
      </c>
      <c r="AU6" s="11">
        <v>1</v>
      </c>
      <c r="AV6" s="11">
        <v>12</v>
      </c>
      <c r="AW6" s="11">
        <v>30</v>
      </c>
      <c r="AX6" s="12">
        <v>0.64100000000000001</v>
      </c>
      <c r="AY6" s="12">
        <v>0.57269999999999999</v>
      </c>
      <c r="AZ6" s="12">
        <v>0.36670000000000003</v>
      </c>
      <c r="BA6" s="12">
        <v>0.54549999999999998</v>
      </c>
      <c r="BB6" s="12">
        <v>0.47299999999999998</v>
      </c>
      <c r="BC6" s="4">
        <v>70.983999999999995</v>
      </c>
      <c r="BD6" s="12">
        <v>0.59260000000000002</v>
      </c>
      <c r="BE6" s="12">
        <v>0.45450000000000002</v>
      </c>
      <c r="BF6" s="12">
        <v>0.15920000000000001</v>
      </c>
      <c r="BG6" s="4">
        <v>128.4</v>
      </c>
      <c r="BH6" s="4">
        <v>103.6</v>
      </c>
      <c r="BI6" s="4">
        <v>68.546000000000006</v>
      </c>
      <c r="BJ6" s="12">
        <v>0.44779999999999998</v>
      </c>
      <c r="BK6" s="12">
        <v>0.43240000000000001</v>
      </c>
      <c r="BL6" s="12">
        <v>0.45450000000000002</v>
      </c>
      <c r="BM6" s="12">
        <v>0.63329999999999997</v>
      </c>
      <c r="BN6" s="12">
        <v>0.52700000000000002</v>
      </c>
      <c r="BO6" s="4">
        <v>66.108000000000004</v>
      </c>
      <c r="BP6" s="12">
        <v>0.58620000000000005</v>
      </c>
      <c r="BQ6" s="12">
        <v>9.4600000000000004E-2</v>
      </c>
      <c r="BR6" s="12">
        <v>0.13150000000000001</v>
      </c>
      <c r="BS6" s="4">
        <v>103.6</v>
      </c>
      <c r="BT6" s="4">
        <v>128.4</v>
      </c>
      <c r="BU6" s="11">
        <v>21</v>
      </c>
      <c r="BV6" s="11">
        <v>25</v>
      </c>
      <c r="BW6" s="11">
        <v>20</v>
      </c>
      <c r="BX6" s="11">
        <v>22</v>
      </c>
      <c r="BY6" s="11">
        <v>16</v>
      </c>
      <c r="BZ6" s="11">
        <v>20</v>
      </c>
      <c r="CA6" s="11">
        <v>17</v>
      </c>
      <c r="CB6" s="11">
        <v>18</v>
      </c>
      <c r="CC6" s="11">
        <v>46</v>
      </c>
      <c r="CD6" s="11">
        <v>42</v>
      </c>
      <c r="CE6" s="11">
        <v>36</v>
      </c>
      <c r="CF6" s="11">
        <v>35</v>
      </c>
      <c r="CG6" s="4">
        <v>2.15</v>
      </c>
      <c r="CH6" s="13">
        <v>1.74</v>
      </c>
      <c r="CI6" s="4">
        <v>2</v>
      </c>
      <c r="CJ6" s="4">
        <v>-2</v>
      </c>
      <c r="CK6" s="4">
        <v>162.5</v>
      </c>
      <c r="CL6" s="2" t="s">
        <v>418</v>
      </c>
      <c r="CM6" s="4" t="str">
        <f>VLOOKUP(lyon[[#This Row],[Away_team]],all[[Full name]:[Abbr]],3,FALSE)</f>
        <v>MON</v>
      </c>
      <c r="CN6" s="4">
        <f>IF(OR(lyon[[#This Row],[Result]]="w",lyon[[#This Row],[Result]]="dw"),lyon[[#This Row],[win]]-1,-1)</f>
        <v>1.1499999999999999</v>
      </c>
      <c r="CO6" s="4">
        <f>IF(OR(lyon[[#This Row],[Result]]="L",lyon[[#This Row],[Result]]="dl"),lyon[[#This Row],[lose]]-1,-1)</f>
        <v>-1</v>
      </c>
      <c r="CP6" s="4">
        <f>IF(OR((lyon[[#This Row],[Home_scored]]+lyon[[#This Row],[Away_scored]])&gt;lyon[[#This Row],[total]],OR(lyon[[#This Row],[Result]]="dw",lyon[[#This Row],[Result]]="dl")),1,0)</f>
        <v>0</v>
      </c>
      <c r="CQ6" s="4">
        <f>ABS((lyon[[#This Row],[Home_scored]]+lyon[[#This Row],[Away_scored]])-lyon[[#This Row],[total]])+0.5</f>
        <v>4</v>
      </c>
    </row>
    <row r="7" spans="1:95" x14ac:dyDescent="0.25">
      <c r="A7" s="2" t="s">
        <v>349</v>
      </c>
      <c r="B7" s="2" t="s">
        <v>327</v>
      </c>
      <c r="C7" s="3" t="s">
        <v>73</v>
      </c>
      <c r="D7" s="3">
        <v>45578</v>
      </c>
      <c r="E7" s="2" t="s">
        <v>74</v>
      </c>
      <c r="F7" s="2" t="s">
        <v>320</v>
      </c>
      <c r="G7" s="2" t="s">
        <v>75</v>
      </c>
      <c r="H7" s="11">
        <v>88</v>
      </c>
      <c r="I7" s="11">
        <v>67</v>
      </c>
      <c r="J7" s="11">
        <v>31</v>
      </c>
      <c r="K7" s="11">
        <v>54</v>
      </c>
      <c r="L7" s="12">
        <v>0.57410000000000005</v>
      </c>
      <c r="M7" s="11">
        <v>22</v>
      </c>
      <c r="N7" s="11">
        <v>35</v>
      </c>
      <c r="O7" s="12">
        <v>0.62860000000000005</v>
      </c>
      <c r="P7" s="11">
        <v>9</v>
      </c>
      <c r="Q7" s="11">
        <v>19</v>
      </c>
      <c r="R7" s="12">
        <v>0.47370000000000001</v>
      </c>
      <c r="S7" s="11">
        <v>17</v>
      </c>
      <c r="T7" s="11">
        <v>21</v>
      </c>
      <c r="U7" s="12">
        <v>0.8095</v>
      </c>
      <c r="V7" s="11">
        <v>4</v>
      </c>
      <c r="W7" s="11">
        <v>26</v>
      </c>
      <c r="X7" s="11">
        <v>30</v>
      </c>
      <c r="Y7" s="11">
        <v>22</v>
      </c>
      <c r="Z7" s="11">
        <v>5</v>
      </c>
      <c r="AA7" s="11">
        <v>1</v>
      </c>
      <c r="AB7" s="11">
        <v>16</v>
      </c>
      <c r="AC7" s="11">
        <v>22</v>
      </c>
      <c r="AD7" s="11">
        <v>23</v>
      </c>
      <c r="AE7" s="11">
        <v>56</v>
      </c>
      <c r="AF7" s="12">
        <v>0.41070000000000001</v>
      </c>
      <c r="AG7" s="11">
        <v>18</v>
      </c>
      <c r="AH7" s="11">
        <v>31</v>
      </c>
      <c r="AI7" s="12">
        <v>0.5806</v>
      </c>
      <c r="AJ7" s="11">
        <v>5</v>
      </c>
      <c r="AK7" s="11">
        <v>25</v>
      </c>
      <c r="AL7" s="12">
        <v>0.2</v>
      </c>
      <c r="AM7" s="11">
        <v>16</v>
      </c>
      <c r="AN7" s="11">
        <v>25</v>
      </c>
      <c r="AO7" s="12">
        <v>0.64</v>
      </c>
      <c r="AP7" s="11">
        <v>10</v>
      </c>
      <c r="AQ7" s="11">
        <v>20</v>
      </c>
      <c r="AR7" s="11">
        <v>30</v>
      </c>
      <c r="AS7" s="11">
        <v>18</v>
      </c>
      <c r="AT7" s="11">
        <v>7</v>
      </c>
      <c r="AU7" s="11">
        <v>1</v>
      </c>
      <c r="AV7" s="11">
        <v>13</v>
      </c>
      <c r="AW7" s="11">
        <v>25</v>
      </c>
      <c r="AX7" s="12">
        <v>0.69579999999999997</v>
      </c>
      <c r="AY7" s="12">
        <v>0.65739999999999998</v>
      </c>
      <c r="AZ7" s="12">
        <v>0.16669999999999999</v>
      </c>
      <c r="BA7" s="12">
        <v>0.72219999999999995</v>
      </c>
      <c r="BB7" s="12">
        <v>0.5</v>
      </c>
      <c r="BC7" s="4">
        <v>75.119</v>
      </c>
      <c r="BD7" s="12">
        <v>0.7097</v>
      </c>
      <c r="BE7" s="12">
        <v>0.31480000000000002</v>
      </c>
      <c r="BF7" s="12">
        <v>0.2019</v>
      </c>
      <c r="BG7" s="4">
        <v>123.6</v>
      </c>
      <c r="BH7" s="4">
        <v>94.1</v>
      </c>
      <c r="BI7" s="4">
        <v>71.174499999999995</v>
      </c>
      <c r="BJ7" s="12">
        <v>0.5</v>
      </c>
      <c r="BK7" s="12">
        <v>0.45540000000000003</v>
      </c>
      <c r="BL7" s="12">
        <v>0.27779999999999999</v>
      </c>
      <c r="BM7" s="12">
        <v>0.83330000000000004</v>
      </c>
      <c r="BN7" s="12">
        <v>0.5</v>
      </c>
      <c r="BO7" s="4">
        <v>67.23</v>
      </c>
      <c r="BP7" s="12">
        <v>0.78259999999999996</v>
      </c>
      <c r="BQ7" s="12">
        <v>0.28570000000000001</v>
      </c>
      <c r="BR7" s="12">
        <v>0.16250000000000001</v>
      </c>
      <c r="BS7" s="4">
        <v>94.1</v>
      </c>
      <c r="BT7" s="4">
        <v>123.6</v>
      </c>
      <c r="BU7" s="11">
        <v>24</v>
      </c>
      <c r="BV7" s="11">
        <v>22</v>
      </c>
      <c r="BW7" s="11">
        <v>29</v>
      </c>
      <c r="BX7" s="11">
        <v>13</v>
      </c>
      <c r="BY7" s="11">
        <v>18</v>
      </c>
      <c r="BZ7" s="11">
        <v>22</v>
      </c>
      <c r="CA7" s="11">
        <v>12</v>
      </c>
      <c r="CB7" s="11">
        <v>15</v>
      </c>
      <c r="CC7" s="11">
        <v>46</v>
      </c>
      <c r="CD7" s="11">
        <v>42</v>
      </c>
      <c r="CE7" s="11">
        <v>40</v>
      </c>
      <c r="CF7" s="11">
        <v>27</v>
      </c>
      <c r="CG7" s="4">
        <v>1.07</v>
      </c>
      <c r="CH7" s="13">
        <v>9.5</v>
      </c>
      <c r="CI7" s="4">
        <v>-14.5</v>
      </c>
      <c r="CJ7" s="4">
        <v>14.5</v>
      </c>
      <c r="CK7" s="4">
        <v>160.5</v>
      </c>
      <c r="CL7" s="2" t="s">
        <v>404</v>
      </c>
      <c r="CM7" s="4" t="str">
        <f>VLOOKUP(lyon[[#This Row],[Away_team]],all[[Full name]:[Abbr]],3,FALSE)</f>
        <v>POR</v>
      </c>
      <c r="CN7" s="4">
        <f>IF(OR(lyon[[#This Row],[Result]]="w",lyon[[#This Row],[Result]]="dw"),lyon[[#This Row],[win]]-1,-1)</f>
        <v>7.0000000000000062E-2</v>
      </c>
      <c r="CO7" s="4">
        <f>IF(OR(lyon[[#This Row],[Result]]="L",lyon[[#This Row],[Result]]="dl"),lyon[[#This Row],[lose]]-1,-1)</f>
        <v>-1</v>
      </c>
      <c r="CP7" s="4">
        <f>IF(OR((lyon[[#This Row],[Home_scored]]+lyon[[#This Row],[Away_scored]])&gt;lyon[[#This Row],[total]],OR(lyon[[#This Row],[Result]]="dw",lyon[[#This Row],[Result]]="dl")),1,0)</f>
        <v>0</v>
      </c>
      <c r="CQ7" s="4">
        <f>ABS((lyon[[#This Row],[Home_scored]]+lyon[[#This Row],[Away_scored]])-lyon[[#This Row],[total]])+0.5</f>
        <v>6</v>
      </c>
    </row>
    <row r="8" spans="1:95" x14ac:dyDescent="0.25">
      <c r="A8" s="2" t="s">
        <v>349</v>
      </c>
      <c r="B8" s="2" t="s">
        <v>327</v>
      </c>
      <c r="C8" s="3" t="s">
        <v>73</v>
      </c>
      <c r="D8" s="3">
        <v>45585</v>
      </c>
      <c r="E8" s="2" t="s">
        <v>140</v>
      </c>
      <c r="F8" s="2" t="s">
        <v>305</v>
      </c>
      <c r="G8" s="2" t="s">
        <v>143</v>
      </c>
      <c r="H8" s="11">
        <v>80</v>
      </c>
      <c r="I8" s="11">
        <v>80</v>
      </c>
      <c r="J8" s="11">
        <v>27</v>
      </c>
      <c r="K8" s="11">
        <v>55</v>
      </c>
      <c r="L8" s="12">
        <v>0.4909</v>
      </c>
      <c r="M8" s="11">
        <v>15</v>
      </c>
      <c r="N8" s="11">
        <v>27</v>
      </c>
      <c r="O8" s="12">
        <v>0.55559999999999998</v>
      </c>
      <c r="P8" s="11">
        <v>12</v>
      </c>
      <c r="Q8" s="11">
        <v>28</v>
      </c>
      <c r="R8" s="12">
        <v>0.42859999999999998</v>
      </c>
      <c r="S8" s="11">
        <v>14</v>
      </c>
      <c r="T8" s="11">
        <v>20</v>
      </c>
      <c r="U8" s="12">
        <v>0.7</v>
      </c>
      <c r="V8" s="11">
        <v>7</v>
      </c>
      <c r="W8" s="11">
        <v>22</v>
      </c>
      <c r="X8" s="11">
        <v>29</v>
      </c>
      <c r="Y8" s="11">
        <v>14</v>
      </c>
      <c r="Z8" s="11">
        <v>8</v>
      </c>
      <c r="AA8" s="11">
        <v>1</v>
      </c>
      <c r="AB8" s="11">
        <v>12</v>
      </c>
      <c r="AC8" s="11">
        <v>20</v>
      </c>
      <c r="AD8" s="11">
        <v>29</v>
      </c>
      <c r="AE8" s="11">
        <v>54</v>
      </c>
      <c r="AF8" s="12">
        <v>0.53700000000000003</v>
      </c>
      <c r="AG8" s="11">
        <v>16</v>
      </c>
      <c r="AH8" s="11">
        <v>28</v>
      </c>
      <c r="AI8" s="12">
        <v>0.57140000000000002</v>
      </c>
      <c r="AJ8" s="11">
        <v>13</v>
      </c>
      <c r="AK8" s="11">
        <v>26</v>
      </c>
      <c r="AL8" s="12">
        <v>0.5</v>
      </c>
      <c r="AM8" s="11">
        <v>9</v>
      </c>
      <c r="AN8" s="11">
        <v>16</v>
      </c>
      <c r="AO8" s="12">
        <v>0.5625</v>
      </c>
      <c r="AP8" s="11">
        <v>5</v>
      </c>
      <c r="AQ8" s="11">
        <v>24</v>
      </c>
      <c r="AR8" s="11">
        <v>29</v>
      </c>
      <c r="AS8" s="11">
        <v>21</v>
      </c>
      <c r="AT8" s="11">
        <v>9</v>
      </c>
      <c r="AU8" s="11">
        <v>5</v>
      </c>
      <c r="AV8" s="11">
        <v>12</v>
      </c>
      <c r="AW8" s="11">
        <v>23</v>
      </c>
      <c r="AX8" s="12">
        <v>0.627</v>
      </c>
      <c r="AY8" s="12">
        <v>0.6</v>
      </c>
      <c r="AZ8" s="12">
        <v>0.2258</v>
      </c>
      <c r="BA8" s="12">
        <v>0.81479999999999997</v>
      </c>
      <c r="BB8" s="12">
        <v>0.5</v>
      </c>
      <c r="BC8" s="4">
        <v>67.768000000000001</v>
      </c>
      <c r="BD8" s="12">
        <v>0.51849999999999996</v>
      </c>
      <c r="BE8" s="12">
        <v>0.2545</v>
      </c>
      <c r="BF8" s="12">
        <v>0.1583</v>
      </c>
      <c r="BG8" s="4">
        <v>118</v>
      </c>
      <c r="BH8" s="4">
        <v>118</v>
      </c>
      <c r="BI8" s="4">
        <v>67.778000000000006</v>
      </c>
      <c r="BJ8" s="12">
        <v>0.65529999999999999</v>
      </c>
      <c r="BK8" s="12">
        <v>0.65739999999999998</v>
      </c>
      <c r="BL8" s="12">
        <v>0.1852</v>
      </c>
      <c r="BM8" s="12">
        <v>0.7742</v>
      </c>
      <c r="BN8" s="12">
        <v>0.5</v>
      </c>
      <c r="BO8" s="4">
        <v>67.787999999999997</v>
      </c>
      <c r="BP8" s="12">
        <v>0.72409999999999997</v>
      </c>
      <c r="BQ8" s="12">
        <v>0.16669999999999999</v>
      </c>
      <c r="BR8" s="12">
        <v>0.1643</v>
      </c>
      <c r="BS8" s="4">
        <v>118</v>
      </c>
      <c r="BT8" s="4">
        <v>118</v>
      </c>
      <c r="BU8" s="11">
        <v>25</v>
      </c>
      <c r="BV8" s="11">
        <v>21</v>
      </c>
      <c r="BW8" s="11">
        <v>18</v>
      </c>
      <c r="BX8" s="11">
        <v>16</v>
      </c>
      <c r="BY8" s="11">
        <v>22</v>
      </c>
      <c r="BZ8" s="11">
        <v>21</v>
      </c>
      <c r="CA8" s="11">
        <v>18</v>
      </c>
      <c r="CB8" s="11">
        <v>19</v>
      </c>
      <c r="CC8" s="11">
        <v>46</v>
      </c>
      <c r="CD8" s="11">
        <v>34</v>
      </c>
      <c r="CE8" s="11">
        <v>43</v>
      </c>
      <c r="CF8" s="11">
        <v>37</v>
      </c>
      <c r="CG8" s="4">
        <v>1.32</v>
      </c>
      <c r="CH8" s="13">
        <v>3.5</v>
      </c>
      <c r="CI8" s="4">
        <v>-7.5</v>
      </c>
      <c r="CJ8" s="4">
        <v>7.5</v>
      </c>
      <c r="CK8" s="4">
        <v>166.5</v>
      </c>
      <c r="CL8" s="2" t="s">
        <v>365</v>
      </c>
      <c r="CM8" s="4" t="str">
        <f>VLOOKUP(lyon[[#This Row],[Away_team]],all[[Full name]:[Abbr]],3,FALSE)</f>
        <v>CHA</v>
      </c>
      <c r="CN8" s="4">
        <f>IF(OR(lyon[[#This Row],[Result]]="w",lyon[[#This Row],[Result]]="dw"),lyon[[#This Row],[win]]-1,-1)</f>
        <v>-1</v>
      </c>
      <c r="CO8" s="4">
        <f>IF(OR(lyon[[#This Row],[Result]]="L",lyon[[#This Row],[Result]]="dl"),lyon[[#This Row],[lose]]-1,-1)</f>
        <v>2.5</v>
      </c>
      <c r="CP8" s="4">
        <f>IF(OR((lyon[[#This Row],[Home_scored]]+lyon[[#This Row],[Away_scored]])&gt;lyon[[#This Row],[total]],OR(lyon[[#This Row],[Result]]="dw",lyon[[#This Row],[Result]]="dl")),1,0)</f>
        <v>1</v>
      </c>
      <c r="CQ8" s="4">
        <f>ABS((lyon[[#This Row],[Home_scored]]+lyon[[#This Row],[Away_scored]])-lyon[[#This Row],[total]])+0.5</f>
        <v>7</v>
      </c>
    </row>
    <row r="9" spans="1:95" x14ac:dyDescent="0.25">
      <c r="A9" s="2" t="s">
        <v>349</v>
      </c>
      <c r="B9" s="2" t="s">
        <v>327</v>
      </c>
      <c r="C9" s="3" t="s">
        <v>73</v>
      </c>
      <c r="D9" s="3">
        <v>45592</v>
      </c>
      <c r="E9" s="2" t="s">
        <v>140</v>
      </c>
      <c r="F9" s="2" t="s">
        <v>342</v>
      </c>
      <c r="G9" s="2" t="s">
        <v>75</v>
      </c>
      <c r="H9" s="11">
        <v>77</v>
      </c>
      <c r="I9" s="11">
        <v>63</v>
      </c>
      <c r="J9" s="11">
        <v>27</v>
      </c>
      <c r="K9" s="11">
        <v>52</v>
      </c>
      <c r="L9" s="12">
        <v>0.51919999999999999</v>
      </c>
      <c r="M9" s="11">
        <v>12</v>
      </c>
      <c r="N9" s="11">
        <v>18</v>
      </c>
      <c r="O9" s="12">
        <v>0.66669999999999996</v>
      </c>
      <c r="P9" s="11">
        <v>15</v>
      </c>
      <c r="Q9" s="11">
        <v>34</v>
      </c>
      <c r="R9" s="12">
        <v>0.44119999999999998</v>
      </c>
      <c r="S9" s="11">
        <v>8</v>
      </c>
      <c r="T9" s="11">
        <v>10</v>
      </c>
      <c r="U9" s="12">
        <v>0.8</v>
      </c>
      <c r="V9" s="11">
        <v>9</v>
      </c>
      <c r="W9" s="11">
        <v>33</v>
      </c>
      <c r="X9" s="11">
        <v>42</v>
      </c>
      <c r="Y9" s="11">
        <v>23</v>
      </c>
      <c r="Z9" s="11">
        <v>4</v>
      </c>
      <c r="AA9" s="11">
        <v>4</v>
      </c>
      <c r="AB9" s="11">
        <v>21</v>
      </c>
      <c r="AC9" s="11">
        <v>19</v>
      </c>
      <c r="AD9" s="11">
        <v>22</v>
      </c>
      <c r="AE9" s="11">
        <v>68</v>
      </c>
      <c r="AF9" s="12">
        <v>0.32350000000000001</v>
      </c>
      <c r="AG9" s="11">
        <v>15</v>
      </c>
      <c r="AH9" s="11">
        <v>38</v>
      </c>
      <c r="AI9" s="12">
        <v>0.3947</v>
      </c>
      <c r="AJ9" s="11">
        <v>7</v>
      </c>
      <c r="AK9" s="11">
        <v>30</v>
      </c>
      <c r="AL9" s="12">
        <v>0.23330000000000001</v>
      </c>
      <c r="AM9" s="11">
        <v>12</v>
      </c>
      <c r="AN9" s="11">
        <v>16</v>
      </c>
      <c r="AO9" s="12">
        <v>0.75</v>
      </c>
      <c r="AP9" s="11">
        <v>16</v>
      </c>
      <c r="AQ9" s="11">
        <v>16</v>
      </c>
      <c r="AR9" s="11">
        <v>32</v>
      </c>
      <c r="AS9" s="11">
        <v>16</v>
      </c>
      <c r="AT9" s="11">
        <v>9</v>
      </c>
      <c r="AU9" s="11">
        <v>1</v>
      </c>
      <c r="AV9" s="11">
        <v>11</v>
      </c>
      <c r="AW9" s="11">
        <v>16</v>
      </c>
      <c r="AX9" s="12">
        <v>0.68259999999999998</v>
      </c>
      <c r="AY9" s="12">
        <v>0.66349999999999998</v>
      </c>
      <c r="AZ9" s="12">
        <v>0.36</v>
      </c>
      <c r="BA9" s="12">
        <v>0.67349999999999999</v>
      </c>
      <c r="BB9" s="12">
        <v>0.56759999999999999</v>
      </c>
      <c r="BC9" s="4">
        <v>71.268000000000001</v>
      </c>
      <c r="BD9" s="12">
        <v>0.85189999999999999</v>
      </c>
      <c r="BE9" s="12">
        <v>0.15379999999999999</v>
      </c>
      <c r="BF9" s="12">
        <v>0.27129999999999999</v>
      </c>
      <c r="BG9" s="4">
        <v>116.6</v>
      </c>
      <c r="BH9" s="4">
        <v>95.4</v>
      </c>
      <c r="BI9" s="4">
        <v>66.028999999999996</v>
      </c>
      <c r="BJ9" s="12">
        <v>0.41980000000000001</v>
      </c>
      <c r="BK9" s="12">
        <v>0.375</v>
      </c>
      <c r="BL9" s="12">
        <v>0.32650000000000001</v>
      </c>
      <c r="BM9" s="12">
        <v>0.64</v>
      </c>
      <c r="BN9" s="12">
        <v>0.43240000000000001</v>
      </c>
      <c r="BO9" s="4">
        <v>60.79</v>
      </c>
      <c r="BP9" s="12">
        <v>0.72729999999999995</v>
      </c>
      <c r="BQ9" s="12">
        <v>0.17649999999999999</v>
      </c>
      <c r="BR9" s="12">
        <v>0.1278</v>
      </c>
      <c r="BS9" s="4">
        <v>95.4</v>
      </c>
      <c r="BT9" s="4">
        <v>116.6</v>
      </c>
      <c r="BU9" s="11">
        <v>22</v>
      </c>
      <c r="BV9" s="11">
        <v>17</v>
      </c>
      <c r="BW9" s="11">
        <v>24</v>
      </c>
      <c r="BX9" s="11">
        <v>14</v>
      </c>
      <c r="BY9" s="11">
        <v>11</v>
      </c>
      <c r="BZ9" s="11">
        <v>10</v>
      </c>
      <c r="CA9" s="11">
        <v>21</v>
      </c>
      <c r="CB9" s="11">
        <v>21</v>
      </c>
      <c r="CC9" s="11">
        <v>39</v>
      </c>
      <c r="CD9" s="11">
        <v>38</v>
      </c>
      <c r="CE9" s="11">
        <v>21</v>
      </c>
      <c r="CF9" s="11">
        <v>42</v>
      </c>
      <c r="CG9" s="4">
        <v>1.53</v>
      </c>
      <c r="CH9" s="13">
        <v>2.6</v>
      </c>
      <c r="CI9" s="4">
        <v>-4.5</v>
      </c>
      <c r="CJ9" s="4">
        <v>4.5</v>
      </c>
      <c r="CK9" s="4">
        <v>157.5</v>
      </c>
      <c r="CL9" s="2" t="s">
        <v>419</v>
      </c>
      <c r="CM9" s="4" t="str">
        <f>VLOOKUP(lyon[[#This Row],[Away_team]],all[[Full name]:[Abbr]],3,FALSE)</f>
        <v>SQU</v>
      </c>
      <c r="CN9" s="4">
        <f>IF(OR(lyon[[#This Row],[Result]]="w",lyon[[#This Row],[Result]]="dw"),lyon[[#This Row],[win]]-1,-1)</f>
        <v>0.53</v>
      </c>
      <c r="CO9" s="4">
        <f>IF(OR(lyon[[#This Row],[Result]]="L",lyon[[#This Row],[Result]]="dl"),lyon[[#This Row],[lose]]-1,-1)</f>
        <v>-1</v>
      </c>
      <c r="CP9" s="4">
        <f>IF(OR((lyon[[#This Row],[Home_scored]]+lyon[[#This Row],[Away_scored]])&gt;lyon[[#This Row],[total]],OR(lyon[[#This Row],[Result]]="dw",lyon[[#This Row],[Result]]="dl")),1,0)</f>
        <v>0</v>
      </c>
      <c r="CQ9" s="4">
        <f>ABS((lyon[[#This Row],[Home_scored]]+lyon[[#This Row],[Away_scored]])-lyon[[#This Row],[total]])+0.5</f>
        <v>18</v>
      </c>
    </row>
    <row r="10" spans="1:95" x14ac:dyDescent="0.25">
      <c r="A10" s="2" t="s">
        <v>349</v>
      </c>
      <c r="B10" s="2" t="s">
        <v>327</v>
      </c>
      <c r="C10" s="3" t="s">
        <v>73</v>
      </c>
      <c r="D10" s="3">
        <v>45599</v>
      </c>
      <c r="E10" s="2" t="s">
        <v>74</v>
      </c>
      <c r="F10" s="2" t="s">
        <v>308</v>
      </c>
      <c r="G10" s="2" t="s">
        <v>139</v>
      </c>
      <c r="H10" s="11">
        <v>87</v>
      </c>
      <c r="I10" s="11">
        <v>101</v>
      </c>
      <c r="J10" s="11">
        <v>26</v>
      </c>
      <c r="K10" s="11">
        <v>53</v>
      </c>
      <c r="L10" s="12">
        <v>0.49059999999999998</v>
      </c>
      <c r="M10" s="11">
        <v>18</v>
      </c>
      <c r="N10" s="11">
        <v>27</v>
      </c>
      <c r="O10" s="12">
        <v>0.66669999999999996</v>
      </c>
      <c r="P10" s="11">
        <v>8</v>
      </c>
      <c r="Q10" s="11">
        <v>26</v>
      </c>
      <c r="R10" s="12">
        <v>0.30769999999999997</v>
      </c>
      <c r="S10" s="11">
        <v>27</v>
      </c>
      <c r="T10" s="11">
        <v>37</v>
      </c>
      <c r="U10" s="12">
        <v>0.72970000000000002</v>
      </c>
      <c r="V10" s="11">
        <v>7</v>
      </c>
      <c r="W10" s="11">
        <v>25</v>
      </c>
      <c r="X10" s="11">
        <v>32</v>
      </c>
      <c r="Y10" s="11">
        <v>16</v>
      </c>
      <c r="Z10" s="11">
        <v>6</v>
      </c>
      <c r="AA10" s="11">
        <v>1</v>
      </c>
      <c r="AB10" s="11">
        <v>13</v>
      </c>
      <c r="AC10" s="11">
        <v>24</v>
      </c>
      <c r="AD10" s="11">
        <v>37</v>
      </c>
      <c r="AE10" s="11">
        <v>64</v>
      </c>
      <c r="AF10" s="12">
        <v>0.57809999999999995</v>
      </c>
      <c r="AG10" s="11">
        <v>28</v>
      </c>
      <c r="AH10" s="11">
        <v>43</v>
      </c>
      <c r="AI10" s="12">
        <v>0.6512</v>
      </c>
      <c r="AJ10" s="11">
        <v>9</v>
      </c>
      <c r="AK10" s="11">
        <v>21</v>
      </c>
      <c r="AL10" s="12">
        <v>0.42859999999999998</v>
      </c>
      <c r="AM10" s="11">
        <v>18</v>
      </c>
      <c r="AN10" s="11">
        <v>27</v>
      </c>
      <c r="AO10" s="12">
        <v>0.66669999999999996</v>
      </c>
      <c r="AP10" s="11">
        <v>9</v>
      </c>
      <c r="AQ10" s="11">
        <v>25</v>
      </c>
      <c r="AR10" s="11">
        <v>34</v>
      </c>
      <c r="AS10" s="11">
        <v>21</v>
      </c>
      <c r="AT10" s="11">
        <v>4</v>
      </c>
      <c r="AU10" s="11">
        <v>3</v>
      </c>
      <c r="AV10" s="11">
        <v>11</v>
      </c>
      <c r="AW10" s="11">
        <v>30</v>
      </c>
      <c r="AX10" s="12">
        <v>0.62790000000000001</v>
      </c>
      <c r="AY10" s="12">
        <v>0.56599999999999995</v>
      </c>
      <c r="AZ10" s="12">
        <v>0.21879999999999999</v>
      </c>
      <c r="BA10" s="12">
        <v>0.73529999999999995</v>
      </c>
      <c r="BB10" s="12">
        <v>0.48480000000000001</v>
      </c>
      <c r="BC10" s="4">
        <v>74.48</v>
      </c>
      <c r="BD10" s="12">
        <v>0.61539999999999995</v>
      </c>
      <c r="BE10" s="12">
        <v>0.50939999999999996</v>
      </c>
      <c r="BF10" s="12">
        <v>0.158</v>
      </c>
      <c r="BG10" s="4">
        <v>114</v>
      </c>
      <c r="BH10" s="4">
        <v>132.30000000000001</v>
      </c>
      <c r="BI10" s="4">
        <v>76.316500000000005</v>
      </c>
      <c r="BJ10" s="12">
        <v>0.66549999999999998</v>
      </c>
      <c r="BK10" s="12">
        <v>0.64839999999999998</v>
      </c>
      <c r="BL10" s="12">
        <v>0.26469999999999999</v>
      </c>
      <c r="BM10" s="12">
        <v>0.78129999999999999</v>
      </c>
      <c r="BN10" s="12">
        <v>0.51519999999999999</v>
      </c>
      <c r="BO10" s="4">
        <v>78.153000000000006</v>
      </c>
      <c r="BP10" s="12">
        <v>0.56759999999999999</v>
      </c>
      <c r="BQ10" s="12">
        <v>0.28129999999999999</v>
      </c>
      <c r="BR10" s="12">
        <v>0.12659999999999999</v>
      </c>
      <c r="BS10" s="4">
        <v>132.30000000000001</v>
      </c>
      <c r="BT10" s="4">
        <v>114</v>
      </c>
      <c r="BU10" s="11">
        <v>19</v>
      </c>
      <c r="BV10" s="11">
        <v>22</v>
      </c>
      <c r="BW10" s="11">
        <v>23</v>
      </c>
      <c r="BX10" s="11">
        <v>23</v>
      </c>
      <c r="BY10" s="11">
        <v>21</v>
      </c>
      <c r="BZ10" s="11">
        <v>29</v>
      </c>
      <c r="CA10" s="11">
        <v>28</v>
      </c>
      <c r="CB10" s="11">
        <v>23</v>
      </c>
      <c r="CC10" s="11">
        <v>41</v>
      </c>
      <c r="CD10" s="11">
        <v>46</v>
      </c>
      <c r="CE10" s="11">
        <v>50</v>
      </c>
      <c r="CF10" s="11">
        <v>51</v>
      </c>
      <c r="CG10" s="4">
        <v>1.26</v>
      </c>
      <c r="CH10" s="13">
        <v>4</v>
      </c>
      <c r="CI10" s="4">
        <v>-8.5</v>
      </c>
      <c r="CJ10" s="4">
        <v>8.5</v>
      </c>
      <c r="CK10" s="4">
        <v>161.5</v>
      </c>
      <c r="CL10" s="2" t="s">
        <v>375</v>
      </c>
      <c r="CM10" s="4" t="str">
        <f>VLOOKUP(lyon[[#This Row],[Away_team]],all[[Full name]:[Abbr]],3,FALSE)</f>
        <v>CHO</v>
      </c>
      <c r="CN10" s="4">
        <f>IF(OR(lyon[[#This Row],[Result]]="w",lyon[[#This Row],[Result]]="dw"),lyon[[#This Row],[win]]-1,-1)</f>
        <v>-1</v>
      </c>
      <c r="CO10" s="4">
        <f>IF(OR(lyon[[#This Row],[Result]]="L",lyon[[#This Row],[Result]]="dl"),lyon[[#This Row],[lose]]-1,-1)</f>
        <v>3</v>
      </c>
      <c r="CP10" s="4">
        <f>IF(OR((lyon[[#This Row],[Home_scored]]+lyon[[#This Row],[Away_scored]])&gt;lyon[[#This Row],[total]],OR(lyon[[#This Row],[Result]]="dw",lyon[[#This Row],[Result]]="dl")),1,0)</f>
        <v>1</v>
      </c>
      <c r="CQ10" s="4">
        <f>ABS((lyon[[#This Row],[Home_scored]]+lyon[[#This Row],[Away_scored]])-lyon[[#This Row],[total]])+0.5</f>
        <v>27</v>
      </c>
    </row>
    <row r="11" spans="1:95" x14ac:dyDescent="0.25">
      <c r="A11" s="2" t="s">
        <v>349</v>
      </c>
      <c r="B11" s="2" t="s">
        <v>327</v>
      </c>
      <c r="C11" s="3" t="s">
        <v>73</v>
      </c>
      <c r="D11" s="3">
        <v>45606</v>
      </c>
      <c r="E11" s="2" t="s">
        <v>74</v>
      </c>
      <c r="F11" s="2" t="s">
        <v>336</v>
      </c>
      <c r="G11" s="2" t="s">
        <v>75</v>
      </c>
      <c r="H11" s="11">
        <v>109</v>
      </c>
      <c r="I11" s="11">
        <v>103</v>
      </c>
      <c r="J11" s="11">
        <v>37</v>
      </c>
      <c r="K11" s="11">
        <v>58</v>
      </c>
      <c r="L11" s="12">
        <v>0.63790000000000002</v>
      </c>
      <c r="M11" s="11">
        <v>30</v>
      </c>
      <c r="N11" s="11">
        <v>44</v>
      </c>
      <c r="O11" s="12">
        <v>0.68179999999999996</v>
      </c>
      <c r="P11" s="11">
        <v>7</v>
      </c>
      <c r="Q11" s="11">
        <v>14</v>
      </c>
      <c r="R11" s="12">
        <v>0.5</v>
      </c>
      <c r="S11" s="11">
        <v>28</v>
      </c>
      <c r="T11" s="11">
        <v>38</v>
      </c>
      <c r="U11" s="12">
        <v>0.73680000000000001</v>
      </c>
      <c r="V11" s="11">
        <v>7</v>
      </c>
      <c r="W11" s="11">
        <v>24</v>
      </c>
      <c r="X11" s="11">
        <v>31</v>
      </c>
      <c r="Y11" s="11">
        <v>36</v>
      </c>
      <c r="Z11" s="11">
        <v>4</v>
      </c>
      <c r="AA11" s="11">
        <v>4</v>
      </c>
      <c r="AB11" s="11">
        <v>15</v>
      </c>
      <c r="AC11" s="11">
        <v>21</v>
      </c>
      <c r="AD11" s="11">
        <v>35</v>
      </c>
      <c r="AE11" s="11">
        <v>71</v>
      </c>
      <c r="AF11" s="12">
        <v>0.49299999999999999</v>
      </c>
      <c r="AG11" s="11">
        <v>23</v>
      </c>
      <c r="AH11" s="11">
        <v>43</v>
      </c>
      <c r="AI11" s="12">
        <v>0.53490000000000004</v>
      </c>
      <c r="AJ11" s="11">
        <v>12</v>
      </c>
      <c r="AK11" s="11">
        <v>28</v>
      </c>
      <c r="AL11" s="12">
        <v>0.42859999999999998</v>
      </c>
      <c r="AM11" s="11">
        <v>21</v>
      </c>
      <c r="AN11" s="11">
        <v>23</v>
      </c>
      <c r="AO11" s="12">
        <v>0.91300000000000003</v>
      </c>
      <c r="AP11" s="11">
        <v>10</v>
      </c>
      <c r="AQ11" s="11">
        <v>18</v>
      </c>
      <c r="AR11" s="11">
        <v>28</v>
      </c>
      <c r="AS11" s="11">
        <v>23</v>
      </c>
      <c r="AT11" s="11">
        <v>8</v>
      </c>
      <c r="AU11" s="11">
        <v>2</v>
      </c>
      <c r="AV11" s="11">
        <v>12</v>
      </c>
      <c r="AW11" s="11">
        <v>34</v>
      </c>
      <c r="AX11" s="12">
        <v>0.72940000000000005</v>
      </c>
      <c r="AY11" s="12">
        <v>0.69830000000000003</v>
      </c>
      <c r="AZ11" s="12">
        <v>0.28000000000000003</v>
      </c>
      <c r="BA11" s="12">
        <v>0.70589999999999997</v>
      </c>
      <c r="BB11" s="12">
        <v>0.52539999999999998</v>
      </c>
      <c r="BC11" s="4">
        <v>83.126000000000005</v>
      </c>
      <c r="BD11" s="12">
        <v>0.97299999999999998</v>
      </c>
      <c r="BE11" s="12">
        <v>0.48280000000000001</v>
      </c>
      <c r="BF11" s="12">
        <v>0.16719999999999999</v>
      </c>
      <c r="BG11" s="4">
        <v>134.9</v>
      </c>
      <c r="BH11" s="4">
        <v>127.5</v>
      </c>
      <c r="BI11" s="4">
        <v>80.784499999999994</v>
      </c>
      <c r="BJ11" s="12">
        <v>0.63490000000000002</v>
      </c>
      <c r="BK11" s="12">
        <v>0.57750000000000001</v>
      </c>
      <c r="BL11" s="12">
        <v>0.29409999999999997</v>
      </c>
      <c r="BM11" s="12">
        <v>0.72</v>
      </c>
      <c r="BN11" s="12">
        <v>0.47460000000000002</v>
      </c>
      <c r="BO11" s="4">
        <v>78.442999999999998</v>
      </c>
      <c r="BP11" s="12">
        <v>0.65710000000000002</v>
      </c>
      <c r="BQ11" s="12">
        <v>0.29580000000000001</v>
      </c>
      <c r="BR11" s="12">
        <v>0.12889999999999999</v>
      </c>
      <c r="BS11" s="4">
        <v>127.5</v>
      </c>
      <c r="BT11" s="4">
        <v>134.9</v>
      </c>
      <c r="BU11" s="11">
        <v>37</v>
      </c>
      <c r="BV11" s="11">
        <v>15</v>
      </c>
      <c r="BW11" s="11">
        <v>24</v>
      </c>
      <c r="BX11" s="11">
        <v>33</v>
      </c>
      <c r="BY11" s="11">
        <v>13</v>
      </c>
      <c r="BZ11" s="11">
        <v>22</v>
      </c>
      <c r="CA11" s="11">
        <v>35</v>
      </c>
      <c r="CB11" s="11">
        <v>33</v>
      </c>
      <c r="CC11" s="11">
        <v>52</v>
      </c>
      <c r="CD11" s="11">
        <v>57</v>
      </c>
      <c r="CE11" s="11">
        <v>35</v>
      </c>
      <c r="CF11" s="11">
        <v>68</v>
      </c>
      <c r="CG11" s="4">
        <v>1.18</v>
      </c>
      <c r="CH11" s="13">
        <v>5</v>
      </c>
      <c r="CI11" s="4">
        <v>-10.5</v>
      </c>
      <c r="CJ11" s="4">
        <v>10.5</v>
      </c>
      <c r="CK11" s="4">
        <v>164.5</v>
      </c>
      <c r="CL11" s="2" t="s">
        <v>420</v>
      </c>
      <c r="CM11" s="4" t="str">
        <f>VLOOKUP(lyon[[#This Row],[Away_team]],all[[Full name]:[Abbr]],3,FALSE)</f>
        <v>NAN</v>
      </c>
      <c r="CN11" s="4">
        <f>IF(OR(lyon[[#This Row],[Result]]="w",lyon[[#This Row],[Result]]="dw"),lyon[[#This Row],[win]]-1,-1)</f>
        <v>0.17999999999999994</v>
      </c>
      <c r="CO11" s="4">
        <f>IF(OR(lyon[[#This Row],[Result]]="L",lyon[[#This Row],[Result]]="dl"),lyon[[#This Row],[lose]]-1,-1)</f>
        <v>-1</v>
      </c>
      <c r="CP11" s="4">
        <f>IF(OR((lyon[[#This Row],[Home_scored]]+lyon[[#This Row],[Away_scored]])&gt;lyon[[#This Row],[total]],OR(lyon[[#This Row],[Result]]="dw",lyon[[#This Row],[Result]]="dl")),1,0)</f>
        <v>1</v>
      </c>
      <c r="CQ11" s="4">
        <f>ABS((lyon[[#This Row],[Home_scored]]+lyon[[#This Row],[Away_scored]])-lyon[[#This Row],[total]])+0.5</f>
        <v>48</v>
      </c>
    </row>
    <row r="12" spans="1:95" x14ac:dyDescent="0.25">
      <c r="A12" s="2" t="s">
        <v>349</v>
      </c>
      <c r="B12" s="2" t="s">
        <v>327</v>
      </c>
      <c r="C12" s="3" t="s">
        <v>73</v>
      </c>
      <c r="D12" s="3">
        <v>45613</v>
      </c>
      <c r="E12" s="2" t="s">
        <v>140</v>
      </c>
      <c r="F12" s="2" t="s">
        <v>314</v>
      </c>
      <c r="G12" s="2" t="s">
        <v>75</v>
      </c>
      <c r="H12" s="11">
        <v>81</v>
      </c>
      <c r="I12" s="11">
        <v>60</v>
      </c>
      <c r="J12" s="11">
        <v>28</v>
      </c>
      <c r="K12" s="11">
        <v>48</v>
      </c>
      <c r="L12" s="12">
        <v>0.58330000000000004</v>
      </c>
      <c r="M12" s="11">
        <v>20</v>
      </c>
      <c r="N12" s="11">
        <v>29</v>
      </c>
      <c r="O12" s="12">
        <v>0.68969999999999998</v>
      </c>
      <c r="P12" s="11">
        <v>8</v>
      </c>
      <c r="Q12" s="11">
        <v>19</v>
      </c>
      <c r="R12" s="12">
        <v>0.42109999999999997</v>
      </c>
      <c r="S12" s="11">
        <v>17</v>
      </c>
      <c r="T12" s="11">
        <v>21</v>
      </c>
      <c r="U12" s="12">
        <v>0.8095</v>
      </c>
      <c r="V12" s="11">
        <v>7</v>
      </c>
      <c r="W12" s="11">
        <v>31</v>
      </c>
      <c r="X12" s="11">
        <v>38</v>
      </c>
      <c r="Y12" s="11">
        <v>21</v>
      </c>
      <c r="Z12" s="11">
        <v>5</v>
      </c>
      <c r="AA12" s="11">
        <v>2</v>
      </c>
      <c r="AB12" s="11">
        <v>18</v>
      </c>
      <c r="AC12" s="11">
        <v>22</v>
      </c>
      <c r="AD12" s="11">
        <v>22</v>
      </c>
      <c r="AE12" s="11">
        <v>63</v>
      </c>
      <c r="AF12" s="12">
        <v>0.34920000000000001</v>
      </c>
      <c r="AG12" s="11">
        <v>17</v>
      </c>
      <c r="AH12" s="11">
        <v>36</v>
      </c>
      <c r="AI12" s="12">
        <v>0.47220000000000001</v>
      </c>
      <c r="AJ12" s="11">
        <v>5</v>
      </c>
      <c r="AK12" s="11">
        <v>27</v>
      </c>
      <c r="AL12" s="12">
        <v>0.1852</v>
      </c>
      <c r="AM12" s="11">
        <v>11</v>
      </c>
      <c r="AN12" s="11">
        <v>16</v>
      </c>
      <c r="AO12" s="12">
        <v>0.6875</v>
      </c>
      <c r="AP12" s="11">
        <v>11</v>
      </c>
      <c r="AQ12" s="11">
        <v>15</v>
      </c>
      <c r="AR12" s="11">
        <v>26</v>
      </c>
      <c r="AS12" s="11">
        <v>14</v>
      </c>
      <c r="AT12" s="11">
        <v>11</v>
      </c>
      <c r="AU12" s="11">
        <v>1</v>
      </c>
      <c r="AV12" s="11">
        <v>12</v>
      </c>
      <c r="AW12" s="11">
        <v>21</v>
      </c>
      <c r="AX12" s="12">
        <v>0.70750000000000002</v>
      </c>
      <c r="AY12" s="12">
        <v>0.66669999999999996</v>
      </c>
      <c r="AZ12" s="12">
        <v>0.31819999999999998</v>
      </c>
      <c r="BA12" s="12">
        <v>0.73809999999999998</v>
      </c>
      <c r="BB12" s="12">
        <v>0.59379999999999999</v>
      </c>
      <c r="BC12" s="4">
        <v>70.457999999999998</v>
      </c>
      <c r="BD12" s="12">
        <v>0.75</v>
      </c>
      <c r="BE12" s="12">
        <v>0.35420000000000001</v>
      </c>
      <c r="BF12" s="12">
        <v>0.2392</v>
      </c>
      <c r="BG12" s="4">
        <v>121.5</v>
      </c>
      <c r="BH12" s="4">
        <v>90</v>
      </c>
      <c r="BI12" s="4">
        <v>66.649000000000001</v>
      </c>
      <c r="BJ12" s="12">
        <v>0.42830000000000001</v>
      </c>
      <c r="BK12" s="12">
        <v>0.38890000000000002</v>
      </c>
      <c r="BL12" s="12">
        <v>0.26190000000000002</v>
      </c>
      <c r="BM12" s="12">
        <v>0.68179999999999996</v>
      </c>
      <c r="BN12" s="12">
        <v>0.40629999999999999</v>
      </c>
      <c r="BO12" s="4">
        <v>62.84</v>
      </c>
      <c r="BP12" s="12">
        <v>0.63639999999999997</v>
      </c>
      <c r="BQ12" s="12">
        <v>0.17460000000000001</v>
      </c>
      <c r="BR12" s="12">
        <v>0.14630000000000001</v>
      </c>
      <c r="BS12" s="4">
        <v>90</v>
      </c>
      <c r="BT12" s="4">
        <v>121.5</v>
      </c>
      <c r="BU12" s="11">
        <v>26</v>
      </c>
      <c r="BV12" s="11">
        <v>16</v>
      </c>
      <c r="BW12" s="11">
        <v>19</v>
      </c>
      <c r="BX12" s="11">
        <v>20</v>
      </c>
      <c r="BY12" s="11">
        <v>15</v>
      </c>
      <c r="BZ12" s="11">
        <v>12</v>
      </c>
      <c r="CA12" s="11">
        <v>14</v>
      </c>
      <c r="CB12" s="11">
        <v>19</v>
      </c>
      <c r="CC12" s="11">
        <v>42</v>
      </c>
      <c r="CD12" s="11">
        <v>39</v>
      </c>
      <c r="CE12" s="11">
        <v>27</v>
      </c>
      <c r="CF12" s="11">
        <v>33</v>
      </c>
      <c r="CG12" s="4">
        <v>1.53</v>
      </c>
      <c r="CH12" s="13">
        <v>2.6</v>
      </c>
      <c r="CI12" s="4">
        <v>-4.5</v>
      </c>
      <c r="CJ12" s="4">
        <v>4.5</v>
      </c>
      <c r="CK12" s="4">
        <v>165.5</v>
      </c>
      <c r="CL12" s="2" t="s">
        <v>391</v>
      </c>
      <c r="CM12" s="4" t="str">
        <f>VLOOKUP(lyon[[#This Row],[Away_team]],all[[Full name]:[Abbr]],3,FALSE)</f>
        <v>DUN</v>
      </c>
      <c r="CN12" s="4">
        <f>IF(OR(lyon[[#This Row],[Result]]="w",lyon[[#This Row],[Result]]="dw"),lyon[[#This Row],[win]]-1,-1)</f>
        <v>0.53</v>
      </c>
      <c r="CO12" s="4">
        <f>IF(OR(lyon[[#This Row],[Result]]="L",lyon[[#This Row],[Result]]="dl"),lyon[[#This Row],[lose]]-1,-1)</f>
        <v>-1</v>
      </c>
      <c r="CP12" s="4">
        <f>IF(OR((lyon[[#This Row],[Home_scored]]+lyon[[#This Row],[Away_scored]])&gt;lyon[[#This Row],[total]],OR(lyon[[#This Row],[Result]]="dw",lyon[[#This Row],[Result]]="dl")),1,0)</f>
        <v>0</v>
      </c>
      <c r="CQ12" s="4">
        <f>ABS((lyon[[#This Row],[Home_scored]]+lyon[[#This Row],[Away_scored]])-lyon[[#This Row],[total]])+0.5</f>
        <v>25</v>
      </c>
    </row>
    <row r="13" spans="1:95" x14ac:dyDescent="0.25">
      <c r="A13" s="2" t="s">
        <v>349</v>
      </c>
      <c r="B13" s="2" t="s">
        <v>327</v>
      </c>
      <c r="C13" s="3" t="s">
        <v>73</v>
      </c>
      <c r="D13" s="3">
        <v>45627</v>
      </c>
      <c r="E13" s="2" t="s">
        <v>140</v>
      </c>
      <c r="F13" s="2" t="s">
        <v>345</v>
      </c>
      <c r="G13" s="2" t="s">
        <v>139</v>
      </c>
      <c r="H13" s="11">
        <v>75</v>
      </c>
      <c r="I13" s="11">
        <v>77</v>
      </c>
      <c r="J13" s="11">
        <v>27</v>
      </c>
      <c r="K13" s="11">
        <v>66</v>
      </c>
      <c r="L13" s="12">
        <v>0.40910000000000002</v>
      </c>
      <c r="M13" s="11">
        <v>20</v>
      </c>
      <c r="N13" s="11">
        <v>35</v>
      </c>
      <c r="O13" s="12">
        <v>0.57140000000000002</v>
      </c>
      <c r="P13" s="11">
        <v>7</v>
      </c>
      <c r="Q13" s="11">
        <v>31</v>
      </c>
      <c r="R13" s="12">
        <v>0.2258</v>
      </c>
      <c r="S13" s="11">
        <v>14</v>
      </c>
      <c r="T13" s="11">
        <v>19</v>
      </c>
      <c r="U13" s="12">
        <v>0.73680000000000001</v>
      </c>
      <c r="V13" s="11">
        <v>15</v>
      </c>
      <c r="W13" s="11">
        <v>20</v>
      </c>
      <c r="X13" s="11">
        <v>35</v>
      </c>
      <c r="Y13" s="11">
        <v>19</v>
      </c>
      <c r="Z13" s="11">
        <v>6</v>
      </c>
      <c r="AA13" s="11">
        <v>3</v>
      </c>
      <c r="AB13" s="11">
        <v>13</v>
      </c>
      <c r="AC13" s="11">
        <v>22</v>
      </c>
      <c r="AD13" s="11">
        <v>27</v>
      </c>
      <c r="AE13" s="11">
        <v>56</v>
      </c>
      <c r="AF13" s="12">
        <v>0.48209999999999997</v>
      </c>
      <c r="AG13" s="11">
        <v>17</v>
      </c>
      <c r="AH13" s="11">
        <v>30</v>
      </c>
      <c r="AI13" s="12">
        <v>0.56669999999999998</v>
      </c>
      <c r="AJ13" s="11">
        <v>10</v>
      </c>
      <c r="AK13" s="11">
        <v>26</v>
      </c>
      <c r="AL13" s="12">
        <v>0.3846</v>
      </c>
      <c r="AM13" s="11">
        <v>13</v>
      </c>
      <c r="AN13" s="11">
        <v>18</v>
      </c>
      <c r="AO13" s="12">
        <v>0.72219999999999995</v>
      </c>
      <c r="AP13" s="11">
        <v>11</v>
      </c>
      <c r="AQ13" s="11">
        <v>27</v>
      </c>
      <c r="AR13" s="11">
        <v>38</v>
      </c>
      <c r="AS13" s="11">
        <v>21</v>
      </c>
      <c r="AT13" s="11">
        <v>5</v>
      </c>
      <c r="AU13" s="11">
        <v>6</v>
      </c>
      <c r="AV13" s="11">
        <v>18</v>
      </c>
      <c r="AW13" s="11">
        <v>22</v>
      </c>
      <c r="AX13" s="12">
        <v>0.50429999999999997</v>
      </c>
      <c r="AY13" s="12">
        <v>0.46210000000000001</v>
      </c>
      <c r="AZ13" s="12">
        <v>0.35709999999999997</v>
      </c>
      <c r="BA13" s="12">
        <v>0.6452</v>
      </c>
      <c r="BB13" s="12">
        <v>0.47949999999999998</v>
      </c>
      <c r="BC13" s="4">
        <v>68.715999999999994</v>
      </c>
      <c r="BD13" s="12">
        <v>0.70369999999999999</v>
      </c>
      <c r="BE13" s="12">
        <v>0.21210000000000001</v>
      </c>
      <c r="BF13" s="12">
        <v>0.14879999999999999</v>
      </c>
      <c r="BG13" s="4">
        <v>106.4</v>
      </c>
      <c r="BH13" s="4">
        <v>109.3</v>
      </c>
      <c r="BI13" s="4">
        <v>70.466999999999999</v>
      </c>
      <c r="BJ13" s="12">
        <v>0.60229999999999995</v>
      </c>
      <c r="BK13" s="12">
        <v>0.57140000000000002</v>
      </c>
      <c r="BL13" s="12">
        <v>0.3548</v>
      </c>
      <c r="BM13" s="12">
        <v>0.64290000000000003</v>
      </c>
      <c r="BN13" s="12">
        <v>0.52049999999999996</v>
      </c>
      <c r="BO13" s="4">
        <v>72.218000000000004</v>
      </c>
      <c r="BP13" s="12">
        <v>0.77780000000000005</v>
      </c>
      <c r="BQ13" s="12">
        <v>0.2321</v>
      </c>
      <c r="BR13" s="12">
        <v>0.21970000000000001</v>
      </c>
      <c r="BS13" s="4">
        <v>109.3</v>
      </c>
      <c r="BT13" s="4">
        <v>106.4</v>
      </c>
      <c r="BU13" s="11">
        <v>19</v>
      </c>
      <c r="BV13" s="11">
        <v>13</v>
      </c>
      <c r="BW13" s="11">
        <v>19</v>
      </c>
      <c r="BX13" s="11">
        <v>24</v>
      </c>
      <c r="BY13" s="11">
        <v>24</v>
      </c>
      <c r="BZ13" s="11">
        <v>22</v>
      </c>
      <c r="CA13" s="11">
        <v>16</v>
      </c>
      <c r="CB13" s="11">
        <v>15</v>
      </c>
      <c r="CC13" s="11">
        <v>32</v>
      </c>
      <c r="CD13" s="11">
        <v>43</v>
      </c>
      <c r="CE13" s="11">
        <v>46</v>
      </c>
      <c r="CF13" s="11">
        <v>31</v>
      </c>
      <c r="CG13" s="4">
        <v>1.45</v>
      </c>
      <c r="CH13" s="13">
        <v>2.8</v>
      </c>
      <c r="CI13" s="4">
        <v>-5.5</v>
      </c>
      <c r="CJ13" s="4">
        <v>5.5</v>
      </c>
      <c r="CK13" s="4">
        <v>166.5</v>
      </c>
      <c r="CL13" s="2" t="s">
        <v>421</v>
      </c>
      <c r="CM13" s="4" t="str">
        <f>VLOOKUP(lyon[[#This Row],[Away_team]],all[[Full name]:[Abbr]],3,FALSE)</f>
        <v>STR</v>
      </c>
      <c r="CN13" s="4">
        <f>IF(OR(lyon[[#This Row],[Result]]="w",lyon[[#This Row],[Result]]="dw"),lyon[[#This Row],[win]]-1,-1)</f>
        <v>-1</v>
      </c>
      <c r="CO13" s="4">
        <f>IF(OR(lyon[[#This Row],[Result]]="L",lyon[[#This Row],[Result]]="dl"),lyon[[#This Row],[lose]]-1,-1)</f>
        <v>1.7999999999999998</v>
      </c>
      <c r="CP13" s="4">
        <f>IF(OR((lyon[[#This Row],[Home_scored]]+lyon[[#This Row],[Away_scored]])&gt;lyon[[#This Row],[total]],OR(lyon[[#This Row],[Result]]="dw",lyon[[#This Row],[Result]]="dl")),1,0)</f>
        <v>0</v>
      </c>
      <c r="CQ13" s="4">
        <f>ABS((lyon[[#This Row],[Home_scored]]+lyon[[#This Row],[Away_scored]])-lyon[[#This Row],[total]])+0.5</f>
        <v>15</v>
      </c>
    </row>
    <row r="14" spans="1:95" x14ac:dyDescent="0.25">
      <c r="A14" s="2" t="s">
        <v>349</v>
      </c>
      <c r="B14" s="2" t="s">
        <v>327</v>
      </c>
      <c r="C14" s="3" t="s">
        <v>73</v>
      </c>
      <c r="D14" s="3">
        <v>45634</v>
      </c>
      <c r="E14" s="2" t="s">
        <v>74</v>
      </c>
      <c r="F14" s="2" t="s">
        <v>324</v>
      </c>
      <c r="G14" s="2" t="s">
        <v>75</v>
      </c>
      <c r="H14" s="11">
        <v>84</v>
      </c>
      <c r="I14" s="11">
        <v>69</v>
      </c>
      <c r="J14" s="11">
        <v>30</v>
      </c>
      <c r="K14" s="11">
        <v>65</v>
      </c>
      <c r="L14" s="12">
        <v>0.46150000000000002</v>
      </c>
      <c r="M14" s="11">
        <v>22</v>
      </c>
      <c r="N14" s="11">
        <v>39</v>
      </c>
      <c r="O14" s="12">
        <v>0.56410000000000005</v>
      </c>
      <c r="P14" s="11">
        <v>8</v>
      </c>
      <c r="Q14" s="11">
        <v>26</v>
      </c>
      <c r="R14" s="12">
        <v>0.30769999999999997</v>
      </c>
      <c r="S14" s="11">
        <v>16</v>
      </c>
      <c r="T14" s="11">
        <v>19</v>
      </c>
      <c r="U14" s="12">
        <v>0.84209999999999996</v>
      </c>
      <c r="V14" s="11">
        <v>7</v>
      </c>
      <c r="W14" s="11">
        <v>28</v>
      </c>
      <c r="X14" s="11">
        <v>35</v>
      </c>
      <c r="Y14" s="11">
        <v>22</v>
      </c>
      <c r="Z14" s="11">
        <v>6</v>
      </c>
      <c r="AA14" s="11">
        <v>5</v>
      </c>
      <c r="AB14" s="11">
        <v>10</v>
      </c>
      <c r="AC14" s="11">
        <v>17</v>
      </c>
      <c r="AD14" s="11">
        <v>21</v>
      </c>
      <c r="AE14" s="11">
        <v>64</v>
      </c>
      <c r="AF14" s="12">
        <v>0.3281</v>
      </c>
      <c r="AG14" s="11">
        <v>14</v>
      </c>
      <c r="AH14" s="11">
        <v>32</v>
      </c>
      <c r="AI14" s="12">
        <v>0.4375</v>
      </c>
      <c r="AJ14" s="11">
        <v>7</v>
      </c>
      <c r="AK14" s="11">
        <v>32</v>
      </c>
      <c r="AL14" s="12">
        <v>0.21879999999999999</v>
      </c>
      <c r="AM14" s="11">
        <v>20</v>
      </c>
      <c r="AN14" s="11">
        <v>23</v>
      </c>
      <c r="AO14" s="12">
        <v>0.86960000000000004</v>
      </c>
      <c r="AP14" s="11">
        <v>14</v>
      </c>
      <c r="AQ14" s="11">
        <v>28</v>
      </c>
      <c r="AR14" s="11">
        <v>42</v>
      </c>
      <c r="AS14" s="11">
        <v>14</v>
      </c>
      <c r="AT14" s="11">
        <v>3</v>
      </c>
      <c r="AU14" s="11">
        <v>0</v>
      </c>
      <c r="AV14" s="11">
        <v>13</v>
      </c>
      <c r="AW14" s="11">
        <v>18</v>
      </c>
      <c r="AX14" s="12">
        <v>0.57250000000000001</v>
      </c>
      <c r="AY14" s="12">
        <v>0.52310000000000001</v>
      </c>
      <c r="AZ14" s="12">
        <v>0.2</v>
      </c>
      <c r="BA14" s="12">
        <v>0.66669999999999996</v>
      </c>
      <c r="BB14" s="12">
        <v>0.45450000000000002</v>
      </c>
      <c r="BC14" s="4">
        <v>75.11</v>
      </c>
      <c r="BD14" s="12">
        <v>0.73329999999999995</v>
      </c>
      <c r="BE14" s="12">
        <v>0.2462</v>
      </c>
      <c r="BF14" s="12">
        <v>0.12</v>
      </c>
      <c r="BG14" s="4">
        <v>115.1</v>
      </c>
      <c r="BH14" s="4">
        <v>94.5</v>
      </c>
      <c r="BI14" s="4">
        <v>72.986500000000007</v>
      </c>
      <c r="BJ14" s="12">
        <v>0.46550000000000002</v>
      </c>
      <c r="BK14" s="12">
        <v>0.38279999999999997</v>
      </c>
      <c r="BL14" s="12">
        <v>0.33329999999999999</v>
      </c>
      <c r="BM14" s="12">
        <v>0.8</v>
      </c>
      <c r="BN14" s="12">
        <v>0.54549999999999998</v>
      </c>
      <c r="BO14" s="4">
        <v>70.863</v>
      </c>
      <c r="BP14" s="12">
        <v>0.66669999999999996</v>
      </c>
      <c r="BQ14" s="12">
        <v>0.3125</v>
      </c>
      <c r="BR14" s="12">
        <v>0.1492</v>
      </c>
      <c r="BS14" s="4">
        <v>94.5</v>
      </c>
      <c r="BT14" s="4">
        <v>115.1</v>
      </c>
      <c r="BU14" s="11">
        <v>21</v>
      </c>
      <c r="BV14" s="11">
        <v>24</v>
      </c>
      <c r="BW14" s="11">
        <v>21</v>
      </c>
      <c r="BX14" s="11">
        <v>18</v>
      </c>
      <c r="BY14" s="11">
        <v>13</v>
      </c>
      <c r="BZ14" s="11">
        <v>20</v>
      </c>
      <c r="CA14" s="11">
        <v>15</v>
      </c>
      <c r="CB14" s="11">
        <v>21</v>
      </c>
      <c r="CC14" s="11">
        <v>45</v>
      </c>
      <c r="CD14" s="11">
        <v>39</v>
      </c>
      <c r="CE14" s="11">
        <v>33</v>
      </c>
      <c r="CF14" s="11">
        <v>36</v>
      </c>
      <c r="CG14" s="4">
        <v>1.18</v>
      </c>
      <c r="CH14" s="13">
        <v>5</v>
      </c>
      <c r="CI14" s="4">
        <v>-10.5</v>
      </c>
      <c r="CJ14" s="4">
        <v>10.5</v>
      </c>
      <c r="CK14" s="4">
        <v>164.5</v>
      </c>
      <c r="CL14" s="2" t="s">
        <v>439</v>
      </c>
      <c r="CM14" s="4" t="str">
        <f>VLOOKUP(lyon[[#This Row],[Away_team]],all[[Full name]:[Abbr]],3,FALSE)</f>
        <v>LIM</v>
      </c>
      <c r="CN14" s="4">
        <f>IF(OR(lyon[[#This Row],[Result]]="w",lyon[[#This Row],[Result]]="dw"),lyon[[#This Row],[win]]-1,-1)</f>
        <v>0.17999999999999994</v>
      </c>
      <c r="CO14" s="4">
        <f>IF(OR(lyon[[#This Row],[Result]]="L",lyon[[#This Row],[Result]]="dl"),lyon[[#This Row],[lose]]-1,-1)</f>
        <v>-1</v>
      </c>
      <c r="CP14" s="4">
        <f>IF(OR((lyon[[#This Row],[Home_scored]]+lyon[[#This Row],[Away_scored]])&gt;lyon[[#This Row],[total]],OR(lyon[[#This Row],[Result]]="dw",lyon[[#This Row],[Result]]="dl")),1,0)</f>
        <v>0</v>
      </c>
      <c r="CQ14" s="4">
        <f>ABS((lyon[[#This Row],[Home_scored]]+lyon[[#This Row],[Away_scored]])-lyon[[#This Row],[total]])+0.5</f>
        <v>12</v>
      </c>
    </row>
    <row r="15" spans="1:95" x14ac:dyDescent="0.25">
      <c r="A15" s="2" t="s">
        <v>349</v>
      </c>
      <c r="B15" s="2" t="s">
        <v>327</v>
      </c>
      <c r="C15" s="3" t="s">
        <v>73</v>
      </c>
      <c r="D15" s="3">
        <v>45641</v>
      </c>
      <c r="E15" s="2" t="s">
        <v>140</v>
      </c>
      <c r="F15" s="2" t="s">
        <v>333</v>
      </c>
      <c r="G15" s="2" t="s">
        <v>75</v>
      </c>
      <c r="H15" s="11">
        <v>91</v>
      </c>
      <c r="I15" s="11">
        <v>85</v>
      </c>
      <c r="J15" s="11">
        <v>35</v>
      </c>
      <c r="K15" s="11">
        <v>66</v>
      </c>
      <c r="L15" s="12">
        <v>0.53029999999999999</v>
      </c>
      <c r="M15" s="11">
        <v>24</v>
      </c>
      <c r="N15" s="11">
        <v>36</v>
      </c>
      <c r="O15" s="12">
        <v>0.66669999999999996</v>
      </c>
      <c r="P15" s="11">
        <v>11</v>
      </c>
      <c r="Q15" s="11">
        <v>30</v>
      </c>
      <c r="R15" s="12">
        <v>0.36670000000000003</v>
      </c>
      <c r="S15" s="11">
        <v>10</v>
      </c>
      <c r="T15" s="11">
        <v>14</v>
      </c>
      <c r="U15" s="12">
        <v>0.71430000000000005</v>
      </c>
      <c r="V15" s="11">
        <v>11</v>
      </c>
      <c r="W15" s="11">
        <v>21</v>
      </c>
      <c r="X15" s="11">
        <v>32</v>
      </c>
      <c r="Y15" s="11">
        <v>22</v>
      </c>
      <c r="Z15" s="11">
        <v>10</v>
      </c>
      <c r="AA15" s="11">
        <v>1</v>
      </c>
      <c r="AB15" s="11">
        <v>16</v>
      </c>
      <c r="AC15" s="11">
        <v>25</v>
      </c>
      <c r="AD15" s="11">
        <v>28</v>
      </c>
      <c r="AE15" s="11">
        <v>54</v>
      </c>
      <c r="AF15" s="12">
        <v>0.51849999999999996</v>
      </c>
      <c r="AG15" s="11">
        <v>21</v>
      </c>
      <c r="AH15" s="11">
        <v>31</v>
      </c>
      <c r="AI15" s="12">
        <v>0.6774</v>
      </c>
      <c r="AJ15" s="11">
        <v>7</v>
      </c>
      <c r="AK15" s="11">
        <v>23</v>
      </c>
      <c r="AL15" s="12">
        <v>0.30430000000000001</v>
      </c>
      <c r="AM15" s="11">
        <v>22</v>
      </c>
      <c r="AN15" s="11">
        <v>27</v>
      </c>
      <c r="AO15" s="12">
        <v>0.81479999999999997</v>
      </c>
      <c r="AP15" s="11">
        <v>7</v>
      </c>
      <c r="AQ15" s="11">
        <v>23</v>
      </c>
      <c r="AR15" s="11">
        <v>30</v>
      </c>
      <c r="AS15" s="11">
        <v>10</v>
      </c>
      <c r="AT15" s="11">
        <v>7</v>
      </c>
      <c r="AU15" s="11">
        <v>2</v>
      </c>
      <c r="AV15" s="11">
        <v>16</v>
      </c>
      <c r="AW15" s="11">
        <v>19</v>
      </c>
      <c r="AX15" s="12">
        <v>0.63049999999999995</v>
      </c>
      <c r="AY15" s="12">
        <v>0.61360000000000003</v>
      </c>
      <c r="AZ15" s="12">
        <v>0.32350000000000001</v>
      </c>
      <c r="BA15" s="12">
        <v>0.75</v>
      </c>
      <c r="BB15" s="12">
        <v>0.5161</v>
      </c>
      <c r="BC15" s="4">
        <v>76.197999999999993</v>
      </c>
      <c r="BD15" s="12">
        <v>0.62860000000000005</v>
      </c>
      <c r="BE15" s="12">
        <v>0.1515</v>
      </c>
      <c r="BF15" s="12">
        <v>0.18149999999999999</v>
      </c>
      <c r="BG15" s="4">
        <v>120.9</v>
      </c>
      <c r="BH15" s="4">
        <v>113</v>
      </c>
      <c r="BI15" s="4">
        <v>75.253500000000003</v>
      </c>
      <c r="BJ15" s="12">
        <v>0.64510000000000001</v>
      </c>
      <c r="BK15" s="12">
        <v>0.58330000000000004</v>
      </c>
      <c r="BL15" s="12">
        <v>0.25</v>
      </c>
      <c r="BM15" s="12">
        <v>0.67649999999999999</v>
      </c>
      <c r="BN15" s="12">
        <v>0.4839</v>
      </c>
      <c r="BO15" s="4">
        <v>74.308999999999997</v>
      </c>
      <c r="BP15" s="12">
        <v>0.35709999999999997</v>
      </c>
      <c r="BQ15" s="12">
        <v>0.40739999999999998</v>
      </c>
      <c r="BR15" s="12">
        <v>0.19539999999999999</v>
      </c>
      <c r="BS15" s="4">
        <v>113</v>
      </c>
      <c r="BT15" s="4">
        <v>120.9</v>
      </c>
      <c r="BU15" s="11">
        <v>19</v>
      </c>
      <c r="BV15" s="11">
        <v>25</v>
      </c>
      <c r="BW15" s="11">
        <v>25</v>
      </c>
      <c r="BX15" s="11">
        <v>22</v>
      </c>
      <c r="BY15" s="11">
        <v>26</v>
      </c>
      <c r="BZ15" s="11">
        <v>16</v>
      </c>
      <c r="CA15" s="11">
        <v>24</v>
      </c>
      <c r="CB15" s="11">
        <v>19</v>
      </c>
      <c r="CC15" s="11">
        <v>44</v>
      </c>
      <c r="CD15" s="11">
        <v>47</v>
      </c>
      <c r="CE15" s="11">
        <v>42</v>
      </c>
      <c r="CF15" s="11">
        <v>43</v>
      </c>
      <c r="CG15" s="4">
        <v>1.32</v>
      </c>
      <c r="CH15" s="13">
        <v>3.5</v>
      </c>
      <c r="CI15" s="4">
        <v>-7.5</v>
      </c>
      <c r="CJ15" s="4">
        <v>7.5</v>
      </c>
      <c r="CK15" s="4">
        <v>167.5</v>
      </c>
      <c r="CL15" s="2" t="s">
        <v>448</v>
      </c>
      <c r="CM15" s="4" t="str">
        <f>VLOOKUP(lyon[[#This Row],[Away_team]],all[[Full name]:[Abbr]],3,FALSE)</f>
        <v>NCY</v>
      </c>
      <c r="CN15" s="4">
        <f>IF(OR(lyon[[#This Row],[Result]]="w",lyon[[#This Row],[Result]]="dw"),lyon[[#This Row],[win]]-1,-1)</f>
        <v>0.32000000000000006</v>
      </c>
      <c r="CO15" s="4">
        <f>IF(OR(lyon[[#This Row],[Result]]="L",lyon[[#This Row],[Result]]="dl"),lyon[[#This Row],[lose]]-1,-1)</f>
        <v>-1</v>
      </c>
      <c r="CP15" s="4">
        <f>IF(OR((lyon[[#This Row],[Home_scored]]+lyon[[#This Row],[Away_scored]])&gt;lyon[[#This Row],[total]],OR(lyon[[#This Row],[Result]]="dw",lyon[[#This Row],[Result]]="dl")),1,0)</f>
        <v>1</v>
      </c>
      <c r="CQ15" s="4">
        <f>ABS((lyon[[#This Row],[Home_scored]]+lyon[[#This Row],[Away_scored]])-lyon[[#This Row],[total]])+0.5</f>
        <v>9</v>
      </c>
    </row>
    <row r="16" spans="1:95" x14ac:dyDescent="0.25">
      <c r="A16" s="2" t="s">
        <v>349</v>
      </c>
      <c r="B16" s="2" t="s">
        <v>327</v>
      </c>
      <c r="C16" s="3" t="s">
        <v>73</v>
      </c>
      <c r="D16" s="3">
        <v>45648</v>
      </c>
      <c r="E16" s="2" t="s">
        <v>74</v>
      </c>
      <c r="F16" s="2" t="s">
        <v>339</v>
      </c>
      <c r="G16" s="2" t="s">
        <v>75</v>
      </c>
      <c r="H16" s="11">
        <v>98</v>
      </c>
      <c r="I16" s="11">
        <v>92</v>
      </c>
      <c r="J16" s="11">
        <v>31</v>
      </c>
      <c r="K16" s="11">
        <v>61</v>
      </c>
      <c r="L16" s="12">
        <v>0.50819999999999999</v>
      </c>
      <c r="M16" s="11">
        <v>20</v>
      </c>
      <c r="N16" s="11">
        <v>35</v>
      </c>
      <c r="O16" s="12">
        <v>0.57140000000000002</v>
      </c>
      <c r="P16" s="11">
        <v>11</v>
      </c>
      <c r="Q16" s="11">
        <v>26</v>
      </c>
      <c r="R16" s="12">
        <v>0.42309999999999998</v>
      </c>
      <c r="S16" s="11">
        <v>25</v>
      </c>
      <c r="T16" s="11">
        <v>34</v>
      </c>
      <c r="U16" s="12">
        <v>0.73529999999999995</v>
      </c>
      <c r="V16" s="11">
        <v>10</v>
      </c>
      <c r="W16" s="11">
        <v>25</v>
      </c>
      <c r="X16" s="11">
        <v>35</v>
      </c>
      <c r="Y16" s="11">
        <v>19</v>
      </c>
      <c r="Z16" s="11">
        <v>7</v>
      </c>
      <c r="AA16" s="11">
        <v>4</v>
      </c>
      <c r="AB16" s="11">
        <v>12</v>
      </c>
      <c r="AC16" s="11">
        <v>25</v>
      </c>
      <c r="AD16" s="11">
        <v>27</v>
      </c>
      <c r="AE16" s="11">
        <v>62</v>
      </c>
      <c r="AF16" s="12">
        <v>0.4355</v>
      </c>
      <c r="AG16" s="11">
        <v>19</v>
      </c>
      <c r="AH16" s="11">
        <v>35</v>
      </c>
      <c r="AI16" s="12">
        <v>0.54290000000000005</v>
      </c>
      <c r="AJ16" s="11">
        <v>8</v>
      </c>
      <c r="AK16" s="11">
        <v>27</v>
      </c>
      <c r="AL16" s="12">
        <v>0.29630000000000001</v>
      </c>
      <c r="AM16" s="11">
        <v>30</v>
      </c>
      <c r="AN16" s="11">
        <v>34</v>
      </c>
      <c r="AO16" s="12">
        <v>0.88239999999999996</v>
      </c>
      <c r="AP16" s="11">
        <v>12</v>
      </c>
      <c r="AQ16" s="11">
        <v>26</v>
      </c>
      <c r="AR16" s="11">
        <v>38</v>
      </c>
      <c r="AS16" s="11">
        <v>19</v>
      </c>
      <c r="AT16" s="11">
        <v>9</v>
      </c>
      <c r="AU16" s="11">
        <v>0</v>
      </c>
      <c r="AV16" s="11">
        <v>11</v>
      </c>
      <c r="AW16" s="11">
        <v>29</v>
      </c>
      <c r="AX16" s="12">
        <v>0.64510000000000001</v>
      </c>
      <c r="AY16" s="12">
        <v>0.59840000000000004</v>
      </c>
      <c r="AZ16" s="12">
        <v>0.27779999999999999</v>
      </c>
      <c r="BA16" s="12">
        <v>0.67569999999999997</v>
      </c>
      <c r="BB16" s="12">
        <v>0.47949999999999998</v>
      </c>
      <c r="BC16" s="4">
        <v>77.429000000000002</v>
      </c>
      <c r="BD16" s="12">
        <v>0.6129</v>
      </c>
      <c r="BE16" s="12">
        <v>0.4098</v>
      </c>
      <c r="BF16" s="12">
        <v>0.13639999999999999</v>
      </c>
      <c r="BG16" s="4">
        <v>128.80000000000001</v>
      </c>
      <c r="BH16" s="4">
        <v>120.9</v>
      </c>
      <c r="BI16" s="4">
        <v>76.101500000000001</v>
      </c>
      <c r="BJ16" s="12">
        <v>0.59770000000000001</v>
      </c>
      <c r="BK16" s="12">
        <v>0.5</v>
      </c>
      <c r="BL16" s="12">
        <v>0.32429999999999998</v>
      </c>
      <c r="BM16" s="12">
        <v>0.72219999999999995</v>
      </c>
      <c r="BN16" s="12">
        <v>0.52049999999999996</v>
      </c>
      <c r="BO16" s="4">
        <v>74.774000000000001</v>
      </c>
      <c r="BP16" s="12">
        <v>0.70369999999999999</v>
      </c>
      <c r="BQ16" s="12">
        <v>0.4839</v>
      </c>
      <c r="BR16" s="12">
        <v>0.12509999999999999</v>
      </c>
      <c r="BS16" s="4">
        <v>120.9</v>
      </c>
      <c r="BT16" s="4">
        <v>128.80000000000001</v>
      </c>
      <c r="BU16" s="11">
        <v>24</v>
      </c>
      <c r="BV16" s="11">
        <v>29</v>
      </c>
      <c r="BW16" s="11">
        <v>19</v>
      </c>
      <c r="BX16" s="11">
        <v>26</v>
      </c>
      <c r="BY16" s="11">
        <v>26</v>
      </c>
      <c r="BZ16" s="11">
        <v>22</v>
      </c>
      <c r="CA16" s="11">
        <v>15</v>
      </c>
      <c r="CB16" s="11">
        <v>29</v>
      </c>
      <c r="CC16" s="11">
        <v>53</v>
      </c>
      <c r="CD16" s="11">
        <v>45</v>
      </c>
      <c r="CE16" s="11">
        <v>48</v>
      </c>
      <c r="CF16" s="11">
        <v>44</v>
      </c>
      <c r="CG16" s="4">
        <v>1.56</v>
      </c>
      <c r="CH16" s="13">
        <v>2.5</v>
      </c>
      <c r="CI16" s="4">
        <v>-4</v>
      </c>
      <c r="CJ16" s="4">
        <v>-4</v>
      </c>
      <c r="CK16" s="4">
        <v>174.5</v>
      </c>
      <c r="CL16" s="2" t="s">
        <v>456</v>
      </c>
      <c r="CM16" s="4" t="str">
        <f>VLOOKUP(lyon[[#This Row],[Away_team]],all[[Full name]:[Abbr]],3,FALSE)</f>
        <v>PAR</v>
      </c>
      <c r="CN16" s="4">
        <f>IF(OR(lyon[[#This Row],[Result]]="w",lyon[[#This Row],[Result]]="dw"),lyon[[#This Row],[win]]-1,-1)</f>
        <v>0.56000000000000005</v>
      </c>
      <c r="CO16" s="4">
        <f>IF(OR(lyon[[#This Row],[Result]]="L",lyon[[#This Row],[Result]]="dl"),lyon[[#This Row],[lose]]-1,-1)</f>
        <v>-1</v>
      </c>
      <c r="CP16" s="4">
        <f>IF(OR((lyon[[#This Row],[Home_scored]]+lyon[[#This Row],[Away_scored]])&gt;lyon[[#This Row],[total]],OR(lyon[[#This Row],[Result]]="dw",lyon[[#This Row],[Result]]="dl")),1,0)</f>
        <v>1</v>
      </c>
      <c r="CQ16" s="4">
        <f>ABS((lyon[[#This Row],[Home_scored]]+lyon[[#This Row],[Away_scored]])-lyon[[#This Row],[total]])+0.5</f>
        <v>16</v>
      </c>
    </row>
    <row r="17" spans="1:95" x14ac:dyDescent="0.25">
      <c r="A17" s="2" t="s">
        <v>349</v>
      </c>
      <c r="B17" s="2" t="s">
        <v>327</v>
      </c>
      <c r="C17" s="3" t="s">
        <v>73</v>
      </c>
      <c r="D17" s="3">
        <v>45662</v>
      </c>
      <c r="E17" s="2" t="s">
        <v>140</v>
      </c>
      <c r="F17" s="2" t="s">
        <v>323</v>
      </c>
      <c r="G17" s="2" t="s">
        <v>75</v>
      </c>
      <c r="H17" s="11">
        <v>79</v>
      </c>
      <c r="I17" s="11">
        <v>75</v>
      </c>
      <c r="J17" s="11">
        <v>25</v>
      </c>
      <c r="K17" s="11">
        <v>63</v>
      </c>
      <c r="L17" s="12">
        <v>0.39679999999999999</v>
      </c>
      <c r="M17" s="11">
        <v>14</v>
      </c>
      <c r="N17" s="11">
        <v>33</v>
      </c>
      <c r="O17" s="12">
        <v>0.42420000000000002</v>
      </c>
      <c r="P17" s="11">
        <v>11</v>
      </c>
      <c r="Q17" s="11">
        <v>30</v>
      </c>
      <c r="R17" s="12">
        <v>0.36670000000000003</v>
      </c>
      <c r="S17" s="11">
        <v>18</v>
      </c>
      <c r="T17" s="11">
        <v>27</v>
      </c>
      <c r="U17" s="12">
        <v>0.66669999999999996</v>
      </c>
      <c r="V17" s="11">
        <v>14</v>
      </c>
      <c r="W17" s="11">
        <v>30</v>
      </c>
      <c r="X17" s="11">
        <v>44</v>
      </c>
      <c r="Y17" s="11">
        <v>17</v>
      </c>
      <c r="Z17" s="11">
        <v>8</v>
      </c>
      <c r="AA17" s="11">
        <v>6</v>
      </c>
      <c r="AB17" s="11">
        <v>7</v>
      </c>
      <c r="AC17" s="11">
        <v>14</v>
      </c>
      <c r="AD17" s="11">
        <v>28</v>
      </c>
      <c r="AE17" s="11">
        <v>72</v>
      </c>
      <c r="AF17" s="12">
        <v>0.38890000000000002</v>
      </c>
      <c r="AG17" s="11">
        <v>17</v>
      </c>
      <c r="AH17" s="11">
        <v>46</v>
      </c>
      <c r="AI17" s="12">
        <v>0.36959999999999998</v>
      </c>
      <c r="AJ17" s="11">
        <v>11</v>
      </c>
      <c r="AK17" s="11">
        <v>26</v>
      </c>
      <c r="AL17" s="12">
        <v>0.42309999999999998</v>
      </c>
      <c r="AM17" s="11">
        <v>8</v>
      </c>
      <c r="AN17" s="11">
        <v>10</v>
      </c>
      <c r="AO17" s="12">
        <v>0.8</v>
      </c>
      <c r="AP17" s="11">
        <v>14</v>
      </c>
      <c r="AQ17" s="11">
        <v>28</v>
      </c>
      <c r="AR17" s="11">
        <v>42</v>
      </c>
      <c r="AS17" s="11">
        <v>27</v>
      </c>
      <c r="AT17" s="11">
        <v>5</v>
      </c>
      <c r="AU17" s="11">
        <v>6</v>
      </c>
      <c r="AV17" s="11">
        <v>13</v>
      </c>
      <c r="AW17" s="11">
        <v>25</v>
      </c>
      <c r="AX17" s="12">
        <v>0.52749999999999997</v>
      </c>
      <c r="AY17" s="12">
        <v>0.48409999999999997</v>
      </c>
      <c r="AZ17" s="12">
        <v>0.33329999999999999</v>
      </c>
      <c r="BA17" s="12">
        <v>0.68179999999999996</v>
      </c>
      <c r="BB17" s="12">
        <v>0.51160000000000005</v>
      </c>
      <c r="BC17" s="4">
        <v>67.863</v>
      </c>
      <c r="BD17" s="12">
        <v>0.68</v>
      </c>
      <c r="BE17" s="12">
        <v>0.28570000000000001</v>
      </c>
      <c r="BF17" s="12">
        <v>8.5500000000000007E-2</v>
      </c>
      <c r="BG17" s="4">
        <v>111.9</v>
      </c>
      <c r="BH17" s="4">
        <v>106.3</v>
      </c>
      <c r="BI17" s="4">
        <v>70.584999999999994</v>
      </c>
      <c r="BJ17" s="12">
        <v>0.49080000000000001</v>
      </c>
      <c r="BK17" s="12">
        <v>0.46529999999999999</v>
      </c>
      <c r="BL17" s="12">
        <v>0.31819999999999998</v>
      </c>
      <c r="BM17" s="12">
        <v>0.66669999999999996</v>
      </c>
      <c r="BN17" s="12">
        <v>0.4884</v>
      </c>
      <c r="BO17" s="4">
        <v>73.307000000000002</v>
      </c>
      <c r="BP17" s="12">
        <v>0.96430000000000005</v>
      </c>
      <c r="BQ17" s="12">
        <v>0.1111</v>
      </c>
      <c r="BR17" s="12">
        <v>0.1454</v>
      </c>
      <c r="BS17" s="4">
        <v>106.3</v>
      </c>
      <c r="BT17" s="4">
        <v>111.9</v>
      </c>
      <c r="BU17" s="11">
        <v>18</v>
      </c>
      <c r="BV17" s="11">
        <v>10</v>
      </c>
      <c r="BW17" s="11">
        <v>31</v>
      </c>
      <c r="BX17" s="11">
        <v>20</v>
      </c>
      <c r="BY17" s="11">
        <v>18</v>
      </c>
      <c r="BZ17" s="11">
        <v>17</v>
      </c>
      <c r="CA17" s="11">
        <v>14</v>
      </c>
      <c r="CB17" s="11">
        <v>26</v>
      </c>
      <c r="CC17" s="11">
        <v>28</v>
      </c>
      <c r="CD17" s="11">
        <v>51</v>
      </c>
      <c r="CE17" s="11">
        <v>35</v>
      </c>
      <c r="CF17" s="11">
        <v>40</v>
      </c>
      <c r="CG17" s="4">
        <v>1.1399999999999999</v>
      </c>
      <c r="CH17" s="13">
        <v>6</v>
      </c>
      <c r="CI17" s="4">
        <v>-11.5</v>
      </c>
      <c r="CJ17" s="4">
        <v>11.5</v>
      </c>
      <c r="CK17" s="4">
        <v>158.5</v>
      </c>
      <c r="CL17" s="2" t="s">
        <v>465</v>
      </c>
      <c r="CM17" s="4" t="e">
        <f>VLOOKUP(lyon[[#This Row],[Away_team]],all[[Full name]:[Abbr]],3,FALSE)</f>
        <v>#N/A</v>
      </c>
      <c r="CN17" s="4">
        <f>IF(OR(lyon[[#This Row],[Result]]="w",lyon[[#This Row],[Result]]="dw"),lyon[[#This Row],[win]]-1,-1)</f>
        <v>0.1399999999999999</v>
      </c>
      <c r="CO17" s="4">
        <f>IF(OR(lyon[[#This Row],[Result]]="L",lyon[[#This Row],[Result]]="dl"),lyon[[#This Row],[lose]]-1,-1)</f>
        <v>-1</v>
      </c>
      <c r="CP17" s="4">
        <f>IF(OR((lyon[[#This Row],[Home_scored]]+lyon[[#This Row],[Away_scored]])&gt;lyon[[#This Row],[total]],OR(lyon[[#This Row],[Result]]="dw",lyon[[#This Row],[Result]]="dl")),1,0)</f>
        <v>0</v>
      </c>
      <c r="CQ17" s="4">
        <f>ABS((lyon[[#This Row],[Home_scored]]+lyon[[#This Row],[Away_scored]])-lyon[[#This Row],[total]])+0.5</f>
        <v>5</v>
      </c>
    </row>
    <row r="18" spans="1:95" x14ac:dyDescent="0.25">
      <c r="A18" s="2" t="s">
        <v>349</v>
      </c>
      <c r="B18" s="2" t="s">
        <v>327</v>
      </c>
      <c r="C18" s="3" t="s">
        <v>73</v>
      </c>
      <c r="D18" s="3">
        <v>45669</v>
      </c>
      <c r="E18" s="2" t="s">
        <v>140</v>
      </c>
      <c r="F18" s="2" t="s">
        <v>311</v>
      </c>
      <c r="G18" s="2" t="s">
        <v>139</v>
      </c>
      <c r="H18" s="11">
        <v>71</v>
      </c>
      <c r="I18" s="11">
        <v>92</v>
      </c>
      <c r="J18" s="11">
        <v>24</v>
      </c>
      <c r="K18" s="11">
        <v>63</v>
      </c>
      <c r="L18" s="12">
        <v>0.38100000000000001</v>
      </c>
      <c r="M18" s="11">
        <v>17</v>
      </c>
      <c r="N18" s="11">
        <v>37</v>
      </c>
      <c r="O18" s="12">
        <v>0.45950000000000002</v>
      </c>
      <c r="P18" s="11">
        <v>7</v>
      </c>
      <c r="Q18" s="11">
        <v>26</v>
      </c>
      <c r="R18" s="12">
        <v>0.26919999999999999</v>
      </c>
      <c r="S18" s="11">
        <v>16</v>
      </c>
      <c r="T18" s="11">
        <v>24</v>
      </c>
      <c r="U18" s="12">
        <v>0.66669999999999996</v>
      </c>
      <c r="V18" s="11">
        <v>13</v>
      </c>
      <c r="W18" s="11">
        <v>23</v>
      </c>
      <c r="X18" s="11">
        <v>36</v>
      </c>
      <c r="Y18" s="11">
        <v>9</v>
      </c>
      <c r="Z18" s="11">
        <v>7</v>
      </c>
      <c r="AA18" s="11">
        <v>0</v>
      </c>
      <c r="AB18" s="11">
        <v>13</v>
      </c>
      <c r="AC18" s="11">
        <v>19</v>
      </c>
      <c r="AD18" s="11">
        <v>35</v>
      </c>
      <c r="AE18" s="11">
        <v>62</v>
      </c>
      <c r="AF18" s="12">
        <v>0.5645</v>
      </c>
      <c r="AG18" s="11">
        <v>24</v>
      </c>
      <c r="AH18" s="11">
        <v>33</v>
      </c>
      <c r="AI18" s="12">
        <v>0.72729999999999995</v>
      </c>
      <c r="AJ18" s="11">
        <v>11</v>
      </c>
      <c r="AK18" s="11">
        <v>29</v>
      </c>
      <c r="AL18" s="12">
        <v>0.37930000000000003</v>
      </c>
      <c r="AM18" s="11">
        <v>11</v>
      </c>
      <c r="AN18" s="11">
        <v>14</v>
      </c>
      <c r="AO18" s="12">
        <v>0.78569999999999995</v>
      </c>
      <c r="AP18" s="11">
        <v>6</v>
      </c>
      <c r="AQ18" s="11">
        <v>32</v>
      </c>
      <c r="AR18" s="11">
        <v>38</v>
      </c>
      <c r="AS18" s="11">
        <v>29</v>
      </c>
      <c r="AT18" s="11">
        <v>7</v>
      </c>
      <c r="AU18" s="11">
        <v>1</v>
      </c>
      <c r="AV18" s="11">
        <v>13</v>
      </c>
      <c r="AW18" s="11">
        <v>22</v>
      </c>
      <c r="AX18" s="12">
        <v>0.48259999999999997</v>
      </c>
      <c r="AY18" s="12">
        <v>0.4365</v>
      </c>
      <c r="AZ18" s="12">
        <v>0.28889999999999999</v>
      </c>
      <c r="BA18" s="12">
        <v>0.79310000000000003</v>
      </c>
      <c r="BB18" s="12">
        <v>0.48649999999999999</v>
      </c>
      <c r="BC18" s="4">
        <v>70.531000000000006</v>
      </c>
      <c r="BD18" s="12">
        <v>0.375</v>
      </c>
      <c r="BE18" s="12">
        <v>0.254</v>
      </c>
      <c r="BF18" s="12">
        <v>0.1502</v>
      </c>
      <c r="BG18" s="4">
        <v>96.9</v>
      </c>
      <c r="BH18" s="4">
        <v>125.5</v>
      </c>
      <c r="BI18" s="4">
        <v>73.284499999999994</v>
      </c>
      <c r="BJ18" s="12">
        <v>0.67490000000000006</v>
      </c>
      <c r="BK18" s="12">
        <v>0.6532</v>
      </c>
      <c r="BL18" s="12">
        <v>0.2069</v>
      </c>
      <c r="BM18" s="12">
        <v>0.71109999999999995</v>
      </c>
      <c r="BN18" s="12">
        <v>0.51349999999999996</v>
      </c>
      <c r="BO18" s="4">
        <v>76.037999999999997</v>
      </c>
      <c r="BP18" s="12">
        <v>0.8286</v>
      </c>
      <c r="BQ18" s="12">
        <v>0.1774</v>
      </c>
      <c r="BR18" s="12">
        <v>0.16020000000000001</v>
      </c>
      <c r="BS18" s="4">
        <v>125.5</v>
      </c>
      <c r="BT18" s="4">
        <v>96.9</v>
      </c>
      <c r="BU18" s="11">
        <v>20</v>
      </c>
      <c r="BV18" s="11">
        <v>16</v>
      </c>
      <c r="BW18" s="11">
        <v>22</v>
      </c>
      <c r="BX18" s="11">
        <v>13</v>
      </c>
      <c r="BY18" s="11">
        <v>19</v>
      </c>
      <c r="BZ18" s="11">
        <v>26</v>
      </c>
      <c r="CA18" s="11">
        <v>24</v>
      </c>
      <c r="CB18" s="11">
        <v>23</v>
      </c>
      <c r="CC18" s="11">
        <v>36</v>
      </c>
      <c r="CD18" s="11">
        <v>35</v>
      </c>
      <c r="CE18" s="11">
        <v>45</v>
      </c>
      <c r="CF18" s="11">
        <v>47</v>
      </c>
      <c r="CG18" s="4">
        <v>1.38</v>
      </c>
      <c r="CH18" s="13">
        <v>3.1</v>
      </c>
      <c r="CI18" s="4">
        <v>-6.5</v>
      </c>
      <c r="CJ18" s="4">
        <v>6.5</v>
      </c>
      <c r="CK18" s="4">
        <v>169.5</v>
      </c>
      <c r="CL18" s="2" t="s">
        <v>472</v>
      </c>
      <c r="CM18" s="4" t="str">
        <f>VLOOKUP(lyon[[#This Row],[Away_team]],all[[Full name]:[Abbr]],3,FALSE)</f>
        <v>DIJ</v>
      </c>
      <c r="CN18" s="4">
        <f>IF(OR(lyon[[#This Row],[Result]]="w",lyon[[#This Row],[Result]]="dw"),lyon[[#This Row],[win]]-1,-1)</f>
        <v>-1</v>
      </c>
      <c r="CO18" s="4">
        <f>IF(OR(lyon[[#This Row],[Result]]="L",lyon[[#This Row],[Result]]="dl"),lyon[[#This Row],[lose]]-1,-1)</f>
        <v>2.1</v>
      </c>
      <c r="CP18" s="4">
        <f>IF(OR((lyon[[#This Row],[Home_scored]]+lyon[[#This Row],[Away_scored]])&gt;lyon[[#This Row],[total]],OR(lyon[[#This Row],[Result]]="dw",lyon[[#This Row],[Result]]="dl")),1,0)</f>
        <v>0</v>
      </c>
      <c r="CQ18" s="4">
        <f>ABS((lyon[[#This Row],[Home_scored]]+lyon[[#This Row],[Away_scored]])-lyon[[#This Row],[total]])+0.5</f>
        <v>7</v>
      </c>
    </row>
    <row r="19" spans="1:95" x14ac:dyDescent="0.25">
      <c r="A19" s="2" t="s">
        <v>349</v>
      </c>
      <c r="B19" s="2" t="s">
        <v>327</v>
      </c>
      <c r="C19" s="3" t="s">
        <v>73</v>
      </c>
      <c r="D19" s="3">
        <v>45676</v>
      </c>
      <c r="E19" s="2" t="s">
        <v>74</v>
      </c>
      <c r="F19" s="2" t="s">
        <v>314</v>
      </c>
      <c r="G19" s="2" t="s">
        <v>75</v>
      </c>
      <c r="H19" s="11">
        <v>90</v>
      </c>
      <c r="I19" s="11">
        <v>83</v>
      </c>
      <c r="J19" s="11">
        <v>28</v>
      </c>
      <c r="K19" s="11">
        <v>52</v>
      </c>
      <c r="L19" s="12">
        <v>0.53849999999999998</v>
      </c>
      <c r="M19" s="11">
        <v>14</v>
      </c>
      <c r="N19" s="11">
        <v>29</v>
      </c>
      <c r="O19" s="12">
        <v>0.48280000000000001</v>
      </c>
      <c r="P19" s="11">
        <v>14</v>
      </c>
      <c r="Q19" s="11">
        <v>23</v>
      </c>
      <c r="R19" s="12">
        <v>0.60870000000000002</v>
      </c>
      <c r="S19" s="11">
        <v>20</v>
      </c>
      <c r="T19" s="11">
        <v>27</v>
      </c>
      <c r="U19" s="12">
        <v>0.74070000000000003</v>
      </c>
      <c r="V19" s="11">
        <v>6</v>
      </c>
      <c r="W19" s="11">
        <v>22</v>
      </c>
      <c r="X19" s="11">
        <v>28</v>
      </c>
      <c r="Y19" s="11">
        <v>22</v>
      </c>
      <c r="Z19" s="11">
        <v>6</v>
      </c>
      <c r="AA19" s="11">
        <v>4</v>
      </c>
      <c r="AB19" s="11">
        <v>12</v>
      </c>
      <c r="AC19" s="11">
        <v>18</v>
      </c>
      <c r="AD19" s="11">
        <v>33</v>
      </c>
      <c r="AE19" s="11">
        <v>64</v>
      </c>
      <c r="AF19" s="12">
        <v>0.51559999999999995</v>
      </c>
      <c r="AG19" s="11">
        <v>25</v>
      </c>
      <c r="AH19" s="11">
        <v>39</v>
      </c>
      <c r="AI19" s="12">
        <v>0.64100000000000001</v>
      </c>
      <c r="AJ19" s="11">
        <v>8</v>
      </c>
      <c r="AK19" s="11">
        <v>25</v>
      </c>
      <c r="AL19" s="12">
        <v>0.32</v>
      </c>
      <c r="AM19" s="11">
        <v>9</v>
      </c>
      <c r="AN19" s="11">
        <v>15</v>
      </c>
      <c r="AO19" s="12">
        <v>0.6</v>
      </c>
      <c r="AP19" s="11">
        <v>10</v>
      </c>
      <c r="AQ19" s="11">
        <v>20</v>
      </c>
      <c r="AR19" s="11">
        <v>30</v>
      </c>
      <c r="AS19" s="11">
        <v>16</v>
      </c>
      <c r="AT19" s="11">
        <v>3</v>
      </c>
      <c r="AU19" s="11">
        <v>2</v>
      </c>
      <c r="AV19" s="11">
        <v>12</v>
      </c>
      <c r="AW19" s="11">
        <v>21</v>
      </c>
      <c r="AX19" s="12">
        <v>0.70440000000000003</v>
      </c>
      <c r="AY19" s="12">
        <v>0.67310000000000003</v>
      </c>
      <c r="AZ19" s="12">
        <v>0.23080000000000001</v>
      </c>
      <c r="BA19" s="12">
        <v>0.6875</v>
      </c>
      <c r="BB19" s="12">
        <v>0.48280000000000001</v>
      </c>
      <c r="BC19" s="4">
        <v>69.296999999999997</v>
      </c>
      <c r="BD19" s="12">
        <v>0.78569999999999995</v>
      </c>
      <c r="BE19" s="12">
        <v>0.3846</v>
      </c>
      <c r="BF19" s="12">
        <v>0.15809999999999999</v>
      </c>
      <c r="BG19" s="4">
        <v>128.4</v>
      </c>
      <c r="BH19" s="4">
        <v>118.4</v>
      </c>
      <c r="BI19" s="4">
        <v>70.12</v>
      </c>
      <c r="BJ19" s="12">
        <v>0.58779999999999999</v>
      </c>
      <c r="BK19" s="12">
        <v>0.57809999999999995</v>
      </c>
      <c r="BL19" s="12">
        <v>0.3125</v>
      </c>
      <c r="BM19" s="12">
        <v>0.76919999999999999</v>
      </c>
      <c r="BN19" s="12">
        <v>0.51719999999999999</v>
      </c>
      <c r="BO19" s="4">
        <v>70.942999999999998</v>
      </c>
      <c r="BP19" s="12">
        <v>0.48480000000000001</v>
      </c>
      <c r="BQ19" s="12">
        <v>0.1406</v>
      </c>
      <c r="BR19" s="12">
        <v>0.14530000000000001</v>
      </c>
      <c r="BS19" s="4">
        <v>118.4</v>
      </c>
      <c r="BT19" s="4">
        <v>128.4</v>
      </c>
      <c r="BU19" s="11">
        <v>21</v>
      </c>
      <c r="BV19" s="11">
        <v>29</v>
      </c>
      <c r="BW19" s="11">
        <v>17</v>
      </c>
      <c r="BX19" s="11">
        <v>23</v>
      </c>
      <c r="BY19" s="11">
        <v>21</v>
      </c>
      <c r="BZ19" s="11">
        <v>20</v>
      </c>
      <c r="CA19" s="11">
        <v>22</v>
      </c>
      <c r="CB19" s="11">
        <v>20</v>
      </c>
      <c r="CC19" s="11">
        <v>50</v>
      </c>
      <c r="CD19" s="11">
        <v>40</v>
      </c>
      <c r="CE19" s="11">
        <v>41</v>
      </c>
      <c r="CF19" s="11">
        <v>42</v>
      </c>
      <c r="CG19" s="4">
        <v>1.18</v>
      </c>
      <c r="CH19" s="13">
        <v>5</v>
      </c>
      <c r="CI19" s="4">
        <v>-10.5</v>
      </c>
      <c r="CJ19" s="4">
        <v>10.5</v>
      </c>
      <c r="CK19" s="4">
        <v>163.5</v>
      </c>
      <c r="CL19" s="2" t="s">
        <v>482</v>
      </c>
      <c r="CM19" s="4" t="str">
        <f>VLOOKUP(lyon[[#This Row],[Away_team]],all[[Full name]:[Abbr]],3,FALSE)</f>
        <v>DUN</v>
      </c>
      <c r="CN19" s="4">
        <f>IF(OR(lyon[[#This Row],[Result]]="w",lyon[[#This Row],[Result]]="dw"),lyon[[#This Row],[win]]-1,-1)</f>
        <v>0.17999999999999994</v>
      </c>
      <c r="CO19" s="4">
        <f>IF(OR(lyon[[#This Row],[Result]]="L",lyon[[#This Row],[Result]]="dl"),lyon[[#This Row],[lose]]-1,-1)</f>
        <v>-1</v>
      </c>
      <c r="CP19" s="4">
        <f>IF(OR((lyon[[#This Row],[Home_scored]]+lyon[[#This Row],[Away_scored]])&gt;lyon[[#This Row],[total]],OR(lyon[[#This Row],[Result]]="dw",lyon[[#This Row],[Result]]="dl")),1,0)</f>
        <v>1</v>
      </c>
      <c r="CQ19" s="4">
        <f>ABS((lyon[[#This Row],[Home_scored]]+lyon[[#This Row],[Away_scored]])-lyon[[#This Row],[total]])+0.5</f>
        <v>10</v>
      </c>
    </row>
    <row r="20" spans="1:95" x14ac:dyDescent="0.25">
      <c r="A20" s="2" t="s">
        <v>349</v>
      </c>
      <c r="B20" s="2" t="s">
        <v>327</v>
      </c>
      <c r="C20" s="3" t="s">
        <v>73</v>
      </c>
      <c r="D20" s="3">
        <v>45683</v>
      </c>
      <c r="E20" s="2" t="s">
        <v>74</v>
      </c>
      <c r="F20" s="2" t="s">
        <v>345</v>
      </c>
      <c r="G20" s="2" t="s">
        <v>75</v>
      </c>
      <c r="H20" s="11">
        <v>95</v>
      </c>
      <c r="I20" s="11">
        <v>70</v>
      </c>
      <c r="J20" s="11">
        <v>33</v>
      </c>
      <c r="K20" s="11">
        <v>61</v>
      </c>
      <c r="L20" s="12">
        <v>0.54100000000000004</v>
      </c>
      <c r="M20" s="11">
        <v>23</v>
      </c>
      <c r="N20" s="11">
        <v>35</v>
      </c>
      <c r="O20" s="12">
        <v>0.65710000000000002</v>
      </c>
      <c r="P20" s="11">
        <v>10</v>
      </c>
      <c r="Q20" s="11">
        <v>26</v>
      </c>
      <c r="R20" s="12">
        <v>0.3846</v>
      </c>
      <c r="S20" s="11">
        <v>19</v>
      </c>
      <c r="T20" s="11">
        <v>25</v>
      </c>
      <c r="U20" s="12">
        <v>0.76</v>
      </c>
      <c r="V20" s="11">
        <v>13</v>
      </c>
      <c r="W20" s="11">
        <v>34</v>
      </c>
      <c r="X20" s="11">
        <v>47</v>
      </c>
      <c r="Y20" s="11">
        <v>29</v>
      </c>
      <c r="Z20" s="11">
        <v>6</v>
      </c>
      <c r="AA20" s="11">
        <v>2</v>
      </c>
      <c r="AB20" s="11">
        <v>19</v>
      </c>
      <c r="AC20" s="11">
        <v>20</v>
      </c>
      <c r="AD20" s="11">
        <v>25</v>
      </c>
      <c r="AE20" s="11">
        <v>59</v>
      </c>
      <c r="AF20" s="12">
        <v>0.42370000000000002</v>
      </c>
      <c r="AG20" s="11">
        <v>19</v>
      </c>
      <c r="AH20" s="11">
        <v>35</v>
      </c>
      <c r="AI20" s="12">
        <v>0.54290000000000005</v>
      </c>
      <c r="AJ20" s="11">
        <v>6</v>
      </c>
      <c r="AK20" s="11">
        <v>24</v>
      </c>
      <c r="AL20" s="12">
        <v>0.25</v>
      </c>
      <c r="AM20" s="11">
        <v>14</v>
      </c>
      <c r="AN20" s="11">
        <v>19</v>
      </c>
      <c r="AO20" s="12">
        <v>0.73680000000000001</v>
      </c>
      <c r="AP20" s="11">
        <v>3</v>
      </c>
      <c r="AQ20" s="11">
        <v>20</v>
      </c>
      <c r="AR20" s="11">
        <v>23</v>
      </c>
      <c r="AS20" s="11">
        <v>16</v>
      </c>
      <c r="AT20" s="11">
        <v>9</v>
      </c>
      <c r="AU20" s="11">
        <v>3</v>
      </c>
      <c r="AV20" s="11">
        <v>16</v>
      </c>
      <c r="AW20" s="11">
        <v>23</v>
      </c>
      <c r="AX20" s="12">
        <v>0.65969999999999995</v>
      </c>
      <c r="AY20" s="12">
        <v>0.623</v>
      </c>
      <c r="AZ20" s="12">
        <v>0.39389999999999997</v>
      </c>
      <c r="BA20" s="12">
        <v>0.91890000000000005</v>
      </c>
      <c r="BB20" s="12">
        <v>0.6714</v>
      </c>
      <c r="BC20" s="4">
        <v>81.712999999999994</v>
      </c>
      <c r="BD20" s="12">
        <v>0.87880000000000003</v>
      </c>
      <c r="BE20" s="12">
        <v>0.3115</v>
      </c>
      <c r="BF20" s="12">
        <v>0.20880000000000001</v>
      </c>
      <c r="BG20" s="4">
        <v>119.1</v>
      </c>
      <c r="BH20" s="4">
        <v>87.7</v>
      </c>
      <c r="BI20" s="4">
        <v>79.784000000000006</v>
      </c>
      <c r="BJ20" s="12">
        <v>0.51959999999999995</v>
      </c>
      <c r="BK20" s="12">
        <v>0.47460000000000002</v>
      </c>
      <c r="BL20" s="12">
        <v>8.1100000000000005E-2</v>
      </c>
      <c r="BM20" s="12">
        <v>0.60609999999999997</v>
      </c>
      <c r="BN20" s="12">
        <v>0.3286</v>
      </c>
      <c r="BO20" s="4">
        <v>77.855000000000004</v>
      </c>
      <c r="BP20" s="12">
        <v>0.64</v>
      </c>
      <c r="BQ20" s="12">
        <v>0.23730000000000001</v>
      </c>
      <c r="BR20" s="12">
        <v>0.19189999999999999</v>
      </c>
      <c r="BS20" s="4">
        <v>87.7</v>
      </c>
      <c r="BT20" s="4">
        <v>119.1</v>
      </c>
      <c r="BU20" s="11">
        <v>17</v>
      </c>
      <c r="BV20" s="11">
        <v>30</v>
      </c>
      <c r="BW20" s="11">
        <v>22</v>
      </c>
      <c r="BX20" s="11">
        <v>26</v>
      </c>
      <c r="BY20" s="11">
        <v>21</v>
      </c>
      <c r="BZ20" s="11">
        <v>14</v>
      </c>
      <c r="CA20" s="11">
        <v>13</v>
      </c>
      <c r="CB20" s="11">
        <v>22</v>
      </c>
      <c r="CC20" s="11">
        <v>47</v>
      </c>
      <c r="CD20" s="11">
        <v>48</v>
      </c>
      <c r="CE20" s="11">
        <v>35</v>
      </c>
      <c r="CF20" s="11">
        <v>35</v>
      </c>
      <c r="CG20" s="4">
        <v>1.18</v>
      </c>
      <c r="CH20" s="13">
        <v>5</v>
      </c>
      <c r="CI20" s="4">
        <v>-10.5</v>
      </c>
      <c r="CJ20" s="4">
        <v>10.5</v>
      </c>
      <c r="CK20" s="4">
        <v>167.5</v>
      </c>
      <c r="CL20" s="2" t="s">
        <v>489</v>
      </c>
      <c r="CM20" s="4" t="str">
        <f>VLOOKUP(lyon[[#This Row],[Away_team]],all[[Full name]:[Abbr]],3,FALSE)</f>
        <v>STR</v>
      </c>
      <c r="CN20" s="4">
        <f>IF(OR(lyon[[#This Row],[Result]]="w",lyon[[#This Row],[Result]]="dw"),lyon[[#This Row],[win]]-1,-1)</f>
        <v>0.17999999999999994</v>
      </c>
      <c r="CO20" s="4">
        <f>IF(OR(lyon[[#This Row],[Result]]="L",lyon[[#This Row],[Result]]="dl"),lyon[[#This Row],[lose]]-1,-1)</f>
        <v>-1</v>
      </c>
      <c r="CP20" s="4">
        <f>IF(OR((lyon[[#This Row],[Home_scored]]+lyon[[#This Row],[Away_scored]])&gt;lyon[[#This Row],[total]],OR(lyon[[#This Row],[Result]]="dw",lyon[[#This Row],[Result]]="dl")),1,0)</f>
        <v>0</v>
      </c>
      <c r="CQ20" s="4">
        <f>ABS((lyon[[#This Row],[Home_scored]]+lyon[[#This Row],[Away_scored]])-lyon[[#This Row],[total]])+0.5</f>
        <v>3</v>
      </c>
    </row>
    <row r="21" spans="1:95" x14ac:dyDescent="0.25">
      <c r="A21" s="2" t="s">
        <v>349</v>
      </c>
      <c r="B21" s="2" t="s">
        <v>327</v>
      </c>
      <c r="C21" s="3" t="s">
        <v>73</v>
      </c>
      <c r="D21" s="3">
        <v>45689</v>
      </c>
      <c r="E21" s="2" t="s">
        <v>140</v>
      </c>
      <c r="F21" s="2" t="s">
        <v>324</v>
      </c>
      <c r="G21" s="2" t="s">
        <v>139</v>
      </c>
      <c r="H21" s="11">
        <v>81</v>
      </c>
      <c r="I21" s="11">
        <v>84</v>
      </c>
      <c r="J21" s="11">
        <v>29</v>
      </c>
      <c r="K21" s="11">
        <v>55</v>
      </c>
      <c r="L21" s="12">
        <v>0.52729999999999999</v>
      </c>
      <c r="M21" s="11">
        <v>22</v>
      </c>
      <c r="N21" s="11">
        <v>34</v>
      </c>
      <c r="O21" s="12">
        <v>0.64710000000000001</v>
      </c>
      <c r="P21" s="11">
        <v>7</v>
      </c>
      <c r="Q21" s="11">
        <v>21</v>
      </c>
      <c r="R21" s="12">
        <v>0.33329999999999999</v>
      </c>
      <c r="S21" s="11">
        <v>16</v>
      </c>
      <c r="T21" s="11">
        <v>25</v>
      </c>
      <c r="U21" s="12">
        <v>0.64</v>
      </c>
      <c r="V21" s="11">
        <v>6</v>
      </c>
      <c r="W21" s="11">
        <v>19</v>
      </c>
      <c r="X21" s="11">
        <v>25</v>
      </c>
      <c r="Y21" s="11">
        <v>13</v>
      </c>
      <c r="Z21" s="11">
        <v>2</v>
      </c>
      <c r="AA21" s="11">
        <v>4</v>
      </c>
      <c r="AB21" s="11">
        <v>13</v>
      </c>
      <c r="AC21" s="11">
        <v>27</v>
      </c>
      <c r="AD21" s="11">
        <v>30</v>
      </c>
      <c r="AE21" s="11">
        <v>59</v>
      </c>
      <c r="AF21" s="12">
        <v>0.50849999999999995</v>
      </c>
      <c r="AG21" s="11">
        <v>22</v>
      </c>
      <c r="AH21" s="11">
        <v>36</v>
      </c>
      <c r="AI21" s="12">
        <v>0.61109999999999998</v>
      </c>
      <c r="AJ21" s="11">
        <v>8</v>
      </c>
      <c r="AK21" s="11">
        <v>23</v>
      </c>
      <c r="AL21" s="12">
        <v>0.3478</v>
      </c>
      <c r="AM21" s="11">
        <v>16</v>
      </c>
      <c r="AN21" s="11">
        <v>21</v>
      </c>
      <c r="AO21" s="12">
        <v>0.76190000000000002</v>
      </c>
      <c r="AP21" s="11">
        <v>10</v>
      </c>
      <c r="AQ21" s="11">
        <v>24</v>
      </c>
      <c r="AR21" s="11">
        <v>34</v>
      </c>
      <c r="AS21" s="11">
        <v>24</v>
      </c>
      <c r="AT21" s="11">
        <v>5</v>
      </c>
      <c r="AU21" s="11">
        <v>1</v>
      </c>
      <c r="AV21" s="11">
        <v>15</v>
      </c>
      <c r="AW21" s="11">
        <v>22</v>
      </c>
      <c r="AX21" s="12">
        <v>0.61360000000000003</v>
      </c>
      <c r="AY21" s="12">
        <v>0.59089999999999998</v>
      </c>
      <c r="AZ21" s="12">
        <v>0.2</v>
      </c>
      <c r="BA21" s="12">
        <v>0.6552</v>
      </c>
      <c r="BB21" s="12">
        <v>0.42370000000000002</v>
      </c>
      <c r="BC21" s="4">
        <v>71.322999999999993</v>
      </c>
      <c r="BD21" s="12">
        <v>0.44829999999999998</v>
      </c>
      <c r="BE21" s="12">
        <v>0.29089999999999999</v>
      </c>
      <c r="BF21" s="12">
        <v>0.1646</v>
      </c>
      <c r="BG21" s="4">
        <v>112</v>
      </c>
      <c r="BH21" s="4">
        <v>116.2</v>
      </c>
      <c r="BI21" s="4">
        <v>72.298500000000004</v>
      </c>
      <c r="BJ21" s="12">
        <v>0.61550000000000005</v>
      </c>
      <c r="BK21" s="12">
        <v>0.57630000000000003</v>
      </c>
      <c r="BL21" s="12">
        <v>0.3448</v>
      </c>
      <c r="BM21" s="12">
        <v>0.8</v>
      </c>
      <c r="BN21" s="12">
        <v>0.57630000000000003</v>
      </c>
      <c r="BO21" s="4">
        <v>73.274000000000001</v>
      </c>
      <c r="BP21" s="12">
        <v>0.8</v>
      </c>
      <c r="BQ21" s="12">
        <v>0.2712</v>
      </c>
      <c r="BR21" s="12">
        <v>0.1802</v>
      </c>
      <c r="BS21" s="4">
        <v>116.2</v>
      </c>
      <c r="BT21" s="4">
        <v>112</v>
      </c>
      <c r="BU21" s="11">
        <v>22</v>
      </c>
      <c r="BV21" s="11">
        <v>14</v>
      </c>
      <c r="BW21" s="11">
        <v>22</v>
      </c>
      <c r="BX21" s="11">
        <v>23</v>
      </c>
      <c r="BY21" s="11">
        <v>21</v>
      </c>
      <c r="BZ21" s="11">
        <v>22</v>
      </c>
      <c r="CA21" s="11">
        <v>18</v>
      </c>
      <c r="CB21" s="11">
        <v>23</v>
      </c>
      <c r="CC21" s="11">
        <v>36</v>
      </c>
      <c r="CD21" s="11">
        <v>45</v>
      </c>
      <c r="CE21" s="11">
        <v>43</v>
      </c>
      <c r="CF21" s="11">
        <v>41</v>
      </c>
      <c r="CG21" s="4">
        <v>1.22</v>
      </c>
      <c r="CH21" s="13">
        <v>4.5</v>
      </c>
      <c r="CI21" s="4">
        <v>-9.5</v>
      </c>
      <c r="CJ21" s="4">
        <v>9.5</v>
      </c>
      <c r="CK21" s="4">
        <v>162.5</v>
      </c>
      <c r="CL21" s="2" t="s">
        <v>494</v>
      </c>
      <c r="CM21" s="4" t="str">
        <f>VLOOKUP(lyon[[#This Row],[Away_team]],all[[Full name]:[Abbr]],3,FALSE)</f>
        <v>LIM</v>
      </c>
      <c r="CN21" s="4">
        <f>IF(OR(lyon[[#This Row],[Result]]="w",lyon[[#This Row],[Result]]="dw"),lyon[[#This Row],[win]]-1,-1)</f>
        <v>-1</v>
      </c>
      <c r="CO21" s="4">
        <f>IF(OR(lyon[[#This Row],[Result]]="L",lyon[[#This Row],[Result]]="dl"),lyon[[#This Row],[lose]]-1,-1)</f>
        <v>3.5</v>
      </c>
      <c r="CP21" s="4">
        <f>IF(OR((lyon[[#This Row],[Home_scored]]+lyon[[#This Row],[Away_scored]])&gt;lyon[[#This Row],[total]],OR(lyon[[#This Row],[Result]]="dw",lyon[[#This Row],[Result]]="dl")),1,0)</f>
        <v>1</v>
      </c>
      <c r="CQ21" s="4">
        <f>ABS((lyon[[#This Row],[Home_scored]]+lyon[[#This Row],[Away_scored]])-lyon[[#This Row],[total]])+0.5</f>
        <v>3</v>
      </c>
    </row>
    <row r="22" spans="1:95" x14ac:dyDescent="0.25">
      <c r="A22" s="2" t="s">
        <v>349</v>
      </c>
      <c r="B22" s="2" t="s">
        <v>327</v>
      </c>
      <c r="C22" s="3" t="s">
        <v>73</v>
      </c>
      <c r="D22" s="3">
        <v>45697</v>
      </c>
      <c r="E22" s="2" t="s">
        <v>140</v>
      </c>
      <c r="F22" s="2" t="s">
        <v>339</v>
      </c>
      <c r="G22" s="2" t="s">
        <v>139</v>
      </c>
      <c r="H22" s="11">
        <v>96</v>
      </c>
      <c r="I22" s="11">
        <v>111</v>
      </c>
      <c r="J22" s="11">
        <v>33</v>
      </c>
      <c r="K22" s="11">
        <v>61</v>
      </c>
      <c r="L22" s="12">
        <v>0.54100000000000004</v>
      </c>
      <c r="M22" s="11">
        <v>23</v>
      </c>
      <c r="N22" s="11">
        <v>39</v>
      </c>
      <c r="O22" s="12">
        <v>0.5897</v>
      </c>
      <c r="P22" s="11">
        <v>10</v>
      </c>
      <c r="Q22" s="11">
        <v>22</v>
      </c>
      <c r="R22" s="12">
        <v>0.45450000000000002</v>
      </c>
      <c r="S22" s="11">
        <v>20</v>
      </c>
      <c r="T22" s="11">
        <v>21</v>
      </c>
      <c r="U22" s="12">
        <v>0.95240000000000002</v>
      </c>
      <c r="V22" s="11">
        <v>7</v>
      </c>
      <c r="W22" s="11">
        <v>19</v>
      </c>
      <c r="X22" s="11">
        <v>26</v>
      </c>
      <c r="Y22" s="11">
        <v>19</v>
      </c>
      <c r="Z22" s="11">
        <v>5</v>
      </c>
      <c r="AA22" s="11">
        <v>6</v>
      </c>
      <c r="AB22" s="11">
        <v>18</v>
      </c>
      <c r="AC22" s="11">
        <v>25</v>
      </c>
      <c r="AD22" s="11">
        <v>36</v>
      </c>
      <c r="AE22" s="11">
        <v>65</v>
      </c>
      <c r="AF22" s="12">
        <v>0.55379999999999996</v>
      </c>
      <c r="AG22" s="11">
        <v>22</v>
      </c>
      <c r="AH22" s="11">
        <v>37</v>
      </c>
      <c r="AI22" s="12">
        <v>0.59460000000000002</v>
      </c>
      <c r="AJ22" s="11">
        <v>14</v>
      </c>
      <c r="AK22" s="11">
        <v>28</v>
      </c>
      <c r="AL22" s="12">
        <v>0.5</v>
      </c>
      <c r="AM22" s="11">
        <v>25</v>
      </c>
      <c r="AN22" s="11">
        <v>30</v>
      </c>
      <c r="AO22" s="12">
        <v>0.83330000000000004</v>
      </c>
      <c r="AP22" s="11">
        <v>11</v>
      </c>
      <c r="AQ22" s="11">
        <v>21</v>
      </c>
      <c r="AR22" s="11">
        <v>32</v>
      </c>
      <c r="AS22" s="11">
        <v>19</v>
      </c>
      <c r="AT22" s="11">
        <v>8</v>
      </c>
      <c r="AU22" s="11">
        <v>3</v>
      </c>
      <c r="AV22" s="11">
        <v>11</v>
      </c>
      <c r="AW22" s="11">
        <v>18</v>
      </c>
      <c r="AX22" s="12">
        <v>0.68340000000000001</v>
      </c>
      <c r="AY22" s="12">
        <v>0.623</v>
      </c>
      <c r="AZ22" s="12">
        <v>0.25</v>
      </c>
      <c r="BA22" s="12">
        <v>0.63329999999999997</v>
      </c>
      <c r="BB22" s="12">
        <v>0.44829999999999998</v>
      </c>
      <c r="BC22" s="4">
        <v>79.334000000000003</v>
      </c>
      <c r="BD22" s="12">
        <v>0.57579999999999998</v>
      </c>
      <c r="BE22" s="12">
        <v>0.32790000000000002</v>
      </c>
      <c r="BF22" s="12">
        <v>0.20399999999999999</v>
      </c>
      <c r="BG22" s="4">
        <v>122.6</v>
      </c>
      <c r="BH22" s="4">
        <v>141.69999999999999</v>
      </c>
      <c r="BI22" s="4">
        <v>78.333500000000001</v>
      </c>
      <c r="BJ22" s="12">
        <v>0.7097</v>
      </c>
      <c r="BK22" s="12">
        <v>0.66149999999999998</v>
      </c>
      <c r="BL22" s="12">
        <v>0.36670000000000003</v>
      </c>
      <c r="BM22" s="12">
        <v>0.75</v>
      </c>
      <c r="BN22" s="12">
        <v>0.55169999999999997</v>
      </c>
      <c r="BO22" s="4">
        <v>77.332999999999998</v>
      </c>
      <c r="BP22" s="12">
        <v>0.52780000000000005</v>
      </c>
      <c r="BQ22" s="12">
        <v>0.3846</v>
      </c>
      <c r="BR22" s="12">
        <v>0.12330000000000001</v>
      </c>
      <c r="BS22" s="4">
        <v>141.69999999999999</v>
      </c>
      <c r="BT22" s="4">
        <v>122.6</v>
      </c>
      <c r="BU22" s="11">
        <v>30</v>
      </c>
      <c r="BV22" s="11">
        <v>34</v>
      </c>
      <c r="BW22" s="11">
        <v>16</v>
      </c>
      <c r="BX22" s="11">
        <v>16</v>
      </c>
      <c r="BY22" s="11">
        <v>24</v>
      </c>
      <c r="BZ22" s="11">
        <v>25</v>
      </c>
      <c r="CA22" s="11">
        <v>38</v>
      </c>
      <c r="CB22" s="11">
        <v>24</v>
      </c>
      <c r="CC22" s="11">
        <v>64</v>
      </c>
      <c r="CD22" s="11">
        <v>32</v>
      </c>
      <c r="CE22" s="11">
        <v>49</v>
      </c>
      <c r="CF22" s="11">
        <v>62</v>
      </c>
      <c r="CG22" s="4">
        <v>2.7</v>
      </c>
      <c r="CH22" s="13">
        <v>1.49</v>
      </c>
      <c r="CI22" s="4">
        <v>-5</v>
      </c>
      <c r="CJ22" s="4">
        <v>-5</v>
      </c>
      <c r="CK22" s="4">
        <v>174.5</v>
      </c>
      <c r="CL22" s="2" t="s">
        <v>506</v>
      </c>
      <c r="CM22" s="4" t="str">
        <f>VLOOKUP(lyon[[#This Row],[Away_team]],all[[Full name]:[Abbr]],3,FALSE)</f>
        <v>PAR</v>
      </c>
      <c r="CN22" s="4">
        <f>IF(OR(lyon[[#This Row],[Result]]="w",lyon[[#This Row],[Result]]="dw"),lyon[[#This Row],[win]]-1,-1)</f>
        <v>-1</v>
      </c>
      <c r="CO22" s="4">
        <f>IF(OR(lyon[[#This Row],[Result]]="L",lyon[[#This Row],[Result]]="dl"),lyon[[#This Row],[lose]]-1,-1)</f>
        <v>0.49</v>
      </c>
      <c r="CP22" s="4">
        <f>IF(OR((lyon[[#This Row],[Home_scored]]+lyon[[#This Row],[Away_scored]])&gt;lyon[[#This Row],[total]],OR(lyon[[#This Row],[Result]]="dw",lyon[[#This Row],[Result]]="dl")),1,0)</f>
        <v>1</v>
      </c>
      <c r="CQ22" s="4">
        <f>ABS((lyon[[#This Row],[Home_scored]]+lyon[[#This Row],[Away_scored]])-lyon[[#This Row],[total]])+0.5</f>
        <v>33</v>
      </c>
    </row>
    <row r="23" spans="1:95" x14ac:dyDescent="0.25">
      <c r="A23" s="2" t="s">
        <v>349</v>
      </c>
      <c r="B23" s="2" t="s">
        <v>327</v>
      </c>
      <c r="C23" s="3" t="s">
        <v>73</v>
      </c>
      <c r="D23" s="3">
        <v>45718</v>
      </c>
      <c r="E23" s="2" t="s">
        <v>74</v>
      </c>
      <c r="F23" s="2" t="s">
        <v>323</v>
      </c>
      <c r="G23" s="2" t="s">
        <v>75</v>
      </c>
      <c r="H23" s="11">
        <v>105</v>
      </c>
      <c r="I23" s="11">
        <v>75</v>
      </c>
      <c r="J23" s="11">
        <v>37</v>
      </c>
      <c r="K23" s="11">
        <v>66</v>
      </c>
      <c r="L23" s="12">
        <v>0.56059999999999999</v>
      </c>
      <c r="M23" s="11">
        <v>24</v>
      </c>
      <c r="N23" s="11">
        <v>39</v>
      </c>
      <c r="O23" s="12">
        <v>0.61539999999999995</v>
      </c>
      <c r="P23" s="11">
        <v>13</v>
      </c>
      <c r="Q23" s="11">
        <v>27</v>
      </c>
      <c r="R23" s="12">
        <v>0.48149999999999998</v>
      </c>
      <c r="S23" s="11">
        <v>18</v>
      </c>
      <c r="T23" s="11">
        <v>22</v>
      </c>
      <c r="U23" s="12">
        <v>0.81820000000000004</v>
      </c>
      <c r="V23" s="11">
        <v>9</v>
      </c>
      <c r="W23" s="11">
        <v>25</v>
      </c>
      <c r="X23" s="11">
        <v>34</v>
      </c>
      <c r="Y23" s="11">
        <v>21</v>
      </c>
      <c r="Z23" s="11">
        <v>7</v>
      </c>
      <c r="AA23" s="11">
        <v>2</v>
      </c>
      <c r="AB23" s="11">
        <v>10</v>
      </c>
      <c r="AC23" s="11">
        <v>20</v>
      </c>
      <c r="AD23" s="11">
        <v>26</v>
      </c>
      <c r="AE23" s="11">
        <v>51</v>
      </c>
      <c r="AF23" s="12">
        <v>0.50980000000000003</v>
      </c>
      <c r="AG23" s="11">
        <v>17</v>
      </c>
      <c r="AH23" s="11">
        <v>32</v>
      </c>
      <c r="AI23" s="12">
        <v>0.53129999999999999</v>
      </c>
      <c r="AJ23" s="11">
        <v>9</v>
      </c>
      <c r="AK23" s="11">
        <v>19</v>
      </c>
      <c r="AL23" s="12">
        <v>0.47370000000000001</v>
      </c>
      <c r="AM23" s="11">
        <v>14</v>
      </c>
      <c r="AN23" s="11">
        <v>21</v>
      </c>
      <c r="AO23" s="12">
        <v>0.66669999999999996</v>
      </c>
      <c r="AP23" s="11">
        <v>3</v>
      </c>
      <c r="AQ23" s="11">
        <v>23</v>
      </c>
      <c r="AR23" s="11">
        <v>26</v>
      </c>
      <c r="AS23" s="11">
        <v>21</v>
      </c>
      <c r="AT23" s="11">
        <v>5</v>
      </c>
      <c r="AU23" s="11">
        <v>2</v>
      </c>
      <c r="AV23" s="11">
        <v>18</v>
      </c>
      <c r="AW23" s="11">
        <v>19</v>
      </c>
      <c r="AX23" s="12">
        <v>0.69369999999999998</v>
      </c>
      <c r="AY23" s="12">
        <v>0.65910000000000002</v>
      </c>
      <c r="AZ23" s="12">
        <v>0.28129999999999999</v>
      </c>
      <c r="BA23" s="12">
        <v>0.89290000000000003</v>
      </c>
      <c r="BB23" s="12">
        <v>0.56669999999999998</v>
      </c>
      <c r="BC23" s="4">
        <v>76.585999999999999</v>
      </c>
      <c r="BD23" s="12">
        <v>0.56759999999999999</v>
      </c>
      <c r="BE23" s="12">
        <v>0.2727</v>
      </c>
      <c r="BF23" s="12">
        <v>0.1167</v>
      </c>
      <c r="BG23" s="4">
        <v>139.19999999999999</v>
      </c>
      <c r="BH23" s="4">
        <v>99.4</v>
      </c>
      <c r="BI23" s="4">
        <v>75.4495</v>
      </c>
      <c r="BJ23" s="12">
        <v>0.62250000000000005</v>
      </c>
      <c r="BK23" s="12">
        <v>0.59799999999999998</v>
      </c>
      <c r="BL23" s="12">
        <v>0.1071</v>
      </c>
      <c r="BM23" s="12">
        <v>0.71879999999999999</v>
      </c>
      <c r="BN23" s="12">
        <v>0.43330000000000002</v>
      </c>
      <c r="BO23" s="4">
        <v>74.313000000000002</v>
      </c>
      <c r="BP23" s="12">
        <v>0.80769999999999997</v>
      </c>
      <c r="BQ23" s="12">
        <v>0.27450000000000002</v>
      </c>
      <c r="BR23" s="12">
        <v>0.2301</v>
      </c>
      <c r="BS23" s="4">
        <v>99.4</v>
      </c>
      <c r="BT23" s="4">
        <v>139.19999999999999</v>
      </c>
      <c r="BU23" s="11">
        <v>27</v>
      </c>
      <c r="BV23" s="11">
        <v>31</v>
      </c>
      <c r="BW23" s="11">
        <v>27</v>
      </c>
      <c r="BX23" s="11">
        <v>20</v>
      </c>
      <c r="BY23" s="11">
        <v>14</v>
      </c>
      <c r="BZ23" s="11">
        <v>18</v>
      </c>
      <c r="CA23" s="11">
        <v>23</v>
      </c>
      <c r="CB23" s="11">
        <v>20</v>
      </c>
      <c r="CC23" s="11">
        <v>58</v>
      </c>
      <c r="CD23" s="11">
        <v>47</v>
      </c>
      <c r="CE23" s="11">
        <v>32</v>
      </c>
      <c r="CF23" s="11">
        <v>43</v>
      </c>
      <c r="CG23" s="4">
        <v>1.06</v>
      </c>
      <c r="CH23" s="13">
        <v>10.45</v>
      </c>
      <c r="CI23" s="4">
        <v>5.5</v>
      </c>
      <c r="CJ23" s="4">
        <v>-5.5</v>
      </c>
      <c r="CK23" s="4">
        <v>163.5</v>
      </c>
      <c r="CL23" s="2" t="s">
        <v>513</v>
      </c>
      <c r="CM23" s="4" t="e">
        <f>VLOOKUP(lyon[[#This Row],[Away_team]],all[[Full name]:[Abbr]],3,FALSE)</f>
        <v>#N/A</v>
      </c>
      <c r="CN23" s="4">
        <f>IF(OR(lyon[[#This Row],[Result]]="w",lyon[[#This Row],[Result]]="dw"),lyon[[#This Row],[win]]-1,-1)</f>
        <v>6.0000000000000053E-2</v>
      </c>
      <c r="CO23" s="4">
        <f>IF(OR(lyon[[#This Row],[Result]]="L",lyon[[#This Row],[Result]]="dl"),lyon[[#This Row],[lose]]-1,-1)</f>
        <v>-1</v>
      </c>
      <c r="CP23" s="4">
        <f>IF(OR((lyon[[#This Row],[Home_scored]]+lyon[[#This Row],[Away_scored]])&gt;lyon[[#This Row],[total]],OR(lyon[[#This Row],[Result]]="dw",lyon[[#This Row],[Result]]="dl")),1,0)</f>
        <v>1</v>
      </c>
      <c r="CQ23" s="4">
        <f>ABS((lyon[[#This Row],[Home_scored]]+lyon[[#This Row],[Away_scored]])-lyon[[#This Row],[total]])+0.5</f>
        <v>17</v>
      </c>
    </row>
    <row r="24" spans="1:95" x14ac:dyDescent="0.25">
      <c r="A24" s="2" t="s">
        <v>349</v>
      </c>
      <c r="B24" s="2" t="s">
        <v>327</v>
      </c>
      <c r="C24" s="3" t="s">
        <v>73</v>
      </c>
      <c r="D24" s="3">
        <v>45725</v>
      </c>
      <c r="E24" s="2" t="s">
        <v>140</v>
      </c>
      <c r="F24" s="2" t="s">
        <v>336</v>
      </c>
      <c r="G24" s="2" t="s">
        <v>75</v>
      </c>
      <c r="H24" s="11">
        <v>88</v>
      </c>
      <c r="I24" s="11">
        <v>74</v>
      </c>
      <c r="J24" s="11">
        <v>32</v>
      </c>
      <c r="K24" s="11">
        <v>63</v>
      </c>
      <c r="L24" s="12">
        <v>0.50790000000000002</v>
      </c>
      <c r="M24" s="11">
        <v>22</v>
      </c>
      <c r="N24" s="11">
        <v>35</v>
      </c>
      <c r="O24" s="12">
        <v>0.62860000000000005</v>
      </c>
      <c r="P24" s="11">
        <v>10</v>
      </c>
      <c r="Q24" s="11">
        <v>28</v>
      </c>
      <c r="R24" s="12">
        <v>0.35709999999999997</v>
      </c>
      <c r="S24" s="11">
        <v>14</v>
      </c>
      <c r="T24" s="11">
        <v>22</v>
      </c>
      <c r="U24" s="12">
        <v>0.63639999999999997</v>
      </c>
      <c r="V24" s="11">
        <v>11</v>
      </c>
      <c r="W24" s="11">
        <v>24</v>
      </c>
      <c r="X24" s="11">
        <v>35</v>
      </c>
      <c r="Y24" s="11">
        <v>20</v>
      </c>
      <c r="Z24" s="11">
        <v>6</v>
      </c>
      <c r="AA24" s="11">
        <v>2</v>
      </c>
      <c r="AB24" s="11">
        <v>11</v>
      </c>
      <c r="AC24" s="11">
        <v>28</v>
      </c>
      <c r="AD24" s="11">
        <v>26</v>
      </c>
      <c r="AE24" s="11">
        <v>53</v>
      </c>
      <c r="AF24" s="12">
        <v>0.49059999999999998</v>
      </c>
      <c r="AG24" s="11">
        <v>22</v>
      </c>
      <c r="AH24" s="11">
        <v>34</v>
      </c>
      <c r="AI24" s="12">
        <v>0.64710000000000001</v>
      </c>
      <c r="AJ24" s="11">
        <v>4</v>
      </c>
      <c r="AK24" s="11">
        <v>19</v>
      </c>
      <c r="AL24" s="12">
        <v>0.21049999999999999</v>
      </c>
      <c r="AM24" s="11">
        <v>18</v>
      </c>
      <c r="AN24" s="11">
        <v>24</v>
      </c>
      <c r="AO24" s="12">
        <v>0.75</v>
      </c>
      <c r="AP24" s="11">
        <v>6</v>
      </c>
      <c r="AQ24" s="11">
        <v>20</v>
      </c>
      <c r="AR24" s="11">
        <v>26</v>
      </c>
      <c r="AS24" s="11">
        <v>23</v>
      </c>
      <c r="AT24" s="11">
        <v>4</v>
      </c>
      <c r="AU24" s="11">
        <v>1</v>
      </c>
      <c r="AV24" s="11">
        <v>11</v>
      </c>
      <c r="AW24" s="11">
        <v>24</v>
      </c>
      <c r="AX24" s="12">
        <v>0.60540000000000005</v>
      </c>
      <c r="AY24" s="12">
        <v>0.58730000000000004</v>
      </c>
      <c r="AZ24" s="12">
        <v>0.3548</v>
      </c>
      <c r="BA24" s="12">
        <v>0.8</v>
      </c>
      <c r="BB24" s="12">
        <v>0.57379999999999998</v>
      </c>
      <c r="BC24" s="4">
        <v>72.375</v>
      </c>
      <c r="BD24" s="12">
        <v>0.625</v>
      </c>
      <c r="BE24" s="12">
        <v>0.22220000000000001</v>
      </c>
      <c r="BF24" s="12">
        <v>0.13150000000000001</v>
      </c>
      <c r="BG24" s="4">
        <v>126.3</v>
      </c>
      <c r="BH24" s="4">
        <v>106.2</v>
      </c>
      <c r="BI24" s="4">
        <v>69.653999999999996</v>
      </c>
      <c r="BJ24" s="12">
        <v>0.58209999999999995</v>
      </c>
      <c r="BK24" s="12">
        <v>0.52829999999999999</v>
      </c>
      <c r="BL24" s="12">
        <v>0.2</v>
      </c>
      <c r="BM24" s="12">
        <v>0.6452</v>
      </c>
      <c r="BN24" s="12">
        <v>0.42620000000000002</v>
      </c>
      <c r="BO24" s="4">
        <v>66.933000000000007</v>
      </c>
      <c r="BP24" s="12">
        <v>0.88460000000000005</v>
      </c>
      <c r="BQ24" s="12">
        <v>0.33960000000000001</v>
      </c>
      <c r="BR24" s="12">
        <v>0.14749999999999999</v>
      </c>
      <c r="BS24" s="4">
        <v>106.2</v>
      </c>
      <c r="BT24" s="4">
        <v>126.3</v>
      </c>
      <c r="BU24" s="11">
        <v>28</v>
      </c>
      <c r="BV24" s="11">
        <v>16</v>
      </c>
      <c r="BW24" s="11">
        <v>23</v>
      </c>
      <c r="BX24" s="11">
        <v>21</v>
      </c>
      <c r="BY24" s="11">
        <v>20</v>
      </c>
      <c r="BZ24" s="11">
        <v>20</v>
      </c>
      <c r="CA24" s="11">
        <v>20</v>
      </c>
      <c r="CB24" s="11">
        <v>14</v>
      </c>
      <c r="CC24" s="11">
        <v>44</v>
      </c>
      <c r="CD24" s="11">
        <v>44</v>
      </c>
      <c r="CE24" s="11">
        <v>40</v>
      </c>
      <c r="CF24" s="11">
        <v>34</v>
      </c>
      <c r="CG24" s="4">
        <v>1.45</v>
      </c>
      <c r="CH24" s="13">
        <v>2.8</v>
      </c>
      <c r="CI24" s="4">
        <v>-5.5</v>
      </c>
      <c r="CJ24" s="4">
        <v>5.5</v>
      </c>
      <c r="CK24" s="4">
        <v>170.5</v>
      </c>
      <c r="CL24" s="2" t="s">
        <v>521</v>
      </c>
      <c r="CM24" s="4" t="str">
        <f>VLOOKUP(lyon[[#This Row],[Away_team]],all[[Full name]:[Abbr]],3,FALSE)</f>
        <v>NAN</v>
      </c>
      <c r="CN24" s="4">
        <f>IF(OR(lyon[[#This Row],[Result]]="w",lyon[[#This Row],[Result]]="dw"),lyon[[#This Row],[win]]-1,-1)</f>
        <v>0.44999999999999996</v>
      </c>
      <c r="CO24" s="4">
        <f>IF(OR(lyon[[#This Row],[Result]]="L",lyon[[#This Row],[Result]]="dl"),lyon[[#This Row],[lose]]-1,-1)</f>
        <v>-1</v>
      </c>
      <c r="CP24" s="4">
        <f>IF(OR((lyon[[#This Row],[Home_scored]]+lyon[[#This Row],[Away_scored]])&gt;lyon[[#This Row],[total]],OR(lyon[[#This Row],[Result]]="dw",lyon[[#This Row],[Result]]="dl")),1,0)</f>
        <v>0</v>
      </c>
      <c r="CQ24" s="4">
        <f>ABS((lyon[[#This Row],[Home_scored]]+lyon[[#This Row],[Away_scored]])-lyon[[#This Row],[total]])+0.5</f>
        <v>9</v>
      </c>
    </row>
    <row r="25" spans="1:95" x14ac:dyDescent="0.25">
      <c r="A25" s="2" t="s">
        <v>349</v>
      </c>
      <c r="B25" s="2" t="s">
        <v>327</v>
      </c>
      <c r="C25" s="3" t="s">
        <v>73</v>
      </c>
      <c r="D25" s="3">
        <v>45739</v>
      </c>
      <c r="E25" s="2" t="s">
        <v>140</v>
      </c>
      <c r="F25" s="2" t="s">
        <v>330</v>
      </c>
      <c r="G25" s="2" t="s">
        <v>75</v>
      </c>
      <c r="H25" s="11">
        <v>94</v>
      </c>
      <c r="I25" s="11">
        <v>86</v>
      </c>
      <c r="J25" s="11">
        <v>43</v>
      </c>
      <c r="K25" s="11">
        <v>57</v>
      </c>
      <c r="L25" s="12">
        <v>0.75439999999999996</v>
      </c>
      <c r="M25" s="11">
        <v>17</v>
      </c>
      <c r="N25" s="11">
        <v>29</v>
      </c>
      <c r="O25" s="12">
        <v>0.58620000000000005</v>
      </c>
      <c r="P25" s="11">
        <v>14</v>
      </c>
      <c r="Q25" s="11">
        <v>28</v>
      </c>
      <c r="R25" s="12">
        <v>0.5</v>
      </c>
      <c r="S25" s="11">
        <v>18</v>
      </c>
      <c r="T25" s="11">
        <v>24</v>
      </c>
      <c r="U25" s="12">
        <v>0.75</v>
      </c>
      <c r="V25" s="11">
        <v>10</v>
      </c>
      <c r="W25" s="11">
        <v>17</v>
      </c>
      <c r="X25" s="11">
        <v>27</v>
      </c>
      <c r="Y25" s="11">
        <v>27</v>
      </c>
      <c r="Z25" s="11">
        <v>20</v>
      </c>
      <c r="AA25" s="11">
        <v>1</v>
      </c>
      <c r="AB25" s="11">
        <v>20</v>
      </c>
      <c r="AC25" s="11">
        <v>23</v>
      </c>
      <c r="AD25" s="11">
        <v>35</v>
      </c>
      <c r="AE25" s="11">
        <v>68</v>
      </c>
      <c r="AF25" s="12">
        <v>0.51470000000000005</v>
      </c>
      <c r="AG25" s="11">
        <v>31</v>
      </c>
      <c r="AH25" s="11">
        <v>46</v>
      </c>
      <c r="AI25" s="12">
        <v>0.67390000000000005</v>
      </c>
      <c r="AJ25" s="11">
        <v>4</v>
      </c>
      <c r="AK25" s="11">
        <v>22</v>
      </c>
      <c r="AL25" s="12">
        <v>0.18179999999999999</v>
      </c>
      <c r="AM25" s="11">
        <v>12</v>
      </c>
      <c r="AN25" s="11">
        <v>16</v>
      </c>
      <c r="AO25" s="12">
        <v>0.75</v>
      </c>
      <c r="AP25" s="11">
        <v>16</v>
      </c>
      <c r="AQ25" s="11">
        <v>16</v>
      </c>
      <c r="AR25" s="11">
        <v>32</v>
      </c>
      <c r="AS25" s="11">
        <v>33</v>
      </c>
      <c r="AT25" s="11">
        <v>23</v>
      </c>
      <c r="AU25" s="11">
        <v>3</v>
      </c>
      <c r="AV25" s="11">
        <v>17</v>
      </c>
      <c r="AW25" s="11">
        <v>25</v>
      </c>
      <c r="AX25" s="12">
        <v>0.69569999999999999</v>
      </c>
      <c r="AY25" s="12">
        <v>0.87719999999999998</v>
      </c>
      <c r="AZ25" s="12">
        <v>0.3846</v>
      </c>
      <c r="BA25" s="12">
        <v>0.51519999999999999</v>
      </c>
      <c r="BB25" s="12">
        <v>0.45760000000000001</v>
      </c>
      <c r="BC25" s="4">
        <v>81.052000000000007</v>
      </c>
      <c r="BD25" s="12">
        <v>0.62790000000000001</v>
      </c>
      <c r="BE25" s="12">
        <v>0.31580000000000003</v>
      </c>
      <c r="BF25" s="12">
        <v>0.22839999999999999</v>
      </c>
      <c r="BG25" s="4">
        <v>121.4</v>
      </c>
      <c r="BH25" s="4">
        <v>111.1</v>
      </c>
      <c r="BI25" s="4">
        <v>77.398499999999999</v>
      </c>
      <c r="BJ25" s="12">
        <v>0.57299999999999995</v>
      </c>
      <c r="BK25" s="12">
        <v>0.54410000000000003</v>
      </c>
      <c r="BL25" s="12">
        <v>0.48480000000000001</v>
      </c>
      <c r="BM25" s="12">
        <v>0.61539999999999995</v>
      </c>
      <c r="BN25" s="12">
        <v>0.54239999999999999</v>
      </c>
      <c r="BO25" s="4">
        <v>73.745000000000005</v>
      </c>
      <c r="BP25" s="12">
        <v>0.94289999999999996</v>
      </c>
      <c r="BQ25" s="12">
        <v>0.17649999999999999</v>
      </c>
      <c r="BR25" s="12">
        <v>0.1847</v>
      </c>
      <c r="BS25" s="4">
        <v>111.1</v>
      </c>
      <c r="BT25" s="4">
        <v>121.4</v>
      </c>
      <c r="BU25" s="11">
        <v>22</v>
      </c>
      <c r="BV25" s="11">
        <v>23</v>
      </c>
      <c r="BW25" s="11">
        <v>25</v>
      </c>
      <c r="BX25" s="11">
        <v>24</v>
      </c>
      <c r="BY25" s="11">
        <v>21</v>
      </c>
      <c r="BZ25" s="11">
        <v>21</v>
      </c>
      <c r="CA25" s="11">
        <v>22</v>
      </c>
      <c r="CB25" s="11">
        <v>22</v>
      </c>
      <c r="CC25" s="11">
        <v>45</v>
      </c>
      <c r="CD25" s="11">
        <v>49</v>
      </c>
      <c r="CE25" s="11">
        <v>42</v>
      </c>
      <c r="CF25" s="11">
        <v>44</v>
      </c>
      <c r="CG25" s="4">
        <v>3.7</v>
      </c>
      <c r="CH25" s="13">
        <v>1.29</v>
      </c>
      <c r="CI25" s="4">
        <v>-8</v>
      </c>
      <c r="CJ25" s="4">
        <v>-8</v>
      </c>
      <c r="CK25" s="4">
        <v>167.5</v>
      </c>
      <c r="CL25" s="2" t="s">
        <v>529</v>
      </c>
      <c r="CM25" s="4" t="str">
        <f>VLOOKUP(lyon[[#This Row],[Away_team]],all[[Full name]:[Abbr]],3,FALSE)</f>
        <v>MON</v>
      </c>
      <c r="CN25" s="4">
        <f>IF(OR(lyon[[#This Row],[Result]]="w",lyon[[#This Row],[Result]]="dw"),lyon[[#This Row],[win]]-1,-1)</f>
        <v>2.7</v>
      </c>
      <c r="CO25" s="4">
        <f>IF(OR(lyon[[#This Row],[Result]]="L",lyon[[#This Row],[Result]]="dl"),lyon[[#This Row],[lose]]-1,-1)</f>
        <v>-1</v>
      </c>
      <c r="CP25" s="4">
        <f>IF(OR((lyon[[#This Row],[Home_scored]]+lyon[[#This Row],[Away_scored]])&gt;lyon[[#This Row],[total]],OR(lyon[[#This Row],[Result]]="dw",lyon[[#This Row],[Result]]="dl")),1,0)</f>
        <v>1</v>
      </c>
      <c r="CQ25" s="4">
        <f>ABS((lyon[[#This Row],[Home_scored]]+lyon[[#This Row],[Away_scored]])-lyon[[#This Row],[total]])+0.5</f>
        <v>13</v>
      </c>
    </row>
    <row r="26" spans="1:95" x14ac:dyDescent="0.25">
      <c r="A26" s="2" t="s">
        <v>349</v>
      </c>
      <c r="B26" s="2" t="s">
        <v>327</v>
      </c>
      <c r="C26" s="3" t="s">
        <v>73</v>
      </c>
      <c r="D26" s="3">
        <v>45746</v>
      </c>
      <c r="E26" s="2" t="s">
        <v>74</v>
      </c>
      <c r="F26" s="2" t="s">
        <v>305</v>
      </c>
      <c r="G26" s="2" t="s">
        <v>75</v>
      </c>
      <c r="H26" s="11">
        <v>116</v>
      </c>
      <c r="I26" s="11">
        <v>95</v>
      </c>
      <c r="J26" s="11">
        <v>39</v>
      </c>
      <c r="K26" s="11">
        <v>65</v>
      </c>
      <c r="L26" s="12">
        <v>0.6</v>
      </c>
      <c r="M26" s="11">
        <v>16</v>
      </c>
      <c r="N26" s="11">
        <v>21</v>
      </c>
      <c r="O26" s="12">
        <v>0.76190000000000002</v>
      </c>
      <c r="P26" s="11">
        <v>23</v>
      </c>
      <c r="Q26" s="11">
        <v>44</v>
      </c>
      <c r="R26" s="12">
        <v>0.52270000000000005</v>
      </c>
      <c r="S26" s="11">
        <v>15</v>
      </c>
      <c r="T26" s="11">
        <v>20</v>
      </c>
      <c r="U26" s="12">
        <v>0.75</v>
      </c>
      <c r="V26" s="11">
        <v>9</v>
      </c>
      <c r="W26" s="11">
        <v>19</v>
      </c>
      <c r="X26" s="11">
        <v>28</v>
      </c>
      <c r="Y26" s="11">
        <v>30</v>
      </c>
      <c r="Z26" s="11">
        <v>9</v>
      </c>
      <c r="AA26" s="11">
        <v>0</v>
      </c>
      <c r="AB26" s="11">
        <v>11</v>
      </c>
      <c r="AC26" s="11">
        <v>23</v>
      </c>
      <c r="AD26" s="11">
        <v>33</v>
      </c>
      <c r="AE26" s="11">
        <v>59</v>
      </c>
      <c r="AF26" s="12">
        <v>0.55930000000000002</v>
      </c>
      <c r="AG26" s="11">
        <v>23</v>
      </c>
      <c r="AH26" s="11">
        <v>35</v>
      </c>
      <c r="AI26" s="12">
        <v>0.65710000000000002</v>
      </c>
      <c r="AJ26" s="11">
        <v>10</v>
      </c>
      <c r="AK26" s="11">
        <v>24</v>
      </c>
      <c r="AL26" s="12">
        <v>0.41670000000000001</v>
      </c>
      <c r="AM26" s="11">
        <v>19</v>
      </c>
      <c r="AN26" s="11">
        <v>24</v>
      </c>
      <c r="AO26" s="12">
        <v>0.79169999999999996</v>
      </c>
      <c r="AP26" s="11">
        <v>9</v>
      </c>
      <c r="AQ26" s="11">
        <v>18</v>
      </c>
      <c r="AR26" s="11">
        <v>27</v>
      </c>
      <c r="AS26" s="11">
        <v>27</v>
      </c>
      <c r="AT26" s="11">
        <v>2</v>
      </c>
      <c r="AU26" s="11">
        <v>0</v>
      </c>
      <c r="AV26" s="11">
        <v>15</v>
      </c>
      <c r="AW26" s="11">
        <v>18</v>
      </c>
      <c r="AX26" s="12">
        <v>0.78590000000000004</v>
      </c>
      <c r="AY26" s="12">
        <v>0.77690000000000003</v>
      </c>
      <c r="AZ26" s="12">
        <v>0.33329999999999999</v>
      </c>
      <c r="BA26" s="12">
        <v>0.67859999999999998</v>
      </c>
      <c r="BB26" s="12">
        <v>0.5091</v>
      </c>
      <c r="BC26" s="4">
        <v>75.058000000000007</v>
      </c>
      <c r="BD26" s="12">
        <v>0.76919999999999999</v>
      </c>
      <c r="BE26" s="12">
        <v>0.23080000000000001</v>
      </c>
      <c r="BF26" s="12">
        <v>0.12970000000000001</v>
      </c>
      <c r="BG26" s="4">
        <v>155.30000000000001</v>
      </c>
      <c r="BH26" s="4">
        <v>127.2</v>
      </c>
      <c r="BI26" s="4">
        <v>74.692499999999995</v>
      </c>
      <c r="BJ26" s="12">
        <v>0.68289999999999995</v>
      </c>
      <c r="BK26" s="12">
        <v>0.64410000000000001</v>
      </c>
      <c r="BL26" s="12">
        <v>0.32140000000000002</v>
      </c>
      <c r="BM26" s="12">
        <v>0.66669999999999996</v>
      </c>
      <c r="BN26" s="12">
        <v>0.4909</v>
      </c>
      <c r="BO26" s="4">
        <v>74.326999999999998</v>
      </c>
      <c r="BP26" s="12">
        <v>0.81820000000000004</v>
      </c>
      <c r="BQ26" s="12">
        <v>0.32200000000000001</v>
      </c>
      <c r="BR26" s="12">
        <v>0.1774</v>
      </c>
      <c r="BS26" s="4">
        <v>127.2</v>
      </c>
      <c r="BT26" s="4">
        <v>155.30000000000001</v>
      </c>
      <c r="BU26" s="11">
        <v>24</v>
      </c>
      <c r="BV26" s="11">
        <v>30</v>
      </c>
      <c r="BW26" s="11">
        <v>33</v>
      </c>
      <c r="BX26" s="11">
        <v>29</v>
      </c>
      <c r="BY26" s="11">
        <v>16</v>
      </c>
      <c r="BZ26" s="11">
        <v>21</v>
      </c>
      <c r="CA26" s="11">
        <v>34</v>
      </c>
      <c r="CB26" s="11">
        <v>24</v>
      </c>
      <c r="CC26" s="11">
        <v>54</v>
      </c>
      <c r="CD26" s="11">
        <v>62</v>
      </c>
      <c r="CE26" s="11">
        <v>37</v>
      </c>
      <c r="CF26" s="11">
        <v>58</v>
      </c>
      <c r="CG26" s="4">
        <v>1.22</v>
      </c>
      <c r="CH26" s="13">
        <v>4.5</v>
      </c>
      <c r="CI26" s="4">
        <v>-9.5</v>
      </c>
      <c r="CJ26" s="4">
        <v>9.5</v>
      </c>
      <c r="CK26" s="4">
        <v>165.5</v>
      </c>
      <c r="CL26" s="2" t="s">
        <v>537</v>
      </c>
      <c r="CM26" s="4" t="str">
        <f>VLOOKUP(lyon[[#This Row],[Away_team]],all[[Full name]:[Abbr]],3,FALSE)</f>
        <v>CHA</v>
      </c>
      <c r="CN26" s="4">
        <f>IF(OR(lyon[[#This Row],[Result]]="w",lyon[[#This Row],[Result]]="dw"),lyon[[#This Row],[win]]-1,-1)</f>
        <v>0.21999999999999997</v>
      </c>
      <c r="CO26" s="4">
        <f>IF(OR(lyon[[#This Row],[Result]]="L",lyon[[#This Row],[Result]]="dl"),lyon[[#This Row],[lose]]-1,-1)</f>
        <v>-1</v>
      </c>
      <c r="CP26" s="4">
        <f>IF(OR((lyon[[#This Row],[Home_scored]]+lyon[[#This Row],[Away_scored]])&gt;lyon[[#This Row],[total]],OR(lyon[[#This Row],[Result]]="dw",lyon[[#This Row],[Result]]="dl")),1,0)</f>
        <v>1</v>
      </c>
      <c r="CQ26" s="4">
        <f>ABS((lyon[[#This Row],[Home_scored]]+lyon[[#This Row],[Away_scored]])-lyon[[#This Row],[total]])+0.5</f>
        <v>46</v>
      </c>
    </row>
    <row r="27" spans="1:95" x14ac:dyDescent="0.25">
      <c r="A27" s="2" t="s">
        <v>349</v>
      </c>
      <c r="B27" s="2" t="s">
        <v>327</v>
      </c>
      <c r="C27" s="3" t="s">
        <v>73</v>
      </c>
      <c r="D27" s="3">
        <v>45753</v>
      </c>
      <c r="E27" s="2" t="s">
        <v>74</v>
      </c>
      <c r="F27" s="2" t="s">
        <v>342</v>
      </c>
      <c r="G27" s="2" t="s">
        <v>75</v>
      </c>
      <c r="H27" s="11">
        <v>81</v>
      </c>
      <c r="I27" s="11">
        <v>75</v>
      </c>
      <c r="J27" s="11">
        <v>21</v>
      </c>
      <c r="K27" s="11">
        <v>46</v>
      </c>
      <c r="L27" s="12">
        <v>0.45650000000000002</v>
      </c>
      <c r="M27" s="11">
        <v>12</v>
      </c>
      <c r="N27" s="11">
        <v>18</v>
      </c>
      <c r="O27" s="12">
        <v>0.66669999999999996</v>
      </c>
      <c r="P27" s="11">
        <v>9</v>
      </c>
      <c r="Q27" s="11">
        <v>28</v>
      </c>
      <c r="R27" s="12">
        <v>0.32140000000000002</v>
      </c>
      <c r="S27" s="11">
        <v>30</v>
      </c>
      <c r="T27" s="11">
        <v>36</v>
      </c>
      <c r="U27" s="12">
        <v>0.83330000000000004</v>
      </c>
      <c r="V27" s="11">
        <v>6</v>
      </c>
      <c r="W27" s="11">
        <v>25</v>
      </c>
      <c r="X27" s="11">
        <v>31</v>
      </c>
      <c r="Y27" s="11">
        <v>16</v>
      </c>
      <c r="Z27" s="11">
        <v>9</v>
      </c>
      <c r="AA27" s="11">
        <v>0</v>
      </c>
      <c r="AB27" s="11">
        <v>22</v>
      </c>
      <c r="AC27" s="11">
        <v>20</v>
      </c>
      <c r="AD27" s="11">
        <v>22</v>
      </c>
      <c r="AE27" s="11">
        <v>55</v>
      </c>
      <c r="AF27" s="12">
        <v>0.4</v>
      </c>
      <c r="AG27" s="11">
        <v>12</v>
      </c>
      <c r="AH27" s="11">
        <v>28</v>
      </c>
      <c r="AI27" s="12">
        <v>0.42859999999999998</v>
      </c>
      <c r="AJ27" s="11">
        <v>10</v>
      </c>
      <c r="AK27" s="11">
        <v>27</v>
      </c>
      <c r="AL27" s="12">
        <v>0.37040000000000001</v>
      </c>
      <c r="AM27" s="11">
        <v>21</v>
      </c>
      <c r="AN27" s="11">
        <v>25</v>
      </c>
      <c r="AO27" s="12">
        <v>0.84</v>
      </c>
      <c r="AP27" s="11">
        <v>11</v>
      </c>
      <c r="AQ27" s="11">
        <v>20</v>
      </c>
      <c r="AR27" s="11">
        <v>31</v>
      </c>
      <c r="AS27" s="11">
        <v>16</v>
      </c>
      <c r="AT27" s="11">
        <v>10</v>
      </c>
      <c r="AU27" s="11">
        <v>2</v>
      </c>
      <c r="AV27" s="11">
        <v>22</v>
      </c>
      <c r="AW27" s="11">
        <v>32</v>
      </c>
      <c r="AX27" s="12">
        <v>0.65490000000000004</v>
      </c>
      <c r="AY27" s="12">
        <v>0.55430000000000001</v>
      </c>
      <c r="AZ27" s="12">
        <v>0.23080000000000001</v>
      </c>
      <c r="BA27" s="12">
        <v>0.69440000000000002</v>
      </c>
      <c r="BB27" s="12">
        <v>0.5</v>
      </c>
      <c r="BC27" s="4">
        <v>77.222999999999999</v>
      </c>
      <c r="BD27" s="12">
        <v>0.76190000000000002</v>
      </c>
      <c r="BE27" s="12">
        <v>0.6522</v>
      </c>
      <c r="BF27" s="12">
        <v>0.26240000000000002</v>
      </c>
      <c r="BG27" s="4">
        <v>106.8</v>
      </c>
      <c r="BH27" s="4">
        <v>98.9</v>
      </c>
      <c r="BI27" s="4">
        <v>75.846999999999994</v>
      </c>
      <c r="BJ27" s="12">
        <v>0.56820000000000004</v>
      </c>
      <c r="BK27" s="12">
        <v>0.4909</v>
      </c>
      <c r="BL27" s="12">
        <v>0.30559999999999998</v>
      </c>
      <c r="BM27" s="12">
        <v>0.76919999999999999</v>
      </c>
      <c r="BN27" s="12">
        <v>0.5</v>
      </c>
      <c r="BO27" s="4">
        <v>74.471000000000004</v>
      </c>
      <c r="BP27" s="12">
        <v>0.72729999999999995</v>
      </c>
      <c r="BQ27" s="12">
        <v>0.38179999999999997</v>
      </c>
      <c r="BR27" s="12">
        <v>0.25</v>
      </c>
      <c r="BS27" s="4">
        <v>98.9</v>
      </c>
      <c r="BT27" s="4">
        <v>106.8</v>
      </c>
      <c r="BU27" s="11">
        <v>27</v>
      </c>
      <c r="BV27" s="11">
        <v>12</v>
      </c>
      <c r="BW27" s="11">
        <v>15</v>
      </c>
      <c r="BX27" s="11">
        <v>27</v>
      </c>
      <c r="BY27" s="11">
        <v>20</v>
      </c>
      <c r="BZ27" s="11">
        <v>21</v>
      </c>
      <c r="CA27" s="11">
        <v>18</v>
      </c>
      <c r="CB27" s="11">
        <v>16</v>
      </c>
      <c r="CC27" s="11">
        <v>39</v>
      </c>
      <c r="CD27" s="11">
        <v>42</v>
      </c>
      <c r="CE27" s="11">
        <v>41</v>
      </c>
      <c r="CF27" s="11">
        <v>34</v>
      </c>
      <c r="CG27" s="4">
        <v>1.18</v>
      </c>
      <c r="CH27" s="13">
        <v>5</v>
      </c>
      <c r="CI27" s="4">
        <v>-10.5</v>
      </c>
      <c r="CJ27" s="4">
        <v>10.5</v>
      </c>
      <c r="CK27" s="4">
        <v>167.5</v>
      </c>
      <c r="CL27" s="2" t="s">
        <v>545</v>
      </c>
      <c r="CM27" s="4" t="str">
        <f>VLOOKUP(lyon[[#This Row],[Away_team]],all[[Full name]:[Abbr]],3,FALSE)</f>
        <v>SQU</v>
      </c>
      <c r="CN27" s="4">
        <f>IF(OR(lyon[[#This Row],[Result]]="w",lyon[[#This Row],[Result]]="dw"),lyon[[#This Row],[win]]-1,-1)</f>
        <v>0.17999999999999994</v>
      </c>
      <c r="CO27" s="4">
        <f>IF(OR(lyon[[#This Row],[Result]]="L",lyon[[#This Row],[Result]]="dl"),lyon[[#This Row],[lose]]-1,-1)</f>
        <v>-1</v>
      </c>
      <c r="CP27" s="4">
        <f>IF(OR((lyon[[#This Row],[Home_scored]]+lyon[[#This Row],[Away_scored]])&gt;lyon[[#This Row],[total]],OR(lyon[[#This Row],[Result]]="dw",lyon[[#This Row],[Result]]="dl")),1,0)</f>
        <v>0</v>
      </c>
      <c r="CQ27" s="4">
        <f>ABS((lyon[[#This Row],[Home_scored]]+lyon[[#This Row],[Away_scored]])-lyon[[#This Row],[total]])+0.5</f>
        <v>12</v>
      </c>
    </row>
    <row r="28" spans="1:95" x14ac:dyDescent="0.25">
      <c r="A28" s="2" t="s">
        <v>349</v>
      </c>
      <c r="B28" s="2" t="s">
        <v>327</v>
      </c>
      <c r="C28" s="3" t="s">
        <v>73</v>
      </c>
      <c r="D28" s="3">
        <v>45760</v>
      </c>
      <c r="E28" s="2" t="s">
        <v>140</v>
      </c>
      <c r="F28" s="2" t="s">
        <v>320</v>
      </c>
      <c r="G28" s="2" t="s">
        <v>75</v>
      </c>
      <c r="H28" s="11">
        <v>77</v>
      </c>
      <c r="I28" s="11">
        <v>74</v>
      </c>
      <c r="J28" s="11">
        <v>26</v>
      </c>
      <c r="K28" s="11">
        <v>52</v>
      </c>
      <c r="L28" s="12">
        <v>0.5</v>
      </c>
      <c r="M28" s="11">
        <v>18</v>
      </c>
      <c r="N28" s="11">
        <v>34</v>
      </c>
      <c r="O28" s="12">
        <v>0.52939999999999998</v>
      </c>
      <c r="P28" s="11">
        <v>8</v>
      </c>
      <c r="Q28" s="11">
        <v>18</v>
      </c>
      <c r="R28" s="12">
        <v>0.44440000000000002</v>
      </c>
      <c r="S28" s="11">
        <v>17</v>
      </c>
      <c r="T28" s="11">
        <v>25</v>
      </c>
      <c r="U28" s="12">
        <v>0.68</v>
      </c>
      <c r="V28" s="11">
        <v>7</v>
      </c>
      <c r="W28" s="11">
        <v>21</v>
      </c>
      <c r="X28" s="11">
        <v>28</v>
      </c>
      <c r="Y28" s="11">
        <v>20</v>
      </c>
      <c r="Z28" s="11">
        <v>13</v>
      </c>
      <c r="AA28" s="11">
        <v>2</v>
      </c>
      <c r="AB28" s="11">
        <v>12</v>
      </c>
      <c r="AC28" s="11">
        <v>20</v>
      </c>
      <c r="AD28" s="11">
        <v>22</v>
      </c>
      <c r="AE28" s="11">
        <v>50</v>
      </c>
      <c r="AF28" s="12">
        <v>0.44</v>
      </c>
      <c r="AG28" s="11">
        <v>15</v>
      </c>
      <c r="AH28" s="11">
        <v>26</v>
      </c>
      <c r="AI28" s="12">
        <v>0.57689999999999997</v>
      </c>
      <c r="AJ28" s="11">
        <v>7</v>
      </c>
      <c r="AK28" s="11">
        <v>24</v>
      </c>
      <c r="AL28" s="12">
        <v>0.29170000000000001</v>
      </c>
      <c r="AM28" s="11">
        <v>23</v>
      </c>
      <c r="AN28" s="11">
        <v>28</v>
      </c>
      <c r="AO28" s="12">
        <v>0.82140000000000002</v>
      </c>
      <c r="AP28" s="11">
        <v>10</v>
      </c>
      <c r="AQ28" s="11">
        <v>21</v>
      </c>
      <c r="AR28" s="11">
        <v>31</v>
      </c>
      <c r="AS28" s="11">
        <v>17</v>
      </c>
      <c r="AT28" s="11">
        <v>7</v>
      </c>
      <c r="AU28" s="11">
        <v>3</v>
      </c>
      <c r="AV28" s="11">
        <v>18</v>
      </c>
      <c r="AW28" s="11">
        <v>20</v>
      </c>
      <c r="AX28" s="12">
        <v>0.61109999999999998</v>
      </c>
      <c r="AY28" s="12">
        <v>0.57689999999999997</v>
      </c>
      <c r="AZ28" s="12">
        <v>0.25</v>
      </c>
      <c r="BA28" s="12">
        <v>0.6774</v>
      </c>
      <c r="BB28" s="12">
        <v>0.47460000000000002</v>
      </c>
      <c r="BC28" s="4">
        <v>67.045000000000002</v>
      </c>
      <c r="BD28" s="12">
        <v>0.76919999999999999</v>
      </c>
      <c r="BE28" s="12">
        <v>0.32690000000000002</v>
      </c>
      <c r="BF28" s="12">
        <v>0.16</v>
      </c>
      <c r="BG28" s="4">
        <v>112.8</v>
      </c>
      <c r="BH28" s="4">
        <v>108.4</v>
      </c>
      <c r="BI28" s="4">
        <v>68.290000000000006</v>
      </c>
      <c r="BJ28" s="12">
        <v>0.59370000000000001</v>
      </c>
      <c r="BK28" s="12">
        <v>0.51</v>
      </c>
      <c r="BL28" s="12">
        <v>0.3226</v>
      </c>
      <c r="BM28" s="12">
        <v>0.75</v>
      </c>
      <c r="BN28" s="12">
        <v>0.52539999999999998</v>
      </c>
      <c r="BO28" s="4">
        <v>69.534999999999997</v>
      </c>
      <c r="BP28" s="12">
        <v>0.77270000000000005</v>
      </c>
      <c r="BQ28" s="12">
        <v>0.46</v>
      </c>
      <c r="BR28" s="12">
        <v>0.22409999999999999</v>
      </c>
      <c r="BS28" s="4">
        <v>108.4</v>
      </c>
      <c r="BT28" s="4">
        <v>112.8</v>
      </c>
      <c r="BU28" s="11">
        <v>21</v>
      </c>
      <c r="BV28" s="11">
        <v>21</v>
      </c>
      <c r="BW28" s="11">
        <v>19</v>
      </c>
      <c r="BX28" s="11">
        <v>16</v>
      </c>
      <c r="BY28" s="11">
        <v>14</v>
      </c>
      <c r="BZ28" s="11">
        <v>21</v>
      </c>
      <c r="CA28" s="11">
        <v>18</v>
      </c>
      <c r="CB28" s="11">
        <v>21</v>
      </c>
      <c r="CC28" s="11">
        <v>42</v>
      </c>
      <c r="CD28" s="11">
        <v>35</v>
      </c>
      <c r="CE28" s="11">
        <v>35</v>
      </c>
      <c r="CF28" s="11">
        <v>39</v>
      </c>
      <c r="CG28" s="4">
        <v>1.22</v>
      </c>
      <c r="CH28" s="13">
        <v>4.5</v>
      </c>
      <c r="CI28" s="4">
        <v>-9.5</v>
      </c>
      <c r="CJ28" s="4">
        <v>9.5</v>
      </c>
      <c r="CK28" s="4">
        <v>163.5</v>
      </c>
      <c r="CL28" s="2" t="s">
        <v>553</v>
      </c>
      <c r="CM28" s="4" t="str">
        <f>VLOOKUP(lyon[[#This Row],[Away_team]],all[[Full name]:[Abbr]],3,FALSE)</f>
        <v>POR</v>
      </c>
      <c r="CN28" s="4">
        <f>IF(OR(lyon[[#This Row],[Result]]="w",lyon[[#This Row],[Result]]="dw"),lyon[[#This Row],[win]]-1,-1)</f>
        <v>0.21999999999999997</v>
      </c>
      <c r="CO28" s="4">
        <f>IF(OR(lyon[[#This Row],[Result]]="L",lyon[[#This Row],[Result]]="dl"),lyon[[#This Row],[lose]]-1,-1)</f>
        <v>-1</v>
      </c>
      <c r="CP28" s="4">
        <f>IF(OR((lyon[[#This Row],[Home_scored]]+lyon[[#This Row],[Away_scored]])&gt;lyon[[#This Row],[total]],OR(lyon[[#This Row],[Result]]="dw",lyon[[#This Row],[Result]]="dl")),1,0)</f>
        <v>0</v>
      </c>
      <c r="CQ28" s="4">
        <f>ABS((lyon[[#This Row],[Home_scored]]+lyon[[#This Row],[Away_scored]])-lyon[[#This Row],[total]])+0.5</f>
        <v>13</v>
      </c>
    </row>
    <row r="29" spans="1:95" x14ac:dyDescent="0.25">
      <c r="A29" s="2" t="s">
        <v>349</v>
      </c>
      <c r="B29" s="2" t="s">
        <v>327</v>
      </c>
      <c r="C29" s="3" t="s">
        <v>73</v>
      </c>
      <c r="D29" s="3">
        <v>45765</v>
      </c>
      <c r="E29" s="2" t="s">
        <v>74</v>
      </c>
      <c r="F29" s="2" t="s">
        <v>302</v>
      </c>
      <c r="G29" s="2" t="s">
        <v>75</v>
      </c>
      <c r="H29" s="11">
        <v>89</v>
      </c>
      <c r="I29" s="11">
        <v>80</v>
      </c>
      <c r="J29" s="11">
        <v>35</v>
      </c>
      <c r="K29" s="11">
        <v>63</v>
      </c>
      <c r="L29" s="12">
        <v>0.55559999999999998</v>
      </c>
      <c r="M29" s="11">
        <v>28</v>
      </c>
      <c r="N29" s="11">
        <v>39</v>
      </c>
      <c r="O29" s="12">
        <v>0.71789999999999998</v>
      </c>
      <c r="P29" s="11">
        <v>7</v>
      </c>
      <c r="Q29" s="11">
        <v>24</v>
      </c>
      <c r="R29" s="12">
        <v>0.29170000000000001</v>
      </c>
      <c r="S29" s="11">
        <v>12</v>
      </c>
      <c r="T29" s="11">
        <v>17</v>
      </c>
      <c r="U29" s="12">
        <v>0.70589999999999997</v>
      </c>
      <c r="V29" s="11">
        <v>14</v>
      </c>
      <c r="W29" s="11">
        <v>19</v>
      </c>
      <c r="X29" s="11">
        <v>33</v>
      </c>
      <c r="Y29" s="11">
        <v>15</v>
      </c>
      <c r="Z29" s="11">
        <v>5</v>
      </c>
      <c r="AA29" s="11">
        <v>2</v>
      </c>
      <c r="AB29" s="11">
        <v>12</v>
      </c>
      <c r="AC29" s="11">
        <v>24</v>
      </c>
      <c r="AD29" s="11">
        <v>26</v>
      </c>
      <c r="AE29" s="11">
        <v>56</v>
      </c>
      <c r="AF29" s="12">
        <v>0.46429999999999999</v>
      </c>
      <c r="AG29" s="11">
        <v>19</v>
      </c>
      <c r="AH29" s="11">
        <v>41</v>
      </c>
      <c r="AI29" s="12">
        <v>0.46339999999999998</v>
      </c>
      <c r="AJ29" s="11">
        <v>7</v>
      </c>
      <c r="AK29" s="11">
        <v>15</v>
      </c>
      <c r="AL29" s="12">
        <v>0.4667</v>
      </c>
      <c r="AM29" s="11">
        <v>21</v>
      </c>
      <c r="AN29" s="11">
        <v>25</v>
      </c>
      <c r="AO29" s="12">
        <v>0.84</v>
      </c>
      <c r="AP29" s="11">
        <v>14</v>
      </c>
      <c r="AQ29" s="11">
        <v>15</v>
      </c>
      <c r="AR29" s="11">
        <v>29</v>
      </c>
      <c r="AS29" s="11">
        <v>15</v>
      </c>
      <c r="AT29" s="11">
        <v>6</v>
      </c>
      <c r="AU29" s="11">
        <v>3</v>
      </c>
      <c r="AV29" s="11">
        <v>14</v>
      </c>
      <c r="AW29" s="11">
        <v>20</v>
      </c>
      <c r="AX29" s="12">
        <v>0.63139999999999996</v>
      </c>
      <c r="AY29" s="12">
        <v>0.61109999999999998</v>
      </c>
      <c r="AZ29" s="12">
        <v>0.48280000000000001</v>
      </c>
      <c r="BA29" s="12">
        <v>0.57579999999999998</v>
      </c>
      <c r="BB29" s="12">
        <v>0.5323</v>
      </c>
      <c r="BC29" s="4">
        <v>69.09</v>
      </c>
      <c r="BD29" s="12">
        <v>0.42859999999999998</v>
      </c>
      <c r="BE29" s="12">
        <v>0.1905</v>
      </c>
      <c r="BF29" s="12">
        <v>0.14549999999999999</v>
      </c>
      <c r="BG29" s="4">
        <v>133.19999999999999</v>
      </c>
      <c r="BH29" s="4">
        <v>119.8</v>
      </c>
      <c r="BI29" s="4">
        <v>66.796499999999995</v>
      </c>
      <c r="BJ29" s="12">
        <v>0.59699999999999998</v>
      </c>
      <c r="BK29" s="12">
        <v>0.52680000000000005</v>
      </c>
      <c r="BL29" s="12">
        <v>0.42420000000000002</v>
      </c>
      <c r="BM29" s="12">
        <v>0.51719999999999999</v>
      </c>
      <c r="BN29" s="12">
        <v>0.4677</v>
      </c>
      <c r="BO29" s="4">
        <v>64.503</v>
      </c>
      <c r="BP29" s="12">
        <v>0.57689999999999997</v>
      </c>
      <c r="BQ29" s="12">
        <v>0.375</v>
      </c>
      <c r="BR29" s="12">
        <v>0.17280000000000001</v>
      </c>
      <c r="BS29" s="4">
        <v>119.8</v>
      </c>
      <c r="BT29" s="4">
        <v>133.19999999999999</v>
      </c>
      <c r="BU29" s="11">
        <v>26</v>
      </c>
      <c r="BV29" s="11">
        <v>15</v>
      </c>
      <c r="BW29" s="11">
        <v>22</v>
      </c>
      <c r="BX29" s="11">
        <v>26</v>
      </c>
      <c r="BY29" s="11">
        <v>18</v>
      </c>
      <c r="BZ29" s="11">
        <v>32</v>
      </c>
      <c r="CA29" s="11">
        <v>14</v>
      </c>
      <c r="CB29" s="11">
        <v>16</v>
      </c>
      <c r="CC29" s="11">
        <v>41</v>
      </c>
      <c r="CD29" s="11">
        <v>48</v>
      </c>
      <c r="CE29" s="11">
        <v>50</v>
      </c>
      <c r="CF29" s="11">
        <v>30</v>
      </c>
      <c r="CG29" s="4">
        <v>1.26</v>
      </c>
      <c r="CH29" s="13">
        <v>4</v>
      </c>
      <c r="CI29" s="4">
        <v>-8.5</v>
      </c>
      <c r="CJ29" s="4">
        <v>8.5</v>
      </c>
      <c r="CK29" s="4">
        <v>169.5</v>
      </c>
      <c r="CL29" s="2" t="s">
        <v>554</v>
      </c>
      <c r="CM29" s="4" t="str">
        <f>VLOOKUP(lyon[[#This Row],[Away_team]],all[[Full name]:[Abbr]],3,FALSE)</f>
        <v>BUR</v>
      </c>
      <c r="CN29" s="4">
        <f>IF(OR(lyon[[#This Row],[Result]]="w",lyon[[#This Row],[Result]]="dw"),lyon[[#This Row],[win]]-1,-1)</f>
        <v>0.26</v>
      </c>
      <c r="CO29" s="4">
        <f>IF(OR(lyon[[#This Row],[Result]]="L",lyon[[#This Row],[Result]]="dl"),lyon[[#This Row],[lose]]-1,-1)</f>
        <v>-1</v>
      </c>
      <c r="CP29" s="4">
        <f>IF(OR((lyon[[#This Row],[Home_scored]]+lyon[[#This Row],[Away_scored]])&gt;lyon[[#This Row],[total]],OR(lyon[[#This Row],[Result]]="dw",lyon[[#This Row],[Result]]="dl")),1,0)</f>
        <v>0</v>
      </c>
      <c r="CQ29" s="4">
        <f>ABS((lyon[[#This Row],[Home_scored]]+lyon[[#This Row],[Away_scored]])-lyon[[#This Row],[total]])+0.5</f>
        <v>1</v>
      </c>
    </row>
    <row r="30" spans="1:95" x14ac:dyDescent="0.25">
      <c r="A30" s="2" t="s">
        <v>349</v>
      </c>
      <c r="B30" s="2" t="s">
        <v>327</v>
      </c>
      <c r="C30" s="3" t="s">
        <v>73</v>
      </c>
      <c r="D30" s="3">
        <v>45772</v>
      </c>
      <c r="E30" s="2" t="s">
        <v>74</v>
      </c>
      <c r="F30" s="2" t="s">
        <v>333</v>
      </c>
      <c r="G30" s="2" t="s">
        <v>75</v>
      </c>
      <c r="H30" s="11">
        <v>92</v>
      </c>
      <c r="I30" s="11">
        <v>82</v>
      </c>
      <c r="J30" s="11">
        <v>34</v>
      </c>
      <c r="K30" s="11">
        <v>70</v>
      </c>
      <c r="L30" s="12">
        <v>0.48570000000000002</v>
      </c>
      <c r="M30" s="11">
        <v>26</v>
      </c>
      <c r="N30" s="11">
        <v>37</v>
      </c>
      <c r="O30" s="12">
        <v>0.70269999999999999</v>
      </c>
      <c r="P30" s="11">
        <v>8</v>
      </c>
      <c r="Q30" s="11">
        <v>33</v>
      </c>
      <c r="R30" s="12">
        <v>0.2424</v>
      </c>
      <c r="S30" s="11">
        <v>16</v>
      </c>
      <c r="T30" s="11">
        <v>25</v>
      </c>
      <c r="U30" s="12">
        <v>0.64</v>
      </c>
      <c r="V30" s="11">
        <v>18</v>
      </c>
      <c r="W30" s="11">
        <v>25</v>
      </c>
      <c r="X30" s="11">
        <v>43</v>
      </c>
      <c r="Y30" s="11">
        <v>26</v>
      </c>
      <c r="Z30" s="11">
        <v>6</v>
      </c>
      <c r="AA30" s="11">
        <v>3</v>
      </c>
      <c r="AB30" s="11">
        <v>12</v>
      </c>
      <c r="AC30" s="11">
        <v>21</v>
      </c>
      <c r="AD30" s="11">
        <v>27</v>
      </c>
      <c r="AE30" s="11">
        <v>61</v>
      </c>
      <c r="AF30" s="12">
        <v>0.44259999999999999</v>
      </c>
      <c r="AG30" s="11">
        <v>19</v>
      </c>
      <c r="AH30" s="11">
        <v>39</v>
      </c>
      <c r="AI30" s="12">
        <v>0.48720000000000002</v>
      </c>
      <c r="AJ30" s="11">
        <v>8</v>
      </c>
      <c r="AK30" s="11">
        <v>22</v>
      </c>
      <c r="AL30" s="12">
        <v>0.36359999999999998</v>
      </c>
      <c r="AM30" s="11">
        <v>20</v>
      </c>
      <c r="AN30" s="11">
        <v>27</v>
      </c>
      <c r="AO30" s="12">
        <v>0.74070000000000003</v>
      </c>
      <c r="AP30" s="11">
        <v>10</v>
      </c>
      <c r="AQ30" s="11">
        <v>21</v>
      </c>
      <c r="AR30" s="11">
        <v>31</v>
      </c>
      <c r="AS30" s="11">
        <v>21</v>
      </c>
      <c r="AT30" s="11">
        <v>3</v>
      </c>
      <c r="AU30" s="11">
        <v>1</v>
      </c>
      <c r="AV30" s="11">
        <v>12</v>
      </c>
      <c r="AW30" s="11">
        <v>23</v>
      </c>
      <c r="AX30" s="12">
        <v>0.56789999999999996</v>
      </c>
      <c r="AY30" s="12">
        <v>0.54290000000000005</v>
      </c>
      <c r="AZ30" s="12">
        <v>0.46150000000000002</v>
      </c>
      <c r="BA30" s="12">
        <v>0.71430000000000005</v>
      </c>
      <c r="BB30" s="12">
        <v>0.58109999999999995</v>
      </c>
      <c r="BC30" s="4">
        <v>75.875</v>
      </c>
      <c r="BD30" s="12">
        <v>0.76470000000000005</v>
      </c>
      <c r="BE30" s="12">
        <v>0.2286</v>
      </c>
      <c r="BF30" s="12">
        <v>0.129</v>
      </c>
      <c r="BG30" s="4">
        <v>124.4</v>
      </c>
      <c r="BH30" s="4">
        <v>110.9</v>
      </c>
      <c r="BI30" s="4">
        <v>73.97</v>
      </c>
      <c r="BJ30" s="12">
        <v>0.56259999999999999</v>
      </c>
      <c r="BK30" s="12">
        <v>0.50819999999999999</v>
      </c>
      <c r="BL30" s="12">
        <v>0.28570000000000001</v>
      </c>
      <c r="BM30" s="12">
        <v>0.53849999999999998</v>
      </c>
      <c r="BN30" s="12">
        <v>0.41889999999999999</v>
      </c>
      <c r="BO30" s="4">
        <v>72.064999999999998</v>
      </c>
      <c r="BP30" s="12">
        <v>0.77780000000000005</v>
      </c>
      <c r="BQ30" s="12">
        <v>0.32790000000000002</v>
      </c>
      <c r="BR30" s="12">
        <v>0.1414</v>
      </c>
      <c r="BS30" s="4">
        <v>110.9</v>
      </c>
      <c r="BT30" s="4">
        <v>124.4</v>
      </c>
      <c r="BU30" s="11">
        <v>25</v>
      </c>
      <c r="BV30" s="11">
        <v>31</v>
      </c>
      <c r="BW30" s="11">
        <v>19</v>
      </c>
      <c r="BX30" s="11">
        <v>17</v>
      </c>
      <c r="BY30" s="11">
        <v>13</v>
      </c>
      <c r="BZ30" s="11">
        <v>25</v>
      </c>
      <c r="CA30" s="11">
        <v>19</v>
      </c>
      <c r="CB30" s="11">
        <v>25</v>
      </c>
      <c r="CC30" s="11">
        <v>56</v>
      </c>
      <c r="CD30" s="11">
        <v>36</v>
      </c>
      <c r="CE30" s="11">
        <v>38</v>
      </c>
      <c r="CF30" s="11">
        <v>44</v>
      </c>
      <c r="CG30" s="4">
        <v>1.1299999999999999</v>
      </c>
      <c r="CH30" s="13">
        <v>6.25</v>
      </c>
      <c r="CI30" s="4">
        <v>-12</v>
      </c>
      <c r="CJ30" s="4">
        <v>-12</v>
      </c>
      <c r="CK30" s="4">
        <v>172.5</v>
      </c>
      <c r="CL30" s="2" t="s">
        <v>562</v>
      </c>
      <c r="CM30" s="4" t="str">
        <f>VLOOKUP(lyon[[#This Row],[Away_team]],all[[Full name]:[Abbr]],3,FALSE)</f>
        <v>NCY</v>
      </c>
      <c r="CN30" s="4">
        <f>IF(OR(lyon[[#This Row],[Result]]="w",lyon[[#This Row],[Result]]="dw"),lyon[[#This Row],[win]]-1,-1)</f>
        <v>0.12999999999999989</v>
      </c>
      <c r="CO30" s="4">
        <f>IF(OR(lyon[[#This Row],[Result]]="L",lyon[[#This Row],[Result]]="dl"),lyon[[#This Row],[lose]]-1,-1)</f>
        <v>-1</v>
      </c>
      <c r="CP30" s="4">
        <f>IF(OR((lyon[[#This Row],[Home_scored]]+lyon[[#This Row],[Away_scored]])&gt;lyon[[#This Row],[total]],OR(lyon[[#This Row],[Result]]="dw",lyon[[#This Row],[Result]]="dl")),1,0)</f>
        <v>1</v>
      </c>
      <c r="CQ30" s="4">
        <f>ABS((lyon[[#This Row],[Home_scored]]+lyon[[#This Row],[Away_scored]])-lyon[[#This Row],[total]])+0.5</f>
        <v>2</v>
      </c>
    </row>
    <row r="31" spans="1:95" x14ac:dyDescent="0.25">
      <c r="A31" s="2" t="s">
        <v>349</v>
      </c>
      <c r="B31" s="2" t="s">
        <v>327</v>
      </c>
      <c r="C31" s="3" t="s">
        <v>73</v>
      </c>
      <c r="D31" s="3">
        <v>45781</v>
      </c>
      <c r="E31" s="2" t="s">
        <v>140</v>
      </c>
      <c r="F31" s="2" t="s">
        <v>308</v>
      </c>
      <c r="G31" s="2" t="s">
        <v>75</v>
      </c>
      <c r="H31" s="11">
        <v>94</v>
      </c>
      <c r="I31" s="11">
        <v>75</v>
      </c>
      <c r="J31" s="11">
        <v>32</v>
      </c>
      <c r="K31" s="11">
        <v>70</v>
      </c>
      <c r="L31" s="12">
        <v>0.45710000000000001</v>
      </c>
      <c r="M31" s="11">
        <v>20</v>
      </c>
      <c r="N31" s="11">
        <v>37</v>
      </c>
      <c r="O31" s="12">
        <v>0.54049999999999998</v>
      </c>
      <c r="P31" s="11">
        <v>12</v>
      </c>
      <c r="Q31" s="11">
        <v>33</v>
      </c>
      <c r="R31" s="12">
        <v>0.36359999999999998</v>
      </c>
      <c r="S31" s="11">
        <v>18</v>
      </c>
      <c r="T31" s="11">
        <v>24</v>
      </c>
      <c r="U31" s="12">
        <v>0.75</v>
      </c>
      <c r="V31" s="11">
        <v>16</v>
      </c>
      <c r="W31" s="11">
        <v>25</v>
      </c>
      <c r="X31" s="11">
        <v>41</v>
      </c>
      <c r="Y31" s="11">
        <v>22</v>
      </c>
      <c r="Z31" s="11">
        <v>7</v>
      </c>
      <c r="AA31" s="11">
        <v>1</v>
      </c>
      <c r="AB31" s="11">
        <v>10</v>
      </c>
      <c r="AC31" s="11">
        <v>24</v>
      </c>
      <c r="AD31" s="11">
        <v>27</v>
      </c>
      <c r="AE31" s="11">
        <v>63</v>
      </c>
      <c r="AF31" s="12">
        <v>0.42859999999999998</v>
      </c>
      <c r="AG31" s="11">
        <v>20</v>
      </c>
      <c r="AH31" s="11">
        <v>39</v>
      </c>
      <c r="AI31" s="12">
        <v>0.51280000000000003</v>
      </c>
      <c r="AJ31" s="11">
        <v>7</v>
      </c>
      <c r="AK31" s="11">
        <v>24</v>
      </c>
      <c r="AL31" s="12">
        <v>0.29170000000000001</v>
      </c>
      <c r="AM31" s="11">
        <v>14</v>
      </c>
      <c r="AN31" s="11">
        <v>19</v>
      </c>
      <c r="AO31" s="12">
        <v>0.73680000000000001</v>
      </c>
      <c r="AP31" s="11">
        <v>12</v>
      </c>
      <c r="AQ31" s="11">
        <v>23</v>
      </c>
      <c r="AR31" s="11">
        <v>35</v>
      </c>
      <c r="AS31" s="11">
        <v>16</v>
      </c>
      <c r="AT31" s="11">
        <v>1</v>
      </c>
      <c r="AU31" s="11">
        <v>1</v>
      </c>
      <c r="AV31" s="11">
        <v>14</v>
      </c>
      <c r="AW31" s="11">
        <v>23</v>
      </c>
      <c r="AX31" s="12">
        <v>0.58340000000000003</v>
      </c>
      <c r="AY31" s="12">
        <v>0.54290000000000005</v>
      </c>
      <c r="AZ31" s="12">
        <v>0.4103</v>
      </c>
      <c r="BA31" s="12">
        <v>0.67569999999999997</v>
      </c>
      <c r="BB31" s="12">
        <v>0.53949999999999998</v>
      </c>
      <c r="BC31" s="4">
        <v>73.733000000000004</v>
      </c>
      <c r="BD31" s="12">
        <v>0.6875</v>
      </c>
      <c r="BE31" s="12">
        <v>0.2571</v>
      </c>
      <c r="BF31" s="12">
        <v>0.1104</v>
      </c>
      <c r="BG31" s="4">
        <v>129.5</v>
      </c>
      <c r="BH31" s="4">
        <v>103.4</v>
      </c>
      <c r="BI31" s="4">
        <v>72.563000000000002</v>
      </c>
      <c r="BJ31" s="12">
        <v>0.52549999999999997</v>
      </c>
      <c r="BK31" s="12">
        <v>0.48409999999999997</v>
      </c>
      <c r="BL31" s="12">
        <v>0.32429999999999998</v>
      </c>
      <c r="BM31" s="12">
        <v>0.5897</v>
      </c>
      <c r="BN31" s="12">
        <v>0.46050000000000002</v>
      </c>
      <c r="BO31" s="4">
        <v>71.393000000000001</v>
      </c>
      <c r="BP31" s="12">
        <v>0.59260000000000002</v>
      </c>
      <c r="BQ31" s="12">
        <v>0.22220000000000001</v>
      </c>
      <c r="BR31" s="12">
        <v>0.16400000000000001</v>
      </c>
      <c r="BS31" s="4">
        <v>103.4</v>
      </c>
      <c r="BT31" s="4">
        <v>129.5</v>
      </c>
      <c r="BU31" s="11">
        <v>17</v>
      </c>
      <c r="BV31" s="11">
        <v>25</v>
      </c>
      <c r="BW31" s="11">
        <v>30</v>
      </c>
      <c r="BX31" s="11">
        <v>22</v>
      </c>
      <c r="BY31" s="11">
        <v>5</v>
      </c>
      <c r="BZ31" s="11">
        <v>26</v>
      </c>
      <c r="CA31" s="11">
        <v>21</v>
      </c>
      <c r="CB31" s="11">
        <v>23</v>
      </c>
      <c r="CC31" s="11">
        <v>42</v>
      </c>
      <c r="CD31" s="11">
        <v>52</v>
      </c>
      <c r="CE31" s="11">
        <v>31</v>
      </c>
      <c r="CF31" s="11">
        <v>44</v>
      </c>
      <c r="CG31" s="4">
        <v>1.6</v>
      </c>
      <c r="CH31" s="13">
        <v>2.4</v>
      </c>
      <c r="CI31" s="4">
        <v>-3.5</v>
      </c>
      <c r="CJ31" s="4">
        <v>3.5</v>
      </c>
      <c r="CK31" s="4">
        <v>169.5</v>
      </c>
      <c r="CL31" s="2" t="s">
        <v>575</v>
      </c>
      <c r="CM31" s="4" t="str">
        <f>VLOOKUP(lyon[[#This Row],[Away_team]],all[[Full name]:[Abbr]],3,FALSE)</f>
        <v>CHO</v>
      </c>
      <c r="CN31" s="4">
        <f>IF(OR(lyon[[#This Row],[Result]]="w",lyon[[#This Row],[Result]]="dw"),lyon[[#This Row],[win]]-1,-1)</f>
        <v>0.60000000000000009</v>
      </c>
      <c r="CO31" s="4">
        <f>IF(OR(lyon[[#This Row],[Result]]="L",lyon[[#This Row],[Result]]="dl"),lyon[[#This Row],[lose]]-1,-1)</f>
        <v>-1</v>
      </c>
      <c r="CP31" s="4">
        <f>IF(OR((lyon[[#This Row],[Home_scored]]+lyon[[#This Row],[Away_scored]])&gt;lyon[[#This Row],[total]],OR(lyon[[#This Row],[Result]]="dw",lyon[[#This Row],[Result]]="dl")),1,0)</f>
        <v>0</v>
      </c>
      <c r="CQ31" s="4">
        <f>ABS((lyon[[#This Row],[Home_scored]]+lyon[[#This Row],[Away_scored]])-lyon[[#This Row],[total]])+0.5</f>
        <v>1</v>
      </c>
    </row>
    <row r="32" spans="1:95" x14ac:dyDescent="0.25">
      <c r="A32" s="2" t="s">
        <v>349</v>
      </c>
      <c r="B32" s="2" t="s">
        <v>327</v>
      </c>
      <c r="C32" s="28" t="s">
        <v>73</v>
      </c>
      <c r="D32" s="28">
        <v>45789</v>
      </c>
      <c r="E32" s="2" t="s">
        <v>140</v>
      </c>
      <c r="F32" s="2" t="s">
        <v>317</v>
      </c>
      <c r="G32" s="2" t="s">
        <v>139</v>
      </c>
      <c r="H32" s="11">
        <v>80</v>
      </c>
      <c r="I32" s="11">
        <v>97</v>
      </c>
      <c r="J32" s="11">
        <v>24</v>
      </c>
      <c r="K32" s="11">
        <v>56</v>
      </c>
      <c r="L32" s="12">
        <v>0.42859999999999998</v>
      </c>
      <c r="M32" s="11">
        <v>18</v>
      </c>
      <c r="N32" s="11">
        <v>35</v>
      </c>
      <c r="O32" s="12">
        <v>0.51429999999999998</v>
      </c>
      <c r="P32" s="11">
        <v>6</v>
      </c>
      <c r="Q32" s="11">
        <v>21</v>
      </c>
      <c r="R32" s="12">
        <v>0.28570000000000001</v>
      </c>
      <c r="S32" s="11">
        <v>26</v>
      </c>
      <c r="T32" s="11">
        <v>30</v>
      </c>
      <c r="U32" s="12">
        <v>0.86670000000000003</v>
      </c>
      <c r="V32" s="11">
        <v>10</v>
      </c>
      <c r="W32" s="11">
        <v>20</v>
      </c>
      <c r="X32" s="11">
        <v>30</v>
      </c>
      <c r="Y32" s="11">
        <v>17</v>
      </c>
      <c r="Z32" s="11">
        <v>5</v>
      </c>
      <c r="AA32" s="11">
        <v>4</v>
      </c>
      <c r="AB32" s="11">
        <v>12</v>
      </c>
      <c r="AC32" s="11">
        <v>25</v>
      </c>
      <c r="AD32" s="11">
        <v>33</v>
      </c>
      <c r="AE32" s="11">
        <v>67</v>
      </c>
      <c r="AF32" s="12">
        <v>0.49249999999999999</v>
      </c>
      <c r="AG32" s="11">
        <v>24</v>
      </c>
      <c r="AH32" s="11">
        <v>41</v>
      </c>
      <c r="AI32" s="12">
        <v>0.58540000000000003</v>
      </c>
      <c r="AJ32" s="11">
        <v>9</v>
      </c>
      <c r="AK32" s="11">
        <v>26</v>
      </c>
      <c r="AL32" s="12">
        <v>0.34620000000000001</v>
      </c>
      <c r="AM32" s="11">
        <v>22</v>
      </c>
      <c r="AN32" s="11">
        <v>28</v>
      </c>
      <c r="AO32" s="12">
        <v>0.78569999999999995</v>
      </c>
      <c r="AP32" s="11">
        <v>16</v>
      </c>
      <c r="AQ32" s="11">
        <v>23</v>
      </c>
      <c r="AR32" s="11">
        <v>39</v>
      </c>
      <c r="AS32" s="11">
        <v>21</v>
      </c>
      <c r="AT32" s="11">
        <v>5</v>
      </c>
      <c r="AU32" s="11">
        <v>1</v>
      </c>
      <c r="AV32" s="11">
        <v>7</v>
      </c>
      <c r="AW32" s="11">
        <v>22</v>
      </c>
      <c r="AX32" s="12">
        <v>0.57799999999999996</v>
      </c>
      <c r="AY32" s="12">
        <v>0.48209999999999997</v>
      </c>
      <c r="AZ32" s="12">
        <v>0.30299999999999999</v>
      </c>
      <c r="BA32" s="12">
        <v>0.55559999999999998</v>
      </c>
      <c r="BB32" s="12">
        <v>0.43480000000000002</v>
      </c>
      <c r="BC32" s="4">
        <v>68.587000000000003</v>
      </c>
      <c r="BD32" s="12">
        <v>0.70830000000000004</v>
      </c>
      <c r="BE32" s="12">
        <v>0.46429999999999999</v>
      </c>
      <c r="BF32" s="12">
        <v>0.14779999999999999</v>
      </c>
      <c r="BG32" s="4">
        <v>115.2</v>
      </c>
      <c r="BH32" s="4">
        <v>139.69999999999999</v>
      </c>
      <c r="BI32" s="4">
        <v>69.430999999999997</v>
      </c>
      <c r="BJ32" s="12">
        <v>0.61140000000000005</v>
      </c>
      <c r="BK32" s="12">
        <v>0.55969999999999998</v>
      </c>
      <c r="BL32" s="12">
        <v>0.44440000000000002</v>
      </c>
      <c r="BM32" s="12">
        <v>0.69699999999999995</v>
      </c>
      <c r="BN32" s="12">
        <v>0.56520000000000004</v>
      </c>
      <c r="BO32" s="4">
        <v>70.275000000000006</v>
      </c>
      <c r="BP32" s="12">
        <v>0.63639999999999997</v>
      </c>
      <c r="BQ32" s="12">
        <v>0.32840000000000003</v>
      </c>
      <c r="BR32" s="12">
        <v>8.1100000000000005E-2</v>
      </c>
      <c r="BS32" s="4">
        <v>139.69999999999999</v>
      </c>
      <c r="BT32" s="4">
        <v>115.2</v>
      </c>
      <c r="BU32" s="11">
        <v>20</v>
      </c>
      <c r="BV32" s="11">
        <v>18</v>
      </c>
      <c r="BW32" s="11">
        <v>20</v>
      </c>
      <c r="BX32" s="11">
        <v>22</v>
      </c>
      <c r="BY32" s="11">
        <v>27</v>
      </c>
      <c r="BZ32" s="11">
        <v>20</v>
      </c>
      <c r="CA32" s="11">
        <v>28</v>
      </c>
      <c r="CB32" s="11">
        <v>22</v>
      </c>
      <c r="CC32" s="11">
        <v>38</v>
      </c>
      <c r="CD32" s="11">
        <v>42</v>
      </c>
      <c r="CE32" s="11">
        <v>47</v>
      </c>
      <c r="CF32" s="11">
        <v>50</v>
      </c>
      <c r="CG32" s="4">
        <v>1.48</v>
      </c>
      <c r="CH32" s="13">
        <v>2.7</v>
      </c>
      <c r="CI32" s="4">
        <v>-5</v>
      </c>
      <c r="CJ32" s="4">
        <v>5</v>
      </c>
      <c r="CK32" s="4">
        <v>171.5</v>
      </c>
      <c r="CL32" s="2" t="s">
        <v>583</v>
      </c>
      <c r="CM32" s="4" t="str">
        <f>VLOOKUP(lyon[[#This Row],[Away_team]],all[[Full name]:[Abbr]],3,FALSE)</f>
        <v>LEM</v>
      </c>
      <c r="CN32" s="4">
        <f>IF(OR(lyon[[#This Row],[Result]]="w",lyon[[#This Row],[Result]]="dw"),lyon[[#This Row],[win]]-1,-1)</f>
        <v>-1</v>
      </c>
      <c r="CO32" s="4">
        <f>IF(OR(lyon[[#This Row],[Result]]="L",lyon[[#This Row],[Result]]="dl"),lyon[[#This Row],[lose]]-1,-1)</f>
        <v>1.7000000000000002</v>
      </c>
      <c r="CP32" s="4">
        <f>IF(OR((lyon[[#This Row],[Home_scored]]+lyon[[#This Row],[Away_scored]])&gt;lyon[[#This Row],[total]],OR(lyon[[#This Row],[Result]]="dw",lyon[[#This Row],[Result]]="dl")),1,0)</f>
        <v>1</v>
      </c>
      <c r="CQ32" s="4">
        <f>ABS((lyon[[#This Row],[Home_scored]]+lyon[[#This Row],[Away_scored]])-lyon[[#This Row],[total]])+0.5</f>
        <v>6</v>
      </c>
    </row>
    <row r="33" spans="1:95" x14ac:dyDescent="0.25">
      <c r="A33" s="2" t="s">
        <v>349</v>
      </c>
      <c r="B33" s="2" t="s">
        <v>327</v>
      </c>
      <c r="C33" s="28" t="s">
        <v>73</v>
      </c>
      <c r="D33" s="28">
        <v>45794</v>
      </c>
      <c r="E33" s="2" t="s">
        <v>74</v>
      </c>
      <c r="F33" s="2" t="s">
        <v>311</v>
      </c>
      <c r="G33" s="2" t="s">
        <v>75</v>
      </c>
      <c r="H33" s="11">
        <v>84</v>
      </c>
      <c r="I33" s="11">
        <v>83</v>
      </c>
      <c r="J33" s="11">
        <v>28</v>
      </c>
      <c r="K33" s="11">
        <v>61</v>
      </c>
      <c r="L33" s="12">
        <v>0.45900000000000002</v>
      </c>
      <c r="M33" s="11">
        <v>18</v>
      </c>
      <c r="N33" s="11">
        <v>33</v>
      </c>
      <c r="O33" s="12">
        <v>0.54549999999999998</v>
      </c>
      <c r="P33" s="11">
        <v>10</v>
      </c>
      <c r="Q33" s="11">
        <v>28</v>
      </c>
      <c r="R33" s="12">
        <v>0.35709999999999997</v>
      </c>
      <c r="S33" s="11">
        <v>18</v>
      </c>
      <c r="T33" s="11">
        <v>26</v>
      </c>
      <c r="U33" s="12">
        <v>0.69230000000000003</v>
      </c>
      <c r="V33" s="11">
        <v>13</v>
      </c>
      <c r="W33" s="11">
        <v>25</v>
      </c>
      <c r="X33" s="11">
        <v>38</v>
      </c>
      <c r="Y33" s="11">
        <v>16</v>
      </c>
      <c r="Z33" s="11">
        <v>4</v>
      </c>
      <c r="AA33" s="11">
        <v>4</v>
      </c>
      <c r="AB33" s="11">
        <v>14</v>
      </c>
      <c r="AC33" s="11">
        <v>28</v>
      </c>
      <c r="AD33" s="11">
        <v>26</v>
      </c>
      <c r="AE33" s="11">
        <v>56</v>
      </c>
      <c r="AF33" s="12">
        <v>0.46429999999999999</v>
      </c>
      <c r="AG33" s="11">
        <v>15</v>
      </c>
      <c r="AH33" s="11">
        <v>30</v>
      </c>
      <c r="AI33" s="12">
        <v>0.5</v>
      </c>
      <c r="AJ33" s="11">
        <v>11</v>
      </c>
      <c r="AK33" s="11">
        <v>26</v>
      </c>
      <c r="AL33" s="12">
        <v>0.42309999999999998</v>
      </c>
      <c r="AM33" s="11">
        <v>20</v>
      </c>
      <c r="AN33" s="11">
        <v>31</v>
      </c>
      <c r="AO33" s="12">
        <v>0.6452</v>
      </c>
      <c r="AP33" s="11">
        <v>10</v>
      </c>
      <c r="AQ33" s="11">
        <v>22</v>
      </c>
      <c r="AR33" s="11">
        <v>32</v>
      </c>
      <c r="AS33" s="11">
        <v>19</v>
      </c>
      <c r="AT33" s="11">
        <v>6</v>
      </c>
      <c r="AU33" s="11">
        <v>3</v>
      </c>
      <c r="AV33" s="11">
        <v>12</v>
      </c>
      <c r="AW33" s="11">
        <v>27</v>
      </c>
      <c r="AX33" s="12">
        <v>0.57979999999999998</v>
      </c>
      <c r="AY33" s="12">
        <v>0.54100000000000004</v>
      </c>
      <c r="AZ33" s="12">
        <v>0.37140000000000001</v>
      </c>
      <c r="BA33" s="12">
        <v>0.71430000000000005</v>
      </c>
      <c r="BB33" s="12">
        <v>0.54290000000000005</v>
      </c>
      <c r="BC33" s="4">
        <v>73.319999999999993</v>
      </c>
      <c r="BD33" s="12">
        <v>0.57140000000000002</v>
      </c>
      <c r="BE33" s="12">
        <v>0.29509999999999997</v>
      </c>
      <c r="BF33" s="12">
        <v>0.16200000000000001</v>
      </c>
      <c r="BG33" s="4">
        <v>116.9</v>
      </c>
      <c r="BH33" s="4">
        <v>115.5</v>
      </c>
      <c r="BI33" s="4">
        <v>71.844499999999996</v>
      </c>
      <c r="BJ33" s="12">
        <v>0.59589999999999999</v>
      </c>
      <c r="BK33" s="12">
        <v>0.5625</v>
      </c>
      <c r="BL33" s="12">
        <v>0.28570000000000001</v>
      </c>
      <c r="BM33" s="12">
        <v>0.62860000000000005</v>
      </c>
      <c r="BN33" s="12">
        <v>0.45710000000000001</v>
      </c>
      <c r="BO33" s="4">
        <v>70.369</v>
      </c>
      <c r="BP33" s="12">
        <v>0.73080000000000001</v>
      </c>
      <c r="BQ33" s="12">
        <v>0.35709999999999997</v>
      </c>
      <c r="BR33" s="12">
        <v>0.14699999999999999</v>
      </c>
      <c r="BS33" s="4">
        <v>115.5</v>
      </c>
      <c r="BT33" s="4">
        <v>116.9</v>
      </c>
      <c r="BU33" s="11">
        <v>23</v>
      </c>
      <c r="BV33" s="11">
        <v>20</v>
      </c>
      <c r="BW33" s="11">
        <v>20</v>
      </c>
      <c r="BX33" s="11">
        <v>21</v>
      </c>
      <c r="BY33" s="11">
        <v>10</v>
      </c>
      <c r="BZ33" s="11">
        <v>24</v>
      </c>
      <c r="CA33" s="11">
        <v>32</v>
      </c>
      <c r="CB33" s="11">
        <v>17</v>
      </c>
      <c r="CC33" s="11">
        <v>43</v>
      </c>
      <c r="CD33" s="11">
        <v>41</v>
      </c>
      <c r="CE33" s="11">
        <v>34</v>
      </c>
      <c r="CF33" s="11">
        <v>49</v>
      </c>
      <c r="CG33" s="4">
        <v>1.22</v>
      </c>
      <c r="CH33" s="13">
        <v>4.5</v>
      </c>
      <c r="CI33" s="4">
        <v>-9.5</v>
      </c>
      <c r="CJ33" s="4">
        <v>9.5</v>
      </c>
      <c r="CK33" s="4">
        <v>170.5</v>
      </c>
      <c r="CL33" s="2" t="s">
        <v>591</v>
      </c>
      <c r="CM33" s="4" t="str">
        <f>VLOOKUP(lyon[[#This Row],[Away_team]],all[[Full name]:[Abbr]],3,FALSE)</f>
        <v>DIJ</v>
      </c>
      <c r="CN33" s="4">
        <f>IF(OR(lyon[[#This Row],[Result]]="w",lyon[[#This Row],[Result]]="dw"),lyon[[#This Row],[win]]-1,-1)</f>
        <v>0.21999999999999997</v>
      </c>
      <c r="CO33" s="4">
        <f>IF(OR(lyon[[#This Row],[Result]]="L",lyon[[#This Row],[Result]]="dl"),lyon[[#This Row],[lose]]-1,-1)</f>
        <v>-1</v>
      </c>
      <c r="CP33" s="4">
        <f>IF(OR((lyon[[#This Row],[Home_scored]]+lyon[[#This Row],[Away_scored]])&gt;lyon[[#This Row],[total]],OR(lyon[[#This Row],[Result]]="dw",lyon[[#This Row],[Result]]="dl")),1,0)</f>
        <v>0</v>
      </c>
      <c r="CQ33" s="4">
        <f>ABS((lyon[[#This Row],[Home_scored]]+lyon[[#This Row],[Away_scored]])-lyon[[#This Row],[total]])+0.5</f>
        <v>4</v>
      </c>
    </row>
    <row r="34" spans="1:95" x14ac:dyDescent="0.25">
      <c r="A34" s="2" t="s">
        <v>349</v>
      </c>
      <c r="B34" s="2" t="s">
        <v>327</v>
      </c>
      <c r="C34" s="28" t="s">
        <v>594</v>
      </c>
      <c r="D34" s="28">
        <v>45804</v>
      </c>
      <c r="E34" s="2" t="s">
        <v>74</v>
      </c>
      <c r="F34" s="2" t="s">
        <v>305</v>
      </c>
      <c r="G34" s="2" t="s">
        <v>75</v>
      </c>
      <c r="H34" s="11">
        <v>100</v>
      </c>
      <c r="I34" s="11">
        <v>96</v>
      </c>
      <c r="J34" s="11">
        <v>36</v>
      </c>
      <c r="K34" s="11">
        <v>73</v>
      </c>
      <c r="L34" s="12">
        <v>0.49320000000000003</v>
      </c>
      <c r="M34" s="11">
        <v>27</v>
      </c>
      <c r="N34" s="11">
        <v>49</v>
      </c>
      <c r="O34" s="12">
        <v>0.55100000000000005</v>
      </c>
      <c r="P34" s="11">
        <v>9</v>
      </c>
      <c r="Q34" s="11">
        <v>24</v>
      </c>
      <c r="R34" s="12">
        <v>0.375</v>
      </c>
      <c r="S34" s="11">
        <v>19</v>
      </c>
      <c r="T34" s="11">
        <v>29</v>
      </c>
      <c r="U34" s="12">
        <v>0.6552</v>
      </c>
      <c r="V34" s="11">
        <v>16</v>
      </c>
      <c r="W34" s="11">
        <v>25</v>
      </c>
      <c r="X34" s="11">
        <v>41</v>
      </c>
      <c r="Y34" s="11">
        <v>22</v>
      </c>
      <c r="Z34" s="11">
        <v>5</v>
      </c>
      <c r="AA34" s="11">
        <v>4</v>
      </c>
      <c r="AB34" s="11">
        <v>10</v>
      </c>
      <c r="AC34" s="11">
        <v>29</v>
      </c>
      <c r="AD34" s="11">
        <v>29</v>
      </c>
      <c r="AE34" s="11">
        <v>63</v>
      </c>
      <c r="AF34" s="12">
        <v>0.46029999999999999</v>
      </c>
      <c r="AG34" s="11">
        <v>21</v>
      </c>
      <c r="AH34" s="11">
        <v>37</v>
      </c>
      <c r="AI34" s="12">
        <v>0.56759999999999999</v>
      </c>
      <c r="AJ34" s="11">
        <v>8</v>
      </c>
      <c r="AK34" s="11">
        <v>26</v>
      </c>
      <c r="AL34" s="12">
        <v>0.30769999999999997</v>
      </c>
      <c r="AM34" s="11">
        <v>30</v>
      </c>
      <c r="AN34" s="11">
        <v>37</v>
      </c>
      <c r="AO34" s="12">
        <v>0.81079999999999997</v>
      </c>
      <c r="AP34" s="11">
        <v>11</v>
      </c>
      <c r="AQ34" s="11">
        <v>25</v>
      </c>
      <c r="AR34" s="11">
        <v>36</v>
      </c>
      <c r="AS34" s="11">
        <v>16</v>
      </c>
      <c r="AT34" s="11">
        <v>4</v>
      </c>
      <c r="AU34" s="11">
        <v>7</v>
      </c>
      <c r="AV34" s="11">
        <v>10</v>
      </c>
      <c r="AW34" s="11">
        <v>26</v>
      </c>
      <c r="AX34" s="12">
        <v>0.58299999999999996</v>
      </c>
      <c r="AY34" s="12">
        <v>0.55479999999999996</v>
      </c>
      <c r="AZ34" s="12">
        <v>0.39019999999999999</v>
      </c>
      <c r="BA34" s="12">
        <v>0.69440000000000002</v>
      </c>
      <c r="BB34" s="12">
        <v>0.53249999999999997</v>
      </c>
      <c r="BC34" s="4">
        <v>79.150000000000006</v>
      </c>
      <c r="BD34" s="12">
        <v>0.61109999999999998</v>
      </c>
      <c r="BE34" s="12">
        <v>0.26029999999999998</v>
      </c>
      <c r="BF34" s="12">
        <v>0.10440000000000001</v>
      </c>
      <c r="BG34" s="4">
        <v>128.30000000000001</v>
      </c>
      <c r="BH34" s="4">
        <v>123.2</v>
      </c>
      <c r="BI34" s="4">
        <v>77.917000000000002</v>
      </c>
      <c r="BJ34" s="12">
        <v>0.60540000000000005</v>
      </c>
      <c r="BK34" s="12">
        <v>0.52380000000000004</v>
      </c>
      <c r="BL34" s="12">
        <v>0.30559999999999998</v>
      </c>
      <c r="BM34" s="12">
        <v>0.60980000000000001</v>
      </c>
      <c r="BN34" s="12">
        <v>0.46750000000000003</v>
      </c>
      <c r="BO34" s="4">
        <v>76.683999999999997</v>
      </c>
      <c r="BP34" s="12">
        <v>0.55169999999999997</v>
      </c>
      <c r="BQ34" s="12">
        <v>0.47620000000000001</v>
      </c>
      <c r="BR34" s="12">
        <v>0.112</v>
      </c>
      <c r="BS34" s="4">
        <v>123.2</v>
      </c>
      <c r="BT34" s="4">
        <v>128.30000000000001</v>
      </c>
      <c r="BU34" s="11">
        <v>21</v>
      </c>
      <c r="BV34" s="11">
        <v>30</v>
      </c>
      <c r="BW34" s="11">
        <v>26</v>
      </c>
      <c r="BX34" s="11">
        <v>23</v>
      </c>
      <c r="BY34" s="11">
        <v>29</v>
      </c>
      <c r="BZ34" s="11">
        <v>23</v>
      </c>
      <c r="CA34" s="11">
        <v>24</v>
      </c>
      <c r="CB34" s="11">
        <v>20</v>
      </c>
      <c r="CC34" s="11">
        <v>51</v>
      </c>
      <c r="CD34" s="11">
        <v>49</v>
      </c>
      <c r="CE34" s="11">
        <v>52</v>
      </c>
      <c r="CF34" s="11">
        <v>44</v>
      </c>
      <c r="CG34" s="4">
        <v>1.2</v>
      </c>
      <c r="CH34" s="13">
        <v>4.75</v>
      </c>
      <c r="CI34" s="4">
        <v>-10</v>
      </c>
      <c r="CJ34" s="4">
        <v>-10</v>
      </c>
      <c r="CK34" s="4">
        <v>170.5</v>
      </c>
      <c r="CL34" s="2" t="s">
        <v>599</v>
      </c>
      <c r="CM34" s="4" t="str">
        <f>VLOOKUP(lyon[[#This Row],[Away_team]],all[[Full name]:[Abbr]],3,FALSE)</f>
        <v>CHA</v>
      </c>
      <c r="CN34" s="4">
        <f>IF(OR(lyon[[#This Row],[Result]]="w",lyon[[#This Row],[Result]]="dw"),lyon[[#This Row],[win]]-1,-1)</f>
        <v>0.19999999999999996</v>
      </c>
      <c r="CO34" s="4">
        <f>IF(OR(lyon[[#This Row],[Result]]="L",lyon[[#This Row],[Result]]="dl"),lyon[[#This Row],[lose]]-1,-1)</f>
        <v>-1</v>
      </c>
      <c r="CP34" s="4">
        <f>IF(OR((lyon[[#This Row],[Home_scored]]+lyon[[#This Row],[Away_scored]])&gt;lyon[[#This Row],[total]],OR(lyon[[#This Row],[Result]]="dw",lyon[[#This Row],[Result]]="dl")),1,0)</f>
        <v>1</v>
      </c>
      <c r="CQ34" s="4">
        <f>ABS((lyon[[#This Row],[Home_scored]]+lyon[[#This Row],[Away_scored]])-lyon[[#This Row],[total]])+0.5</f>
        <v>26</v>
      </c>
    </row>
    <row r="35" spans="1:95" x14ac:dyDescent="0.25">
      <c r="A35" s="2" t="s">
        <v>349</v>
      </c>
      <c r="B35" s="2" t="s">
        <v>327</v>
      </c>
      <c r="C35" s="28" t="s">
        <v>594</v>
      </c>
      <c r="D35" s="28">
        <v>45806</v>
      </c>
      <c r="E35" s="2" t="s">
        <v>140</v>
      </c>
      <c r="F35" s="2" t="s">
        <v>305</v>
      </c>
      <c r="G35" s="2" t="s">
        <v>139</v>
      </c>
      <c r="H35" s="11">
        <v>69</v>
      </c>
      <c r="I35" s="11">
        <v>76</v>
      </c>
      <c r="J35" s="11">
        <v>24</v>
      </c>
      <c r="K35" s="11">
        <v>59</v>
      </c>
      <c r="L35" s="12">
        <v>0.40679999999999999</v>
      </c>
      <c r="M35" s="11">
        <v>14</v>
      </c>
      <c r="N35" s="11">
        <v>34</v>
      </c>
      <c r="O35" s="12">
        <v>0.4118</v>
      </c>
      <c r="P35" s="11">
        <v>10</v>
      </c>
      <c r="Q35" s="11">
        <v>25</v>
      </c>
      <c r="R35" s="12">
        <v>0.4</v>
      </c>
      <c r="S35" s="11">
        <v>11</v>
      </c>
      <c r="T35" s="11">
        <v>21</v>
      </c>
      <c r="U35" s="12">
        <v>0.52380000000000004</v>
      </c>
      <c r="V35" s="11">
        <v>9</v>
      </c>
      <c r="W35" s="11">
        <v>24</v>
      </c>
      <c r="X35" s="11">
        <v>33</v>
      </c>
      <c r="Y35" s="11">
        <v>17</v>
      </c>
      <c r="Z35" s="11">
        <v>2</v>
      </c>
      <c r="AA35" s="11">
        <v>14</v>
      </c>
      <c r="AB35" s="11">
        <v>10</v>
      </c>
      <c r="AC35" s="11">
        <v>19</v>
      </c>
      <c r="AD35" s="11">
        <v>29</v>
      </c>
      <c r="AE35" s="11">
        <v>57</v>
      </c>
      <c r="AF35" s="12">
        <v>0.50880000000000003</v>
      </c>
      <c r="AG35" s="11">
        <v>22</v>
      </c>
      <c r="AH35" s="11">
        <v>32</v>
      </c>
      <c r="AI35" s="12">
        <v>0.6875</v>
      </c>
      <c r="AJ35" s="11">
        <v>7</v>
      </c>
      <c r="AK35" s="11">
        <v>25</v>
      </c>
      <c r="AL35" s="12">
        <v>0.28000000000000003</v>
      </c>
      <c r="AM35" s="11">
        <v>11</v>
      </c>
      <c r="AN35" s="11">
        <v>17</v>
      </c>
      <c r="AO35" s="12">
        <v>0.64710000000000001</v>
      </c>
      <c r="AP35" s="11">
        <v>7</v>
      </c>
      <c r="AQ35" s="11">
        <v>29</v>
      </c>
      <c r="AR35" s="11">
        <v>36</v>
      </c>
      <c r="AS35" s="11">
        <v>14</v>
      </c>
      <c r="AT35" s="11">
        <v>4</v>
      </c>
      <c r="AU35" s="11">
        <v>17</v>
      </c>
      <c r="AV35" s="11">
        <v>8</v>
      </c>
      <c r="AW35" s="11">
        <v>21</v>
      </c>
      <c r="AX35" s="12">
        <v>0.50560000000000005</v>
      </c>
      <c r="AY35" s="12">
        <v>0.49149999999999999</v>
      </c>
      <c r="AZ35" s="12">
        <v>0.23680000000000001</v>
      </c>
      <c r="BA35" s="12">
        <v>0.7742</v>
      </c>
      <c r="BB35" s="12">
        <v>0.4783</v>
      </c>
      <c r="BC35" s="4">
        <v>67.186000000000007</v>
      </c>
      <c r="BD35" s="12">
        <v>0.70830000000000004</v>
      </c>
      <c r="BE35" s="12">
        <v>0.18640000000000001</v>
      </c>
      <c r="BF35" s="12">
        <v>0.1278</v>
      </c>
      <c r="BG35" s="4">
        <v>103.6</v>
      </c>
      <c r="BH35" s="4">
        <v>114.1</v>
      </c>
      <c r="BI35" s="4">
        <v>66.58</v>
      </c>
      <c r="BJ35" s="12">
        <v>0.58930000000000005</v>
      </c>
      <c r="BK35" s="12">
        <v>0.57020000000000004</v>
      </c>
      <c r="BL35" s="12">
        <v>0.2258</v>
      </c>
      <c r="BM35" s="12">
        <v>0.76319999999999999</v>
      </c>
      <c r="BN35" s="12">
        <v>0.52170000000000005</v>
      </c>
      <c r="BO35" s="4">
        <v>65.974000000000004</v>
      </c>
      <c r="BP35" s="12">
        <v>0.48280000000000001</v>
      </c>
      <c r="BQ35" s="12">
        <v>0.193</v>
      </c>
      <c r="BR35" s="12">
        <v>0.1104</v>
      </c>
      <c r="BS35" s="4">
        <v>114.1</v>
      </c>
      <c r="BT35" s="4">
        <v>103.6</v>
      </c>
      <c r="BU35" s="11">
        <v>19</v>
      </c>
      <c r="BV35" s="11">
        <v>14</v>
      </c>
      <c r="BW35" s="11">
        <v>24</v>
      </c>
      <c r="BX35" s="11">
        <v>12</v>
      </c>
      <c r="BY35" s="11">
        <v>18</v>
      </c>
      <c r="BZ35" s="11">
        <v>20</v>
      </c>
      <c r="CA35" s="11">
        <v>15</v>
      </c>
      <c r="CB35" s="11">
        <v>23</v>
      </c>
      <c r="CC35" s="11">
        <v>33</v>
      </c>
      <c r="CD35" s="11">
        <v>36</v>
      </c>
      <c r="CE35" s="11">
        <v>38</v>
      </c>
      <c r="CF35" s="11">
        <v>38</v>
      </c>
      <c r="CG35" s="4">
        <v>1.52</v>
      </c>
      <c r="CH35" s="13">
        <v>2.6</v>
      </c>
      <c r="CI35" s="4">
        <v>-4.5</v>
      </c>
      <c r="CJ35" s="4">
        <v>4.5</v>
      </c>
      <c r="CK35" s="4">
        <v>175.5</v>
      </c>
      <c r="CL35" s="2" t="s">
        <v>603</v>
      </c>
      <c r="CM35" s="4" t="str">
        <f>VLOOKUP(lyon[[#This Row],[Away_team]],all[[Full name]:[Abbr]],3,FALSE)</f>
        <v>CHA</v>
      </c>
      <c r="CN35" s="4">
        <f>IF(OR(lyon[[#This Row],[Result]]="w",lyon[[#This Row],[Result]]="dw"),lyon[[#This Row],[win]]-1,-1)</f>
        <v>-1</v>
      </c>
      <c r="CO35" s="4">
        <f>IF(OR(lyon[[#This Row],[Result]]="L",lyon[[#This Row],[Result]]="dl"),lyon[[#This Row],[lose]]-1,-1)</f>
        <v>1.6</v>
      </c>
      <c r="CP35" s="4">
        <f>IF(OR((lyon[[#This Row],[Home_scored]]+lyon[[#This Row],[Away_scored]])&gt;lyon[[#This Row],[total]],OR(lyon[[#This Row],[Result]]="dw",lyon[[#This Row],[Result]]="dl")),1,0)</f>
        <v>0</v>
      </c>
      <c r="CQ35" s="4">
        <f>ABS((lyon[[#This Row],[Home_scored]]+lyon[[#This Row],[Away_scored]])-lyon[[#This Row],[total]])+0.5</f>
        <v>31</v>
      </c>
    </row>
    <row r="36" spans="1:95" x14ac:dyDescent="0.25">
      <c r="A36" s="2" t="s">
        <v>349</v>
      </c>
      <c r="B36" s="2" t="s">
        <v>327</v>
      </c>
      <c r="C36" s="28" t="s">
        <v>594</v>
      </c>
      <c r="D36" s="28">
        <v>45808</v>
      </c>
      <c r="E36" s="2" t="s">
        <v>74</v>
      </c>
      <c r="F36" s="2" t="s">
        <v>305</v>
      </c>
      <c r="G36" s="2" t="s">
        <v>75</v>
      </c>
      <c r="H36" s="11">
        <v>99</v>
      </c>
      <c r="I36" s="11">
        <v>75</v>
      </c>
      <c r="J36" s="11">
        <v>31</v>
      </c>
      <c r="K36" s="11">
        <v>59</v>
      </c>
      <c r="L36" s="12">
        <v>0.52539999999999998</v>
      </c>
      <c r="M36" s="11">
        <v>20</v>
      </c>
      <c r="N36" s="11">
        <v>33</v>
      </c>
      <c r="O36" s="12">
        <v>0.60609999999999997</v>
      </c>
      <c r="P36" s="11">
        <v>11</v>
      </c>
      <c r="Q36" s="11">
        <v>26</v>
      </c>
      <c r="R36" s="12">
        <v>0.42309999999999998</v>
      </c>
      <c r="S36" s="11">
        <v>26</v>
      </c>
      <c r="T36" s="11">
        <v>37</v>
      </c>
      <c r="U36" s="12">
        <v>0.70269999999999999</v>
      </c>
      <c r="V36" s="11">
        <v>16</v>
      </c>
      <c r="W36" s="11">
        <v>30</v>
      </c>
      <c r="X36" s="11">
        <v>46</v>
      </c>
      <c r="Y36" s="11">
        <v>27</v>
      </c>
      <c r="Z36" s="11">
        <v>1</v>
      </c>
      <c r="AA36" s="11">
        <v>13</v>
      </c>
      <c r="AB36" s="11">
        <v>5</v>
      </c>
      <c r="AC36" s="11">
        <v>24</v>
      </c>
      <c r="AD36" s="11">
        <v>27</v>
      </c>
      <c r="AE36" s="11">
        <v>63</v>
      </c>
      <c r="AF36" s="12">
        <v>0.42859999999999998</v>
      </c>
      <c r="AG36" s="11">
        <v>21</v>
      </c>
      <c r="AH36" s="11">
        <v>40</v>
      </c>
      <c r="AI36" s="12">
        <v>0.52500000000000002</v>
      </c>
      <c r="AJ36" s="11">
        <v>6</v>
      </c>
      <c r="AK36" s="11">
        <v>23</v>
      </c>
      <c r="AL36" s="12">
        <v>0.26090000000000002</v>
      </c>
      <c r="AM36" s="11">
        <v>15</v>
      </c>
      <c r="AN36" s="11">
        <v>21</v>
      </c>
      <c r="AO36" s="12">
        <v>0.71430000000000005</v>
      </c>
      <c r="AP36" s="11">
        <v>7</v>
      </c>
      <c r="AQ36" s="11">
        <v>19</v>
      </c>
      <c r="AR36" s="11">
        <v>26</v>
      </c>
      <c r="AS36" s="11">
        <v>16</v>
      </c>
      <c r="AT36" s="11">
        <v>1</v>
      </c>
      <c r="AU36" s="11">
        <v>12</v>
      </c>
      <c r="AV36" s="11">
        <v>5</v>
      </c>
      <c r="AW36" s="11">
        <v>24</v>
      </c>
      <c r="AX36" s="12">
        <v>0.65749999999999997</v>
      </c>
      <c r="AY36" s="12">
        <v>0.61860000000000004</v>
      </c>
      <c r="AZ36" s="12">
        <v>0.45710000000000001</v>
      </c>
      <c r="BA36" s="12">
        <v>0.81079999999999997</v>
      </c>
      <c r="BB36" s="12">
        <v>0.63890000000000002</v>
      </c>
      <c r="BC36" s="4">
        <v>68.379000000000005</v>
      </c>
      <c r="BD36" s="12">
        <v>0.871</v>
      </c>
      <c r="BE36" s="12">
        <v>0.44069999999999998</v>
      </c>
      <c r="BF36" s="12">
        <v>6.2300000000000001E-2</v>
      </c>
      <c r="BG36" s="4">
        <v>147.30000000000001</v>
      </c>
      <c r="BH36" s="4">
        <v>111.6</v>
      </c>
      <c r="BI36" s="4">
        <v>67.203999999999994</v>
      </c>
      <c r="BJ36" s="12">
        <v>0.51910000000000001</v>
      </c>
      <c r="BK36" s="12">
        <v>0.47620000000000001</v>
      </c>
      <c r="BL36" s="12">
        <v>0.18920000000000001</v>
      </c>
      <c r="BM36" s="12">
        <v>0.54290000000000005</v>
      </c>
      <c r="BN36" s="12">
        <v>0.36109999999999998</v>
      </c>
      <c r="BO36" s="4">
        <v>66.028999999999996</v>
      </c>
      <c r="BP36" s="12">
        <v>0.59260000000000002</v>
      </c>
      <c r="BQ36" s="12">
        <v>0.23810000000000001</v>
      </c>
      <c r="BR36" s="12">
        <v>6.4699999999999994E-2</v>
      </c>
      <c r="BS36" s="4">
        <v>111.6</v>
      </c>
      <c r="BT36" s="4">
        <v>147.30000000000001</v>
      </c>
      <c r="BU36" s="11">
        <v>21</v>
      </c>
      <c r="BV36" s="11">
        <v>23</v>
      </c>
      <c r="BW36" s="11">
        <v>21</v>
      </c>
      <c r="BX36" s="11">
        <v>34</v>
      </c>
      <c r="BY36" s="11">
        <v>13</v>
      </c>
      <c r="BZ36" s="11">
        <v>19</v>
      </c>
      <c r="CA36" s="11">
        <v>23</v>
      </c>
      <c r="CB36" s="11">
        <v>20</v>
      </c>
      <c r="CC36" s="11">
        <v>44</v>
      </c>
      <c r="CD36" s="11">
        <v>55</v>
      </c>
      <c r="CE36" s="11">
        <v>32</v>
      </c>
      <c r="CF36" s="11">
        <v>43</v>
      </c>
      <c r="CG36" s="4">
        <v>1.25</v>
      </c>
      <c r="CH36" s="13">
        <v>4.2</v>
      </c>
      <c r="CI36" s="4">
        <v>-9</v>
      </c>
      <c r="CJ36" s="4">
        <v>-9</v>
      </c>
      <c r="CK36" s="4">
        <v>172.5</v>
      </c>
      <c r="CL36" s="2" t="s">
        <v>607</v>
      </c>
      <c r="CM36" s="4" t="str">
        <f>VLOOKUP(lyon[[#This Row],[Away_team]],all[[Full name]:[Abbr]],3,FALSE)</f>
        <v>CHA</v>
      </c>
      <c r="CN36" s="4">
        <f>IF(OR(lyon[[#This Row],[Result]]="w",lyon[[#This Row],[Result]]="dw"),lyon[[#This Row],[win]]-1,-1)</f>
        <v>0.25</v>
      </c>
      <c r="CO36" s="4">
        <f>IF(OR(lyon[[#This Row],[Result]]="L",lyon[[#This Row],[Result]]="dl"),lyon[[#This Row],[lose]]-1,-1)</f>
        <v>-1</v>
      </c>
      <c r="CP36" s="4">
        <f>IF(OR((lyon[[#This Row],[Home_scored]]+lyon[[#This Row],[Away_scored]])&gt;lyon[[#This Row],[total]],OR(lyon[[#This Row],[Result]]="dw",lyon[[#This Row],[Result]]="dl")),1,0)</f>
        <v>1</v>
      </c>
      <c r="CQ36" s="4">
        <f>ABS((lyon[[#This Row],[Home_scored]]+lyon[[#This Row],[Away_scored]])-lyon[[#This Row],[total]])+0.5</f>
        <v>2</v>
      </c>
    </row>
    <row r="37" spans="1:95" x14ac:dyDescent="0.25">
      <c r="A37" s="2" t="s">
        <v>349</v>
      </c>
      <c r="B37" s="2" t="s">
        <v>327</v>
      </c>
      <c r="C37" s="28" t="s">
        <v>594</v>
      </c>
      <c r="D37" s="28">
        <v>45811</v>
      </c>
      <c r="E37" s="2" t="s">
        <v>74</v>
      </c>
      <c r="F37" s="2" t="s">
        <v>330</v>
      </c>
      <c r="G37" s="2" t="s">
        <v>75</v>
      </c>
      <c r="H37" s="11">
        <v>94</v>
      </c>
      <c r="I37" s="11">
        <v>74</v>
      </c>
      <c r="J37" s="11">
        <v>31</v>
      </c>
      <c r="K37" s="11">
        <v>61</v>
      </c>
      <c r="L37" s="12">
        <v>0.50819999999999999</v>
      </c>
      <c r="M37" s="11">
        <v>23</v>
      </c>
      <c r="N37" s="11">
        <v>38</v>
      </c>
      <c r="O37" s="12">
        <v>0.60529999999999995</v>
      </c>
      <c r="P37" s="11">
        <v>8</v>
      </c>
      <c r="Q37" s="11">
        <v>23</v>
      </c>
      <c r="R37" s="12">
        <v>0.3478</v>
      </c>
      <c r="S37" s="11">
        <v>24</v>
      </c>
      <c r="T37" s="11">
        <v>34</v>
      </c>
      <c r="U37" s="12">
        <v>0.70589999999999997</v>
      </c>
      <c r="V37" s="11">
        <v>12</v>
      </c>
      <c r="W37" s="11">
        <v>21</v>
      </c>
      <c r="X37" s="11">
        <v>33</v>
      </c>
      <c r="Y37" s="11">
        <v>19</v>
      </c>
      <c r="Z37" s="11">
        <v>2</v>
      </c>
      <c r="AA37" s="11">
        <v>9</v>
      </c>
      <c r="AB37" s="11">
        <v>7</v>
      </c>
      <c r="AC37" s="11">
        <v>24</v>
      </c>
      <c r="AD37" s="11">
        <v>25</v>
      </c>
      <c r="AE37" s="11">
        <v>55</v>
      </c>
      <c r="AF37" s="12">
        <v>0.45450000000000002</v>
      </c>
      <c r="AG37" s="11">
        <v>17</v>
      </c>
      <c r="AH37" s="11">
        <v>31</v>
      </c>
      <c r="AI37" s="12">
        <v>0.5484</v>
      </c>
      <c r="AJ37" s="11">
        <v>8</v>
      </c>
      <c r="AK37" s="11">
        <v>24</v>
      </c>
      <c r="AL37" s="12">
        <v>0.33329999999999999</v>
      </c>
      <c r="AM37" s="11">
        <v>16</v>
      </c>
      <c r="AN37" s="11">
        <v>22</v>
      </c>
      <c r="AO37" s="12">
        <v>0.72729999999999995</v>
      </c>
      <c r="AP37" s="11">
        <v>10</v>
      </c>
      <c r="AQ37" s="11">
        <v>22</v>
      </c>
      <c r="AR37" s="11">
        <v>32</v>
      </c>
      <c r="AS37" s="11">
        <v>13</v>
      </c>
      <c r="AT37" s="11">
        <v>0</v>
      </c>
      <c r="AU37" s="11">
        <v>15</v>
      </c>
      <c r="AV37" s="11">
        <v>2</v>
      </c>
      <c r="AW37" s="11">
        <v>29</v>
      </c>
      <c r="AX37" s="12">
        <v>0.61870000000000003</v>
      </c>
      <c r="AY37" s="12">
        <v>0.57379999999999998</v>
      </c>
      <c r="AZ37" s="12">
        <v>0.35289999999999999</v>
      </c>
      <c r="BA37" s="12">
        <v>0.6774</v>
      </c>
      <c r="BB37" s="12">
        <v>0.50770000000000004</v>
      </c>
      <c r="BC37" s="4">
        <v>69.927000000000007</v>
      </c>
      <c r="BD37" s="12">
        <v>0.6129</v>
      </c>
      <c r="BE37" s="12">
        <v>0.39340000000000003</v>
      </c>
      <c r="BF37" s="12">
        <v>8.4400000000000003E-2</v>
      </c>
      <c r="BG37" s="4">
        <v>149.6</v>
      </c>
      <c r="BH37" s="4">
        <v>117.7</v>
      </c>
      <c r="BI37" s="4">
        <v>62.847999999999999</v>
      </c>
      <c r="BJ37" s="12">
        <v>0.57199999999999995</v>
      </c>
      <c r="BK37" s="12">
        <v>0.52729999999999999</v>
      </c>
      <c r="BL37" s="12">
        <v>0.3226</v>
      </c>
      <c r="BM37" s="12">
        <v>0.64710000000000001</v>
      </c>
      <c r="BN37" s="12">
        <v>0.49230000000000002</v>
      </c>
      <c r="BO37" s="4">
        <v>55.768999999999998</v>
      </c>
      <c r="BP37" s="12">
        <v>0.52</v>
      </c>
      <c r="BQ37" s="12">
        <v>0.29089999999999999</v>
      </c>
      <c r="BR37" s="12">
        <v>0.03</v>
      </c>
      <c r="BS37" s="4">
        <v>117.7</v>
      </c>
      <c r="BT37" s="4">
        <v>149.6</v>
      </c>
      <c r="BU37" s="11">
        <v>31</v>
      </c>
      <c r="BV37" s="11">
        <v>18</v>
      </c>
      <c r="BW37" s="11">
        <v>19</v>
      </c>
      <c r="BX37" s="11">
        <v>26</v>
      </c>
      <c r="BY37" s="11">
        <v>21</v>
      </c>
      <c r="BZ37" s="11">
        <v>24</v>
      </c>
      <c r="CA37" s="11">
        <v>13</v>
      </c>
      <c r="CB37" s="11">
        <v>16</v>
      </c>
      <c r="CC37" s="11">
        <v>49</v>
      </c>
      <c r="CD37" s="11">
        <v>45</v>
      </c>
      <c r="CE37" s="11">
        <v>45</v>
      </c>
      <c r="CF37" s="11">
        <v>29</v>
      </c>
      <c r="CG37" s="4">
        <v>2.2000000000000002</v>
      </c>
      <c r="CH37" s="13">
        <v>1.71</v>
      </c>
      <c r="CI37" s="4">
        <v>2.5</v>
      </c>
      <c r="CJ37" s="4">
        <v>-2.5</v>
      </c>
      <c r="CK37" s="4">
        <v>166.5</v>
      </c>
      <c r="CL37" s="2" t="s">
        <v>609</v>
      </c>
      <c r="CM37" s="4" t="str">
        <f>VLOOKUP(lyon[[#This Row],[Away_team]],all[[Full name]:[Abbr]],3,FALSE)</f>
        <v>MON</v>
      </c>
      <c r="CN37" s="4">
        <f>IF(OR(lyon[[#This Row],[Result]]="w",lyon[[#This Row],[Result]]="dw"),lyon[[#This Row],[win]]-1,-1)</f>
        <v>1.2000000000000002</v>
      </c>
      <c r="CO37" s="4">
        <f>IF(OR(lyon[[#This Row],[Result]]="L",lyon[[#This Row],[Result]]="dl"),lyon[[#This Row],[lose]]-1,-1)</f>
        <v>-1</v>
      </c>
      <c r="CP37" s="4">
        <f>IF(OR((lyon[[#This Row],[Home_scored]]+lyon[[#This Row],[Away_scored]])&gt;lyon[[#This Row],[total]],OR(lyon[[#This Row],[Result]]="dw",lyon[[#This Row],[Result]]="dl")),1,0)</f>
        <v>1</v>
      </c>
      <c r="CQ37" s="4">
        <f>ABS((lyon[[#This Row],[Home_scored]]+lyon[[#This Row],[Away_scored]])-lyon[[#This Row],[total]])+0.5</f>
        <v>2</v>
      </c>
    </row>
    <row r="38" spans="1:95" x14ac:dyDescent="0.25">
      <c r="A38" s="2" t="s">
        <v>349</v>
      </c>
      <c r="B38" s="2" t="s">
        <v>327</v>
      </c>
      <c r="C38" s="28" t="s">
        <v>594</v>
      </c>
      <c r="D38" s="28">
        <v>45813</v>
      </c>
      <c r="E38" s="2" t="s">
        <v>74</v>
      </c>
      <c r="F38" s="2" t="s">
        <v>330</v>
      </c>
      <c r="G38" s="2" t="s">
        <v>139</v>
      </c>
      <c r="H38" s="11">
        <v>77</v>
      </c>
      <c r="I38" s="11">
        <v>94</v>
      </c>
      <c r="J38" s="11">
        <v>26</v>
      </c>
      <c r="K38" s="11">
        <v>72</v>
      </c>
      <c r="L38" s="12">
        <v>0.36109999999999998</v>
      </c>
      <c r="M38" s="11">
        <v>16</v>
      </c>
      <c r="N38" s="11">
        <v>38</v>
      </c>
      <c r="O38" s="12">
        <v>0.42109999999999997</v>
      </c>
      <c r="P38" s="11">
        <v>10</v>
      </c>
      <c r="Q38" s="11">
        <v>34</v>
      </c>
      <c r="R38" s="12">
        <v>0.29409999999999997</v>
      </c>
      <c r="S38" s="11">
        <v>15</v>
      </c>
      <c r="T38" s="11">
        <v>17</v>
      </c>
      <c r="U38" s="12">
        <v>0.88239999999999996</v>
      </c>
      <c r="V38" s="11">
        <v>20</v>
      </c>
      <c r="W38" s="11">
        <v>18</v>
      </c>
      <c r="X38" s="11">
        <v>38</v>
      </c>
      <c r="Y38" s="11">
        <v>15</v>
      </c>
      <c r="Z38" s="11">
        <v>2</v>
      </c>
      <c r="AA38" s="11">
        <v>17</v>
      </c>
      <c r="AB38" s="11">
        <v>9</v>
      </c>
      <c r="AC38" s="11">
        <v>25</v>
      </c>
      <c r="AD38" s="11">
        <v>31</v>
      </c>
      <c r="AE38" s="11">
        <v>59</v>
      </c>
      <c r="AF38" s="12">
        <v>0.52539999999999998</v>
      </c>
      <c r="AG38" s="11">
        <v>24</v>
      </c>
      <c r="AH38" s="11">
        <v>38</v>
      </c>
      <c r="AI38" s="12">
        <v>0.63160000000000005</v>
      </c>
      <c r="AJ38" s="11">
        <v>7</v>
      </c>
      <c r="AK38" s="11">
        <v>21</v>
      </c>
      <c r="AL38" s="12">
        <v>0.33329999999999999</v>
      </c>
      <c r="AM38" s="11">
        <v>25</v>
      </c>
      <c r="AN38" s="11">
        <v>29</v>
      </c>
      <c r="AO38" s="12">
        <v>0.86209999999999998</v>
      </c>
      <c r="AP38" s="11">
        <v>11</v>
      </c>
      <c r="AQ38" s="11">
        <v>26</v>
      </c>
      <c r="AR38" s="11">
        <v>37</v>
      </c>
      <c r="AS38" s="11">
        <v>18</v>
      </c>
      <c r="AT38" s="11">
        <v>4</v>
      </c>
      <c r="AU38" s="11">
        <v>15</v>
      </c>
      <c r="AV38" s="11">
        <v>7</v>
      </c>
      <c r="AW38" s="11">
        <v>17</v>
      </c>
      <c r="AX38" s="12">
        <v>0.4844</v>
      </c>
      <c r="AY38" s="12">
        <v>0.43059999999999998</v>
      </c>
      <c r="AZ38" s="12">
        <v>0.43480000000000002</v>
      </c>
      <c r="BA38" s="12">
        <v>0.62070000000000003</v>
      </c>
      <c r="BB38" s="12">
        <v>0.50670000000000004</v>
      </c>
      <c r="BC38" s="4">
        <v>61.895000000000003</v>
      </c>
      <c r="BD38" s="12">
        <v>0.57689999999999997</v>
      </c>
      <c r="BE38" s="12">
        <v>0.20830000000000001</v>
      </c>
      <c r="BF38" s="12">
        <v>0.1017</v>
      </c>
      <c r="BG38" s="4">
        <v>117.9</v>
      </c>
      <c r="BH38" s="4">
        <v>144</v>
      </c>
      <c r="BI38" s="4">
        <v>65.293999999999997</v>
      </c>
      <c r="BJ38" s="12">
        <v>0.65500000000000003</v>
      </c>
      <c r="BK38" s="12">
        <v>0.5847</v>
      </c>
      <c r="BL38" s="12">
        <v>0.37930000000000003</v>
      </c>
      <c r="BM38" s="12">
        <v>0.56520000000000004</v>
      </c>
      <c r="BN38" s="12">
        <v>0.49330000000000002</v>
      </c>
      <c r="BO38" s="4">
        <v>68.692999999999998</v>
      </c>
      <c r="BP38" s="12">
        <v>0.5806</v>
      </c>
      <c r="BQ38" s="12">
        <v>0.42370000000000002</v>
      </c>
      <c r="BR38" s="12">
        <v>8.8900000000000007E-2</v>
      </c>
      <c r="BS38" s="4">
        <v>144</v>
      </c>
      <c r="BT38" s="4">
        <v>117.9</v>
      </c>
      <c r="BU38" s="11">
        <v>12</v>
      </c>
      <c r="BV38" s="11">
        <v>16</v>
      </c>
      <c r="BW38" s="11">
        <v>24</v>
      </c>
      <c r="BX38" s="11">
        <v>25</v>
      </c>
      <c r="BY38" s="11">
        <v>21</v>
      </c>
      <c r="BZ38" s="11">
        <v>26</v>
      </c>
      <c r="CA38" s="11">
        <v>19</v>
      </c>
      <c r="CB38" s="11">
        <v>28</v>
      </c>
      <c r="CC38" s="11">
        <v>28</v>
      </c>
      <c r="CD38" s="11">
        <v>49</v>
      </c>
      <c r="CE38" s="11">
        <v>47</v>
      </c>
      <c r="CF38" s="11">
        <v>47</v>
      </c>
      <c r="CG38" s="4">
        <v>1.8</v>
      </c>
      <c r="CH38" s="13">
        <v>2.0499999999999998</v>
      </c>
      <c r="CI38" s="4">
        <v>-1.5</v>
      </c>
      <c r="CJ38" s="4">
        <v>1.5</v>
      </c>
      <c r="CK38" s="4">
        <v>167.5</v>
      </c>
      <c r="CL38" s="2" t="s">
        <v>611</v>
      </c>
      <c r="CM38" s="4" t="str">
        <f>VLOOKUP(lyon[[#This Row],[Away_team]],all[[Full name]:[Abbr]],3,FALSE)</f>
        <v>MON</v>
      </c>
      <c r="CN38" s="4">
        <f>IF(OR(lyon[[#This Row],[Result]]="w",lyon[[#This Row],[Result]]="dw"),lyon[[#This Row],[win]]-1,-1)</f>
        <v>-1</v>
      </c>
      <c r="CO38" s="4">
        <f>IF(OR(lyon[[#This Row],[Result]]="L",lyon[[#This Row],[Result]]="dl"),lyon[[#This Row],[lose]]-1,-1)</f>
        <v>1.0499999999999998</v>
      </c>
      <c r="CP38" s="4">
        <f>IF(OR((lyon[[#This Row],[Home_scored]]+lyon[[#This Row],[Away_scored]])&gt;lyon[[#This Row],[total]],OR(lyon[[#This Row],[Result]]="dw",lyon[[#This Row],[Result]]="dl")),1,0)</f>
        <v>1</v>
      </c>
      <c r="CQ38" s="4">
        <f>ABS((lyon[[#This Row],[Home_scored]]+lyon[[#This Row],[Away_scored]])-lyon[[#This Row],[total]])+0.5</f>
        <v>4</v>
      </c>
    </row>
    <row r="39" spans="1:95" x14ac:dyDescent="0.25">
      <c r="A39" s="2" t="s">
        <v>349</v>
      </c>
      <c r="B39" s="2" t="s">
        <v>327</v>
      </c>
      <c r="C39" s="28" t="s">
        <v>594</v>
      </c>
      <c r="D39" s="28">
        <v>45816</v>
      </c>
      <c r="E39" s="2" t="s">
        <v>140</v>
      </c>
      <c r="F39" s="2" t="s">
        <v>330</v>
      </c>
      <c r="G39" s="2" t="s">
        <v>139</v>
      </c>
      <c r="H39" s="11">
        <v>64</v>
      </c>
      <c r="I39" s="11">
        <v>74</v>
      </c>
      <c r="J39" s="11">
        <v>22</v>
      </c>
      <c r="K39" s="11">
        <v>55</v>
      </c>
      <c r="L39" s="12">
        <v>0.4</v>
      </c>
      <c r="M39" s="11">
        <v>19</v>
      </c>
      <c r="N39" s="11">
        <v>38</v>
      </c>
      <c r="O39" s="12">
        <v>0.5</v>
      </c>
      <c r="P39" s="11">
        <v>3</v>
      </c>
      <c r="Q39" s="11">
        <v>17</v>
      </c>
      <c r="R39" s="12">
        <v>0.17649999999999999</v>
      </c>
      <c r="S39" s="11">
        <v>17</v>
      </c>
      <c r="T39" s="11">
        <v>27</v>
      </c>
      <c r="U39" s="12">
        <v>0.62960000000000005</v>
      </c>
      <c r="V39" s="11">
        <v>13</v>
      </c>
      <c r="W39" s="11">
        <v>28</v>
      </c>
      <c r="X39" s="11">
        <v>41</v>
      </c>
      <c r="Y39" s="11">
        <v>11</v>
      </c>
      <c r="Z39" s="11">
        <v>0</v>
      </c>
      <c r="AA39" s="11">
        <v>21</v>
      </c>
      <c r="AB39" s="11">
        <v>10</v>
      </c>
      <c r="AC39" s="11">
        <v>23</v>
      </c>
      <c r="AD39" s="11">
        <v>25</v>
      </c>
      <c r="AE39" s="11">
        <v>62</v>
      </c>
      <c r="AF39" s="12">
        <v>0.4032</v>
      </c>
      <c r="AG39" s="11">
        <v>16</v>
      </c>
      <c r="AH39" s="11">
        <v>36</v>
      </c>
      <c r="AI39" s="12">
        <v>0.44440000000000002</v>
      </c>
      <c r="AJ39" s="11">
        <v>9</v>
      </c>
      <c r="AK39" s="11">
        <v>26</v>
      </c>
      <c r="AL39" s="12">
        <v>0.34620000000000001</v>
      </c>
      <c r="AM39" s="11">
        <v>15</v>
      </c>
      <c r="AN39" s="11">
        <v>19</v>
      </c>
      <c r="AO39" s="12">
        <v>0.78949999999999998</v>
      </c>
      <c r="AP39" s="11">
        <v>10</v>
      </c>
      <c r="AQ39" s="11">
        <v>21</v>
      </c>
      <c r="AR39" s="11">
        <v>31</v>
      </c>
      <c r="AS39" s="11">
        <v>15</v>
      </c>
      <c r="AT39" s="11">
        <v>3</v>
      </c>
      <c r="AU39" s="11">
        <v>14</v>
      </c>
      <c r="AV39" s="11">
        <v>13</v>
      </c>
      <c r="AW39" s="11">
        <v>23</v>
      </c>
      <c r="AX39" s="12">
        <v>0.47849999999999998</v>
      </c>
      <c r="AY39" s="12">
        <v>0.42730000000000001</v>
      </c>
      <c r="AZ39" s="12">
        <v>0.38240000000000002</v>
      </c>
      <c r="BA39" s="12">
        <v>0.73680000000000001</v>
      </c>
      <c r="BB39" s="12">
        <v>0.56940000000000002</v>
      </c>
      <c r="BC39" s="4">
        <v>64.603999999999999</v>
      </c>
      <c r="BD39" s="12">
        <v>0.5</v>
      </c>
      <c r="BE39" s="12">
        <v>0.30909999999999999</v>
      </c>
      <c r="BF39" s="12">
        <v>0.13009999999999999</v>
      </c>
      <c r="BG39" s="4">
        <v>95.2</v>
      </c>
      <c r="BH39" s="4">
        <v>110.1</v>
      </c>
      <c r="BI39" s="4">
        <v>67.216499999999996</v>
      </c>
      <c r="BJ39" s="12">
        <v>0.52590000000000003</v>
      </c>
      <c r="BK39" s="12">
        <v>0.4758</v>
      </c>
      <c r="BL39" s="12">
        <v>0.26319999999999999</v>
      </c>
      <c r="BM39" s="12">
        <v>0.61760000000000004</v>
      </c>
      <c r="BN39" s="12">
        <v>0.43059999999999998</v>
      </c>
      <c r="BO39" s="4">
        <v>69.828999999999994</v>
      </c>
      <c r="BP39" s="12">
        <v>0.6</v>
      </c>
      <c r="BQ39" s="12">
        <v>0.2419</v>
      </c>
      <c r="BR39" s="12">
        <v>0.156</v>
      </c>
      <c r="BS39" s="4">
        <v>110.1</v>
      </c>
      <c r="BT39" s="4">
        <v>95.2</v>
      </c>
      <c r="BU39" s="11">
        <v>15</v>
      </c>
      <c r="BV39" s="11">
        <v>17</v>
      </c>
      <c r="BW39" s="11">
        <v>16</v>
      </c>
      <c r="BX39" s="11">
        <v>16</v>
      </c>
      <c r="BY39" s="11">
        <v>19</v>
      </c>
      <c r="BZ39" s="11">
        <v>15</v>
      </c>
      <c r="CA39" s="11">
        <v>21</v>
      </c>
      <c r="CB39" s="11">
        <v>19</v>
      </c>
      <c r="CC39" s="11">
        <v>32</v>
      </c>
      <c r="CD39" s="11">
        <v>32</v>
      </c>
      <c r="CE39" s="11">
        <v>34</v>
      </c>
      <c r="CF39" s="11">
        <v>40</v>
      </c>
      <c r="CG39" s="4">
        <v>3.1</v>
      </c>
      <c r="CH39" s="13">
        <v>1.38</v>
      </c>
      <c r="CI39" s="4">
        <v>6.5</v>
      </c>
      <c r="CJ39" s="4">
        <v>-6.5</v>
      </c>
      <c r="CK39" s="4">
        <v>165.5</v>
      </c>
      <c r="CL39" s="2" t="s">
        <v>613</v>
      </c>
      <c r="CM39" s="4" t="str">
        <f>VLOOKUP(lyon[[#This Row],[Away_team]],all[[Full name]:[Abbr]],3,FALSE)</f>
        <v>MON</v>
      </c>
      <c r="CN39" s="4">
        <f>IF(OR(lyon[[#This Row],[Result]]="w",lyon[[#This Row],[Result]]="dw"),lyon[[#This Row],[win]]-1,-1)</f>
        <v>-1</v>
      </c>
      <c r="CO39" s="4">
        <f>IF(OR(lyon[[#This Row],[Result]]="L",lyon[[#This Row],[Result]]="dl"),lyon[[#This Row],[lose]]-1,-1)</f>
        <v>0.37999999999999989</v>
      </c>
      <c r="CP39" s="4">
        <f>IF(OR((lyon[[#This Row],[Home_scored]]+lyon[[#This Row],[Away_scored]])&gt;lyon[[#This Row],[total]],OR(lyon[[#This Row],[Result]]="dw",lyon[[#This Row],[Result]]="dl")),1,0)</f>
        <v>0</v>
      </c>
      <c r="CQ39" s="4">
        <f>ABS((lyon[[#This Row],[Home_scored]]+lyon[[#This Row],[Away_scored]])-lyon[[#This Row],[total]])+0.5</f>
        <v>28</v>
      </c>
    </row>
    <row r="40" spans="1:95" x14ac:dyDescent="0.25">
      <c r="A40" s="2" t="s">
        <v>349</v>
      </c>
      <c r="B40" s="2" t="s">
        <v>327</v>
      </c>
      <c r="C40" s="28" t="s">
        <v>594</v>
      </c>
      <c r="D40" s="28">
        <v>45818</v>
      </c>
      <c r="E40" s="2" t="s">
        <v>140</v>
      </c>
      <c r="F40" s="2" t="s">
        <v>330</v>
      </c>
      <c r="G40" s="2" t="s">
        <v>139</v>
      </c>
      <c r="H40" s="11">
        <v>86</v>
      </c>
      <c r="I40" s="11">
        <v>91</v>
      </c>
      <c r="J40" s="11">
        <v>31</v>
      </c>
      <c r="K40" s="11">
        <v>65</v>
      </c>
      <c r="L40" s="12">
        <v>0.47689999999999999</v>
      </c>
      <c r="M40" s="11">
        <v>18</v>
      </c>
      <c r="N40" s="11">
        <v>37</v>
      </c>
      <c r="O40" s="12">
        <v>0.48649999999999999</v>
      </c>
      <c r="P40" s="11">
        <v>13</v>
      </c>
      <c r="Q40" s="11">
        <v>28</v>
      </c>
      <c r="R40" s="12">
        <v>0.46429999999999999</v>
      </c>
      <c r="S40" s="11">
        <v>11</v>
      </c>
      <c r="T40" s="11">
        <v>14</v>
      </c>
      <c r="U40" s="12">
        <v>0.78569999999999995</v>
      </c>
      <c r="V40" s="11">
        <v>14</v>
      </c>
      <c r="W40" s="11">
        <v>15</v>
      </c>
      <c r="X40" s="11">
        <v>29</v>
      </c>
      <c r="Y40" s="11">
        <v>17</v>
      </c>
      <c r="Z40" s="11">
        <v>0</v>
      </c>
      <c r="AA40" s="11">
        <v>15</v>
      </c>
      <c r="AB40" s="11">
        <v>12</v>
      </c>
      <c r="AC40" s="11">
        <v>25</v>
      </c>
      <c r="AD40" s="11">
        <v>31</v>
      </c>
      <c r="AE40" s="11">
        <v>53</v>
      </c>
      <c r="AF40" s="12">
        <v>0.58489999999999998</v>
      </c>
      <c r="AG40" s="11">
        <v>16</v>
      </c>
      <c r="AH40" s="11">
        <v>21</v>
      </c>
      <c r="AI40" s="12">
        <v>0.76190000000000002</v>
      </c>
      <c r="AJ40" s="11">
        <v>15</v>
      </c>
      <c r="AK40" s="11">
        <v>32</v>
      </c>
      <c r="AL40" s="12">
        <v>0.46879999999999999</v>
      </c>
      <c r="AM40" s="11">
        <v>14</v>
      </c>
      <c r="AN40" s="11">
        <v>19</v>
      </c>
      <c r="AO40" s="12">
        <v>0.73680000000000001</v>
      </c>
      <c r="AP40" s="11">
        <v>9</v>
      </c>
      <c r="AQ40" s="11">
        <v>23</v>
      </c>
      <c r="AR40" s="11">
        <v>32</v>
      </c>
      <c r="AS40" s="11">
        <v>25</v>
      </c>
      <c r="AT40" s="11">
        <v>4</v>
      </c>
      <c r="AU40" s="11">
        <v>19</v>
      </c>
      <c r="AV40" s="11">
        <v>7</v>
      </c>
      <c r="AW40" s="11">
        <v>16</v>
      </c>
      <c r="AX40" s="12">
        <v>0.60429999999999995</v>
      </c>
      <c r="AY40" s="12">
        <v>0.57689999999999997</v>
      </c>
      <c r="AZ40" s="12">
        <v>0.37840000000000001</v>
      </c>
      <c r="BA40" s="12">
        <v>0.625</v>
      </c>
      <c r="BB40" s="12">
        <v>0.47539999999999999</v>
      </c>
      <c r="BC40" s="4">
        <v>65.037000000000006</v>
      </c>
      <c r="BD40" s="12">
        <v>0.5484</v>
      </c>
      <c r="BE40" s="12">
        <v>0.16919999999999999</v>
      </c>
      <c r="BF40" s="12">
        <v>0.14430000000000001</v>
      </c>
      <c r="BG40" s="4">
        <v>136.5</v>
      </c>
      <c r="BH40" s="4">
        <v>144.4</v>
      </c>
      <c r="BI40" s="4">
        <v>63.008000000000003</v>
      </c>
      <c r="BJ40" s="12">
        <v>0.74150000000000005</v>
      </c>
      <c r="BK40" s="12">
        <v>0.72640000000000005</v>
      </c>
      <c r="BL40" s="12">
        <v>0.375</v>
      </c>
      <c r="BM40" s="12">
        <v>0.62160000000000004</v>
      </c>
      <c r="BN40" s="12">
        <v>0.52459999999999996</v>
      </c>
      <c r="BO40" s="4">
        <v>60.978999999999999</v>
      </c>
      <c r="BP40" s="12">
        <v>0.80649999999999999</v>
      </c>
      <c r="BQ40" s="12">
        <v>0.26419999999999999</v>
      </c>
      <c r="BR40" s="12">
        <v>0.1024</v>
      </c>
      <c r="BS40" s="4">
        <v>144.4</v>
      </c>
      <c r="BT40" s="4">
        <v>136.5</v>
      </c>
      <c r="BU40" s="11">
        <v>24</v>
      </c>
      <c r="BV40" s="11">
        <v>27</v>
      </c>
      <c r="BW40" s="11">
        <v>27</v>
      </c>
      <c r="BX40" s="11">
        <v>8</v>
      </c>
      <c r="BY40" s="11">
        <v>21</v>
      </c>
      <c r="BZ40" s="11">
        <v>29</v>
      </c>
      <c r="CA40" s="11">
        <v>16</v>
      </c>
      <c r="CB40" s="11">
        <v>25</v>
      </c>
      <c r="CC40" s="11">
        <v>51</v>
      </c>
      <c r="CD40" s="11">
        <v>35</v>
      </c>
      <c r="CE40" s="11">
        <v>50</v>
      </c>
      <c r="CF40" s="11">
        <v>41</v>
      </c>
      <c r="CG40" s="4">
        <v>2.8</v>
      </c>
      <c r="CH40" s="13">
        <v>1.45</v>
      </c>
      <c r="CI40" s="4">
        <v>5.5</v>
      </c>
      <c r="CJ40" s="4">
        <v>-5.5</v>
      </c>
      <c r="CK40" s="4">
        <v>163.5</v>
      </c>
      <c r="CL40" s="2" t="s">
        <v>615</v>
      </c>
      <c r="CM40" s="4" t="str">
        <f>VLOOKUP(lyon[[#This Row],[Away_team]],all[[Full name]:[Abbr]],3,FALSE)</f>
        <v>MON</v>
      </c>
      <c r="CN40" s="4">
        <f>IF(OR(lyon[[#This Row],[Result]]="w",lyon[[#This Row],[Result]]="dw"),lyon[[#This Row],[win]]-1,-1)</f>
        <v>-1</v>
      </c>
      <c r="CO40" s="4">
        <f>IF(OR(lyon[[#This Row],[Result]]="L",lyon[[#This Row],[Result]]="dl"),lyon[[#This Row],[lose]]-1,-1)</f>
        <v>0.44999999999999996</v>
      </c>
      <c r="CP40" s="4">
        <f>IF(OR((lyon[[#This Row],[Home_scored]]+lyon[[#This Row],[Away_scored]])&gt;lyon[[#This Row],[total]],OR(lyon[[#This Row],[Result]]="dw",lyon[[#This Row],[Result]]="dl")),1,0)</f>
        <v>1</v>
      </c>
      <c r="CQ40" s="4">
        <f>ABS((lyon[[#This Row],[Home_scored]]+lyon[[#This Row],[Away_scored]])-lyon[[#This Row],[total]])+0.5</f>
        <v>14</v>
      </c>
    </row>
  </sheetData>
  <conditionalFormatting sqref="A4:A40">
    <cfRule type="expression" dxfId="358" priority="1">
      <formula>SUMPRODUCT(--ISERROR(B4:CL4))&gt;0</formula>
    </cfRule>
  </conditionalFormatting>
  <conditionalFormatting sqref="B4:B40">
    <cfRule type="uniqueValues" dxfId="357" priority="479"/>
  </conditionalFormatting>
  <conditionalFormatting sqref="D4:D40">
    <cfRule type="duplicateValues" dxfId="356" priority="480"/>
  </conditionalFormatting>
  <conditionalFormatting sqref="H4:H40">
    <cfRule type="expression" dxfId="355" priority="3">
      <formula>H4=BU4+BV4+BW4+BX4</formula>
    </cfRule>
  </conditionalFormatting>
  <conditionalFormatting sqref="I4:I40">
    <cfRule type="expression" dxfId="354" priority="2">
      <formula>I4=BY4+BZ4+CA4+CB4</formula>
    </cfRule>
  </conditionalFormatting>
  <hyperlinks>
    <hyperlink ref="A1" location="all_data!A1" display="ratings" xr:uid="{CAB1E391-365F-43CB-BE46-684A915CE242}"/>
  </hyperlink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D4578-DBDE-4BD6-B48A-D6DA160E1114}">
  <sheetPr codeName="Sheet14"/>
  <dimension ref="A1:CQ45"/>
  <sheetViews>
    <sheetView topLeftCell="A13" zoomScale="80" zoomScaleNormal="80" workbookViewId="0">
      <selection activeCell="A46" sqref="A4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349</v>
      </c>
      <c r="B4" s="2" t="s">
        <v>330</v>
      </c>
      <c r="C4" s="3" t="s">
        <v>73</v>
      </c>
      <c r="D4" s="3">
        <v>45555</v>
      </c>
      <c r="E4" s="2" t="s">
        <v>140</v>
      </c>
      <c r="F4" s="2" t="s">
        <v>342</v>
      </c>
      <c r="G4" s="2" t="s">
        <v>139</v>
      </c>
      <c r="H4" s="2">
        <v>66</v>
      </c>
      <c r="I4" s="2">
        <v>68</v>
      </c>
      <c r="J4" s="2">
        <v>23</v>
      </c>
      <c r="K4" s="2">
        <v>59</v>
      </c>
      <c r="L4" s="2">
        <v>0.38979999999999998</v>
      </c>
      <c r="M4" s="2">
        <v>16</v>
      </c>
      <c r="N4" s="2">
        <v>34</v>
      </c>
      <c r="O4" s="2">
        <v>0.47060000000000002</v>
      </c>
      <c r="P4" s="2">
        <v>7</v>
      </c>
      <c r="Q4" s="2">
        <v>25</v>
      </c>
      <c r="R4" s="2">
        <v>0.28000000000000003</v>
      </c>
      <c r="S4" s="2">
        <v>13</v>
      </c>
      <c r="T4" s="2">
        <v>19</v>
      </c>
      <c r="U4" s="2">
        <v>0.68420000000000003</v>
      </c>
      <c r="V4" s="2">
        <v>12</v>
      </c>
      <c r="W4" s="2">
        <v>27</v>
      </c>
      <c r="X4" s="2">
        <v>39</v>
      </c>
      <c r="Y4" s="2">
        <v>16</v>
      </c>
      <c r="Z4" s="2">
        <v>6</v>
      </c>
      <c r="AA4" s="2">
        <v>3</v>
      </c>
      <c r="AB4" s="2">
        <v>16</v>
      </c>
      <c r="AC4" s="2">
        <v>18</v>
      </c>
      <c r="AD4" s="2">
        <v>23</v>
      </c>
      <c r="AE4" s="2">
        <v>59</v>
      </c>
      <c r="AF4" s="2">
        <v>0.38979999999999998</v>
      </c>
      <c r="AG4" s="2">
        <v>9</v>
      </c>
      <c r="AH4" s="2">
        <v>28</v>
      </c>
      <c r="AI4" s="2">
        <v>0.32140000000000002</v>
      </c>
      <c r="AJ4" s="2">
        <v>14</v>
      </c>
      <c r="AK4" s="2">
        <v>31</v>
      </c>
      <c r="AL4" s="2">
        <v>0.4516</v>
      </c>
      <c r="AM4" s="2">
        <v>8</v>
      </c>
      <c r="AN4" s="2">
        <v>11</v>
      </c>
      <c r="AO4" s="2">
        <v>0.72729999999999995</v>
      </c>
      <c r="AP4" s="2">
        <v>11</v>
      </c>
      <c r="AQ4" s="2">
        <v>24</v>
      </c>
      <c r="AR4" s="2">
        <v>35</v>
      </c>
      <c r="AS4" s="2">
        <v>14</v>
      </c>
      <c r="AT4" s="2">
        <v>8</v>
      </c>
      <c r="AU4" s="2">
        <v>3</v>
      </c>
      <c r="AV4" s="2">
        <v>16</v>
      </c>
      <c r="AW4" s="2">
        <v>24</v>
      </c>
      <c r="AX4" s="2">
        <v>0.4899</v>
      </c>
      <c r="AY4" s="2">
        <v>0.44919999999999999</v>
      </c>
      <c r="AZ4" s="2">
        <v>0.33329999999999999</v>
      </c>
      <c r="BA4" s="2">
        <v>0.71050000000000002</v>
      </c>
      <c r="BB4" s="2">
        <v>0.52700000000000002</v>
      </c>
      <c r="BC4" s="4">
        <v>70.748000000000005</v>
      </c>
      <c r="BD4" s="2">
        <v>0.69569999999999999</v>
      </c>
      <c r="BE4" s="2">
        <v>0.2203</v>
      </c>
      <c r="BF4" s="2">
        <v>0.19189999999999999</v>
      </c>
      <c r="BG4" s="2">
        <v>95.6</v>
      </c>
      <c r="BH4" s="2">
        <v>98.5</v>
      </c>
      <c r="BI4" s="2">
        <v>69.021000000000001</v>
      </c>
      <c r="BJ4" s="2">
        <v>0.53259999999999996</v>
      </c>
      <c r="BK4" s="2">
        <v>0.50849999999999995</v>
      </c>
      <c r="BL4" s="2">
        <v>0.28949999999999998</v>
      </c>
      <c r="BM4" s="2">
        <v>0.66669999999999996</v>
      </c>
      <c r="BN4" s="2">
        <v>0.47299999999999998</v>
      </c>
      <c r="BO4" s="4">
        <v>67.293999999999997</v>
      </c>
      <c r="BP4" s="2">
        <v>0.60870000000000002</v>
      </c>
      <c r="BQ4" s="2">
        <v>0.1356</v>
      </c>
      <c r="BR4" s="2">
        <v>0.20039999999999999</v>
      </c>
      <c r="BS4" s="2">
        <v>98.5</v>
      </c>
      <c r="BT4" s="2">
        <v>95.6</v>
      </c>
      <c r="BU4" s="2">
        <v>14</v>
      </c>
      <c r="BV4" s="2">
        <v>15</v>
      </c>
      <c r="BW4" s="2">
        <v>15</v>
      </c>
      <c r="BX4" s="2">
        <v>22</v>
      </c>
      <c r="BY4" s="2">
        <v>17</v>
      </c>
      <c r="BZ4" s="2">
        <v>21</v>
      </c>
      <c r="CA4" s="2">
        <v>20</v>
      </c>
      <c r="CB4" s="2">
        <v>10</v>
      </c>
      <c r="CC4" s="2">
        <v>29</v>
      </c>
      <c r="CD4" s="2">
        <v>37</v>
      </c>
      <c r="CE4" s="2">
        <v>38</v>
      </c>
      <c r="CF4" s="2">
        <v>30</v>
      </c>
      <c r="CG4" s="2">
        <v>1.26</v>
      </c>
      <c r="CH4" s="2">
        <v>4</v>
      </c>
      <c r="CI4" s="2">
        <v>-8.5</v>
      </c>
      <c r="CJ4" s="2">
        <v>8.5</v>
      </c>
      <c r="CK4" s="2">
        <v>156.5</v>
      </c>
      <c r="CL4" s="2" t="s">
        <v>422</v>
      </c>
      <c r="CM4" s="4" t="str">
        <f>VLOOKUP(monaco[[#This Row],[Away_team]],all[[Full name]:[Abbr]],3,FALSE)</f>
        <v>SQU</v>
      </c>
      <c r="CN4" s="4">
        <f>IF(OR(monaco[[#This Row],[Result]]="w",monaco[[#This Row],[Result]]="dw"),monaco[[#This Row],[win]]-1,-1)</f>
        <v>-1</v>
      </c>
      <c r="CO4" s="4">
        <f>IF(OR(monaco[[#This Row],[Result]]="L",monaco[[#This Row],[Result]]="dl"),monaco[[#This Row],[lose]]-1,-1)</f>
        <v>3</v>
      </c>
      <c r="CP4" s="4">
        <f>IF(OR((monaco[[#This Row],[Home_scored]]+monaco[[#This Row],[Away_scored]])&gt;monaco[[#This Row],[total]],OR(monaco[[#This Row],[Result]]="dw",monaco[[#This Row],[Result]]="dl")),1,0)</f>
        <v>0</v>
      </c>
      <c r="CQ4" s="4">
        <f>ABS((monaco[[#This Row],[Home_scored]]+monaco[[#This Row],[Away_scored]])-monaco[[#This Row],[total]])+0.5</f>
        <v>23</v>
      </c>
    </row>
    <row r="5" spans="1:95" x14ac:dyDescent="0.25">
      <c r="A5" s="2" t="s">
        <v>349</v>
      </c>
      <c r="B5" s="2" t="s">
        <v>330</v>
      </c>
      <c r="C5" s="3" t="s">
        <v>73</v>
      </c>
      <c r="D5" s="3">
        <v>45564</v>
      </c>
      <c r="E5" s="2" t="s">
        <v>74</v>
      </c>
      <c r="F5" s="2" t="s">
        <v>345</v>
      </c>
      <c r="G5" s="2" t="s">
        <v>75</v>
      </c>
      <c r="H5" s="11">
        <v>77</v>
      </c>
      <c r="I5" s="11">
        <v>65</v>
      </c>
      <c r="J5" s="11">
        <v>27</v>
      </c>
      <c r="K5" s="11">
        <v>58</v>
      </c>
      <c r="L5" s="12">
        <v>0.46550000000000002</v>
      </c>
      <c r="M5" s="11">
        <v>22</v>
      </c>
      <c r="N5" s="11">
        <v>32</v>
      </c>
      <c r="O5" s="12">
        <v>0.6875</v>
      </c>
      <c r="P5" s="11">
        <v>5</v>
      </c>
      <c r="Q5" s="11">
        <v>26</v>
      </c>
      <c r="R5" s="12">
        <v>0.1923</v>
      </c>
      <c r="S5" s="11">
        <v>18</v>
      </c>
      <c r="T5" s="11">
        <v>28</v>
      </c>
      <c r="U5" s="12">
        <v>0.64290000000000003</v>
      </c>
      <c r="V5" s="11">
        <v>10</v>
      </c>
      <c r="W5" s="11">
        <v>28</v>
      </c>
      <c r="X5" s="11">
        <v>38</v>
      </c>
      <c r="Y5" s="11">
        <v>12</v>
      </c>
      <c r="Z5" s="11">
        <v>11</v>
      </c>
      <c r="AA5" s="11">
        <v>6</v>
      </c>
      <c r="AB5" s="11">
        <v>17</v>
      </c>
      <c r="AC5" s="11">
        <v>22</v>
      </c>
      <c r="AD5" s="11">
        <v>25</v>
      </c>
      <c r="AE5" s="11">
        <v>63</v>
      </c>
      <c r="AF5" s="12">
        <v>0.39679999999999999</v>
      </c>
      <c r="AG5" s="11">
        <v>20</v>
      </c>
      <c r="AH5" s="11">
        <v>39</v>
      </c>
      <c r="AI5" s="12">
        <v>0.51280000000000003</v>
      </c>
      <c r="AJ5" s="11">
        <v>5</v>
      </c>
      <c r="AK5" s="11">
        <v>24</v>
      </c>
      <c r="AL5" s="12">
        <v>0.20830000000000001</v>
      </c>
      <c r="AM5" s="11">
        <v>10</v>
      </c>
      <c r="AN5" s="11">
        <v>21</v>
      </c>
      <c r="AO5" s="12">
        <v>0.47620000000000001</v>
      </c>
      <c r="AP5" s="11">
        <v>12</v>
      </c>
      <c r="AQ5" s="11">
        <v>27</v>
      </c>
      <c r="AR5" s="11">
        <v>39</v>
      </c>
      <c r="AS5" s="11">
        <v>19</v>
      </c>
      <c r="AT5" s="11">
        <v>11</v>
      </c>
      <c r="AU5" s="11">
        <v>0</v>
      </c>
      <c r="AV5" s="11">
        <v>17</v>
      </c>
      <c r="AW5" s="11">
        <v>27</v>
      </c>
      <c r="AX5" s="12">
        <v>0.54749999999999999</v>
      </c>
      <c r="AY5" s="12">
        <v>0.50860000000000005</v>
      </c>
      <c r="AZ5" s="12">
        <v>0.27029999999999998</v>
      </c>
      <c r="BA5" s="12">
        <v>0.7</v>
      </c>
      <c r="BB5" s="12">
        <v>0.49349999999999999</v>
      </c>
      <c r="BC5" s="4">
        <v>77.471000000000004</v>
      </c>
      <c r="BD5" s="12">
        <v>0.44440000000000002</v>
      </c>
      <c r="BE5" s="12">
        <v>0.31030000000000002</v>
      </c>
      <c r="BF5" s="12">
        <v>0.19470000000000001</v>
      </c>
      <c r="BG5" s="4">
        <v>100.4</v>
      </c>
      <c r="BH5" s="4">
        <v>84.8</v>
      </c>
      <c r="BI5" s="4">
        <v>76.680000000000007</v>
      </c>
      <c r="BJ5" s="12">
        <v>0.44990000000000002</v>
      </c>
      <c r="BK5" s="12">
        <v>0.4365</v>
      </c>
      <c r="BL5" s="12">
        <v>0.3</v>
      </c>
      <c r="BM5" s="12">
        <v>0.72970000000000002</v>
      </c>
      <c r="BN5" s="12">
        <v>0.50649999999999995</v>
      </c>
      <c r="BO5" s="4">
        <v>75.888999999999996</v>
      </c>
      <c r="BP5" s="12">
        <v>0.76</v>
      </c>
      <c r="BQ5" s="12">
        <v>0.15870000000000001</v>
      </c>
      <c r="BR5" s="12">
        <v>0.1905</v>
      </c>
      <c r="BS5" s="4">
        <v>84.8</v>
      </c>
      <c r="BT5" s="4">
        <v>100.4</v>
      </c>
      <c r="BU5" s="11">
        <v>19</v>
      </c>
      <c r="BV5" s="11">
        <v>16</v>
      </c>
      <c r="BW5" s="11">
        <v>20</v>
      </c>
      <c r="BX5" s="11">
        <v>22</v>
      </c>
      <c r="BY5" s="11">
        <v>24</v>
      </c>
      <c r="BZ5" s="11">
        <v>16</v>
      </c>
      <c r="CA5" s="11">
        <v>12</v>
      </c>
      <c r="CB5" s="11">
        <v>13</v>
      </c>
      <c r="CC5" s="11">
        <v>35</v>
      </c>
      <c r="CD5" s="11">
        <v>42</v>
      </c>
      <c r="CE5" s="11">
        <v>40</v>
      </c>
      <c r="CF5" s="11">
        <v>25</v>
      </c>
      <c r="CG5" s="4">
        <v>1.18</v>
      </c>
      <c r="CH5" s="13">
        <v>5</v>
      </c>
      <c r="CI5" s="4">
        <v>-10.5</v>
      </c>
      <c r="CJ5" s="4">
        <v>10.5</v>
      </c>
      <c r="CK5" s="4">
        <v>159.5</v>
      </c>
      <c r="CL5" s="2" t="s">
        <v>423</v>
      </c>
      <c r="CM5" s="4" t="str">
        <f>VLOOKUP(monaco[[#This Row],[Away_team]],all[[Full name]:[Abbr]],3,FALSE)</f>
        <v>STR</v>
      </c>
      <c r="CN5" s="4">
        <f>IF(OR(monaco[[#This Row],[Result]]="w",monaco[[#This Row],[Result]]="dw"),monaco[[#This Row],[win]]-1,-1)</f>
        <v>0.17999999999999994</v>
      </c>
      <c r="CO5" s="4">
        <f>IF(OR(monaco[[#This Row],[Result]]="L",monaco[[#This Row],[Result]]="dl"),monaco[[#This Row],[lose]]-1,-1)</f>
        <v>-1</v>
      </c>
      <c r="CP5" s="4">
        <f>IF(OR((monaco[[#This Row],[Home_scored]]+monaco[[#This Row],[Away_scored]])&gt;monaco[[#This Row],[total]],OR(monaco[[#This Row],[Result]]="dw",monaco[[#This Row],[Result]]="dl")),1,0)</f>
        <v>0</v>
      </c>
      <c r="CQ5" s="4">
        <f>ABS((monaco[[#This Row],[Home_scored]]+monaco[[#This Row],[Away_scored]])-monaco[[#This Row],[total]])+0.5</f>
        <v>18</v>
      </c>
    </row>
    <row r="6" spans="1:95" x14ac:dyDescent="0.25">
      <c r="A6" s="2" t="s">
        <v>349</v>
      </c>
      <c r="B6" s="2" t="s">
        <v>330</v>
      </c>
      <c r="C6" s="3" t="s">
        <v>73</v>
      </c>
      <c r="D6" s="3">
        <v>45571</v>
      </c>
      <c r="E6" s="2" t="s">
        <v>140</v>
      </c>
      <c r="F6" s="2" t="s">
        <v>327</v>
      </c>
      <c r="G6" s="2" t="s">
        <v>139</v>
      </c>
      <c r="H6" s="11">
        <v>71</v>
      </c>
      <c r="I6" s="11">
        <v>88</v>
      </c>
      <c r="J6" s="11">
        <v>29</v>
      </c>
      <c r="K6" s="11">
        <v>74</v>
      </c>
      <c r="L6" s="12">
        <v>0.39190000000000003</v>
      </c>
      <c r="M6" s="11">
        <v>23</v>
      </c>
      <c r="N6" s="11">
        <v>45</v>
      </c>
      <c r="O6" s="12">
        <v>0.5111</v>
      </c>
      <c r="P6" s="11">
        <v>6</v>
      </c>
      <c r="Q6" s="11">
        <v>29</v>
      </c>
      <c r="R6" s="12">
        <v>0.2069</v>
      </c>
      <c r="S6" s="11">
        <v>7</v>
      </c>
      <c r="T6" s="11">
        <v>12</v>
      </c>
      <c r="U6" s="12">
        <v>0.58330000000000004</v>
      </c>
      <c r="V6" s="11">
        <v>20</v>
      </c>
      <c r="W6" s="11">
        <v>19</v>
      </c>
      <c r="X6" s="11">
        <v>39</v>
      </c>
      <c r="Y6" s="11">
        <v>17</v>
      </c>
      <c r="Z6" s="11">
        <v>5</v>
      </c>
      <c r="AA6" s="11">
        <v>1</v>
      </c>
      <c r="AB6" s="11">
        <v>12</v>
      </c>
      <c r="AC6" s="11">
        <v>30</v>
      </c>
      <c r="AD6" s="11">
        <v>27</v>
      </c>
      <c r="AE6" s="11">
        <v>55</v>
      </c>
      <c r="AF6" s="12">
        <v>0.4909</v>
      </c>
      <c r="AG6" s="11">
        <v>18</v>
      </c>
      <c r="AH6" s="11">
        <v>34</v>
      </c>
      <c r="AI6" s="12">
        <v>0.52939999999999998</v>
      </c>
      <c r="AJ6" s="11">
        <v>9</v>
      </c>
      <c r="AK6" s="11">
        <v>21</v>
      </c>
      <c r="AL6" s="12">
        <v>0.42859999999999998</v>
      </c>
      <c r="AM6" s="11">
        <v>25</v>
      </c>
      <c r="AN6" s="11">
        <v>31</v>
      </c>
      <c r="AO6" s="12">
        <v>0.80649999999999999</v>
      </c>
      <c r="AP6" s="11">
        <v>11</v>
      </c>
      <c r="AQ6" s="11">
        <v>24</v>
      </c>
      <c r="AR6" s="11">
        <v>35</v>
      </c>
      <c r="AS6" s="11">
        <v>16</v>
      </c>
      <c r="AT6" s="11">
        <v>8</v>
      </c>
      <c r="AU6" s="11">
        <v>3</v>
      </c>
      <c r="AV6" s="11">
        <v>13</v>
      </c>
      <c r="AW6" s="11">
        <v>16</v>
      </c>
      <c r="AX6" s="12">
        <v>0.44779999999999998</v>
      </c>
      <c r="AY6" s="12">
        <v>0.43240000000000001</v>
      </c>
      <c r="AZ6" s="12">
        <v>0.45450000000000002</v>
      </c>
      <c r="BA6" s="12">
        <v>0.63329999999999997</v>
      </c>
      <c r="BB6" s="12">
        <v>0.52700000000000002</v>
      </c>
      <c r="BC6" s="4">
        <v>66.108000000000004</v>
      </c>
      <c r="BD6" s="12">
        <v>0.58620000000000005</v>
      </c>
      <c r="BE6" s="12">
        <v>9.4600000000000004E-2</v>
      </c>
      <c r="BF6" s="12">
        <v>0.13150000000000001</v>
      </c>
      <c r="BG6" s="4">
        <v>103.6</v>
      </c>
      <c r="BH6" s="4">
        <v>128.4</v>
      </c>
      <c r="BI6" s="4">
        <v>68.546000000000006</v>
      </c>
      <c r="BJ6" s="12">
        <v>0.64100000000000001</v>
      </c>
      <c r="BK6" s="12">
        <v>0.57269999999999999</v>
      </c>
      <c r="BL6" s="12">
        <v>0.36670000000000003</v>
      </c>
      <c r="BM6" s="12">
        <v>0.54549999999999998</v>
      </c>
      <c r="BN6" s="12">
        <v>0.47299999999999998</v>
      </c>
      <c r="BO6" s="4">
        <v>70.983999999999995</v>
      </c>
      <c r="BP6" s="12">
        <v>0.59260000000000002</v>
      </c>
      <c r="BQ6" s="12">
        <v>0.45450000000000002</v>
      </c>
      <c r="BR6" s="12">
        <v>0.15920000000000001</v>
      </c>
      <c r="BS6" s="4">
        <v>128.4</v>
      </c>
      <c r="BT6" s="4">
        <v>103.6</v>
      </c>
      <c r="BU6" s="11">
        <v>16</v>
      </c>
      <c r="BV6" s="11">
        <v>20</v>
      </c>
      <c r="BW6" s="11">
        <v>17</v>
      </c>
      <c r="BX6" s="11">
        <v>18</v>
      </c>
      <c r="BY6" s="11">
        <v>21</v>
      </c>
      <c r="BZ6" s="11">
        <v>25</v>
      </c>
      <c r="CA6" s="11">
        <v>20</v>
      </c>
      <c r="CB6" s="11">
        <v>22</v>
      </c>
      <c r="CC6" s="11">
        <v>36</v>
      </c>
      <c r="CD6" s="11">
        <v>35</v>
      </c>
      <c r="CE6" s="11">
        <v>46</v>
      </c>
      <c r="CF6" s="11">
        <v>42</v>
      </c>
      <c r="CG6" s="4">
        <v>1.74</v>
      </c>
      <c r="CH6" s="13">
        <v>2.15</v>
      </c>
      <c r="CI6" s="4">
        <v>-2</v>
      </c>
      <c r="CJ6" s="4">
        <v>2</v>
      </c>
      <c r="CK6" s="4">
        <v>162.5</v>
      </c>
      <c r="CL6" s="2" t="s">
        <v>418</v>
      </c>
      <c r="CM6" s="4" t="str">
        <f>VLOOKUP(monaco[[#This Row],[Away_team]],all[[Full name]:[Abbr]],3,FALSE)</f>
        <v>LYO</v>
      </c>
      <c r="CN6" s="4">
        <f>IF(OR(monaco[[#This Row],[Result]]="w",monaco[[#This Row],[Result]]="dw"),monaco[[#This Row],[win]]-1,-1)</f>
        <v>-1</v>
      </c>
      <c r="CO6" s="4">
        <f>IF(OR(monaco[[#This Row],[Result]]="L",monaco[[#This Row],[Result]]="dl"),monaco[[#This Row],[lose]]-1,-1)</f>
        <v>1.1499999999999999</v>
      </c>
      <c r="CP6" s="4">
        <f>IF(OR((monaco[[#This Row],[Home_scored]]+monaco[[#This Row],[Away_scored]])&gt;monaco[[#This Row],[total]],OR(monaco[[#This Row],[Result]]="dw",monaco[[#This Row],[Result]]="dl")),1,0)</f>
        <v>0</v>
      </c>
      <c r="CQ6" s="4">
        <f>ABS((monaco[[#This Row],[Home_scored]]+monaco[[#This Row],[Away_scored]])-monaco[[#This Row],[total]])+0.5</f>
        <v>4</v>
      </c>
    </row>
    <row r="7" spans="1:95" x14ac:dyDescent="0.25">
      <c r="A7" s="2" t="s">
        <v>349</v>
      </c>
      <c r="B7" s="2" t="s">
        <v>330</v>
      </c>
      <c r="C7" s="3" t="s">
        <v>73</v>
      </c>
      <c r="D7" s="3">
        <v>45577</v>
      </c>
      <c r="E7" s="2" t="s">
        <v>74</v>
      </c>
      <c r="F7" s="2" t="s">
        <v>323</v>
      </c>
      <c r="G7" s="2" t="s">
        <v>75</v>
      </c>
      <c r="H7" s="11">
        <v>82</v>
      </c>
      <c r="I7" s="11">
        <v>62</v>
      </c>
      <c r="J7" s="11">
        <v>28</v>
      </c>
      <c r="K7" s="11">
        <v>54</v>
      </c>
      <c r="L7" s="12">
        <v>0.51849999999999996</v>
      </c>
      <c r="M7" s="11">
        <v>18</v>
      </c>
      <c r="N7" s="11">
        <v>33</v>
      </c>
      <c r="O7" s="12">
        <v>0.54549999999999998</v>
      </c>
      <c r="P7" s="11">
        <v>10</v>
      </c>
      <c r="Q7" s="11">
        <v>21</v>
      </c>
      <c r="R7" s="12">
        <v>0.47620000000000001</v>
      </c>
      <c r="S7" s="11">
        <v>16</v>
      </c>
      <c r="T7" s="11">
        <v>23</v>
      </c>
      <c r="U7" s="12">
        <v>0.69569999999999999</v>
      </c>
      <c r="V7" s="11">
        <v>11</v>
      </c>
      <c r="W7" s="11">
        <v>31</v>
      </c>
      <c r="X7" s="11">
        <v>42</v>
      </c>
      <c r="Y7" s="11">
        <v>22</v>
      </c>
      <c r="Z7" s="11">
        <v>9</v>
      </c>
      <c r="AA7" s="11">
        <v>4</v>
      </c>
      <c r="AB7" s="11">
        <v>16</v>
      </c>
      <c r="AC7" s="11">
        <v>16</v>
      </c>
      <c r="AD7" s="11">
        <v>24</v>
      </c>
      <c r="AE7" s="11">
        <v>60</v>
      </c>
      <c r="AF7" s="12">
        <v>0.4</v>
      </c>
      <c r="AG7" s="11">
        <v>19</v>
      </c>
      <c r="AH7" s="11">
        <v>38</v>
      </c>
      <c r="AI7" s="12">
        <v>0.5</v>
      </c>
      <c r="AJ7" s="11">
        <v>5</v>
      </c>
      <c r="AK7" s="11">
        <v>22</v>
      </c>
      <c r="AL7" s="12">
        <v>0.2273</v>
      </c>
      <c r="AM7" s="11">
        <v>9</v>
      </c>
      <c r="AN7" s="11">
        <v>15</v>
      </c>
      <c r="AO7" s="12">
        <v>0.6</v>
      </c>
      <c r="AP7" s="11">
        <v>9</v>
      </c>
      <c r="AQ7" s="11">
        <v>18</v>
      </c>
      <c r="AR7" s="11">
        <v>27</v>
      </c>
      <c r="AS7" s="11">
        <v>7</v>
      </c>
      <c r="AT7" s="11">
        <v>15</v>
      </c>
      <c r="AU7" s="11">
        <v>2</v>
      </c>
      <c r="AV7" s="11">
        <v>12</v>
      </c>
      <c r="AW7" s="11">
        <v>22</v>
      </c>
      <c r="AX7" s="12">
        <v>0.63939999999999997</v>
      </c>
      <c r="AY7" s="12">
        <v>0.61109999999999998</v>
      </c>
      <c r="AZ7" s="12">
        <v>0.37930000000000003</v>
      </c>
      <c r="BA7" s="12">
        <v>0.77500000000000002</v>
      </c>
      <c r="BB7" s="12">
        <v>0.60870000000000002</v>
      </c>
      <c r="BC7" s="4">
        <v>71.914000000000001</v>
      </c>
      <c r="BD7" s="12">
        <v>0.78569999999999995</v>
      </c>
      <c r="BE7" s="12">
        <v>0.29630000000000001</v>
      </c>
      <c r="BF7" s="12">
        <v>0.19969999999999999</v>
      </c>
      <c r="BG7" s="4">
        <v>119.6</v>
      </c>
      <c r="BH7" s="4">
        <v>90.5</v>
      </c>
      <c r="BI7" s="4">
        <v>68.537000000000006</v>
      </c>
      <c r="BJ7" s="12">
        <v>0.46550000000000002</v>
      </c>
      <c r="BK7" s="12">
        <v>0.44169999999999998</v>
      </c>
      <c r="BL7" s="12">
        <v>0.22500000000000001</v>
      </c>
      <c r="BM7" s="12">
        <v>0.62070000000000003</v>
      </c>
      <c r="BN7" s="12">
        <v>0.39129999999999998</v>
      </c>
      <c r="BO7" s="4">
        <v>65.16</v>
      </c>
      <c r="BP7" s="12">
        <v>0.29170000000000001</v>
      </c>
      <c r="BQ7" s="12">
        <v>0.15</v>
      </c>
      <c r="BR7" s="12">
        <v>0.1527</v>
      </c>
      <c r="BS7" s="4">
        <v>90.5</v>
      </c>
      <c r="BT7" s="4">
        <v>119.6</v>
      </c>
      <c r="BU7" s="11">
        <v>20</v>
      </c>
      <c r="BV7" s="11">
        <v>22</v>
      </c>
      <c r="BW7" s="11">
        <v>15</v>
      </c>
      <c r="BX7" s="11">
        <v>25</v>
      </c>
      <c r="BY7" s="11">
        <v>11</v>
      </c>
      <c r="BZ7" s="11">
        <v>14</v>
      </c>
      <c r="CA7" s="11">
        <v>23</v>
      </c>
      <c r="CB7" s="11">
        <v>14</v>
      </c>
      <c r="CC7" s="11">
        <v>42</v>
      </c>
      <c r="CD7" s="11">
        <v>40</v>
      </c>
      <c r="CE7" s="11">
        <v>25</v>
      </c>
      <c r="CF7" s="11">
        <v>37</v>
      </c>
      <c r="CG7" s="4">
        <v>1.04</v>
      </c>
      <c r="CH7" s="13">
        <v>14</v>
      </c>
      <c r="CI7" s="4">
        <v>-17.5</v>
      </c>
      <c r="CJ7" s="4">
        <v>17.5</v>
      </c>
      <c r="CK7" s="4">
        <v>156.5</v>
      </c>
      <c r="CL7" s="2" t="s">
        <v>410</v>
      </c>
      <c r="CM7" s="4" t="e">
        <f>VLOOKUP(monaco[[#This Row],[Away_team]],all[[Full name]:[Abbr]],3,FALSE)</f>
        <v>#N/A</v>
      </c>
      <c r="CN7" s="4">
        <f>IF(OR(monaco[[#This Row],[Result]]="w",monaco[[#This Row],[Result]]="dw"),monaco[[#This Row],[win]]-1,-1)</f>
        <v>4.0000000000000036E-2</v>
      </c>
      <c r="CO7" s="4">
        <f>IF(OR(monaco[[#This Row],[Result]]="L",monaco[[#This Row],[Result]]="dl"),monaco[[#This Row],[lose]]-1,-1)</f>
        <v>-1</v>
      </c>
      <c r="CP7" s="4">
        <f>IF(OR((monaco[[#This Row],[Home_scored]]+monaco[[#This Row],[Away_scored]])&gt;monaco[[#This Row],[total]],OR(monaco[[#This Row],[Result]]="dw",monaco[[#This Row],[Result]]="dl")),1,0)</f>
        <v>0</v>
      </c>
      <c r="CQ7" s="4">
        <f>ABS((monaco[[#This Row],[Home_scored]]+monaco[[#This Row],[Away_scored]])-monaco[[#This Row],[total]])+0.5</f>
        <v>13</v>
      </c>
    </row>
    <row r="8" spans="1:95" x14ac:dyDescent="0.25">
      <c r="A8" s="2" t="s">
        <v>349</v>
      </c>
      <c r="B8" s="2" t="s">
        <v>330</v>
      </c>
      <c r="C8" s="3" t="s">
        <v>73</v>
      </c>
      <c r="D8" s="3">
        <v>45585</v>
      </c>
      <c r="E8" s="2" t="s">
        <v>74</v>
      </c>
      <c r="F8" s="2" t="s">
        <v>308</v>
      </c>
      <c r="G8" s="2" t="s">
        <v>75</v>
      </c>
      <c r="H8" s="11">
        <v>89</v>
      </c>
      <c r="I8" s="11">
        <v>72</v>
      </c>
      <c r="J8" s="11">
        <v>29</v>
      </c>
      <c r="K8" s="11">
        <v>56</v>
      </c>
      <c r="L8" s="12">
        <v>0.51790000000000003</v>
      </c>
      <c r="M8" s="11">
        <v>20</v>
      </c>
      <c r="N8" s="11">
        <v>34</v>
      </c>
      <c r="O8" s="12">
        <v>0.58819999999999995</v>
      </c>
      <c r="P8" s="11">
        <v>9</v>
      </c>
      <c r="Q8" s="11">
        <v>22</v>
      </c>
      <c r="R8" s="12">
        <v>0.40910000000000002</v>
      </c>
      <c r="S8" s="11">
        <v>22</v>
      </c>
      <c r="T8" s="11">
        <v>33</v>
      </c>
      <c r="U8" s="12">
        <v>0.66669999999999996</v>
      </c>
      <c r="V8" s="11">
        <v>10</v>
      </c>
      <c r="W8" s="11">
        <v>26</v>
      </c>
      <c r="X8" s="11">
        <v>36</v>
      </c>
      <c r="Y8" s="11">
        <v>14</v>
      </c>
      <c r="Z8" s="11">
        <v>11</v>
      </c>
      <c r="AA8" s="11">
        <v>5</v>
      </c>
      <c r="AB8" s="11">
        <v>18</v>
      </c>
      <c r="AC8" s="11">
        <v>22</v>
      </c>
      <c r="AD8" s="11">
        <v>28</v>
      </c>
      <c r="AE8" s="11">
        <v>58</v>
      </c>
      <c r="AF8" s="12">
        <v>0.48280000000000001</v>
      </c>
      <c r="AG8" s="11">
        <v>22</v>
      </c>
      <c r="AH8" s="11">
        <v>37</v>
      </c>
      <c r="AI8" s="12">
        <v>0.59460000000000002</v>
      </c>
      <c r="AJ8" s="11">
        <v>6</v>
      </c>
      <c r="AK8" s="11">
        <v>21</v>
      </c>
      <c r="AL8" s="12">
        <v>0.28570000000000001</v>
      </c>
      <c r="AM8" s="11">
        <v>10</v>
      </c>
      <c r="AN8" s="11">
        <v>18</v>
      </c>
      <c r="AO8" s="12">
        <v>0.55559999999999998</v>
      </c>
      <c r="AP8" s="11">
        <v>8</v>
      </c>
      <c r="AQ8" s="11">
        <v>23</v>
      </c>
      <c r="AR8" s="11">
        <v>31</v>
      </c>
      <c r="AS8" s="11">
        <v>13</v>
      </c>
      <c r="AT8" s="11">
        <v>6</v>
      </c>
      <c r="AU8" s="11">
        <v>1</v>
      </c>
      <c r="AV8" s="11">
        <v>19</v>
      </c>
      <c r="AW8" s="11">
        <v>30</v>
      </c>
      <c r="AX8" s="12">
        <v>0.63100000000000001</v>
      </c>
      <c r="AY8" s="12">
        <v>0.59819999999999995</v>
      </c>
      <c r="AZ8" s="12">
        <v>0.30299999999999999</v>
      </c>
      <c r="BA8" s="12">
        <v>0.76470000000000005</v>
      </c>
      <c r="BB8" s="12">
        <v>0.5373</v>
      </c>
      <c r="BC8" s="4">
        <v>79.174999999999997</v>
      </c>
      <c r="BD8" s="12">
        <v>0.48280000000000001</v>
      </c>
      <c r="BE8" s="12">
        <v>0.39290000000000003</v>
      </c>
      <c r="BF8" s="12">
        <v>0.20330000000000001</v>
      </c>
      <c r="BG8" s="4">
        <v>114.8</v>
      </c>
      <c r="BH8" s="4">
        <v>92.8</v>
      </c>
      <c r="BI8" s="4">
        <v>77.545500000000004</v>
      </c>
      <c r="BJ8" s="12">
        <v>0.54610000000000003</v>
      </c>
      <c r="BK8" s="12">
        <v>0.53449999999999998</v>
      </c>
      <c r="BL8" s="12">
        <v>0.23530000000000001</v>
      </c>
      <c r="BM8" s="12">
        <v>0.69699999999999995</v>
      </c>
      <c r="BN8" s="12">
        <v>0.4627</v>
      </c>
      <c r="BO8" s="4">
        <v>75.915999999999997</v>
      </c>
      <c r="BP8" s="12">
        <v>0.46429999999999999</v>
      </c>
      <c r="BQ8" s="12">
        <v>0.1724</v>
      </c>
      <c r="BR8" s="12">
        <v>0.22370000000000001</v>
      </c>
      <c r="BS8" s="4">
        <v>92.8</v>
      </c>
      <c r="BT8" s="4">
        <v>114.8</v>
      </c>
      <c r="BU8" s="11">
        <v>20</v>
      </c>
      <c r="BV8" s="11">
        <v>17</v>
      </c>
      <c r="BW8" s="11">
        <v>22</v>
      </c>
      <c r="BX8" s="11">
        <v>30</v>
      </c>
      <c r="BY8" s="11">
        <v>20</v>
      </c>
      <c r="BZ8" s="11">
        <v>25</v>
      </c>
      <c r="CA8" s="11">
        <v>19</v>
      </c>
      <c r="CB8" s="11">
        <v>8</v>
      </c>
      <c r="CC8" s="11">
        <v>37</v>
      </c>
      <c r="CD8" s="11">
        <v>52</v>
      </c>
      <c r="CE8" s="11">
        <v>45</v>
      </c>
      <c r="CF8" s="11">
        <v>27</v>
      </c>
      <c r="CG8" s="4">
        <v>1.26</v>
      </c>
      <c r="CH8" s="13">
        <v>4</v>
      </c>
      <c r="CI8" s="4">
        <v>-8.5</v>
      </c>
      <c r="CJ8" s="4">
        <v>8.5</v>
      </c>
      <c r="CK8" s="4">
        <v>157.5</v>
      </c>
      <c r="CL8" s="2" t="s">
        <v>373</v>
      </c>
      <c r="CM8" s="4" t="str">
        <f>VLOOKUP(monaco[[#This Row],[Away_team]],all[[Full name]:[Abbr]],3,FALSE)</f>
        <v>CHO</v>
      </c>
      <c r="CN8" s="4">
        <f>IF(OR(monaco[[#This Row],[Result]]="w",monaco[[#This Row],[Result]]="dw"),monaco[[#This Row],[win]]-1,-1)</f>
        <v>0.26</v>
      </c>
      <c r="CO8" s="4">
        <f>IF(OR(monaco[[#This Row],[Result]]="L",monaco[[#This Row],[Result]]="dl"),monaco[[#This Row],[lose]]-1,-1)</f>
        <v>-1</v>
      </c>
      <c r="CP8" s="4">
        <f>IF(OR((monaco[[#This Row],[Home_scored]]+monaco[[#This Row],[Away_scored]])&gt;monaco[[#This Row],[total]],OR(monaco[[#This Row],[Result]]="dw",monaco[[#This Row],[Result]]="dl")),1,0)</f>
        <v>1</v>
      </c>
      <c r="CQ8" s="4">
        <f>ABS((monaco[[#This Row],[Home_scored]]+monaco[[#This Row],[Away_scored]])-monaco[[#This Row],[total]])+0.5</f>
        <v>4</v>
      </c>
    </row>
    <row r="9" spans="1:95" x14ac:dyDescent="0.25">
      <c r="A9" s="2" t="s">
        <v>349</v>
      </c>
      <c r="B9" s="2" t="s">
        <v>330</v>
      </c>
      <c r="C9" s="3" t="s">
        <v>73</v>
      </c>
      <c r="D9" s="3">
        <v>45591</v>
      </c>
      <c r="E9" s="2" t="s">
        <v>140</v>
      </c>
      <c r="F9" s="2" t="s">
        <v>333</v>
      </c>
      <c r="G9" s="2" t="s">
        <v>75</v>
      </c>
      <c r="H9" s="11">
        <v>98</v>
      </c>
      <c r="I9" s="11">
        <v>77</v>
      </c>
      <c r="J9" s="11">
        <v>36</v>
      </c>
      <c r="K9" s="11">
        <v>66</v>
      </c>
      <c r="L9" s="12">
        <v>0.54549999999999998</v>
      </c>
      <c r="M9" s="11">
        <v>26</v>
      </c>
      <c r="N9" s="11">
        <v>39</v>
      </c>
      <c r="O9" s="12">
        <v>0.66669999999999996</v>
      </c>
      <c r="P9" s="11">
        <v>10</v>
      </c>
      <c r="Q9" s="11">
        <v>27</v>
      </c>
      <c r="R9" s="12">
        <v>0.37040000000000001</v>
      </c>
      <c r="S9" s="11">
        <v>16</v>
      </c>
      <c r="T9" s="11">
        <v>23</v>
      </c>
      <c r="U9" s="12">
        <v>0.69569999999999999</v>
      </c>
      <c r="V9" s="11">
        <v>11</v>
      </c>
      <c r="W9" s="11">
        <v>31</v>
      </c>
      <c r="X9" s="11">
        <v>42</v>
      </c>
      <c r="Y9" s="11">
        <v>23</v>
      </c>
      <c r="Z9" s="11">
        <v>5</v>
      </c>
      <c r="AA9" s="11">
        <v>6</v>
      </c>
      <c r="AB9" s="11">
        <v>14</v>
      </c>
      <c r="AC9" s="11">
        <v>22</v>
      </c>
      <c r="AD9" s="11">
        <v>29</v>
      </c>
      <c r="AE9" s="11">
        <v>72</v>
      </c>
      <c r="AF9" s="12">
        <v>0.40279999999999999</v>
      </c>
      <c r="AG9" s="11">
        <v>25</v>
      </c>
      <c r="AH9" s="11">
        <v>47</v>
      </c>
      <c r="AI9" s="12">
        <v>0.53190000000000004</v>
      </c>
      <c r="AJ9" s="11">
        <v>4</v>
      </c>
      <c r="AK9" s="11">
        <v>25</v>
      </c>
      <c r="AL9" s="12">
        <v>0.16</v>
      </c>
      <c r="AM9" s="11">
        <v>15</v>
      </c>
      <c r="AN9" s="11">
        <v>24</v>
      </c>
      <c r="AO9" s="12">
        <v>0.625</v>
      </c>
      <c r="AP9" s="11">
        <v>16</v>
      </c>
      <c r="AQ9" s="11">
        <v>20</v>
      </c>
      <c r="AR9" s="11">
        <v>36</v>
      </c>
      <c r="AS9" s="11">
        <v>18</v>
      </c>
      <c r="AT9" s="11">
        <v>8</v>
      </c>
      <c r="AU9" s="11">
        <v>4</v>
      </c>
      <c r="AV9" s="11">
        <v>9</v>
      </c>
      <c r="AW9" s="11">
        <v>24</v>
      </c>
      <c r="AX9" s="12">
        <v>0.64370000000000005</v>
      </c>
      <c r="AY9" s="12">
        <v>0.62119999999999997</v>
      </c>
      <c r="AZ9" s="12">
        <v>0.3548</v>
      </c>
      <c r="BA9" s="12">
        <v>0.65959999999999996</v>
      </c>
      <c r="BB9" s="12">
        <v>0.53849999999999998</v>
      </c>
      <c r="BC9" s="4">
        <v>80.793000000000006</v>
      </c>
      <c r="BD9" s="12">
        <v>0.63890000000000002</v>
      </c>
      <c r="BE9" s="12">
        <v>0.2424</v>
      </c>
      <c r="BF9" s="12">
        <v>0.15529999999999999</v>
      </c>
      <c r="BG9" s="4">
        <v>129.80000000000001</v>
      </c>
      <c r="BH9" s="4">
        <v>102</v>
      </c>
      <c r="BI9" s="4">
        <v>75.471999999999994</v>
      </c>
      <c r="BJ9" s="12">
        <v>0.46629999999999999</v>
      </c>
      <c r="BK9" s="12">
        <v>0.43059999999999998</v>
      </c>
      <c r="BL9" s="12">
        <v>0.34039999999999998</v>
      </c>
      <c r="BM9" s="12">
        <v>0.6452</v>
      </c>
      <c r="BN9" s="12">
        <v>0.46150000000000002</v>
      </c>
      <c r="BO9" s="4">
        <v>70.150999999999996</v>
      </c>
      <c r="BP9" s="12">
        <v>0.62070000000000003</v>
      </c>
      <c r="BQ9" s="12">
        <v>0.20830000000000001</v>
      </c>
      <c r="BR9" s="12">
        <v>9.8299999999999998E-2</v>
      </c>
      <c r="BS9" s="4">
        <v>102</v>
      </c>
      <c r="BT9" s="4">
        <v>129.80000000000001</v>
      </c>
      <c r="BU9" s="11">
        <v>17</v>
      </c>
      <c r="BV9" s="11">
        <v>30</v>
      </c>
      <c r="BW9" s="11">
        <v>31</v>
      </c>
      <c r="BX9" s="11">
        <v>20</v>
      </c>
      <c r="BY9" s="11">
        <v>21</v>
      </c>
      <c r="BZ9" s="11">
        <v>13</v>
      </c>
      <c r="CA9" s="11">
        <v>21</v>
      </c>
      <c r="CB9" s="11">
        <v>22</v>
      </c>
      <c r="CC9" s="11">
        <v>47</v>
      </c>
      <c r="CD9" s="11">
        <v>51</v>
      </c>
      <c r="CE9" s="11">
        <v>34</v>
      </c>
      <c r="CF9" s="11">
        <v>43</v>
      </c>
      <c r="CG9" s="4">
        <v>1.22</v>
      </c>
      <c r="CH9" s="13">
        <v>4.5</v>
      </c>
      <c r="CI9" s="4">
        <v>-9.5</v>
      </c>
      <c r="CJ9" s="4">
        <v>9.5</v>
      </c>
      <c r="CK9" s="4">
        <v>157.5</v>
      </c>
      <c r="CL9" s="2" t="s">
        <v>424</v>
      </c>
      <c r="CM9" s="4" t="str">
        <f>VLOOKUP(monaco[[#This Row],[Away_team]],all[[Full name]:[Abbr]],3,FALSE)</f>
        <v>NCY</v>
      </c>
      <c r="CN9" s="4">
        <f>IF(OR(monaco[[#This Row],[Result]]="w",monaco[[#This Row],[Result]]="dw"),monaco[[#This Row],[win]]-1,-1)</f>
        <v>0.21999999999999997</v>
      </c>
      <c r="CO9" s="4">
        <f>IF(OR(monaco[[#This Row],[Result]]="L",monaco[[#This Row],[Result]]="dl"),monaco[[#This Row],[lose]]-1,-1)</f>
        <v>-1</v>
      </c>
      <c r="CP9" s="4">
        <f>IF(OR((monaco[[#This Row],[Home_scored]]+monaco[[#This Row],[Away_scored]])&gt;monaco[[#This Row],[total]],OR(monaco[[#This Row],[Result]]="dw",monaco[[#This Row],[Result]]="dl")),1,0)</f>
        <v>1</v>
      </c>
      <c r="CQ9" s="4">
        <f>ABS((monaco[[#This Row],[Home_scored]]+monaco[[#This Row],[Away_scored]])-monaco[[#This Row],[total]])+0.5</f>
        <v>18</v>
      </c>
    </row>
    <row r="10" spans="1:95" x14ac:dyDescent="0.25">
      <c r="A10" s="2" t="s">
        <v>349</v>
      </c>
      <c r="B10" s="2" t="s">
        <v>330</v>
      </c>
      <c r="C10" s="3" t="s">
        <v>73</v>
      </c>
      <c r="D10" s="3">
        <v>45599</v>
      </c>
      <c r="E10" s="2" t="s">
        <v>140</v>
      </c>
      <c r="F10" s="2" t="s">
        <v>314</v>
      </c>
      <c r="G10" s="2" t="s">
        <v>75</v>
      </c>
      <c r="H10" s="11">
        <v>83</v>
      </c>
      <c r="I10" s="11">
        <v>74</v>
      </c>
      <c r="J10" s="11">
        <v>31</v>
      </c>
      <c r="K10" s="11">
        <v>66</v>
      </c>
      <c r="L10" s="12">
        <v>0.46970000000000001</v>
      </c>
      <c r="M10" s="11">
        <v>22</v>
      </c>
      <c r="N10" s="11">
        <v>39</v>
      </c>
      <c r="O10" s="12">
        <v>0.56410000000000005</v>
      </c>
      <c r="P10" s="11">
        <v>9</v>
      </c>
      <c r="Q10" s="11">
        <v>27</v>
      </c>
      <c r="R10" s="12">
        <v>0.33329999999999999</v>
      </c>
      <c r="S10" s="11">
        <v>12</v>
      </c>
      <c r="T10" s="11">
        <v>17</v>
      </c>
      <c r="U10" s="12">
        <v>0.70589999999999997</v>
      </c>
      <c r="V10" s="11">
        <v>10</v>
      </c>
      <c r="W10" s="11">
        <v>28</v>
      </c>
      <c r="X10" s="11">
        <v>38</v>
      </c>
      <c r="Y10" s="11">
        <v>13</v>
      </c>
      <c r="Z10" s="11">
        <v>6</v>
      </c>
      <c r="AA10" s="11">
        <v>3</v>
      </c>
      <c r="AB10" s="11">
        <v>14</v>
      </c>
      <c r="AC10" s="11">
        <v>25</v>
      </c>
      <c r="AD10" s="11">
        <v>28</v>
      </c>
      <c r="AE10" s="11">
        <v>60</v>
      </c>
      <c r="AF10" s="12">
        <v>0.4667</v>
      </c>
      <c r="AG10" s="11">
        <v>24</v>
      </c>
      <c r="AH10" s="11">
        <v>47</v>
      </c>
      <c r="AI10" s="12">
        <v>0.51060000000000005</v>
      </c>
      <c r="AJ10" s="11">
        <v>4</v>
      </c>
      <c r="AK10" s="11">
        <v>13</v>
      </c>
      <c r="AL10" s="12">
        <v>0.30769999999999997</v>
      </c>
      <c r="AM10" s="11">
        <v>14</v>
      </c>
      <c r="AN10" s="11">
        <v>21</v>
      </c>
      <c r="AO10" s="12">
        <v>0.66669999999999996</v>
      </c>
      <c r="AP10" s="11">
        <v>8</v>
      </c>
      <c r="AQ10" s="11">
        <v>24</v>
      </c>
      <c r="AR10" s="11">
        <v>32</v>
      </c>
      <c r="AS10" s="11">
        <v>13</v>
      </c>
      <c r="AT10" s="11">
        <v>5</v>
      </c>
      <c r="AU10" s="11">
        <v>1</v>
      </c>
      <c r="AV10" s="11">
        <v>12</v>
      </c>
      <c r="AW10" s="11">
        <v>20</v>
      </c>
      <c r="AX10" s="12">
        <v>0.56479999999999997</v>
      </c>
      <c r="AY10" s="12">
        <v>0.53790000000000004</v>
      </c>
      <c r="AZ10" s="12">
        <v>0.29409999999999997</v>
      </c>
      <c r="BA10" s="12">
        <v>0.77780000000000005</v>
      </c>
      <c r="BB10" s="12">
        <v>0.54290000000000005</v>
      </c>
      <c r="BC10" s="4">
        <v>76.944999999999993</v>
      </c>
      <c r="BD10" s="12">
        <v>0.4194</v>
      </c>
      <c r="BE10" s="12">
        <v>0.18179999999999999</v>
      </c>
      <c r="BF10" s="12">
        <v>0.16</v>
      </c>
      <c r="BG10" s="4">
        <v>111.6</v>
      </c>
      <c r="BH10" s="4">
        <v>99.5</v>
      </c>
      <c r="BI10" s="4">
        <v>74.392499999999998</v>
      </c>
      <c r="BJ10" s="12">
        <v>0.53439999999999999</v>
      </c>
      <c r="BK10" s="12">
        <v>0.5</v>
      </c>
      <c r="BL10" s="12">
        <v>0.22220000000000001</v>
      </c>
      <c r="BM10" s="12">
        <v>0.70589999999999997</v>
      </c>
      <c r="BN10" s="12">
        <v>0.45710000000000001</v>
      </c>
      <c r="BO10" s="4">
        <v>71.84</v>
      </c>
      <c r="BP10" s="12">
        <v>0.46429999999999999</v>
      </c>
      <c r="BQ10" s="12">
        <v>0.23330000000000001</v>
      </c>
      <c r="BR10" s="12">
        <v>0.1477</v>
      </c>
      <c r="BS10" s="4">
        <v>99.5</v>
      </c>
      <c r="BT10" s="4">
        <v>111.6</v>
      </c>
      <c r="BU10" s="11">
        <v>23</v>
      </c>
      <c r="BV10" s="11">
        <v>24</v>
      </c>
      <c r="BW10" s="11">
        <v>15</v>
      </c>
      <c r="BX10" s="11">
        <v>21</v>
      </c>
      <c r="BY10" s="11">
        <v>21</v>
      </c>
      <c r="BZ10" s="11">
        <v>28</v>
      </c>
      <c r="CA10" s="11">
        <v>8</v>
      </c>
      <c r="CB10" s="11">
        <v>17</v>
      </c>
      <c r="CC10" s="11">
        <v>47</v>
      </c>
      <c r="CD10" s="11">
        <v>36</v>
      </c>
      <c r="CE10" s="11">
        <v>49</v>
      </c>
      <c r="CF10" s="11">
        <v>25</v>
      </c>
      <c r="CG10" s="4">
        <v>1.32</v>
      </c>
      <c r="CH10" s="13">
        <v>3.5</v>
      </c>
      <c r="CI10" s="4">
        <v>-7.5</v>
      </c>
      <c r="CJ10" s="4">
        <v>7.5</v>
      </c>
      <c r="CK10" s="4">
        <v>156.5</v>
      </c>
      <c r="CL10" s="2" t="s">
        <v>389</v>
      </c>
      <c r="CM10" s="4" t="str">
        <f>VLOOKUP(monaco[[#This Row],[Away_team]],all[[Full name]:[Abbr]],3,FALSE)</f>
        <v>DUN</v>
      </c>
      <c r="CN10" s="4">
        <f>IF(OR(monaco[[#This Row],[Result]]="w",monaco[[#This Row],[Result]]="dw"),monaco[[#This Row],[win]]-1,-1)</f>
        <v>0.32000000000000006</v>
      </c>
      <c r="CO10" s="4">
        <f>IF(OR(monaco[[#This Row],[Result]]="L",monaco[[#This Row],[Result]]="dl"),monaco[[#This Row],[lose]]-1,-1)</f>
        <v>-1</v>
      </c>
      <c r="CP10" s="4">
        <f>IF(OR((monaco[[#This Row],[Home_scored]]+monaco[[#This Row],[Away_scored]])&gt;monaco[[#This Row],[total]],OR(monaco[[#This Row],[Result]]="dw",monaco[[#This Row],[Result]]="dl")),1,0)</f>
        <v>1</v>
      </c>
      <c r="CQ10" s="4">
        <f>ABS((monaco[[#This Row],[Home_scored]]+monaco[[#This Row],[Away_scored]])-monaco[[#This Row],[total]])+0.5</f>
        <v>1</v>
      </c>
    </row>
    <row r="11" spans="1:95" x14ac:dyDescent="0.25">
      <c r="A11" s="2" t="s">
        <v>349</v>
      </c>
      <c r="B11" s="2" t="s">
        <v>330</v>
      </c>
      <c r="C11" s="3" t="s">
        <v>73</v>
      </c>
      <c r="D11" s="3">
        <v>45606</v>
      </c>
      <c r="E11" s="2" t="s">
        <v>74</v>
      </c>
      <c r="F11" s="2" t="s">
        <v>311</v>
      </c>
      <c r="G11" s="2" t="s">
        <v>75</v>
      </c>
      <c r="H11" s="11">
        <v>76</v>
      </c>
      <c r="I11" s="11">
        <v>74</v>
      </c>
      <c r="J11" s="11">
        <v>25</v>
      </c>
      <c r="K11" s="11">
        <v>58</v>
      </c>
      <c r="L11" s="12">
        <v>0.43099999999999999</v>
      </c>
      <c r="M11" s="11">
        <v>20</v>
      </c>
      <c r="N11" s="11">
        <v>36</v>
      </c>
      <c r="O11" s="12">
        <v>0.55559999999999998</v>
      </c>
      <c r="P11" s="11">
        <v>5</v>
      </c>
      <c r="Q11" s="11">
        <v>22</v>
      </c>
      <c r="R11" s="12">
        <v>0.2273</v>
      </c>
      <c r="S11" s="11">
        <v>21</v>
      </c>
      <c r="T11" s="11">
        <v>29</v>
      </c>
      <c r="U11" s="12">
        <v>0.72409999999999997</v>
      </c>
      <c r="V11" s="11">
        <v>11</v>
      </c>
      <c r="W11" s="11">
        <v>28</v>
      </c>
      <c r="X11" s="11">
        <v>39</v>
      </c>
      <c r="Y11" s="11">
        <v>17</v>
      </c>
      <c r="Z11" s="11">
        <v>4</v>
      </c>
      <c r="AA11" s="11">
        <v>6</v>
      </c>
      <c r="AB11" s="11">
        <v>10</v>
      </c>
      <c r="AC11" s="11">
        <v>17</v>
      </c>
      <c r="AD11" s="11">
        <v>28</v>
      </c>
      <c r="AE11" s="11">
        <v>66</v>
      </c>
      <c r="AF11" s="12">
        <v>0.42420000000000002</v>
      </c>
      <c r="AG11" s="11">
        <v>23</v>
      </c>
      <c r="AH11" s="11">
        <v>43</v>
      </c>
      <c r="AI11" s="12">
        <v>0.53490000000000004</v>
      </c>
      <c r="AJ11" s="11">
        <v>5</v>
      </c>
      <c r="AK11" s="11">
        <v>23</v>
      </c>
      <c r="AL11" s="12">
        <v>0.21740000000000001</v>
      </c>
      <c r="AM11" s="11">
        <v>13</v>
      </c>
      <c r="AN11" s="11">
        <v>17</v>
      </c>
      <c r="AO11" s="12">
        <v>0.76470000000000005</v>
      </c>
      <c r="AP11" s="11">
        <v>9</v>
      </c>
      <c r="AQ11" s="11">
        <v>25</v>
      </c>
      <c r="AR11" s="11">
        <v>34</v>
      </c>
      <c r="AS11" s="11">
        <v>21</v>
      </c>
      <c r="AT11" s="11">
        <v>6</v>
      </c>
      <c r="AU11" s="11">
        <v>2</v>
      </c>
      <c r="AV11" s="11">
        <v>6</v>
      </c>
      <c r="AW11" s="11">
        <v>23</v>
      </c>
      <c r="AX11" s="12">
        <v>0.53700000000000003</v>
      </c>
      <c r="AY11" s="12">
        <v>0.47410000000000002</v>
      </c>
      <c r="AZ11" s="12">
        <v>0.30559999999999998</v>
      </c>
      <c r="BA11" s="12">
        <v>0.75680000000000003</v>
      </c>
      <c r="BB11" s="12">
        <v>0.53420000000000001</v>
      </c>
      <c r="BC11" s="4">
        <v>69.641000000000005</v>
      </c>
      <c r="BD11" s="12">
        <v>0.68</v>
      </c>
      <c r="BE11" s="12">
        <v>0.36209999999999998</v>
      </c>
      <c r="BF11" s="12">
        <v>0.12379999999999999</v>
      </c>
      <c r="BG11" s="4">
        <v>110.4</v>
      </c>
      <c r="BH11" s="4">
        <v>107.5</v>
      </c>
      <c r="BI11" s="4">
        <v>68.838999999999999</v>
      </c>
      <c r="BJ11" s="12">
        <v>0.50349999999999995</v>
      </c>
      <c r="BK11" s="12">
        <v>0.46210000000000001</v>
      </c>
      <c r="BL11" s="12">
        <v>0.2432</v>
      </c>
      <c r="BM11" s="12">
        <v>0.69440000000000002</v>
      </c>
      <c r="BN11" s="12">
        <v>0.46579999999999999</v>
      </c>
      <c r="BO11" s="4">
        <v>68.037000000000006</v>
      </c>
      <c r="BP11" s="12">
        <v>0.75</v>
      </c>
      <c r="BQ11" s="12">
        <v>0.19700000000000001</v>
      </c>
      <c r="BR11" s="12">
        <v>7.5499999999999998E-2</v>
      </c>
      <c r="BS11" s="4">
        <v>107.5</v>
      </c>
      <c r="BT11" s="4">
        <v>110.4</v>
      </c>
      <c r="BU11" s="11">
        <v>13</v>
      </c>
      <c r="BV11" s="11">
        <v>23</v>
      </c>
      <c r="BW11" s="11">
        <v>21</v>
      </c>
      <c r="BX11" s="11">
        <v>19</v>
      </c>
      <c r="BY11" s="11">
        <v>13</v>
      </c>
      <c r="BZ11" s="11">
        <v>19</v>
      </c>
      <c r="CA11" s="11">
        <v>24</v>
      </c>
      <c r="CB11" s="11">
        <v>18</v>
      </c>
      <c r="CC11" s="11">
        <v>36</v>
      </c>
      <c r="CD11" s="11">
        <v>40</v>
      </c>
      <c r="CE11" s="11">
        <v>32</v>
      </c>
      <c r="CF11" s="11">
        <v>42</v>
      </c>
      <c r="CG11" s="4">
        <v>1.18</v>
      </c>
      <c r="CH11" s="13">
        <v>5</v>
      </c>
      <c r="CI11" s="4">
        <v>-10.5</v>
      </c>
      <c r="CJ11" s="4">
        <v>10.5</v>
      </c>
      <c r="CK11" s="4">
        <v>157.5</v>
      </c>
      <c r="CL11" s="2" t="s">
        <v>381</v>
      </c>
      <c r="CM11" s="4" t="str">
        <f>VLOOKUP(monaco[[#This Row],[Away_team]],all[[Full name]:[Abbr]],3,FALSE)</f>
        <v>DIJ</v>
      </c>
      <c r="CN11" s="4">
        <f>IF(OR(monaco[[#This Row],[Result]]="w",monaco[[#This Row],[Result]]="dw"),monaco[[#This Row],[win]]-1,-1)</f>
        <v>0.17999999999999994</v>
      </c>
      <c r="CO11" s="4">
        <f>IF(OR(monaco[[#This Row],[Result]]="L",monaco[[#This Row],[Result]]="dl"),monaco[[#This Row],[lose]]-1,-1)</f>
        <v>-1</v>
      </c>
      <c r="CP11" s="4">
        <f>IF(OR((monaco[[#This Row],[Home_scored]]+monaco[[#This Row],[Away_scored]])&gt;monaco[[#This Row],[total]],OR(monaco[[#This Row],[Result]]="dw",monaco[[#This Row],[Result]]="dl")),1,0)</f>
        <v>0</v>
      </c>
      <c r="CQ11" s="4">
        <f>ABS((monaco[[#This Row],[Home_scored]]+monaco[[#This Row],[Away_scored]])-monaco[[#This Row],[total]])+0.5</f>
        <v>8</v>
      </c>
    </row>
    <row r="12" spans="1:95" x14ac:dyDescent="0.25">
      <c r="A12" s="2" t="s">
        <v>349</v>
      </c>
      <c r="B12" s="2" t="s">
        <v>330</v>
      </c>
      <c r="C12" s="3" t="s">
        <v>73</v>
      </c>
      <c r="D12" s="3">
        <v>45613</v>
      </c>
      <c r="E12" s="2" t="s">
        <v>74</v>
      </c>
      <c r="F12" s="2" t="s">
        <v>317</v>
      </c>
      <c r="G12" s="2" t="s">
        <v>139</v>
      </c>
      <c r="H12" s="11">
        <v>74</v>
      </c>
      <c r="I12" s="11">
        <v>86</v>
      </c>
      <c r="J12" s="11">
        <v>21</v>
      </c>
      <c r="K12" s="11">
        <v>61</v>
      </c>
      <c r="L12" s="12">
        <v>0.34429999999999999</v>
      </c>
      <c r="M12" s="11">
        <v>17</v>
      </c>
      <c r="N12" s="11">
        <v>36</v>
      </c>
      <c r="O12" s="12">
        <v>0.47220000000000001</v>
      </c>
      <c r="P12" s="11">
        <v>4</v>
      </c>
      <c r="Q12" s="11">
        <v>25</v>
      </c>
      <c r="R12" s="12">
        <v>0.16</v>
      </c>
      <c r="S12" s="11">
        <v>28</v>
      </c>
      <c r="T12" s="11">
        <v>32</v>
      </c>
      <c r="U12" s="12">
        <v>0.875</v>
      </c>
      <c r="V12" s="11">
        <v>9</v>
      </c>
      <c r="W12" s="11">
        <v>23</v>
      </c>
      <c r="X12" s="11">
        <v>32</v>
      </c>
      <c r="Y12" s="11">
        <v>14</v>
      </c>
      <c r="Z12" s="11">
        <v>6</v>
      </c>
      <c r="AA12" s="11">
        <v>3</v>
      </c>
      <c r="AB12" s="11">
        <v>11</v>
      </c>
      <c r="AC12" s="11">
        <v>23</v>
      </c>
      <c r="AD12" s="11">
        <v>27</v>
      </c>
      <c r="AE12" s="11">
        <v>66</v>
      </c>
      <c r="AF12" s="12">
        <v>0.40910000000000002</v>
      </c>
      <c r="AG12" s="11">
        <v>15</v>
      </c>
      <c r="AH12" s="11">
        <v>38</v>
      </c>
      <c r="AI12" s="12">
        <v>0.3947</v>
      </c>
      <c r="AJ12" s="11">
        <v>12</v>
      </c>
      <c r="AK12" s="11">
        <v>28</v>
      </c>
      <c r="AL12" s="12">
        <v>0.42859999999999998</v>
      </c>
      <c r="AM12" s="11">
        <v>20</v>
      </c>
      <c r="AN12" s="11">
        <v>21</v>
      </c>
      <c r="AO12" s="12">
        <v>0.95240000000000002</v>
      </c>
      <c r="AP12" s="11">
        <v>14</v>
      </c>
      <c r="AQ12" s="11">
        <v>33</v>
      </c>
      <c r="AR12" s="11">
        <v>47</v>
      </c>
      <c r="AS12" s="11">
        <v>20</v>
      </c>
      <c r="AT12" s="11">
        <v>7</v>
      </c>
      <c r="AU12" s="11">
        <v>2</v>
      </c>
      <c r="AV12" s="11">
        <v>14</v>
      </c>
      <c r="AW12" s="11">
        <v>24</v>
      </c>
      <c r="AX12" s="12">
        <v>0.49280000000000002</v>
      </c>
      <c r="AY12" s="12">
        <v>0.377</v>
      </c>
      <c r="AZ12" s="12">
        <v>0.21429999999999999</v>
      </c>
      <c r="BA12" s="12">
        <v>0.62160000000000004</v>
      </c>
      <c r="BB12" s="12">
        <v>0.40510000000000002</v>
      </c>
      <c r="BC12" s="4">
        <v>72.763000000000005</v>
      </c>
      <c r="BD12" s="12">
        <v>0.66669999999999996</v>
      </c>
      <c r="BE12" s="12">
        <v>0.45900000000000002</v>
      </c>
      <c r="BF12" s="12">
        <v>0.1278</v>
      </c>
      <c r="BG12" s="4">
        <v>99.5</v>
      </c>
      <c r="BH12" s="4">
        <v>115.6</v>
      </c>
      <c r="BI12" s="4">
        <v>74.366500000000002</v>
      </c>
      <c r="BJ12" s="12">
        <v>0.57150000000000001</v>
      </c>
      <c r="BK12" s="12">
        <v>0.5</v>
      </c>
      <c r="BL12" s="12">
        <v>0.37840000000000001</v>
      </c>
      <c r="BM12" s="12">
        <v>0.78569999999999995</v>
      </c>
      <c r="BN12" s="12">
        <v>0.59489999999999998</v>
      </c>
      <c r="BO12" s="4">
        <v>75.97</v>
      </c>
      <c r="BP12" s="12">
        <v>0.74070000000000003</v>
      </c>
      <c r="BQ12" s="12">
        <v>0.30299999999999999</v>
      </c>
      <c r="BR12" s="12">
        <v>0.15690000000000001</v>
      </c>
      <c r="BS12" s="4">
        <v>115.6</v>
      </c>
      <c r="BT12" s="4">
        <v>99.5</v>
      </c>
      <c r="BU12" s="11">
        <v>17</v>
      </c>
      <c r="BV12" s="11">
        <v>18</v>
      </c>
      <c r="BW12" s="11">
        <v>18</v>
      </c>
      <c r="BX12" s="11">
        <v>21</v>
      </c>
      <c r="BY12" s="11">
        <v>24</v>
      </c>
      <c r="BZ12" s="11">
        <v>21</v>
      </c>
      <c r="CA12" s="11">
        <v>15</v>
      </c>
      <c r="CB12" s="11">
        <v>26</v>
      </c>
      <c r="CC12" s="11">
        <v>35</v>
      </c>
      <c r="CD12" s="11">
        <v>39</v>
      </c>
      <c r="CE12" s="11">
        <v>45</v>
      </c>
      <c r="CF12" s="11">
        <v>41</v>
      </c>
      <c r="CG12" s="4">
        <v>1.22</v>
      </c>
      <c r="CH12" s="13">
        <v>4.5</v>
      </c>
      <c r="CI12" s="4">
        <v>-9.5</v>
      </c>
      <c r="CJ12" s="4">
        <v>9.5</v>
      </c>
      <c r="CK12" s="4">
        <v>159.5</v>
      </c>
      <c r="CL12" s="2" t="s">
        <v>400</v>
      </c>
      <c r="CM12" s="4" t="str">
        <f>VLOOKUP(monaco[[#This Row],[Away_team]],all[[Full name]:[Abbr]],3,FALSE)</f>
        <v>LEM</v>
      </c>
      <c r="CN12" s="4">
        <f>IF(OR(monaco[[#This Row],[Result]]="w",monaco[[#This Row],[Result]]="dw"),monaco[[#This Row],[win]]-1,-1)</f>
        <v>-1</v>
      </c>
      <c r="CO12" s="4">
        <f>IF(OR(monaco[[#This Row],[Result]]="L",monaco[[#This Row],[Result]]="dl"),monaco[[#This Row],[lose]]-1,-1)</f>
        <v>3.5</v>
      </c>
      <c r="CP12" s="4">
        <f>IF(OR((monaco[[#This Row],[Home_scored]]+monaco[[#This Row],[Away_scored]])&gt;monaco[[#This Row],[total]],OR(monaco[[#This Row],[Result]]="dw",monaco[[#This Row],[Result]]="dl")),1,0)</f>
        <v>1</v>
      </c>
      <c r="CQ12" s="4">
        <f>ABS((monaco[[#This Row],[Home_scored]]+monaco[[#This Row],[Away_scored]])-monaco[[#This Row],[total]])+0.5</f>
        <v>1</v>
      </c>
    </row>
    <row r="13" spans="1:95" x14ac:dyDescent="0.25">
      <c r="A13" s="2" t="s">
        <v>349</v>
      </c>
      <c r="B13" s="2" t="s">
        <v>330</v>
      </c>
      <c r="C13" s="3" t="s">
        <v>73</v>
      </c>
      <c r="D13" s="3">
        <v>45627</v>
      </c>
      <c r="E13" s="2" t="s">
        <v>140</v>
      </c>
      <c r="F13" s="2" t="s">
        <v>302</v>
      </c>
      <c r="G13" s="2" t="s">
        <v>75</v>
      </c>
      <c r="H13" s="11">
        <v>109</v>
      </c>
      <c r="I13" s="11">
        <v>94</v>
      </c>
      <c r="J13" s="11">
        <v>36</v>
      </c>
      <c r="K13" s="11">
        <v>56</v>
      </c>
      <c r="L13" s="12">
        <v>0.64290000000000003</v>
      </c>
      <c r="M13" s="11">
        <v>27</v>
      </c>
      <c r="N13" s="11">
        <v>36</v>
      </c>
      <c r="O13" s="12">
        <v>0.75</v>
      </c>
      <c r="P13" s="11">
        <v>9</v>
      </c>
      <c r="Q13" s="11">
        <v>20</v>
      </c>
      <c r="R13" s="12">
        <v>0.45</v>
      </c>
      <c r="S13" s="11">
        <v>28</v>
      </c>
      <c r="T13" s="11">
        <v>32</v>
      </c>
      <c r="U13" s="12">
        <v>0.875</v>
      </c>
      <c r="V13" s="11">
        <v>5</v>
      </c>
      <c r="W13" s="11">
        <v>28</v>
      </c>
      <c r="X13" s="11">
        <v>33</v>
      </c>
      <c r="Y13" s="11">
        <v>27</v>
      </c>
      <c r="Z13" s="11">
        <v>2</v>
      </c>
      <c r="AA13" s="11">
        <v>1</v>
      </c>
      <c r="AB13" s="11">
        <v>14</v>
      </c>
      <c r="AC13" s="11">
        <v>28</v>
      </c>
      <c r="AD13" s="11">
        <v>27</v>
      </c>
      <c r="AE13" s="11">
        <v>65</v>
      </c>
      <c r="AF13" s="12">
        <v>0.41539999999999999</v>
      </c>
      <c r="AG13" s="11">
        <v>17</v>
      </c>
      <c r="AH13" s="11">
        <v>38</v>
      </c>
      <c r="AI13" s="12">
        <v>0.44740000000000002</v>
      </c>
      <c r="AJ13" s="11">
        <v>10</v>
      </c>
      <c r="AK13" s="11">
        <v>27</v>
      </c>
      <c r="AL13" s="12">
        <v>0.37040000000000001</v>
      </c>
      <c r="AM13" s="11">
        <v>30</v>
      </c>
      <c r="AN13" s="11">
        <v>42</v>
      </c>
      <c r="AO13" s="12">
        <v>0.71430000000000005</v>
      </c>
      <c r="AP13" s="11">
        <v>15</v>
      </c>
      <c r="AQ13" s="11">
        <v>15</v>
      </c>
      <c r="AR13" s="11">
        <v>30</v>
      </c>
      <c r="AS13" s="11">
        <v>20</v>
      </c>
      <c r="AT13" s="11">
        <v>8</v>
      </c>
      <c r="AU13" s="11">
        <v>1</v>
      </c>
      <c r="AV13" s="11">
        <v>10</v>
      </c>
      <c r="AW13" s="11">
        <v>30</v>
      </c>
      <c r="AX13" s="12">
        <v>0.77769999999999995</v>
      </c>
      <c r="AY13" s="12">
        <v>0.72319999999999995</v>
      </c>
      <c r="AZ13" s="12">
        <v>0.25</v>
      </c>
      <c r="BA13" s="12">
        <v>0.6512</v>
      </c>
      <c r="BB13" s="12">
        <v>0.52380000000000004</v>
      </c>
      <c r="BC13" s="4">
        <v>79.558000000000007</v>
      </c>
      <c r="BD13" s="12">
        <v>0.75</v>
      </c>
      <c r="BE13" s="12">
        <v>0.5</v>
      </c>
      <c r="BF13" s="12">
        <v>0.16650000000000001</v>
      </c>
      <c r="BG13" s="4">
        <v>144.30000000000001</v>
      </c>
      <c r="BH13" s="4">
        <v>124.5</v>
      </c>
      <c r="BI13" s="4">
        <v>75.513999999999996</v>
      </c>
      <c r="BJ13" s="12">
        <v>0.56299999999999994</v>
      </c>
      <c r="BK13" s="12">
        <v>0.49230000000000002</v>
      </c>
      <c r="BL13" s="12">
        <v>0.3488</v>
      </c>
      <c r="BM13" s="12">
        <v>0.75</v>
      </c>
      <c r="BN13" s="12">
        <v>0.47620000000000001</v>
      </c>
      <c r="BO13" s="4">
        <v>71.47</v>
      </c>
      <c r="BP13" s="12">
        <v>0.74070000000000003</v>
      </c>
      <c r="BQ13" s="12">
        <v>0.46150000000000002</v>
      </c>
      <c r="BR13" s="12">
        <v>0.107</v>
      </c>
      <c r="BS13" s="4">
        <v>124.5</v>
      </c>
      <c r="BT13" s="4">
        <v>144.30000000000001</v>
      </c>
      <c r="BU13" s="11">
        <v>22</v>
      </c>
      <c r="BV13" s="11">
        <v>32</v>
      </c>
      <c r="BW13" s="11">
        <v>27</v>
      </c>
      <c r="BX13" s="11">
        <v>28</v>
      </c>
      <c r="BY13" s="11">
        <v>30</v>
      </c>
      <c r="BZ13" s="11">
        <v>27</v>
      </c>
      <c r="CA13" s="11">
        <v>22</v>
      </c>
      <c r="CB13" s="11">
        <v>15</v>
      </c>
      <c r="CC13" s="11">
        <v>54</v>
      </c>
      <c r="CD13" s="11">
        <v>55</v>
      </c>
      <c r="CE13" s="11">
        <v>57</v>
      </c>
      <c r="CF13" s="11">
        <v>37</v>
      </c>
      <c r="CG13" s="4">
        <v>1.53</v>
      </c>
      <c r="CH13" s="13">
        <v>2.6</v>
      </c>
      <c r="CI13" s="4">
        <v>-4.5</v>
      </c>
      <c r="CJ13" s="4">
        <v>4.5</v>
      </c>
      <c r="CK13" s="4">
        <v>160.5</v>
      </c>
      <c r="CL13" s="2" t="s">
        <v>359</v>
      </c>
      <c r="CM13" s="4" t="str">
        <f>VLOOKUP(monaco[[#This Row],[Away_team]],all[[Full name]:[Abbr]],3,FALSE)</f>
        <v>BUR</v>
      </c>
      <c r="CN13" s="4">
        <f>IF(OR(monaco[[#This Row],[Result]]="w",monaco[[#This Row],[Result]]="dw"),monaco[[#This Row],[win]]-1,-1)</f>
        <v>0.53</v>
      </c>
      <c r="CO13" s="4">
        <f>IF(OR(monaco[[#This Row],[Result]]="L",monaco[[#This Row],[Result]]="dl"),monaco[[#This Row],[lose]]-1,-1)</f>
        <v>-1</v>
      </c>
      <c r="CP13" s="4">
        <f>IF(OR((monaco[[#This Row],[Home_scored]]+monaco[[#This Row],[Away_scored]])&gt;monaco[[#This Row],[total]],OR(monaco[[#This Row],[Result]]="dw",monaco[[#This Row],[Result]]="dl")),1,0)</f>
        <v>1</v>
      </c>
      <c r="CQ13" s="4">
        <f>ABS((monaco[[#This Row],[Home_scored]]+monaco[[#This Row],[Away_scored]])-monaco[[#This Row],[total]])+0.5</f>
        <v>43</v>
      </c>
    </row>
    <row r="14" spans="1:95" x14ac:dyDescent="0.25">
      <c r="A14" s="2" t="s">
        <v>349</v>
      </c>
      <c r="B14" s="2" t="s">
        <v>330</v>
      </c>
      <c r="C14" s="3" t="s">
        <v>73</v>
      </c>
      <c r="D14" s="3">
        <v>45634</v>
      </c>
      <c r="E14" s="2" t="s">
        <v>140</v>
      </c>
      <c r="F14" s="2" t="s">
        <v>339</v>
      </c>
      <c r="G14" s="2" t="s">
        <v>143</v>
      </c>
      <c r="H14" s="11">
        <v>92</v>
      </c>
      <c r="I14" s="11">
        <v>92</v>
      </c>
      <c r="J14" s="11">
        <v>29</v>
      </c>
      <c r="K14" s="11">
        <v>73</v>
      </c>
      <c r="L14" s="12">
        <v>0.39729999999999999</v>
      </c>
      <c r="M14" s="11">
        <v>16</v>
      </c>
      <c r="N14" s="11">
        <v>40</v>
      </c>
      <c r="O14" s="12">
        <v>0.4</v>
      </c>
      <c r="P14" s="11">
        <v>13</v>
      </c>
      <c r="Q14" s="11">
        <v>33</v>
      </c>
      <c r="R14" s="12">
        <v>0.39389999999999997</v>
      </c>
      <c r="S14" s="11">
        <v>21</v>
      </c>
      <c r="T14" s="11">
        <v>23</v>
      </c>
      <c r="U14" s="12">
        <v>0.91300000000000003</v>
      </c>
      <c r="V14" s="11">
        <v>21</v>
      </c>
      <c r="W14" s="11">
        <v>14</v>
      </c>
      <c r="X14" s="11">
        <v>35</v>
      </c>
      <c r="Y14" s="11">
        <v>18</v>
      </c>
      <c r="Z14" s="11">
        <v>8</v>
      </c>
      <c r="AA14" s="11">
        <v>4</v>
      </c>
      <c r="AB14" s="11">
        <v>10</v>
      </c>
      <c r="AC14" s="11">
        <v>22</v>
      </c>
      <c r="AD14" s="11">
        <v>30</v>
      </c>
      <c r="AE14" s="11">
        <v>62</v>
      </c>
      <c r="AF14" s="12">
        <v>0.4839</v>
      </c>
      <c r="AG14" s="11">
        <v>18</v>
      </c>
      <c r="AH14" s="11">
        <v>26</v>
      </c>
      <c r="AI14" s="12">
        <v>0.69230000000000003</v>
      </c>
      <c r="AJ14" s="11">
        <v>12</v>
      </c>
      <c r="AK14" s="11">
        <v>36</v>
      </c>
      <c r="AL14" s="12">
        <v>0.33329999999999999</v>
      </c>
      <c r="AM14" s="11">
        <v>20</v>
      </c>
      <c r="AN14" s="11">
        <v>21</v>
      </c>
      <c r="AO14" s="12">
        <v>0.95240000000000002</v>
      </c>
      <c r="AP14" s="11">
        <v>17</v>
      </c>
      <c r="AQ14" s="11">
        <v>22</v>
      </c>
      <c r="AR14" s="11">
        <v>39</v>
      </c>
      <c r="AS14" s="11">
        <v>19</v>
      </c>
      <c r="AT14" s="11">
        <v>5</v>
      </c>
      <c r="AU14" s="11">
        <v>1</v>
      </c>
      <c r="AV14" s="11">
        <v>19</v>
      </c>
      <c r="AW14" s="11">
        <v>25</v>
      </c>
      <c r="AX14" s="12">
        <v>0.5534</v>
      </c>
      <c r="AY14" s="12">
        <v>0.48630000000000001</v>
      </c>
      <c r="AZ14" s="12">
        <v>0.4884</v>
      </c>
      <c r="BA14" s="12">
        <v>0.4516</v>
      </c>
      <c r="BB14" s="12">
        <v>0.47299999999999998</v>
      </c>
      <c r="BC14" s="4">
        <v>63.951999999999998</v>
      </c>
      <c r="BD14" s="12">
        <v>0.62070000000000003</v>
      </c>
      <c r="BE14" s="12">
        <v>0.28770000000000001</v>
      </c>
      <c r="BF14" s="12">
        <v>0.1074</v>
      </c>
      <c r="BG14" s="4">
        <v>132.9</v>
      </c>
      <c r="BH14" s="4">
        <v>132.9</v>
      </c>
      <c r="BI14" s="4">
        <v>69.213499999999996</v>
      </c>
      <c r="BJ14" s="12">
        <v>0.64570000000000005</v>
      </c>
      <c r="BK14" s="12">
        <v>0.5806</v>
      </c>
      <c r="BL14" s="12">
        <v>0.5484</v>
      </c>
      <c r="BM14" s="12">
        <v>0.51160000000000005</v>
      </c>
      <c r="BN14" s="12">
        <v>0.52700000000000002</v>
      </c>
      <c r="BO14" s="4">
        <v>74.474999999999994</v>
      </c>
      <c r="BP14" s="12">
        <v>0.63329999999999997</v>
      </c>
      <c r="BQ14" s="12">
        <v>0.3226</v>
      </c>
      <c r="BR14" s="12">
        <v>0.21049999999999999</v>
      </c>
      <c r="BS14" s="4">
        <v>132.9</v>
      </c>
      <c r="BT14" s="4">
        <v>132.9</v>
      </c>
      <c r="BU14" s="11">
        <v>21</v>
      </c>
      <c r="BV14" s="11">
        <v>28</v>
      </c>
      <c r="BW14" s="11">
        <v>24</v>
      </c>
      <c r="BX14" s="11">
        <v>19</v>
      </c>
      <c r="BY14" s="11">
        <v>16</v>
      </c>
      <c r="BZ14" s="11">
        <v>22</v>
      </c>
      <c r="CA14" s="11">
        <v>23</v>
      </c>
      <c r="CB14" s="11">
        <v>31</v>
      </c>
      <c r="CC14" s="11">
        <v>49</v>
      </c>
      <c r="CD14" s="11">
        <v>43</v>
      </c>
      <c r="CE14" s="11">
        <v>38</v>
      </c>
      <c r="CF14" s="11">
        <v>54</v>
      </c>
      <c r="CG14" s="4">
        <v>2.1</v>
      </c>
      <c r="CH14" s="13">
        <v>1.77</v>
      </c>
      <c r="CI14" s="4">
        <v>-2</v>
      </c>
      <c r="CJ14" s="4">
        <v>-2</v>
      </c>
      <c r="CK14" s="4">
        <v>168.5</v>
      </c>
      <c r="CL14" s="2" t="s">
        <v>440</v>
      </c>
      <c r="CM14" s="4" t="str">
        <f>VLOOKUP(monaco[[#This Row],[Away_team]],all[[Full name]:[Abbr]],3,FALSE)</f>
        <v>PAR</v>
      </c>
      <c r="CN14" s="4">
        <f>IF(OR(monaco[[#This Row],[Result]]="w",monaco[[#This Row],[Result]]="dw"),monaco[[#This Row],[win]]-1,-1)</f>
        <v>-1</v>
      </c>
      <c r="CO14" s="4">
        <f>IF(OR(monaco[[#This Row],[Result]]="L",monaco[[#This Row],[Result]]="dl"),monaco[[#This Row],[lose]]-1,-1)</f>
        <v>0.77</v>
      </c>
      <c r="CP14" s="4">
        <f>IF(OR((monaco[[#This Row],[Home_scored]]+monaco[[#This Row],[Away_scored]])&gt;monaco[[#This Row],[total]],OR(monaco[[#This Row],[Result]]="dw",monaco[[#This Row],[Result]]="dl")),1,0)</f>
        <v>1</v>
      </c>
      <c r="CQ14" s="4">
        <f>ABS((monaco[[#This Row],[Home_scored]]+monaco[[#This Row],[Away_scored]])-monaco[[#This Row],[total]])+0.5</f>
        <v>16</v>
      </c>
    </row>
    <row r="15" spans="1:95" x14ac:dyDescent="0.25">
      <c r="A15" s="2" t="s">
        <v>349</v>
      </c>
      <c r="B15" s="2" t="s">
        <v>330</v>
      </c>
      <c r="C15" s="3" t="s">
        <v>73</v>
      </c>
      <c r="D15" s="3">
        <v>45640</v>
      </c>
      <c r="E15" s="2" t="s">
        <v>74</v>
      </c>
      <c r="F15" s="2" t="s">
        <v>320</v>
      </c>
      <c r="G15" s="2" t="s">
        <v>75</v>
      </c>
      <c r="H15" s="11">
        <v>78</v>
      </c>
      <c r="I15" s="11">
        <v>56</v>
      </c>
      <c r="J15" s="11">
        <v>25</v>
      </c>
      <c r="K15" s="11">
        <v>61</v>
      </c>
      <c r="L15" s="12">
        <v>0.4098</v>
      </c>
      <c r="M15" s="11">
        <v>19</v>
      </c>
      <c r="N15" s="11">
        <v>40</v>
      </c>
      <c r="O15" s="12">
        <v>0.47499999999999998</v>
      </c>
      <c r="P15" s="11">
        <v>6</v>
      </c>
      <c r="Q15" s="11">
        <v>21</v>
      </c>
      <c r="R15" s="12">
        <v>0.28570000000000001</v>
      </c>
      <c r="S15" s="11">
        <v>22</v>
      </c>
      <c r="T15" s="11">
        <v>33</v>
      </c>
      <c r="U15" s="12">
        <v>0.66669999999999996</v>
      </c>
      <c r="V15" s="11">
        <v>17</v>
      </c>
      <c r="W15" s="11">
        <v>29</v>
      </c>
      <c r="X15" s="11">
        <v>46</v>
      </c>
      <c r="Y15" s="11">
        <v>17</v>
      </c>
      <c r="Z15" s="11">
        <v>9</v>
      </c>
      <c r="AA15" s="11">
        <v>4</v>
      </c>
      <c r="AB15" s="11">
        <v>10</v>
      </c>
      <c r="AC15" s="11">
        <v>21</v>
      </c>
      <c r="AD15" s="11">
        <v>18</v>
      </c>
      <c r="AE15" s="11">
        <v>55</v>
      </c>
      <c r="AF15" s="12">
        <v>0.32729999999999998</v>
      </c>
      <c r="AG15" s="11">
        <v>15</v>
      </c>
      <c r="AH15" s="11">
        <v>39</v>
      </c>
      <c r="AI15" s="12">
        <v>0.3846</v>
      </c>
      <c r="AJ15" s="11">
        <v>3</v>
      </c>
      <c r="AK15" s="11">
        <v>16</v>
      </c>
      <c r="AL15" s="12">
        <v>0.1875</v>
      </c>
      <c r="AM15" s="11">
        <v>17</v>
      </c>
      <c r="AN15" s="11">
        <v>19</v>
      </c>
      <c r="AO15" s="12">
        <v>0.89470000000000005</v>
      </c>
      <c r="AP15" s="11">
        <v>8</v>
      </c>
      <c r="AQ15" s="11">
        <v>21</v>
      </c>
      <c r="AR15" s="11">
        <v>29</v>
      </c>
      <c r="AS15" s="11">
        <v>11</v>
      </c>
      <c r="AT15" s="11">
        <v>6</v>
      </c>
      <c r="AU15" s="11">
        <v>0</v>
      </c>
      <c r="AV15" s="11">
        <v>15</v>
      </c>
      <c r="AW15" s="11">
        <v>25</v>
      </c>
      <c r="AX15" s="12">
        <v>0.51639999999999997</v>
      </c>
      <c r="AY15" s="12">
        <v>0.45900000000000002</v>
      </c>
      <c r="AZ15" s="12">
        <v>0.44740000000000002</v>
      </c>
      <c r="BA15" s="12">
        <v>0.78380000000000005</v>
      </c>
      <c r="BB15" s="12">
        <v>0.61329999999999996</v>
      </c>
      <c r="BC15" s="4">
        <v>69.963999999999999</v>
      </c>
      <c r="BD15" s="12">
        <v>0.68</v>
      </c>
      <c r="BE15" s="12">
        <v>0.36070000000000002</v>
      </c>
      <c r="BF15" s="12">
        <v>0.1169</v>
      </c>
      <c r="BG15" s="4">
        <v>114.2</v>
      </c>
      <c r="BH15" s="4">
        <v>82</v>
      </c>
      <c r="BI15" s="4">
        <v>68.3215</v>
      </c>
      <c r="BJ15" s="12">
        <v>0.44190000000000002</v>
      </c>
      <c r="BK15" s="12">
        <v>0.35449999999999998</v>
      </c>
      <c r="BL15" s="12">
        <v>0.2162</v>
      </c>
      <c r="BM15" s="12">
        <v>0.55259999999999998</v>
      </c>
      <c r="BN15" s="12">
        <v>0.38669999999999999</v>
      </c>
      <c r="BO15" s="4">
        <v>66.679000000000002</v>
      </c>
      <c r="BP15" s="12">
        <v>0.61109999999999998</v>
      </c>
      <c r="BQ15" s="12">
        <v>0.30909999999999999</v>
      </c>
      <c r="BR15" s="12">
        <v>0.19139999999999999</v>
      </c>
      <c r="BS15" s="4">
        <v>82</v>
      </c>
      <c r="BT15" s="4">
        <v>114.2</v>
      </c>
      <c r="BU15" s="11">
        <v>24</v>
      </c>
      <c r="BV15" s="11">
        <v>19</v>
      </c>
      <c r="BW15" s="11">
        <v>14</v>
      </c>
      <c r="BX15" s="11">
        <v>21</v>
      </c>
      <c r="BY15" s="11">
        <v>15</v>
      </c>
      <c r="BZ15" s="11">
        <v>12</v>
      </c>
      <c r="CA15" s="11">
        <v>21</v>
      </c>
      <c r="CB15" s="11">
        <v>8</v>
      </c>
      <c r="CC15" s="11">
        <v>43</v>
      </c>
      <c r="CD15" s="11">
        <v>35</v>
      </c>
      <c r="CE15" s="11">
        <v>27</v>
      </c>
      <c r="CF15" s="11">
        <v>29</v>
      </c>
      <c r="CG15" s="4">
        <v>1.07</v>
      </c>
      <c r="CH15" s="13">
        <v>9.5</v>
      </c>
      <c r="CI15" s="4">
        <v>-14.5</v>
      </c>
      <c r="CJ15" s="4">
        <v>14.5</v>
      </c>
      <c r="CK15" s="4">
        <v>159.5</v>
      </c>
      <c r="CL15" s="2" t="s">
        <v>445</v>
      </c>
      <c r="CM15" s="4" t="str">
        <f>VLOOKUP(monaco[[#This Row],[Away_team]],all[[Full name]:[Abbr]],3,FALSE)</f>
        <v>POR</v>
      </c>
      <c r="CN15" s="4">
        <f>IF(OR(monaco[[#This Row],[Result]]="w",monaco[[#This Row],[Result]]="dw"),monaco[[#This Row],[win]]-1,-1)</f>
        <v>7.0000000000000062E-2</v>
      </c>
      <c r="CO15" s="4">
        <f>IF(OR(monaco[[#This Row],[Result]]="L",monaco[[#This Row],[Result]]="dl"),monaco[[#This Row],[lose]]-1,-1)</f>
        <v>-1</v>
      </c>
      <c r="CP15" s="4">
        <f>IF(OR((monaco[[#This Row],[Home_scored]]+monaco[[#This Row],[Away_scored]])&gt;monaco[[#This Row],[total]],OR(monaco[[#This Row],[Result]]="dw",monaco[[#This Row],[Result]]="dl")),1,0)</f>
        <v>0</v>
      </c>
      <c r="CQ15" s="4">
        <f>ABS((monaco[[#This Row],[Home_scored]]+monaco[[#This Row],[Away_scored]])-monaco[[#This Row],[total]])+0.5</f>
        <v>26</v>
      </c>
    </row>
    <row r="16" spans="1:95" x14ac:dyDescent="0.25">
      <c r="A16" s="2" t="s">
        <v>349</v>
      </c>
      <c r="B16" s="2" t="s">
        <v>330</v>
      </c>
      <c r="C16" s="3" t="s">
        <v>73</v>
      </c>
      <c r="D16" s="3">
        <v>45647</v>
      </c>
      <c r="E16" s="2" t="s">
        <v>140</v>
      </c>
      <c r="F16" s="2" t="s">
        <v>324</v>
      </c>
      <c r="G16" s="2" t="s">
        <v>75</v>
      </c>
      <c r="H16" s="11">
        <v>96</v>
      </c>
      <c r="I16" s="11">
        <v>84</v>
      </c>
      <c r="J16" s="11">
        <v>34</v>
      </c>
      <c r="K16" s="11">
        <v>65</v>
      </c>
      <c r="L16" s="12">
        <v>0.52310000000000001</v>
      </c>
      <c r="M16" s="11">
        <v>18</v>
      </c>
      <c r="N16" s="11">
        <v>31</v>
      </c>
      <c r="O16" s="12">
        <v>0.5806</v>
      </c>
      <c r="P16" s="11">
        <v>16</v>
      </c>
      <c r="Q16" s="11">
        <v>34</v>
      </c>
      <c r="R16" s="12">
        <v>0.47060000000000002</v>
      </c>
      <c r="S16" s="11">
        <v>12</v>
      </c>
      <c r="T16" s="11">
        <v>18</v>
      </c>
      <c r="U16" s="12">
        <v>0.66669999999999996</v>
      </c>
      <c r="V16" s="11">
        <v>12</v>
      </c>
      <c r="W16" s="11">
        <v>25</v>
      </c>
      <c r="X16" s="11">
        <v>37</v>
      </c>
      <c r="Y16" s="11">
        <v>23</v>
      </c>
      <c r="Z16" s="11">
        <v>7</v>
      </c>
      <c r="AA16" s="11">
        <v>2</v>
      </c>
      <c r="AB16" s="11">
        <v>15</v>
      </c>
      <c r="AC16" s="11">
        <v>23</v>
      </c>
      <c r="AD16" s="11">
        <v>31</v>
      </c>
      <c r="AE16" s="11">
        <v>63</v>
      </c>
      <c r="AF16" s="12">
        <v>0.49209999999999998</v>
      </c>
      <c r="AG16" s="11">
        <v>21</v>
      </c>
      <c r="AH16" s="11">
        <v>39</v>
      </c>
      <c r="AI16" s="12">
        <v>0.53849999999999998</v>
      </c>
      <c r="AJ16" s="11">
        <v>10</v>
      </c>
      <c r="AK16" s="11">
        <v>24</v>
      </c>
      <c r="AL16" s="12">
        <v>0.41670000000000001</v>
      </c>
      <c r="AM16" s="11">
        <v>12</v>
      </c>
      <c r="AN16" s="11">
        <v>20</v>
      </c>
      <c r="AO16" s="12">
        <v>0.6</v>
      </c>
      <c r="AP16" s="11">
        <v>9</v>
      </c>
      <c r="AQ16" s="11">
        <v>20</v>
      </c>
      <c r="AR16" s="11">
        <v>29</v>
      </c>
      <c r="AS16" s="11">
        <v>25</v>
      </c>
      <c r="AT16" s="11">
        <v>8</v>
      </c>
      <c r="AU16" s="11">
        <v>4</v>
      </c>
      <c r="AV16" s="11">
        <v>9</v>
      </c>
      <c r="AW16" s="11">
        <v>20</v>
      </c>
      <c r="AX16" s="12">
        <v>0.6583</v>
      </c>
      <c r="AY16" s="12">
        <v>0.6462</v>
      </c>
      <c r="AZ16" s="12">
        <v>0.375</v>
      </c>
      <c r="BA16" s="12">
        <v>0.73529999999999995</v>
      </c>
      <c r="BB16" s="12">
        <v>0.56059999999999999</v>
      </c>
      <c r="BC16" s="4">
        <v>76.441999999999993</v>
      </c>
      <c r="BD16" s="12">
        <v>0.67649999999999999</v>
      </c>
      <c r="BE16" s="12">
        <v>0.18459999999999999</v>
      </c>
      <c r="BF16" s="12">
        <v>0.1706</v>
      </c>
      <c r="BG16" s="4">
        <v>131.69999999999999</v>
      </c>
      <c r="BH16" s="4">
        <v>115.2</v>
      </c>
      <c r="BI16" s="4">
        <v>72.908000000000001</v>
      </c>
      <c r="BJ16" s="12">
        <v>0.58499999999999996</v>
      </c>
      <c r="BK16" s="12">
        <v>0.57140000000000002</v>
      </c>
      <c r="BL16" s="12">
        <v>0.26469999999999999</v>
      </c>
      <c r="BM16" s="12">
        <v>0.625</v>
      </c>
      <c r="BN16" s="12">
        <v>0.43940000000000001</v>
      </c>
      <c r="BO16" s="4">
        <v>69.373999999999995</v>
      </c>
      <c r="BP16" s="12">
        <v>0.80649999999999999</v>
      </c>
      <c r="BQ16" s="12">
        <v>0.1905</v>
      </c>
      <c r="BR16" s="12">
        <v>0.1114</v>
      </c>
      <c r="BS16" s="4">
        <v>115.2</v>
      </c>
      <c r="BT16" s="4">
        <v>131.69999999999999</v>
      </c>
      <c r="BU16" s="11">
        <v>28</v>
      </c>
      <c r="BV16" s="11">
        <v>28</v>
      </c>
      <c r="BW16" s="11">
        <v>15</v>
      </c>
      <c r="BX16" s="11">
        <v>25</v>
      </c>
      <c r="BY16" s="11">
        <v>21</v>
      </c>
      <c r="BZ16" s="11">
        <v>23</v>
      </c>
      <c r="CA16" s="11">
        <v>17</v>
      </c>
      <c r="CB16" s="11">
        <v>23</v>
      </c>
      <c r="CC16" s="11">
        <v>56</v>
      </c>
      <c r="CD16" s="11">
        <v>40</v>
      </c>
      <c r="CE16" s="11">
        <v>44</v>
      </c>
      <c r="CF16" s="11">
        <v>40</v>
      </c>
      <c r="CG16" s="4">
        <v>1.32</v>
      </c>
      <c r="CH16" s="13">
        <v>3.5</v>
      </c>
      <c r="CI16" s="4">
        <v>-7.5</v>
      </c>
      <c r="CJ16" s="4">
        <v>7.5</v>
      </c>
      <c r="CK16" s="4">
        <v>159.5</v>
      </c>
      <c r="CL16" s="2" t="s">
        <v>454</v>
      </c>
      <c r="CM16" s="4" t="str">
        <f>VLOOKUP(monaco[[#This Row],[Away_team]],all[[Full name]:[Abbr]],3,FALSE)</f>
        <v>LIM</v>
      </c>
      <c r="CN16" s="4">
        <f>IF(OR(monaco[[#This Row],[Result]]="w",monaco[[#This Row],[Result]]="dw"),monaco[[#This Row],[win]]-1,-1)</f>
        <v>0.32000000000000006</v>
      </c>
      <c r="CO16" s="4">
        <f>IF(OR(monaco[[#This Row],[Result]]="L",monaco[[#This Row],[Result]]="dl"),monaco[[#This Row],[lose]]-1,-1)</f>
        <v>-1</v>
      </c>
      <c r="CP16" s="4">
        <f>IF(OR((monaco[[#This Row],[Home_scored]]+monaco[[#This Row],[Away_scored]])&gt;monaco[[#This Row],[total]],OR(monaco[[#This Row],[Result]]="dw",monaco[[#This Row],[Result]]="dl")),1,0)</f>
        <v>1</v>
      </c>
      <c r="CQ16" s="4">
        <f>ABS((monaco[[#This Row],[Home_scored]]+monaco[[#This Row],[Away_scored]])-monaco[[#This Row],[total]])+0.5</f>
        <v>21</v>
      </c>
    </row>
    <row r="17" spans="1:95" x14ac:dyDescent="0.25">
      <c r="A17" s="2" t="s">
        <v>349</v>
      </c>
      <c r="B17" s="2" t="s">
        <v>330</v>
      </c>
      <c r="C17" s="3" t="s">
        <v>73</v>
      </c>
      <c r="D17" s="3">
        <v>45662</v>
      </c>
      <c r="E17" s="2" t="s">
        <v>74</v>
      </c>
      <c r="F17" s="2" t="s">
        <v>305</v>
      </c>
      <c r="G17" s="2" t="s">
        <v>75</v>
      </c>
      <c r="H17" s="11">
        <v>109</v>
      </c>
      <c r="I17" s="11">
        <v>82</v>
      </c>
      <c r="J17" s="11">
        <v>39</v>
      </c>
      <c r="K17" s="11">
        <v>69</v>
      </c>
      <c r="L17" s="12">
        <v>0.56520000000000004</v>
      </c>
      <c r="M17" s="11">
        <v>24</v>
      </c>
      <c r="N17" s="11">
        <v>38</v>
      </c>
      <c r="O17" s="12">
        <v>0.63160000000000005</v>
      </c>
      <c r="P17" s="11">
        <v>15</v>
      </c>
      <c r="Q17" s="11">
        <v>31</v>
      </c>
      <c r="R17" s="12">
        <v>0.4839</v>
      </c>
      <c r="S17" s="11">
        <v>16</v>
      </c>
      <c r="T17" s="11">
        <v>20</v>
      </c>
      <c r="U17" s="12">
        <v>0.8</v>
      </c>
      <c r="V17" s="11">
        <v>11</v>
      </c>
      <c r="W17" s="11">
        <v>14</v>
      </c>
      <c r="X17" s="11">
        <v>25</v>
      </c>
      <c r="Y17" s="11">
        <v>29</v>
      </c>
      <c r="Z17" s="11">
        <v>8</v>
      </c>
      <c r="AA17" s="11">
        <v>3</v>
      </c>
      <c r="AB17" s="11">
        <v>9</v>
      </c>
      <c r="AC17" s="11">
        <v>20</v>
      </c>
      <c r="AD17" s="11">
        <v>29</v>
      </c>
      <c r="AE17" s="11">
        <v>55</v>
      </c>
      <c r="AF17" s="12">
        <v>0.52729999999999999</v>
      </c>
      <c r="AG17" s="11">
        <v>20</v>
      </c>
      <c r="AH17" s="11">
        <v>34</v>
      </c>
      <c r="AI17" s="12">
        <v>0.58819999999999995</v>
      </c>
      <c r="AJ17" s="11">
        <v>9</v>
      </c>
      <c r="AK17" s="11">
        <v>21</v>
      </c>
      <c r="AL17" s="12">
        <v>0.42859999999999998</v>
      </c>
      <c r="AM17" s="11">
        <v>15</v>
      </c>
      <c r="AN17" s="11">
        <v>20</v>
      </c>
      <c r="AO17" s="12">
        <v>0.75</v>
      </c>
      <c r="AP17" s="11">
        <v>13</v>
      </c>
      <c r="AQ17" s="11">
        <v>20</v>
      </c>
      <c r="AR17" s="11">
        <v>33</v>
      </c>
      <c r="AS17" s="11">
        <v>14</v>
      </c>
      <c r="AT17" s="11">
        <v>5</v>
      </c>
      <c r="AU17" s="11">
        <v>2</v>
      </c>
      <c r="AV17" s="11">
        <v>23</v>
      </c>
      <c r="AW17" s="11">
        <v>19</v>
      </c>
      <c r="AX17" s="12">
        <v>0.70050000000000001</v>
      </c>
      <c r="AY17" s="12">
        <v>0.67390000000000005</v>
      </c>
      <c r="AZ17" s="12">
        <v>0.3548</v>
      </c>
      <c r="BA17" s="12">
        <v>0.51849999999999996</v>
      </c>
      <c r="BB17" s="12">
        <v>0.43099999999999999</v>
      </c>
      <c r="BC17" s="4">
        <v>71.876000000000005</v>
      </c>
      <c r="BD17" s="12">
        <v>0.74360000000000004</v>
      </c>
      <c r="BE17" s="12">
        <v>0.2319</v>
      </c>
      <c r="BF17" s="12">
        <v>0.1037</v>
      </c>
      <c r="BG17" s="4">
        <v>148.4</v>
      </c>
      <c r="BH17" s="4">
        <v>111.6</v>
      </c>
      <c r="BI17" s="4">
        <v>73.458500000000001</v>
      </c>
      <c r="BJ17" s="12">
        <v>0.64259999999999995</v>
      </c>
      <c r="BK17" s="12">
        <v>0.60909999999999997</v>
      </c>
      <c r="BL17" s="12">
        <v>0.48149999999999998</v>
      </c>
      <c r="BM17" s="12">
        <v>0.6452</v>
      </c>
      <c r="BN17" s="12">
        <v>0.56899999999999995</v>
      </c>
      <c r="BO17" s="4">
        <v>75.040999999999997</v>
      </c>
      <c r="BP17" s="12">
        <v>0.48280000000000001</v>
      </c>
      <c r="BQ17" s="12">
        <v>0.2727</v>
      </c>
      <c r="BR17" s="12">
        <v>0.26500000000000001</v>
      </c>
      <c r="BS17" s="4">
        <v>111.6</v>
      </c>
      <c r="BT17" s="4">
        <v>148.4</v>
      </c>
      <c r="BU17" s="11">
        <v>22</v>
      </c>
      <c r="BV17" s="11">
        <v>32</v>
      </c>
      <c r="BW17" s="11">
        <v>29</v>
      </c>
      <c r="BX17" s="11">
        <v>26</v>
      </c>
      <c r="BY17" s="11">
        <v>27</v>
      </c>
      <c r="BZ17" s="11">
        <v>22</v>
      </c>
      <c r="CA17" s="11">
        <v>21</v>
      </c>
      <c r="CB17" s="11">
        <v>12</v>
      </c>
      <c r="CC17" s="11">
        <v>54</v>
      </c>
      <c r="CD17" s="11">
        <v>55</v>
      </c>
      <c r="CE17" s="11">
        <v>49</v>
      </c>
      <c r="CF17" s="11">
        <v>33</v>
      </c>
      <c r="CG17" s="4">
        <v>1.0900000000000001</v>
      </c>
      <c r="CH17" s="13">
        <v>8</v>
      </c>
      <c r="CI17" s="4">
        <v>-13.5</v>
      </c>
      <c r="CJ17" s="4">
        <v>13.5</v>
      </c>
      <c r="CK17" s="4">
        <v>165.5</v>
      </c>
      <c r="CL17" s="2" t="s">
        <v>466</v>
      </c>
      <c r="CM17" s="4" t="str">
        <f>VLOOKUP(monaco[[#This Row],[Away_team]],all[[Full name]:[Abbr]],3,FALSE)</f>
        <v>CHA</v>
      </c>
      <c r="CN17" s="4">
        <f>IF(OR(monaco[[#This Row],[Result]]="w",monaco[[#This Row],[Result]]="dw"),monaco[[#This Row],[win]]-1,-1)</f>
        <v>9.000000000000008E-2</v>
      </c>
      <c r="CO17" s="4">
        <f>IF(OR(monaco[[#This Row],[Result]]="L",monaco[[#This Row],[Result]]="dl"),monaco[[#This Row],[lose]]-1,-1)</f>
        <v>-1</v>
      </c>
      <c r="CP17" s="4">
        <f>IF(OR((monaco[[#This Row],[Home_scored]]+monaco[[#This Row],[Away_scored]])&gt;monaco[[#This Row],[total]],OR(monaco[[#This Row],[Result]]="dw",monaco[[#This Row],[Result]]="dl")),1,0)</f>
        <v>1</v>
      </c>
      <c r="CQ17" s="4">
        <f>ABS((monaco[[#This Row],[Home_scored]]+monaco[[#This Row],[Away_scored]])-monaco[[#This Row],[total]])+0.5</f>
        <v>26</v>
      </c>
    </row>
    <row r="18" spans="1:95" x14ac:dyDescent="0.25">
      <c r="A18" s="2" t="s">
        <v>349</v>
      </c>
      <c r="B18" s="2" t="s">
        <v>330</v>
      </c>
      <c r="C18" s="3" t="s">
        <v>73</v>
      </c>
      <c r="D18" s="3">
        <v>45668</v>
      </c>
      <c r="E18" s="2" t="s">
        <v>140</v>
      </c>
      <c r="F18" s="2" t="s">
        <v>336</v>
      </c>
      <c r="G18" s="2" t="s">
        <v>75</v>
      </c>
      <c r="H18" s="11">
        <v>81</v>
      </c>
      <c r="I18" s="11">
        <v>73</v>
      </c>
      <c r="J18" s="11">
        <v>26</v>
      </c>
      <c r="K18" s="11">
        <v>48</v>
      </c>
      <c r="L18" s="12">
        <v>0.54169999999999996</v>
      </c>
      <c r="M18" s="11">
        <v>18</v>
      </c>
      <c r="N18" s="11">
        <v>29</v>
      </c>
      <c r="O18" s="12">
        <v>0.62070000000000003</v>
      </c>
      <c r="P18" s="11">
        <v>8</v>
      </c>
      <c r="Q18" s="11">
        <v>19</v>
      </c>
      <c r="R18" s="12">
        <v>0.42109999999999997</v>
      </c>
      <c r="S18" s="11">
        <v>21</v>
      </c>
      <c r="T18" s="11">
        <v>28</v>
      </c>
      <c r="U18" s="12">
        <v>0.75</v>
      </c>
      <c r="V18" s="11">
        <v>9</v>
      </c>
      <c r="W18" s="11">
        <v>26</v>
      </c>
      <c r="X18" s="11">
        <v>35</v>
      </c>
      <c r="Y18" s="11">
        <v>21</v>
      </c>
      <c r="Z18" s="11">
        <v>4</v>
      </c>
      <c r="AA18" s="11">
        <v>2</v>
      </c>
      <c r="AB18" s="11">
        <v>19</v>
      </c>
      <c r="AC18" s="11">
        <v>24</v>
      </c>
      <c r="AD18" s="11">
        <v>24</v>
      </c>
      <c r="AE18" s="11">
        <v>65</v>
      </c>
      <c r="AF18" s="12">
        <v>0.36919999999999997</v>
      </c>
      <c r="AG18" s="11">
        <v>17</v>
      </c>
      <c r="AH18" s="11">
        <v>42</v>
      </c>
      <c r="AI18" s="12">
        <v>0.40479999999999999</v>
      </c>
      <c r="AJ18" s="11">
        <v>7</v>
      </c>
      <c r="AK18" s="11">
        <v>23</v>
      </c>
      <c r="AL18" s="12">
        <v>0.30430000000000001</v>
      </c>
      <c r="AM18" s="11">
        <v>18</v>
      </c>
      <c r="AN18" s="11">
        <v>25</v>
      </c>
      <c r="AO18" s="12">
        <v>0.72</v>
      </c>
      <c r="AP18" s="11">
        <v>15</v>
      </c>
      <c r="AQ18" s="11">
        <v>17</v>
      </c>
      <c r="AR18" s="11">
        <v>32</v>
      </c>
      <c r="AS18" s="11">
        <v>13</v>
      </c>
      <c r="AT18" s="11">
        <v>12</v>
      </c>
      <c r="AU18" s="11">
        <v>0</v>
      </c>
      <c r="AV18" s="11">
        <v>13</v>
      </c>
      <c r="AW18" s="11">
        <v>27</v>
      </c>
      <c r="AX18" s="12">
        <v>0.6714</v>
      </c>
      <c r="AY18" s="12">
        <v>0.625</v>
      </c>
      <c r="AZ18" s="12">
        <v>0.34620000000000001</v>
      </c>
      <c r="BA18" s="12">
        <v>0.6341</v>
      </c>
      <c r="BB18" s="12">
        <v>0.52239999999999998</v>
      </c>
      <c r="BC18" s="4">
        <v>72.147000000000006</v>
      </c>
      <c r="BD18" s="12">
        <v>0.80769999999999997</v>
      </c>
      <c r="BE18" s="12">
        <v>0.4375</v>
      </c>
      <c r="BF18" s="12">
        <v>0.23949999999999999</v>
      </c>
      <c r="BG18" s="4">
        <v>116.1</v>
      </c>
      <c r="BH18" s="4">
        <v>104.6</v>
      </c>
      <c r="BI18" s="4">
        <v>69.791499999999999</v>
      </c>
      <c r="BJ18" s="12">
        <v>0.4803</v>
      </c>
      <c r="BK18" s="12">
        <v>0.42309999999999998</v>
      </c>
      <c r="BL18" s="12">
        <v>0.3659</v>
      </c>
      <c r="BM18" s="12">
        <v>0.65380000000000005</v>
      </c>
      <c r="BN18" s="12">
        <v>0.47760000000000002</v>
      </c>
      <c r="BO18" s="4">
        <v>67.436000000000007</v>
      </c>
      <c r="BP18" s="12">
        <v>0.54169999999999996</v>
      </c>
      <c r="BQ18" s="12">
        <v>0.27689999999999998</v>
      </c>
      <c r="BR18" s="12">
        <v>0.14610000000000001</v>
      </c>
      <c r="BS18" s="4">
        <v>104.6</v>
      </c>
      <c r="BT18" s="4">
        <v>116.1</v>
      </c>
      <c r="BU18" s="11">
        <v>18</v>
      </c>
      <c r="BV18" s="11">
        <v>21</v>
      </c>
      <c r="BW18" s="11">
        <v>15</v>
      </c>
      <c r="BX18" s="11">
        <v>27</v>
      </c>
      <c r="BY18" s="11">
        <v>18</v>
      </c>
      <c r="BZ18" s="11">
        <v>22</v>
      </c>
      <c r="CA18" s="11">
        <v>15</v>
      </c>
      <c r="CB18" s="11">
        <v>18</v>
      </c>
      <c r="CC18" s="11">
        <v>39</v>
      </c>
      <c r="CD18" s="11">
        <v>42</v>
      </c>
      <c r="CE18" s="11">
        <v>40</v>
      </c>
      <c r="CF18" s="11">
        <v>33</v>
      </c>
      <c r="CG18" s="4">
        <v>1.29</v>
      </c>
      <c r="CH18" s="13">
        <v>3.7</v>
      </c>
      <c r="CI18" s="4">
        <v>-8</v>
      </c>
      <c r="CJ18" s="4">
        <v>8</v>
      </c>
      <c r="CK18" s="4">
        <v>172.5</v>
      </c>
      <c r="CL18" s="2" t="s">
        <v>471</v>
      </c>
      <c r="CM18" s="4" t="str">
        <f>VLOOKUP(monaco[[#This Row],[Away_team]],all[[Full name]:[Abbr]],3,FALSE)</f>
        <v>NAN</v>
      </c>
      <c r="CN18" s="4">
        <f>IF(OR(monaco[[#This Row],[Result]]="w",monaco[[#This Row],[Result]]="dw"),monaco[[#This Row],[win]]-1,-1)</f>
        <v>0.29000000000000004</v>
      </c>
      <c r="CO18" s="4">
        <f>IF(OR(monaco[[#This Row],[Result]]="L",monaco[[#This Row],[Result]]="dl"),monaco[[#This Row],[lose]]-1,-1)</f>
        <v>-1</v>
      </c>
      <c r="CP18" s="4">
        <f>IF(OR((monaco[[#This Row],[Home_scored]]+monaco[[#This Row],[Away_scored]])&gt;monaco[[#This Row],[total]],OR(monaco[[#This Row],[Result]]="dw",monaco[[#This Row],[Result]]="dl")),1,0)</f>
        <v>0</v>
      </c>
      <c r="CQ18" s="4">
        <f>ABS((monaco[[#This Row],[Home_scored]]+monaco[[#This Row],[Away_scored]])-monaco[[#This Row],[total]])+0.5</f>
        <v>19</v>
      </c>
    </row>
    <row r="19" spans="1:95" x14ac:dyDescent="0.25">
      <c r="A19" s="2" t="s">
        <v>349</v>
      </c>
      <c r="B19" s="2" t="s">
        <v>330</v>
      </c>
      <c r="C19" s="3" t="s">
        <v>73</v>
      </c>
      <c r="D19" s="3">
        <v>45676</v>
      </c>
      <c r="E19" s="2" t="s">
        <v>74</v>
      </c>
      <c r="F19" s="2" t="s">
        <v>333</v>
      </c>
      <c r="G19" s="2" t="s">
        <v>75</v>
      </c>
      <c r="H19" s="11">
        <v>117</v>
      </c>
      <c r="I19" s="11">
        <v>96</v>
      </c>
      <c r="J19" s="11">
        <v>42</v>
      </c>
      <c r="K19" s="11">
        <v>72</v>
      </c>
      <c r="L19" s="12">
        <v>0.58330000000000004</v>
      </c>
      <c r="M19" s="11">
        <v>21</v>
      </c>
      <c r="N19" s="11">
        <v>33</v>
      </c>
      <c r="O19" s="12">
        <v>0.63639999999999997</v>
      </c>
      <c r="P19" s="11">
        <v>21</v>
      </c>
      <c r="Q19" s="11">
        <v>39</v>
      </c>
      <c r="R19" s="12">
        <v>0.53849999999999998</v>
      </c>
      <c r="S19" s="11">
        <v>12</v>
      </c>
      <c r="T19" s="11">
        <v>15</v>
      </c>
      <c r="U19" s="12">
        <v>0.8</v>
      </c>
      <c r="V19" s="11">
        <v>14</v>
      </c>
      <c r="W19" s="11">
        <v>20</v>
      </c>
      <c r="X19" s="11">
        <v>34</v>
      </c>
      <c r="Y19" s="11">
        <v>28</v>
      </c>
      <c r="Z19" s="11">
        <v>4</v>
      </c>
      <c r="AA19" s="11">
        <v>2</v>
      </c>
      <c r="AB19" s="11">
        <v>10</v>
      </c>
      <c r="AC19" s="11">
        <v>21</v>
      </c>
      <c r="AD19" s="11">
        <v>34</v>
      </c>
      <c r="AE19" s="11">
        <v>60</v>
      </c>
      <c r="AF19" s="12">
        <v>0.56669999999999998</v>
      </c>
      <c r="AG19" s="11">
        <v>24</v>
      </c>
      <c r="AH19" s="11">
        <v>40</v>
      </c>
      <c r="AI19" s="12">
        <v>0.6</v>
      </c>
      <c r="AJ19" s="11">
        <v>10</v>
      </c>
      <c r="AK19" s="11">
        <v>20</v>
      </c>
      <c r="AL19" s="12">
        <v>0.5</v>
      </c>
      <c r="AM19" s="11">
        <v>18</v>
      </c>
      <c r="AN19" s="11">
        <v>20</v>
      </c>
      <c r="AO19" s="12">
        <v>0.9</v>
      </c>
      <c r="AP19" s="11">
        <v>7</v>
      </c>
      <c r="AQ19" s="11">
        <v>18</v>
      </c>
      <c r="AR19" s="11">
        <v>25</v>
      </c>
      <c r="AS19" s="11">
        <v>16</v>
      </c>
      <c r="AT19" s="11">
        <v>7</v>
      </c>
      <c r="AU19" s="11">
        <v>0</v>
      </c>
      <c r="AV19" s="11">
        <v>13</v>
      </c>
      <c r="AW19" s="11">
        <v>19</v>
      </c>
      <c r="AX19" s="12">
        <v>0.74429999999999996</v>
      </c>
      <c r="AY19" s="12">
        <v>0.72919999999999996</v>
      </c>
      <c r="AZ19" s="12">
        <v>0.4375</v>
      </c>
      <c r="BA19" s="12">
        <v>0.74070000000000003</v>
      </c>
      <c r="BB19" s="12">
        <v>0.57630000000000003</v>
      </c>
      <c r="BC19" s="4">
        <v>74.781999999999996</v>
      </c>
      <c r="BD19" s="12">
        <v>0.66669999999999996</v>
      </c>
      <c r="BE19" s="12">
        <v>0.16669999999999999</v>
      </c>
      <c r="BF19" s="12">
        <v>0.1129</v>
      </c>
      <c r="BG19" s="4">
        <v>158.1</v>
      </c>
      <c r="BH19" s="4">
        <v>129.69999999999999</v>
      </c>
      <c r="BI19" s="4">
        <v>73.995999999999995</v>
      </c>
      <c r="BJ19" s="12">
        <v>0.69769999999999999</v>
      </c>
      <c r="BK19" s="12">
        <v>0.65</v>
      </c>
      <c r="BL19" s="12">
        <v>0.25929999999999997</v>
      </c>
      <c r="BM19" s="12">
        <v>0.5625</v>
      </c>
      <c r="BN19" s="12">
        <v>0.42370000000000002</v>
      </c>
      <c r="BO19" s="4">
        <v>73.209999999999994</v>
      </c>
      <c r="BP19" s="12">
        <v>0.47060000000000002</v>
      </c>
      <c r="BQ19" s="12">
        <v>0.3</v>
      </c>
      <c r="BR19" s="12">
        <v>0.15890000000000001</v>
      </c>
      <c r="BS19" s="4">
        <v>129.69999999999999</v>
      </c>
      <c r="BT19" s="4">
        <v>158.1</v>
      </c>
      <c r="BU19" s="11">
        <v>30</v>
      </c>
      <c r="BV19" s="11">
        <v>28</v>
      </c>
      <c r="BW19" s="11">
        <v>30</v>
      </c>
      <c r="BX19" s="11">
        <v>29</v>
      </c>
      <c r="BY19" s="11">
        <v>25</v>
      </c>
      <c r="BZ19" s="11">
        <v>21</v>
      </c>
      <c r="CA19" s="11">
        <v>28</v>
      </c>
      <c r="CB19" s="11">
        <v>22</v>
      </c>
      <c r="CC19" s="11">
        <v>58</v>
      </c>
      <c r="CD19" s="11">
        <v>59</v>
      </c>
      <c r="CE19" s="11">
        <v>46</v>
      </c>
      <c r="CF19" s="11">
        <v>50</v>
      </c>
      <c r="CG19" s="4">
        <v>1.1200000000000001</v>
      </c>
      <c r="CH19" s="13">
        <v>6.75</v>
      </c>
      <c r="CI19" s="4">
        <v>-12.5</v>
      </c>
      <c r="CJ19" s="4">
        <v>12.5</v>
      </c>
      <c r="CK19" s="4">
        <v>167.5</v>
      </c>
      <c r="CL19" s="2" t="s">
        <v>481</v>
      </c>
      <c r="CM19" s="4" t="str">
        <f>VLOOKUP(monaco[[#This Row],[Away_team]],all[[Full name]:[Abbr]],3,FALSE)</f>
        <v>NCY</v>
      </c>
      <c r="CN19" s="4">
        <f>IF(OR(monaco[[#This Row],[Result]]="w",monaco[[#This Row],[Result]]="dw"),monaco[[#This Row],[win]]-1,-1)</f>
        <v>0.12000000000000011</v>
      </c>
      <c r="CO19" s="4">
        <f>IF(OR(monaco[[#This Row],[Result]]="L",monaco[[#This Row],[Result]]="dl"),monaco[[#This Row],[lose]]-1,-1)</f>
        <v>-1</v>
      </c>
      <c r="CP19" s="4">
        <f>IF(OR((monaco[[#This Row],[Home_scored]]+monaco[[#This Row],[Away_scored]])&gt;monaco[[#This Row],[total]],OR(monaco[[#This Row],[Result]]="dw",monaco[[#This Row],[Result]]="dl")),1,0)</f>
        <v>1</v>
      </c>
      <c r="CQ19" s="4">
        <f>ABS((monaco[[#This Row],[Home_scored]]+monaco[[#This Row],[Away_scored]])-monaco[[#This Row],[total]])+0.5</f>
        <v>46</v>
      </c>
    </row>
    <row r="20" spans="1:95" x14ac:dyDescent="0.25">
      <c r="A20" s="2" t="s">
        <v>349</v>
      </c>
      <c r="B20" s="2" t="s">
        <v>330</v>
      </c>
      <c r="C20" s="3" t="s">
        <v>73</v>
      </c>
      <c r="D20" s="3">
        <v>45683</v>
      </c>
      <c r="E20" s="2" t="s">
        <v>140</v>
      </c>
      <c r="F20" s="2" t="s">
        <v>317</v>
      </c>
      <c r="G20" s="2" t="s">
        <v>75</v>
      </c>
      <c r="H20" s="11">
        <v>81</v>
      </c>
      <c r="I20" s="11">
        <v>74</v>
      </c>
      <c r="J20" s="11">
        <v>29</v>
      </c>
      <c r="K20" s="11">
        <v>64</v>
      </c>
      <c r="L20" s="12">
        <v>0.4531</v>
      </c>
      <c r="M20" s="11">
        <v>15</v>
      </c>
      <c r="N20" s="11">
        <v>34</v>
      </c>
      <c r="O20" s="12">
        <v>0.44119999999999998</v>
      </c>
      <c r="P20" s="11">
        <v>14</v>
      </c>
      <c r="Q20" s="11">
        <v>30</v>
      </c>
      <c r="R20" s="12">
        <v>0.4667</v>
      </c>
      <c r="S20" s="11">
        <v>9</v>
      </c>
      <c r="T20" s="11">
        <v>19</v>
      </c>
      <c r="U20" s="12">
        <v>0.47370000000000001</v>
      </c>
      <c r="V20" s="11">
        <v>10</v>
      </c>
      <c r="W20" s="11">
        <v>27</v>
      </c>
      <c r="X20" s="11">
        <v>37</v>
      </c>
      <c r="Y20" s="11">
        <v>20</v>
      </c>
      <c r="Z20" s="11">
        <v>5</v>
      </c>
      <c r="AA20" s="11">
        <v>2</v>
      </c>
      <c r="AB20" s="11">
        <v>11</v>
      </c>
      <c r="AC20" s="11">
        <v>22</v>
      </c>
      <c r="AD20" s="11">
        <v>27</v>
      </c>
      <c r="AE20" s="11">
        <v>67</v>
      </c>
      <c r="AF20" s="12">
        <v>0.40300000000000002</v>
      </c>
      <c r="AG20" s="11">
        <v>19</v>
      </c>
      <c r="AH20" s="11">
        <v>41</v>
      </c>
      <c r="AI20" s="12">
        <v>0.46339999999999998</v>
      </c>
      <c r="AJ20" s="11">
        <v>8</v>
      </c>
      <c r="AK20" s="11">
        <v>26</v>
      </c>
      <c r="AL20" s="12">
        <v>0.30769999999999997</v>
      </c>
      <c r="AM20" s="11">
        <v>12</v>
      </c>
      <c r="AN20" s="11">
        <v>13</v>
      </c>
      <c r="AO20" s="12">
        <v>0.92310000000000003</v>
      </c>
      <c r="AP20" s="11">
        <v>12</v>
      </c>
      <c r="AQ20" s="11">
        <v>27</v>
      </c>
      <c r="AR20" s="11">
        <v>39</v>
      </c>
      <c r="AS20" s="11">
        <v>16</v>
      </c>
      <c r="AT20" s="11">
        <v>6</v>
      </c>
      <c r="AU20" s="11">
        <v>2</v>
      </c>
      <c r="AV20" s="11">
        <v>12</v>
      </c>
      <c r="AW20" s="11">
        <v>24</v>
      </c>
      <c r="AX20" s="12">
        <v>0.55969999999999998</v>
      </c>
      <c r="AY20" s="12">
        <v>0.5625</v>
      </c>
      <c r="AZ20" s="12">
        <v>0.27029999999999998</v>
      </c>
      <c r="BA20" s="12">
        <v>0.69230000000000003</v>
      </c>
      <c r="BB20" s="12">
        <v>0.48680000000000001</v>
      </c>
      <c r="BC20" s="4">
        <v>72.477999999999994</v>
      </c>
      <c r="BD20" s="12">
        <v>0.68969999999999998</v>
      </c>
      <c r="BE20" s="12">
        <v>0.1406</v>
      </c>
      <c r="BF20" s="12">
        <v>0.13200000000000001</v>
      </c>
      <c r="BG20" s="4">
        <v>112.9</v>
      </c>
      <c r="BH20" s="4">
        <v>103.1</v>
      </c>
      <c r="BI20" s="4">
        <v>71.754499999999993</v>
      </c>
      <c r="BJ20" s="12">
        <v>0.50880000000000003</v>
      </c>
      <c r="BK20" s="12">
        <v>0.4627</v>
      </c>
      <c r="BL20" s="12">
        <v>0.30769999999999997</v>
      </c>
      <c r="BM20" s="12">
        <v>0.72970000000000002</v>
      </c>
      <c r="BN20" s="12">
        <v>0.51319999999999999</v>
      </c>
      <c r="BO20" s="4">
        <v>71.031000000000006</v>
      </c>
      <c r="BP20" s="12">
        <v>0.59260000000000002</v>
      </c>
      <c r="BQ20" s="12">
        <v>0.17910000000000001</v>
      </c>
      <c r="BR20" s="12">
        <v>0.1416</v>
      </c>
      <c r="BS20" s="4">
        <v>103.1</v>
      </c>
      <c r="BT20" s="4">
        <v>112.9</v>
      </c>
      <c r="BU20" s="11">
        <v>24</v>
      </c>
      <c r="BV20" s="11">
        <v>13</v>
      </c>
      <c r="BW20" s="11">
        <v>28</v>
      </c>
      <c r="BX20" s="11">
        <v>16</v>
      </c>
      <c r="BY20" s="11">
        <v>17</v>
      </c>
      <c r="BZ20" s="11">
        <v>25</v>
      </c>
      <c r="CA20" s="11">
        <v>15</v>
      </c>
      <c r="CB20" s="11">
        <v>17</v>
      </c>
      <c r="CC20" s="11">
        <v>37</v>
      </c>
      <c r="CD20" s="11">
        <v>44</v>
      </c>
      <c r="CE20" s="11">
        <v>42</v>
      </c>
      <c r="CF20" s="11">
        <v>32</v>
      </c>
      <c r="CG20" s="4">
        <v>1.26</v>
      </c>
      <c r="CH20" s="13">
        <v>4</v>
      </c>
      <c r="CI20" s="4">
        <v>-8.5</v>
      </c>
      <c r="CJ20" s="4">
        <v>8.5</v>
      </c>
      <c r="CK20" s="4">
        <v>170.5</v>
      </c>
      <c r="CL20" s="2" t="s">
        <v>488</v>
      </c>
      <c r="CM20" s="4" t="str">
        <f>VLOOKUP(monaco[[#This Row],[Away_team]],all[[Full name]:[Abbr]],3,FALSE)</f>
        <v>LEM</v>
      </c>
      <c r="CN20" s="4">
        <f>IF(OR(monaco[[#This Row],[Result]]="w",monaco[[#This Row],[Result]]="dw"),monaco[[#This Row],[win]]-1,-1)</f>
        <v>0.26</v>
      </c>
      <c r="CO20" s="4">
        <f>IF(OR(monaco[[#This Row],[Result]]="L",monaco[[#This Row],[Result]]="dl"),monaco[[#This Row],[lose]]-1,-1)</f>
        <v>-1</v>
      </c>
      <c r="CP20" s="4">
        <f>IF(OR((monaco[[#This Row],[Home_scored]]+monaco[[#This Row],[Away_scored]])&gt;monaco[[#This Row],[total]],OR(monaco[[#This Row],[Result]]="dw",monaco[[#This Row],[Result]]="dl")),1,0)</f>
        <v>0</v>
      </c>
      <c r="CQ20" s="4">
        <f>ABS((monaco[[#This Row],[Home_scored]]+monaco[[#This Row],[Away_scored]])-monaco[[#This Row],[total]])+0.5</f>
        <v>16</v>
      </c>
    </row>
    <row r="21" spans="1:95" x14ac:dyDescent="0.25">
      <c r="A21" s="2" t="s">
        <v>349</v>
      </c>
      <c r="B21" s="2" t="s">
        <v>330</v>
      </c>
      <c r="C21" s="3" t="s">
        <v>73</v>
      </c>
      <c r="D21" s="3">
        <v>45690</v>
      </c>
      <c r="E21" s="2" t="s">
        <v>74</v>
      </c>
      <c r="F21" s="2" t="s">
        <v>314</v>
      </c>
      <c r="G21" s="2" t="s">
        <v>75</v>
      </c>
      <c r="H21" s="11">
        <v>90</v>
      </c>
      <c r="I21" s="11">
        <v>59</v>
      </c>
      <c r="J21" s="11">
        <v>36</v>
      </c>
      <c r="K21" s="11">
        <v>67</v>
      </c>
      <c r="L21" s="12">
        <v>0.5373</v>
      </c>
      <c r="M21" s="11">
        <v>28</v>
      </c>
      <c r="N21" s="11">
        <v>37</v>
      </c>
      <c r="O21" s="12">
        <v>0.75680000000000003</v>
      </c>
      <c r="P21" s="11">
        <v>8</v>
      </c>
      <c r="Q21" s="11">
        <v>30</v>
      </c>
      <c r="R21" s="12">
        <v>0.26669999999999999</v>
      </c>
      <c r="S21" s="11">
        <v>10</v>
      </c>
      <c r="T21" s="11">
        <v>12</v>
      </c>
      <c r="U21" s="12">
        <v>0.83330000000000004</v>
      </c>
      <c r="V21" s="11">
        <v>12</v>
      </c>
      <c r="W21" s="11">
        <v>32</v>
      </c>
      <c r="X21" s="11">
        <v>44</v>
      </c>
      <c r="Y21" s="11">
        <v>17</v>
      </c>
      <c r="Z21" s="11">
        <v>3</v>
      </c>
      <c r="AA21" s="11">
        <v>3</v>
      </c>
      <c r="AB21" s="11">
        <v>12</v>
      </c>
      <c r="AC21" s="11">
        <v>21</v>
      </c>
      <c r="AD21" s="11">
        <v>20</v>
      </c>
      <c r="AE21" s="11">
        <v>58</v>
      </c>
      <c r="AF21" s="12">
        <v>0.3448</v>
      </c>
      <c r="AG21" s="11">
        <v>16</v>
      </c>
      <c r="AH21" s="11">
        <v>37</v>
      </c>
      <c r="AI21" s="12">
        <v>0.43240000000000001</v>
      </c>
      <c r="AJ21" s="11">
        <v>4</v>
      </c>
      <c r="AK21" s="11">
        <v>21</v>
      </c>
      <c r="AL21" s="12">
        <v>0.1905</v>
      </c>
      <c r="AM21" s="11">
        <v>15</v>
      </c>
      <c r="AN21" s="11">
        <v>15</v>
      </c>
      <c r="AO21" s="12">
        <v>1</v>
      </c>
      <c r="AP21" s="11">
        <v>5</v>
      </c>
      <c r="AQ21" s="11">
        <v>23</v>
      </c>
      <c r="AR21" s="11">
        <v>28</v>
      </c>
      <c r="AS21" s="11">
        <v>9</v>
      </c>
      <c r="AT21" s="11">
        <v>9</v>
      </c>
      <c r="AU21" s="11">
        <v>0</v>
      </c>
      <c r="AV21" s="11">
        <v>9</v>
      </c>
      <c r="AW21" s="11">
        <v>17</v>
      </c>
      <c r="AX21" s="12">
        <v>0.62260000000000004</v>
      </c>
      <c r="AY21" s="12">
        <v>0.59699999999999998</v>
      </c>
      <c r="AZ21" s="12">
        <v>0.34289999999999998</v>
      </c>
      <c r="BA21" s="12">
        <v>0.8649</v>
      </c>
      <c r="BB21" s="12">
        <v>0.61109999999999998</v>
      </c>
      <c r="BC21" s="4">
        <v>74.754000000000005</v>
      </c>
      <c r="BD21" s="12">
        <v>0.47220000000000001</v>
      </c>
      <c r="BE21" s="12">
        <v>0.14929999999999999</v>
      </c>
      <c r="BF21" s="12">
        <v>0.1424</v>
      </c>
      <c r="BG21" s="4">
        <v>128.1</v>
      </c>
      <c r="BH21" s="4">
        <v>84</v>
      </c>
      <c r="BI21" s="4">
        <v>70.246499999999997</v>
      </c>
      <c r="BJ21" s="12">
        <v>0.45669999999999999</v>
      </c>
      <c r="BK21" s="12">
        <v>0.37930000000000003</v>
      </c>
      <c r="BL21" s="12">
        <v>0.1351</v>
      </c>
      <c r="BM21" s="12">
        <v>0.65710000000000002</v>
      </c>
      <c r="BN21" s="12">
        <v>0.38890000000000002</v>
      </c>
      <c r="BO21" s="4">
        <v>65.739000000000004</v>
      </c>
      <c r="BP21" s="12">
        <v>0.45</v>
      </c>
      <c r="BQ21" s="12">
        <v>0.2586</v>
      </c>
      <c r="BR21" s="12">
        <v>0.12230000000000001</v>
      </c>
      <c r="BS21" s="4">
        <v>84</v>
      </c>
      <c r="BT21" s="4">
        <v>128.1</v>
      </c>
      <c r="BU21" s="11">
        <v>23</v>
      </c>
      <c r="BV21" s="11">
        <v>21</v>
      </c>
      <c r="BW21" s="11">
        <v>21</v>
      </c>
      <c r="BX21" s="11">
        <v>25</v>
      </c>
      <c r="BY21" s="11">
        <v>15</v>
      </c>
      <c r="BZ21" s="11">
        <v>18</v>
      </c>
      <c r="CA21" s="11">
        <v>9</v>
      </c>
      <c r="CB21" s="11">
        <v>17</v>
      </c>
      <c r="CC21" s="11">
        <v>44</v>
      </c>
      <c r="CD21" s="11">
        <v>46</v>
      </c>
      <c r="CE21" s="11">
        <v>33</v>
      </c>
      <c r="CF21" s="11">
        <v>26</v>
      </c>
      <c r="CG21" s="4">
        <v>1.0900000000000001</v>
      </c>
      <c r="CH21" s="13">
        <v>8</v>
      </c>
      <c r="CI21" s="4">
        <v>-13.5</v>
      </c>
      <c r="CJ21" s="4">
        <v>13.5</v>
      </c>
      <c r="CK21" s="4">
        <v>164.5</v>
      </c>
      <c r="CL21" s="2" t="s">
        <v>498</v>
      </c>
      <c r="CM21" s="4" t="str">
        <f>VLOOKUP(monaco[[#This Row],[Away_team]],all[[Full name]:[Abbr]],3,FALSE)</f>
        <v>DUN</v>
      </c>
      <c r="CN21" s="4">
        <f>IF(OR(monaco[[#This Row],[Result]]="w",monaco[[#This Row],[Result]]="dw"),monaco[[#This Row],[win]]-1,-1)</f>
        <v>9.000000000000008E-2</v>
      </c>
      <c r="CO21" s="4">
        <f>IF(OR(monaco[[#This Row],[Result]]="L",monaco[[#This Row],[Result]]="dl"),monaco[[#This Row],[lose]]-1,-1)</f>
        <v>-1</v>
      </c>
      <c r="CP21" s="4">
        <f>IF(OR((monaco[[#This Row],[Home_scored]]+monaco[[#This Row],[Away_scored]])&gt;monaco[[#This Row],[total]],OR(monaco[[#This Row],[Result]]="dw",monaco[[#This Row],[Result]]="dl")),1,0)</f>
        <v>0</v>
      </c>
      <c r="CQ21" s="4">
        <f>ABS((monaco[[#This Row],[Home_scored]]+monaco[[#This Row],[Away_scored]])-monaco[[#This Row],[total]])+0.5</f>
        <v>16</v>
      </c>
    </row>
    <row r="22" spans="1:95" x14ac:dyDescent="0.25">
      <c r="A22" s="2" t="s">
        <v>349</v>
      </c>
      <c r="B22" s="2" t="s">
        <v>330</v>
      </c>
      <c r="C22" s="3" t="s">
        <v>73</v>
      </c>
      <c r="D22" s="3">
        <v>45697</v>
      </c>
      <c r="E22" s="2" t="s">
        <v>140</v>
      </c>
      <c r="F22" s="2" t="s">
        <v>345</v>
      </c>
      <c r="G22" s="2" t="s">
        <v>75</v>
      </c>
      <c r="H22" s="11">
        <v>95</v>
      </c>
      <c r="I22" s="11">
        <v>81</v>
      </c>
      <c r="J22" s="11">
        <v>36</v>
      </c>
      <c r="K22" s="11">
        <v>68</v>
      </c>
      <c r="L22" s="12">
        <v>0.52939999999999998</v>
      </c>
      <c r="M22" s="11">
        <v>25</v>
      </c>
      <c r="N22" s="11">
        <v>41</v>
      </c>
      <c r="O22" s="12">
        <v>0.60980000000000001</v>
      </c>
      <c r="P22" s="11">
        <v>11</v>
      </c>
      <c r="Q22" s="11">
        <v>27</v>
      </c>
      <c r="R22" s="12">
        <v>0.40739999999999998</v>
      </c>
      <c r="S22" s="11">
        <v>12</v>
      </c>
      <c r="T22" s="11">
        <v>19</v>
      </c>
      <c r="U22" s="12">
        <v>0.63160000000000005</v>
      </c>
      <c r="V22" s="11">
        <v>11</v>
      </c>
      <c r="W22" s="11">
        <v>24</v>
      </c>
      <c r="X22" s="11">
        <v>35</v>
      </c>
      <c r="Y22" s="11">
        <v>24</v>
      </c>
      <c r="Z22" s="11">
        <v>4</v>
      </c>
      <c r="AA22" s="11">
        <v>5</v>
      </c>
      <c r="AB22" s="11">
        <v>7</v>
      </c>
      <c r="AC22" s="11">
        <v>19</v>
      </c>
      <c r="AD22" s="11">
        <v>28</v>
      </c>
      <c r="AE22" s="11">
        <v>65</v>
      </c>
      <c r="AF22" s="12">
        <v>0.43080000000000002</v>
      </c>
      <c r="AG22" s="11">
        <v>19</v>
      </c>
      <c r="AH22" s="11">
        <v>37</v>
      </c>
      <c r="AI22" s="12">
        <v>0.51349999999999996</v>
      </c>
      <c r="AJ22" s="11">
        <v>9</v>
      </c>
      <c r="AK22" s="11">
        <v>28</v>
      </c>
      <c r="AL22" s="12">
        <v>0.32140000000000002</v>
      </c>
      <c r="AM22" s="11">
        <v>16</v>
      </c>
      <c r="AN22" s="11">
        <v>17</v>
      </c>
      <c r="AO22" s="12">
        <v>0.94120000000000004</v>
      </c>
      <c r="AP22" s="11">
        <v>12</v>
      </c>
      <c r="AQ22" s="11">
        <v>26</v>
      </c>
      <c r="AR22" s="11">
        <v>38</v>
      </c>
      <c r="AS22" s="11">
        <v>10</v>
      </c>
      <c r="AT22" s="11">
        <v>2</v>
      </c>
      <c r="AU22" s="11">
        <v>1</v>
      </c>
      <c r="AV22" s="11">
        <v>15</v>
      </c>
      <c r="AW22" s="11">
        <v>23</v>
      </c>
      <c r="AX22" s="12">
        <v>0.62209999999999999</v>
      </c>
      <c r="AY22" s="12">
        <v>0.61029999999999995</v>
      </c>
      <c r="AZ22" s="12">
        <v>0.29730000000000001</v>
      </c>
      <c r="BA22" s="12">
        <v>0.66669999999999996</v>
      </c>
      <c r="BB22" s="12">
        <v>0.47949999999999998</v>
      </c>
      <c r="BC22" s="4">
        <v>71.838999999999999</v>
      </c>
      <c r="BD22" s="12">
        <v>0.66669999999999996</v>
      </c>
      <c r="BE22" s="12">
        <v>0.17649999999999999</v>
      </c>
      <c r="BF22" s="12">
        <v>8.4000000000000005E-2</v>
      </c>
      <c r="BG22" s="4">
        <v>130</v>
      </c>
      <c r="BH22" s="4">
        <v>110.9</v>
      </c>
      <c r="BI22" s="4">
        <v>73.0685</v>
      </c>
      <c r="BJ22" s="12">
        <v>0.55879999999999996</v>
      </c>
      <c r="BK22" s="12">
        <v>0.5</v>
      </c>
      <c r="BL22" s="12">
        <v>0.33329999999999999</v>
      </c>
      <c r="BM22" s="12">
        <v>0.70269999999999999</v>
      </c>
      <c r="BN22" s="12">
        <v>0.52049999999999996</v>
      </c>
      <c r="BO22" s="4">
        <v>74.298000000000002</v>
      </c>
      <c r="BP22" s="12">
        <v>0.35709999999999997</v>
      </c>
      <c r="BQ22" s="12">
        <v>0.2462</v>
      </c>
      <c r="BR22" s="12">
        <v>0.17150000000000001</v>
      </c>
      <c r="BS22" s="4">
        <v>110.9</v>
      </c>
      <c r="BT22" s="4">
        <v>130</v>
      </c>
      <c r="BU22" s="11">
        <v>25</v>
      </c>
      <c r="BV22" s="11">
        <v>17</v>
      </c>
      <c r="BW22" s="11">
        <v>25</v>
      </c>
      <c r="BX22" s="11">
        <v>28</v>
      </c>
      <c r="BY22" s="11">
        <v>17</v>
      </c>
      <c r="BZ22" s="11">
        <v>22</v>
      </c>
      <c r="CA22" s="11">
        <v>20</v>
      </c>
      <c r="CB22" s="11">
        <v>22</v>
      </c>
      <c r="CC22" s="11">
        <v>42</v>
      </c>
      <c r="CD22" s="11">
        <v>53</v>
      </c>
      <c r="CE22" s="11">
        <v>39</v>
      </c>
      <c r="CF22" s="11">
        <v>42</v>
      </c>
      <c r="CG22" s="4">
        <v>1.29</v>
      </c>
      <c r="CH22" s="13">
        <v>3.7</v>
      </c>
      <c r="CI22" s="4">
        <v>-8</v>
      </c>
      <c r="CJ22" s="4">
        <v>8</v>
      </c>
      <c r="CK22" s="4">
        <v>164.5</v>
      </c>
      <c r="CL22" s="2" t="s">
        <v>505</v>
      </c>
      <c r="CM22" s="4" t="str">
        <f>VLOOKUP(monaco[[#This Row],[Away_team]],all[[Full name]:[Abbr]],3,FALSE)</f>
        <v>STR</v>
      </c>
      <c r="CN22" s="4">
        <f>IF(OR(monaco[[#This Row],[Result]]="w",monaco[[#This Row],[Result]]="dw"),monaco[[#This Row],[win]]-1,-1)</f>
        <v>0.29000000000000004</v>
      </c>
      <c r="CO22" s="4">
        <f>IF(OR(monaco[[#This Row],[Result]]="L",monaco[[#This Row],[Result]]="dl"),monaco[[#This Row],[lose]]-1,-1)</f>
        <v>-1</v>
      </c>
      <c r="CP22" s="4">
        <f>IF(OR((monaco[[#This Row],[Home_scored]]+monaco[[#This Row],[Away_scored]])&gt;monaco[[#This Row],[total]],OR(monaco[[#This Row],[Result]]="dw",monaco[[#This Row],[Result]]="dl")),1,0)</f>
        <v>1</v>
      </c>
      <c r="CQ22" s="4">
        <f>ABS((monaco[[#This Row],[Home_scored]]+monaco[[#This Row],[Away_scored]])-monaco[[#This Row],[total]])+0.5</f>
        <v>12</v>
      </c>
    </row>
    <row r="23" spans="1:95" x14ac:dyDescent="0.25">
      <c r="A23" s="2" t="s">
        <v>349</v>
      </c>
      <c r="B23" s="2" t="s">
        <v>330</v>
      </c>
      <c r="C23" s="3" t="s">
        <v>73</v>
      </c>
      <c r="D23" s="3">
        <v>45718</v>
      </c>
      <c r="E23" s="2" t="s">
        <v>140</v>
      </c>
      <c r="F23" s="2" t="s">
        <v>308</v>
      </c>
      <c r="G23" s="2" t="s">
        <v>75</v>
      </c>
      <c r="H23" s="11">
        <v>95</v>
      </c>
      <c r="I23" s="11">
        <v>84</v>
      </c>
      <c r="J23" s="11">
        <v>34</v>
      </c>
      <c r="K23" s="11">
        <v>63</v>
      </c>
      <c r="L23" s="12">
        <v>0.53969999999999996</v>
      </c>
      <c r="M23" s="11">
        <v>21</v>
      </c>
      <c r="N23" s="11">
        <v>32</v>
      </c>
      <c r="O23" s="12">
        <v>0.65629999999999999</v>
      </c>
      <c r="P23" s="11">
        <v>13</v>
      </c>
      <c r="Q23" s="11">
        <v>31</v>
      </c>
      <c r="R23" s="12">
        <v>0.4194</v>
      </c>
      <c r="S23" s="11">
        <v>14</v>
      </c>
      <c r="T23" s="11">
        <v>18</v>
      </c>
      <c r="U23" s="12">
        <v>0.77780000000000005</v>
      </c>
      <c r="V23" s="11">
        <v>10</v>
      </c>
      <c r="W23" s="11">
        <v>20</v>
      </c>
      <c r="X23" s="11">
        <v>30</v>
      </c>
      <c r="Y23" s="11">
        <v>27</v>
      </c>
      <c r="Z23" s="11">
        <v>4</v>
      </c>
      <c r="AA23" s="11">
        <v>5</v>
      </c>
      <c r="AB23" s="11">
        <v>14</v>
      </c>
      <c r="AC23" s="11">
        <v>22</v>
      </c>
      <c r="AD23" s="11">
        <v>32</v>
      </c>
      <c r="AE23" s="11">
        <v>60</v>
      </c>
      <c r="AF23" s="12">
        <v>0.5333</v>
      </c>
      <c r="AG23" s="11">
        <v>26</v>
      </c>
      <c r="AH23" s="11">
        <v>41</v>
      </c>
      <c r="AI23" s="12">
        <v>0.6341</v>
      </c>
      <c r="AJ23" s="11">
        <v>6</v>
      </c>
      <c r="AK23" s="11">
        <v>19</v>
      </c>
      <c r="AL23" s="12">
        <v>0.31580000000000003</v>
      </c>
      <c r="AM23" s="11">
        <v>14</v>
      </c>
      <c r="AN23" s="11">
        <v>20</v>
      </c>
      <c r="AO23" s="12">
        <v>0.7</v>
      </c>
      <c r="AP23" s="11">
        <v>7</v>
      </c>
      <c r="AQ23" s="11">
        <v>20</v>
      </c>
      <c r="AR23" s="11">
        <v>27</v>
      </c>
      <c r="AS23" s="11">
        <v>22</v>
      </c>
      <c r="AT23" s="11">
        <v>5</v>
      </c>
      <c r="AU23" s="11">
        <v>1</v>
      </c>
      <c r="AV23" s="11">
        <v>16</v>
      </c>
      <c r="AW23" s="11">
        <v>25</v>
      </c>
      <c r="AX23" s="12">
        <v>0.66979999999999995</v>
      </c>
      <c r="AY23" s="12">
        <v>0.64290000000000003</v>
      </c>
      <c r="AZ23" s="12">
        <v>0.33329999999999999</v>
      </c>
      <c r="BA23" s="12">
        <v>0.74070000000000003</v>
      </c>
      <c r="BB23" s="12">
        <v>0.52629999999999999</v>
      </c>
      <c r="BC23" s="4">
        <v>73.856999999999999</v>
      </c>
      <c r="BD23" s="12">
        <v>0.79410000000000003</v>
      </c>
      <c r="BE23" s="12">
        <v>0.22220000000000001</v>
      </c>
      <c r="BF23" s="12">
        <v>0.16489999999999999</v>
      </c>
      <c r="BG23" s="4">
        <v>126.6</v>
      </c>
      <c r="BH23" s="4">
        <v>111.9</v>
      </c>
      <c r="BI23" s="4">
        <v>75.045000000000002</v>
      </c>
      <c r="BJ23" s="12">
        <v>0.61050000000000004</v>
      </c>
      <c r="BK23" s="12">
        <v>0.58330000000000004</v>
      </c>
      <c r="BL23" s="12">
        <v>0.25929999999999997</v>
      </c>
      <c r="BM23" s="12">
        <v>0.66669999999999996</v>
      </c>
      <c r="BN23" s="12">
        <v>0.47370000000000001</v>
      </c>
      <c r="BO23" s="4">
        <v>76.233000000000004</v>
      </c>
      <c r="BP23" s="12">
        <v>0.6875</v>
      </c>
      <c r="BQ23" s="12">
        <v>0.23330000000000001</v>
      </c>
      <c r="BR23" s="12">
        <v>0.18870000000000001</v>
      </c>
      <c r="BS23" s="4">
        <v>111.9</v>
      </c>
      <c r="BT23" s="4">
        <v>126.6</v>
      </c>
      <c r="BU23" s="11">
        <v>18</v>
      </c>
      <c r="BV23" s="11">
        <v>25</v>
      </c>
      <c r="BW23" s="11">
        <v>24</v>
      </c>
      <c r="BX23" s="11">
        <v>28</v>
      </c>
      <c r="BY23" s="11">
        <v>31</v>
      </c>
      <c r="BZ23" s="11">
        <v>12</v>
      </c>
      <c r="CA23" s="11">
        <v>20</v>
      </c>
      <c r="CB23" s="11">
        <v>21</v>
      </c>
      <c r="CC23" s="11">
        <v>43</v>
      </c>
      <c r="CD23" s="11">
        <v>52</v>
      </c>
      <c r="CE23" s="11">
        <v>43</v>
      </c>
      <c r="CF23" s="11">
        <v>41</v>
      </c>
      <c r="CG23" s="4">
        <v>1.45</v>
      </c>
      <c r="CH23" s="13">
        <v>2.8</v>
      </c>
      <c r="CI23" s="4">
        <v>-5.5</v>
      </c>
      <c r="CJ23" s="4">
        <v>5.5</v>
      </c>
      <c r="CK23" s="4">
        <v>169.5</v>
      </c>
      <c r="CL23" s="2" t="s">
        <v>514</v>
      </c>
      <c r="CM23" s="4" t="str">
        <f>VLOOKUP(monaco[[#This Row],[Away_team]],all[[Full name]:[Abbr]],3,FALSE)</f>
        <v>CHO</v>
      </c>
      <c r="CN23" s="4">
        <f>IF(OR(monaco[[#This Row],[Result]]="w",monaco[[#This Row],[Result]]="dw"),monaco[[#This Row],[win]]-1,-1)</f>
        <v>0.44999999999999996</v>
      </c>
      <c r="CO23" s="4">
        <f>IF(OR(monaco[[#This Row],[Result]]="L",monaco[[#This Row],[Result]]="dl"),monaco[[#This Row],[lose]]-1,-1)</f>
        <v>-1</v>
      </c>
      <c r="CP23" s="4">
        <f>IF(OR((monaco[[#This Row],[Home_scored]]+monaco[[#This Row],[Away_scored]])&gt;monaco[[#This Row],[total]],OR(monaco[[#This Row],[Result]]="dw",monaco[[#This Row],[Result]]="dl")),1,0)</f>
        <v>1</v>
      </c>
      <c r="CQ23" s="4">
        <f>ABS((monaco[[#This Row],[Home_scored]]+monaco[[#This Row],[Away_scored]])-monaco[[#This Row],[total]])+0.5</f>
        <v>10</v>
      </c>
    </row>
    <row r="24" spans="1:95" x14ac:dyDescent="0.25">
      <c r="A24" s="2" t="s">
        <v>349</v>
      </c>
      <c r="B24" s="2" t="s">
        <v>330</v>
      </c>
      <c r="C24" s="3" t="s">
        <v>73</v>
      </c>
      <c r="D24" s="3">
        <v>45725</v>
      </c>
      <c r="E24" s="2" t="s">
        <v>74</v>
      </c>
      <c r="F24" s="2" t="s">
        <v>339</v>
      </c>
      <c r="G24" s="2" t="s">
        <v>75</v>
      </c>
      <c r="H24" s="11">
        <v>94</v>
      </c>
      <c r="I24" s="11">
        <v>63</v>
      </c>
      <c r="J24" s="11">
        <v>31</v>
      </c>
      <c r="K24" s="11">
        <v>53</v>
      </c>
      <c r="L24" s="12">
        <v>0.58489999999999998</v>
      </c>
      <c r="M24" s="11">
        <v>25</v>
      </c>
      <c r="N24" s="11">
        <v>35</v>
      </c>
      <c r="O24" s="12">
        <v>0.71430000000000005</v>
      </c>
      <c r="P24" s="11">
        <v>6</v>
      </c>
      <c r="Q24" s="11">
        <v>18</v>
      </c>
      <c r="R24" s="12">
        <v>0.33329999999999999</v>
      </c>
      <c r="S24" s="11">
        <v>26</v>
      </c>
      <c r="T24" s="11">
        <v>28</v>
      </c>
      <c r="U24" s="12">
        <v>0.92859999999999998</v>
      </c>
      <c r="V24" s="11">
        <v>7</v>
      </c>
      <c r="W24" s="11">
        <v>30</v>
      </c>
      <c r="X24" s="11">
        <v>37</v>
      </c>
      <c r="Y24" s="11">
        <v>18</v>
      </c>
      <c r="Z24" s="11">
        <v>1</v>
      </c>
      <c r="AA24" s="11">
        <v>3</v>
      </c>
      <c r="AB24" s="11">
        <v>15</v>
      </c>
      <c r="AC24" s="11">
        <v>15</v>
      </c>
      <c r="AD24" s="11">
        <v>24</v>
      </c>
      <c r="AE24" s="11">
        <v>68</v>
      </c>
      <c r="AF24" s="12">
        <v>0.35289999999999999</v>
      </c>
      <c r="AG24" s="11">
        <v>17</v>
      </c>
      <c r="AH24" s="11">
        <v>40</v>
      </c>
      <c r="AI24" s="12">
        <v>0.42499999999999999</v>
      </c>
      <c r="AJ24" s="11">
        <v>7</v>
      </c>
      <c r="AK24" s="11">
        <v>28</v>
      </c>
      <c r="AL24" s="12">
        <v>0.25</v>
      </c>
      <c r="AM24" s="11">
        <v>8</v>
      </c>
      <c r="AN24" s="11">
        <v>9</v>
      </c>
      <c r="AO24" s="12">
        <v>0.88890000000000002</v>
      </c>
      <c r="AP24" s="11">
        <v>12</v>
      </c>
      <c r="AQ24" s="11">
        <v>14</v>
      </c>
      <c r="AR24" s="11">
        <v>26</v>
      </c>
      <c r="AS24" s="11">
        <v>15</v>
      </c>
      <c r="AT24" s="11">
        <v>9</v>
      </c>
      <c r="AU24" s="11">
        <v>2</v>
      </c>
      <c r="AV24" s="11">
        <v>13</v>
      </c>
      <c r="AW24" s="11">
        <v>26</v>
      </c>
      <c r="AX24" s="12">
        <v>0.71950000000000003</v>
      </c>
      <c r="AY24" s="12">
        <v>0.64149999999999996</v>
      </c>
      <c r="AZ24" s="12">
        <v>0.33329999999999999</v>
      </c>
      <c r="BA24" s="12">
        <v>0.71430000000000005</v>
      </c>
      <c r="BB24" s="12">
        <v>0.58730000000000004</v>
      </c>
      <c r="BC24" s="4">
        <v>74.745999999999995</v>
      </c>
      <c r="BD24" s="12">
        <v>0.5806</v>
      </c>
      <c r="BE24" s="12">
        <v>0.49059999999999998</v>
      </c>
      <c r="BF24" s="12">
        <v>0.18679999999999999</v>
      </c>
      <c r="BG24" s="4">
        <v>136.6</v>
      </c>
      <c r="BH24" s="4">
        <v>91.6</v>
      </c>
      <c r="BI24" s="4">
        <v>68.808499999999995</v>
      </c>
      <c r="BJ24" s="12">
        <v>0.43769999999999998</v>
      </c>
      <c r="BK24" s="12">
        <v>0.40439999999999998</v>
      </c>
      <c r="BL24" s="12">
        <v>0.28570000000000001</v>
      </c>
      <c r="BM24" s="12">
        <v>0.66669999999999996</v>
      </c>
      <c r="BN24" s="12">
        <v>0.41270000000000001</v>
      </c>
      <c r="BO24" s="4">
        <v>62.871000000000002</v>
      </c>
      <c r="BP24" s="12">
        <v>0.625</v>
      </c>
      <c r="BQ24" s="12">
        <v>0.1176</v>
      </c>
      <c r="BR24" s="12">
        <v>0.153</v>
      </c>
      <c r="BS24" s="4">
        <v>91.6</v>
      </c>
      <c r="BT24" s="4">
        <v>136.6</v>
      </c>
      <c r="BU24" s="11">
        <v>23</v>
      </c>
      <c r="BV24" s="11">
        <v>21</v>
      </c>
      <c r="BW24" s="11">
        <v>22</v>
      </c>
      <c r="BX24" s="11">
        <v>28</v>
      </c>
      <c r="BY24" s="11">
        <v>19</v>
      </c>
      <c r="BZ24" s="11">
        <v>19</v>
      </c>
      <c r="CA24" s="11">
        <v>13</v>
      </c>
      <c r="CB24" s="11">
        <v>12</v>
      </c>
      <c r="CC24" s="11">
        <v>44</v>
      </c>
      <c r="CD24" s="11">
        <v>50</v>
      </c>
      <c r="CE24" s="11">
        <v>38</v>
      </c>
      <c r="CF24" s="11">
        <v>25</v>
      </c>
      <c r="CG24" s="4">
        <v>1.32</v>
      </c>
      <c r="CH24" s="13">
        <v>3.5</v>
      </c>
      <c r="CI24" s="4">
        <v>-7.5</v>
      </c>
      <c r="CJ24" s="4">
        <v>7.5</v>
      </c>
      <c r="CK24" s="4">
        <v>170.5</v>
      </c>
      <c r="CL24" s="2" t="s">
        <v>522</v>
      </c>
      <c r="CM24" s="4" t="str">
        <f>VLOOKUP(monaco[[#This Row],[Away_team]],all[[Full name]:[Abbr]],3,FALSE)</f>
        <v>PAR</v>
      </c>
      <c r="CN24" s="4">
        <f>IF(OR(monaco[[#This Row],[Result]]="w",monaco[[#This Row],[Result]]="dw"),monaco[[#This Row],[win]]-1,-1)</f>
        <v>0.32000000000000006</v>
      </c>
      <c r="CO24" s="4">
        <f>IF(OR(monaco[[#This Row],[Result]]="L",monaco[[#This Row],[Result]]="dl"),monaco[[#This Row],[lose]]-1,-1)</f>
        <v>-1</v>
      </c>
      <c r="CP24" s="4">
        <f>IF(OR((monaco[[#This Row],[Home_scored]]+monaco[[#This Row],[Away_scored]])&gt;monaco[[#This Row],[total]],OR(monaco[[#This Row],[Result]]="dw",monaco[[#This Row],[Result]]="dl")),1,0)</f>
        <v>0</v>
      </c>
      <c r="CQ24" s="4">
        <f>ABS((monaco[[#This Row],[Home_scored]]+monaco[[#This Row],[Away_scored]])-monaco[[#This Row],[total]])+0.5</f>
        <v>14</v>
      </c>
    </row>
    <row r="25" spans="1:95" x14ac:dyDescent="0.25">
      <c r="A25" s="2" t="s">
        <v>349</v>
      </c>
      <c r="B25" s="2" t="s">
        <v>330</v>
      </c>
      <c r="C25" s="3" t="s">
        <v>73</v>
      </c>
      <c r="D25" s="3">
        <v>45739</v>
      </c>
      <c r="E25" s="2" t="s">
        <v>74</v>
      </c>
      <c r="F25" s="2" t="s">
        <v>327</v>
      </c>
      <c r="G25" s="2" t="s">
        <v>139</v>
      </c>
      <c r="H25" s="11">
        <v>86</v>
      </c>
      <c r="I25" s="11">
        <v>94</v>
      </c>
      <c r="J25" s="11">
        <v>35</v>
      </c>
      <c r="K25" s="11">
        <v>68</v>
      </c>
      <c r="L25" s="12">
        <v>0.51470000000000005</v>
      </c>
      <c r="M25" s="11">
        <v>31</v>
      </c>
      <c r="N25" s="11">
        <v>46</v>
      </c>
      <c r="O25" s="12">
        <v>0.67390000000000005</v>
      </c>
      <c r="P25" s="11">
        <v>4</v>
      </c>
      <c r="Q25" s="11">
        <v>22</v>
      </c>
      <c r="R25" s="12">
        <v>0.18179999999999999</v>
      </c>
      <c r="S25" s="11">
        <v>12</v>
      </c>
      <c r="T25" s="11">
        <v>16</v>
      </c>
      <c r="U25" s="12">
        <v>0.75</v>
      </c>
      <c r="V25" s="11">
        <v>16</v>
      </c>
      <c r="W25" s="11">
        <v>16</v>
      </c>
      <c r="X25" s="11">
        <v>32</v>
      </c>
      <c r="Y25" s="11">
        <v>33</v>
      </c>
      <c r="Z25" s="11">
        <v>23</v>
      </c>
      <c r="AA25" s="11">
        <v>3</v>
      </c>
      <c r="AB25" s="11">
        <v>17</v>
      </c>
      <c r="AC25" s="11">
        <v>25</v>
      </c>
      <c r="AD25" s="11">
        <v>43</v>
      </c>
      <c r="AE25" s="11">
        <v>57</v>
      </c>
      <c r="AF25" s="12">
        <v>0.75439999999999996</v>
      </c>
      <c r="AG25" s="11">
        <v>17</v>
      </c>
      <c r="AH25" s="11">
        <v>29</v>
      </c>
      <c r="AI25" s="12">
        <v>0.58620000000000005</v>
      </c>
      <c r="AJ25" s="11">
        <v>14</v>
      </c>
      <c r="AK25" s="11">
        <v>28</v>
      </c>
      <c r="AL25" s="12">
        <v>0.5</v>
      </c>
      <c r="AM25" s="11">
        <v>18</v>
      </c>
      <c r="AN25" s="11">
        <v>24</v>
      </c>
      <c r="AO25" s="12">
        <v>0.75</v>
      </c>
      <c r="AP25" s="11">
        <v>10</v>
      </c>
      <c r="AQ25" s="11">
        <v>17</v>
      </c>
      <c r="AR25" s="11">
        <v>27</v>
      </c>
      <c r="AS25" s="11">
        <v>27</v>
      </c>
      <c r="AT25" s="11">
        <v>20</v>
      </c>
      <c r="AU25" s="11">
        <v>1</v>
      </c>
      <c r="AV25" s="11">
        <v>20</v>
      </c>
      <c r="AW25" s="11">
        <v>23</v>
      </c>
      <c r="AX25" s="12">
        <v>0.57299999999999995</v>
      </c>
      <c r="AY25" s="12">
        <v>0.54410000000000003</v>
      </c>
      <c r="AZ25" s="12">
        <v>0.48480000000000001</v>
      </c>
      <c r="BA25" s="12">
        <v>0.61539999999999995</v>
      </c>
      <c r="BB25" s="12">
        <v>0.54239999999999999</v>
      </c>
      <c r="BC25" s="4">
        <v>73.745000000000005</v>
      </c>
      <c r="BD25" s="12">
        <v>0.94289999999999996</v>
      </c>
      <c r="BE25" s="12">
        <v>0.17649999999999999</v>
      </c>
      <c r="BF25" s="12">
        <v>0.1847</v>
      </c>
      <c r="BG25" s="4">
        <v>111.1</v>
      </c>
      <c r="BH25" s="4">
        <v>121.4</v>
      </c>
      <c r="BI25" s="4">
        <v>77.398499999999999</v>
      </c>
      <c r="BJ25" s="12">
        <v>0.69569999999999999</v>
      </c>
      <c r="BK25" s="12">
        <v>0.87719999999999998</v>
      </c>
      <c r="BL25" s="12">
        <v>0.3846</v>
      </c>
      <c r="BM25" s="12">
        <v>0.51519999999999999</v>
      </c>
      <c r="BN25" s="12">
        <v>0.45760000000000001</v>
      </c>
      <c r="BO25" s="4">
        <v>81.052000000000007</v>
      </c>
      <c r="BP25" s="12">
        <v>0.62790000000000001</v>
      </c>
      <c r="BQ25" s="12">
        <v>0.31580000000000003</v>
      </c>
      <c r="BR25" s="12">
        <v>0.22839999999999999</v>
      </c>
      <c r="BS25" s="4">
        <v>121.4</v>
      </c>
      <c r="BT25" s="4">
        <v>111.1</v>
      </c>
      <c r="BU25" s="11">
        <v>21</v>
      </c>
      <c r="BV25" s="11">
        <v>21</v>
      </c>
      <c r="BW25" s="11">
        <v>22</v>
      </c>
      <c r="BX25" s="11">
        <v>22</v>
      </c>
      <c r="BY25" s="11">
        <v>22</v>
      </c>
      <c r="BZ25" s="11">
        <v>23</v>
      </c>
      <c r="CA25" s="11">
        <v>25</v>
      </c>
      <c r="CB25" s="11">
        <v>24</v>
      </c>
      <c r="CC25" s="11">
        <v>42</v>
      </c>
      <c r="CD25" s="11">
        <v>44</v>
      </c>
      <c r="CE25" s="11">
        <v>45</v>
      </c>
      <c r="CF25" s="11">
        <v>49</v>
      </c>
      <c r="CG25" s="4">
        <v>1.29</v>
      </c>
      <c r="CH25" s="13">
        <v>3.7</v>
      </c>
      <c r="CI25" s="4">
        <v>-8</v>
      </c>
      <c r="CJ25" s="4">
        <v>-8</v>
      </c>
      <c r="CK25" s="4">
        <v>167.5</v>
      </c>
      <c r="CL25" s="2" t="s">
        <v>529</v>
      </c>
      <c r="CM25" s="4" t="str">
        <f>VLOOKUP(monaco[[#This Row],[Away_team]],all[[Full name]:[Abbr]],3,FALSE)</f>
        <v>LYO</v>
      </c>
      <c r="CN25" s="4">
        <f>IF(OR(monaco[[#This Row],[Result]]="w",monaco[[#This Row],[Result]]="dw"),monaco[[#This Row],[win]]-1,-1)</f>
        <v>-1</v>
      </c>
      <c r="CO25" s="4">
        <f>IF(OR(monaco[[#This Row],[Result]]="L",monaco[[#This Row],[Result]]="dl"),monaco[[#This Row],[lose]]-1,-1)</f>
        <v>2.7</v>
      </c>
      <c r="CP25" s="4">
        <f>IF(OR((monaco[[#This Row],[Home_scored]]+monaco[[#This Row],[Away_scored]])&gt;monaco[[#This Row],[total]],OR(monaco[[#This Row],[Result]]="dw",monaco[[#This Row],[Result]]="dl")),1,0)</f>
        <v>1</v>
      </c>
      <c r="CQ25" s="4">
        <f>ABS((monaco[[#This Row],[Home_scored]]+monaco[[#This Row],[Away_scored]])-monaco[[#This Row],[total]])+0.5</f>
        <v>13</v>
      </c>
    </row>
    <row r="26" spans="1:95" x14ac:dyDescent="0.25">
      <c r="A26" s="2" t="s">
        <v>349</v>
      </c>
      <c r="B26" s="2" t="s">
        <v>330</v>
      </c>
      <c r="C26" s="3" t="s">
        <v>73</v>
      </c>
      <c r="D26" s="3">
        <v>45746</v>
      </c>
      <c r="E26" s="2" t="s">
        <v>140</v>
      </c>
      <c r="F26" s="2" t="s">
        <v>320</v>
      </c>
      <c r="G26" s="2" t="s">
        <v>75</v>
      </c>
      <c r="H26" s="11">
        <v>91</v>
      </c>
      <c r="I26" s="11">
        <v>67</v>
      </c>
      <c r="J26" s="11">
        <v>34</v>
      </c>
      <c r="K26" s="11">
        <v>57</v>
      </c>
      <c r="L26" s="12">
        <v>0.59650000000000003</v>
      </c>
      <c r="M26" s="11">
        <v>20</v>
      </c>
      <c r="N26" s="11">
        <v>34</v>
      </c>
      <c r="O26" s="12">
        <v>0.58819999999999995</v>
      </c>
      <c r="P26" s="11">
        <v>14</v>
      </c>
      <c r="Q26" s="11">
        <v>23</v>
      </c>
      <c r="R26" s="12">
        <v>0.60870000000000002</v>
      </c>
      <c r="S26" s="11">
        <v>9</v>
      </c>
      <c r="T26" s="11">
        <v>15</v>
      </c>
      <c r="U26" s="12">
        <v>0.6</v>
      </c>
      <c r="V26" s="11">
        <v>10</v>
      </c>
      <c r="W26" s="11">
        <v>25</v>
      </c>
      <c r="X26" s="11">
        <v>35</v>
      </c>
      <c r="Y26" s="11">
        <v>28</v>
      </c>
      <c r="Z26" s="11">
        <v>7</v>
      </c>
      <c r="AA26" s="11">
        <v>6</v>
      </c>
      <c r="AB26" s="11">
        <v>15</v>
      </c>
      <c r="AC26" s="11">
        <v>22</v>
      </c>
      <c r="AD26" s="11">
        <v>23</v>
      </c>
      <c r="AE26" s="11">
        <v>57</v>
      </c>
      <c r="AF26" s="12">
        <v>0.40350000000000003</v>
      </c>
      <c r="AG26" s="11">
        <v>18</v>
      </c>
      <c r="AH26" s="11">
        <v>37</v>
      </c>
      <c r="AI26" s="12">
        <v>0.48649999999999999</v>
      </c>
      <c r="AJ26" s="11">
        <v>5</v>
      </c>
      <c r="AK26" s="11">
        <v>20</v>
      </c>
      <c r="AL26" s="12">
        <v>0.25</v>
      </c>
      <c r="AM26" s="11">
        <v>16</v>
      </c>
      <c r="AN26" s="11">
        <v>23</v>
      </c>
      <c r="AO26" s="12">
        <v>0.69569999999999999</v>
      </c>
      <c r="AP26" s="11">
        <v>10</v>
      </c>
      <c r="AQ26" s="11">
        <v>14</v>
      </c>
      <c r="AR26" s="11">
        <v>24</v>
      </c>
      <c r="AS26" s="11">
        <v>12</v>
      </c>
      <c r="AT26" s="11">
        <v>7</v>
      </c>
      <c r="AU26" s="11">
        <v>2</v>
      </c>
      <c r="AV26" s="11">
        <v>14</v>
      </c>
      <c r="AW26" s="11">
        <v>18</v>
      </c>
      <c r="AX26" s="12">
        <v>0.71540000000000004</v>
      </c>
      <c r="AY26" s="12">
        <v>0.71930000000000005</v>
      </c>
      <c r="AZ26" s="12">
        <v>0.41670000000000001</v>
      </c>
      <c r="BA26" s="12">
        <v>0.71430000000000005</v>
      </c>
      <c r="BB26" s="12">
        <v>0.59319999999999995</v>
      </c>
      <c r="BC26" s="4">
        <v>70.968999999999994</v>
      </c>
      <c r="BD26" s="12">
        <v>0.82350000000000001</v>
      </c>
      <c r="BE26" s="12">
        <v>0.15790000000000001</v>
      </c>
      <c r="BF26" s="12">
        <v>0.1908</v>
      </c>
      <c r="BG26" s="4">
        <v>133.80000000000001</v>
      </c>
      <c r="BH26" s="4">
        <v>98.5</v>
      </c>
      <c r="BI26" s="4">
        <v>68.005499999999998</v>
      </c>
      <c r="BJ26" s="12">
        <v>0.49909999999999999</v>
      </c>
      <c r="BK26" s="12">
        <v>0.44740000000000002</v>
      </c>
      <c r="BL26" s="12">
        <v>0.28570000000000001</v>
      </c>
      <c r="BM26" s="12">
        <v>0.58330000000000004</v>
      </c>
      <c r="BN26" s="12">
        <v>0.40679999999999999</v>
      </c>
      <c r="BO26" s="4">
        <v>65.042000000000002</v>
      </c>
      <c r="BP26" s="12">
        <v>0.52170000000000005</v>
      </c>
      <c r="BQ26" s="12">
        <v>0.28070000000000001</v>
      </c>
      <c r="BR26" s="12">
        <v>0.1726</v>
      </c>
      <c r="BS26" s="4">
        <v>98.5</v>
      </c>
      <c r="BT26" s="4">
        <v>133.80000000000001</v>
      </c>
      <c r="BU26" s="11">
        <v>25</v>
      </c>
      <c r="BV26" s="11">
        <v>23</v>
      </c>
      <c r="BW26" s="11">
        <v>20</v>
      </c>
      <c r="BX26" s="11">
        <v>23</v>
      </c>
      <c r="BY26" s="11">
        <v>11</v>
      </c>
      <c r="BZ26" s="11">
        <v>26</v>
      </c>
      <c r="CA26" s="11">
        <v>15</v>
      </c>
      <c r="CB26" s="11">
        <v>15</v>
      </c>
      <c r="CC26" s="11">
        <v>48</v>
      </c>
      <c r="CD26" s="11">
        <v>43</v>
      </c>
      <c r="CE26" s="11">
        <v>37</v>
      </c>
      <c r="CF26" s="11">
        <v>30</v>
      </c>
      <c r="CG26" s="4">
        <v>1.2</v>
      </c>
      <c r="CH26" s="13">
        <v>4.75</v>
      </c>
      <c r="CI26" s="4">
        <v>-9.5</v>
      </c>
      <c r="CJ26" s="4">
        <v>9.5</v>
      </c>
      <c r="CK26" s="4">
        <v>159.5</v>
      </c>
      <c r="CL26" s="2" t="s">
        <v>535</v>
      </c>
      <c r="CM26" s="4" t="str">
        <f>VLOOKUP(monaco[[#This Row],[Away_team]],all[[Full name]:[Abbr]],3,FALSE)</f>
        <v>POR</v>
      </c>
      <c r="CN26" s="4">
        <f>IF(OR(monaco[[#This Row],[Result]]="w",monaco[[#This Row],[Result]]="dw"),monaco[[#This Row],[win]]-1,-1)</f>
        <v>0.19999999999999996</v>
      </c>
      <c r="CO26" s="4">
        <f>IF(OR(monaco[[#This Row],[Result]]="L",monaco[[#This Row],[Result]]="dl"),monaco[[#This Row],[lose]]-1,-1)</f>
        <v>-1</v>
      </c>
      <c r="CP26" s="4">
        <f>IF(OR((monaco[[#This Row],[Home_scored]]+monaco[[#This Row],[Away_scored]])&gt;monaco[[#This Row],[total]],OR(monaco[[#This Row],[Result]]="dw",monaco[[#This Row],[Result]]="dl")),1,0)</f>
        <v>0</v>
      </c>
      <c r="CQ26" s="4">
        <f>ABS((monaco[[#This Row],[Home_scored]]+monaco[[#This Row],[Away_scored]])-monaco[[#This Row],[total]])+0.5</f>
        <v>2</v>
      </c>
    </row>
    <row r="27" spans="1:95" x14ac:dyDescent="0.25">
      <c r="A27" s="2" t="s">
        <v>349</v>
      </c>
      <c r="B27" s="2" t="s">
        <v>330</v>
      </c>
      <c r="C27" s="3" t="s">
        <v>73</v>
      </c>
      <c r="D27" s="3">
        <v>45752</v>
      </c>
      <c r="E27" s="2" t="s">
        <v>74</v>
      </c>
      <c r="F27" s="2" t="s">
        <v>336</v>
      </c>
      <c r="G27" s="2" t="s">
        <v>75</v>
      </c>
      <c r="H27" s="11">
        <v>89</v>
      </c>
      <c r="I27" s="11">
        <v>74</v>
      </c>
      <c r="J27" s="11">
        <v>32</v>
      </c>
      <c r="K27" s="11">
        <v>59</v>
      </c>
      <c r="L27" s="12">
        <v>0.54239999999999999</v>
      </c>
      <c r="M27" s="11">
        <v>22</v>
      </c>
      <c r="N27" s="11">
        <v>30</v>
      </c>
      <c r="O27" s="12">
        <v>0.73329999999999995</v>
      </c>
      <c r="P27" s="11">
        <v>10</v>
      </c>
      <c r="Q27" s="11">
        <v>29</v>
      </c>
      <c r="R27" s="12">
        <v>0.3448</v>
      </c>
      <c r="S27" s="11">
        <v>15</v>
      </c>
      <c r="T27" s="11">
        <v>21</v>
      </c>
      <c r="U27" s="12">
        <v>0.71430000000000005</v>
      </c>
      <c r="V27" s="11">
        <v>5</v>
      </c>
      <c r="W27" s="11">
        <v>29</v>
      </c>
      <c r="X27" s="11">
        <v>34</v>
      </c>
      <c r="Y27" s="11">
        <v>24</v>
      </c>
      <c r="Z27" s="11">
        <v>6</v>
      </c>
      <c r="AA27" s="11">
        <v>5</v>
      </c>
      <c r="AB27" s="11">
        <v>14</v>
      </c>
      <c r="AC27" s="11">
        <v>20</v>
      </c>
      <c r="AD27" s="11">
        <v>29</v>
      </c>
      <c r="AE27" s="11">
        <v>60</v>
      </c>
      <c r="AF27" s="12">
        <v>0.48330000000000001</v>
      </c>
      <c r="AG27" s="11">
        <v>20</v>
      </c>
      <c r="AH27" s="11">
        <v>36</v>
      </c>
      <c r="AI27" s="12">
        <v>0.55559999999999998</v>
      </c>
      <c r="AJ27" s="11">
        <v>9</v>
      </c>
      <c r="AK27" s="11">
        <v>24</v>
      </c>
      <c r="AL27" s="12">
        <v>0.375</v>
      </c>
      <c r="AM27" s="11">
        <v>7</v>
      </c>
      <c r="AN27" s="11">
        <v>15</v>
      </c>
      <c r="AO27" s="12">
        <v>0.4667</v>
      </c>
      <c r="AP27" s="11">
        <v>6</v>
      </c>
      <c r="AQ27" s="11">
        <v>25</v>
      </c>
      <c r="AR27" s="11">
        <v>31</v>
      </c>
      <c r="AS27" s="11">
        <v>19</v>
      </c>
      <c r="AT27" s="11">
        <v>8</v>
      </c>
      <c r="AU27" s="11">
        <v>1</v>
      </c>
      <c r="AV27" s="11">
        <v>13</v>
      </c>
      <c r="AW27" s="11">
        <v>22</v>
      </c>
      <c r="AX27" s="12">
        <v>0.65210000000000001</v>
      </c>
      <c r="AY27" s="12">
        <v>0.62709999999999999</v>
      </c>
      <c r="AZ27" s="12">
        <v>0.16669999999999999</v>
      </c>
      <c r="BA27" s="12">
        <v>0.8286</v>
      </c>
      <c r="BB27" s="12">
        <v>0.52310000000000001</v>
      </c>
      <c r="BC27" s="4">
        <v>77.150999999999996</v>
      </c>
      <c r="BD27" s="12">
        <v>0.75</v>
      </c>
      <c r="BE27" s="12">
        <v>0.25419999999999998</v>
      </c>
      <c r="BF27" s="12">
        <v>0.17019999999999999</v>
      </c>
      <c r="BG27" s="4">
        <v>118.9</v>
      </c>
      <c r="BH27" s="4">
        <v>98.8</v>
      </c>
      <c r="BI27" s="4">
        <v>74.865499999999997</v>
      </c>
      <c r="BJ27" s="12">
        <v>0.55559999999999998</v>
      </c>
      <c r="BK27" s="12">
        <v>0.55830000000000002</v>
      </c>
      <c r="BL27" s="12">
        <v>0.1714</v>
      </c>
      <c r="BM27" s="12">
        <v>0.83330000000000004</v>
      </c>
      <c r="BN27" s="12">
        <v>0.47689999999999999</v>
      </c>
      <c r="BO27" s="4">
        <v>72.58</v>
      </c>
      <c r="BP27" s="12">
        <v>0.6552</v>
      </c>
      <c r="BQ27" s="12">
        <v>0.1167</v>
      </c>
      <c r="BR27" s="12">
        <v>0.1633</v>
      </c>
      <c r="BS27" s="4">
        <v>98.8</v>
      </c>
      <c r="BT27" s="4">
        <v>118.9</v>
      </c>
      <c r="BU27" s="11">
        <v>24</v>
      </c>
      <c r="BV27" s="11">
        <v>23</v>
      </c>
      <c r="BW27" s="11">
        <v>19</v>
      </c>
      <c r="BX27" s="11">
        <v>23</v>
      </c>
      <c r="BY27" s="11">
        <v>19</v>
      </c>
      <c r="BZ27" s="11">
        <v>24</v>
      </c>
      <c r="CA27" s="11">
        <v>22</v>
      </c>
      <c r="CB27" s="11">
        <v>9</v>
      </c>
      <c r="CC27" s="11">
        <v>47</v>
      </c>
      <c r="CD27" s="11">
        <v>42</v>
      </c>
      <c r="CE27" s="11">
        <v>43</v>
      </c>
      <c r="CF27" s="11">
        <v>31</v>
      </c>
      <c r="CG27" s="4">
        <v>1.1100000000000001</v>
      </c>
      <c r="CH27" s="13">
        <v>6.75</v>
      </c>
      <c r="CI27" s="4">
        <v>-12.5</v>
      </c>
      <c r="CJ27" s="4">
        <v>12.5</v>
      </c>
      <c r="CK27" s="4">
        <v>170.5</v>
      </c>
      <c r="CL27" s="2" t="s">
        <v>540</v>
      </c>
      <c r="CM27" s="4" t="str">
        <f>VLOOKUP(monaco[[#This Row],[Away_team]],all[[Full name]:[Abbr]],3,FALSE)</f>
        <v>NAN</v>
      </c>
      <c r="CN27" s="4">
        <f>IF(OR(monaco[[#This Row],[Result]]="w",monaco[[#This Row],[Result]]="dw"),monaco[[#This Row],[win]]-1,-1)</f>
        <v>0.1100000000000001</v>
      </c>
      <c r="CO27" s="4">
        <f>IF(OR(monaco[[#This Row],[Result]]="L",monaco[[#This Row],[Result]]="dl"),monaco[[#This Row],[lose]]-1,-1)</f>
        <v>-1</v>
      </c>
      <c r="CP27" s="4">
        <f>IF(OR((monaco[[#This Row],[Home_scored]]+monaco[[#This Row],[Away_scored]])&gt;monaco[[#This Row],[total]],OR(monaco[[#This Row],[Result]]="dw",monaco[[#This Row],[Result]]="dl")),1,0)</f>
        <v>0</v>
      </c>
      <c r="CQ27" s="4">
        <f>ABS((monaco[[#This Row],[Home_scored]]+monaco[[#This Row],[Away_scored]])-monaco[[#This Row],[total]])+0.5</f>
        <v>8</v>
      </c>
    </row>
    <row r="28" spans="1:95" x14ac:dyDescent="0.25">
      <c r="A28" s="2" t="s">
        <v>349</v>
      </c>
      <c r="B28" s="2" t="s">
        <v>330</v>
      </c>
      <c r="C28" s="3" t="s">
        <v>73</v>
      </c>
      <c r="D28" s="3">
        <v>45759</v>
      </c>
      <c r="E28" s="2" t="s">
        <v>74</v>
      </c>
      <c r="F28" s="2" t="s">
        <v>342</v>
      </c>
      <c r="G28" s="2" t="s">
        <v>75</v>
      </c>
      <c r="H28" s="11">
        <v>86</v>
      </c>
      <c r="I28" s="11">
        <v>72</v>
      </c>
      <c r="J28" s="11">
        <v>25</v>
      </c>
      <c r="K28" s="11">
        <v>47</v>
      </c>
      <c r="L28" s="12">
        <v>0.53190000000000004</v>
      </c>
      <c r="M28" s="11">
        <v>12</v>
      </c>
      <c r="N28" s="11">
        <v>21</v>
      </c>
      <c r="O28" s="12">
        <v>0.57140000000000002</v>
      </c>
      <c r="P28" s="11">
        <v>13</v>
      </c>
      <c r="Q28" s="11">
        <v>26</v>
      </c>
      <c r="R28" s="12">
        <v>0.5</v>
      </c>
      <c r="S28" s="11">
        <v>23</v>
      </c>
      <c r="T28" s="11">
        <v>29</v>
      </c>
      <c r="U28" s="12">
        <v>0.79310000000000003</v>
      </c>
      <c r="V28" s="11">
        <v>6</v>
      </c>
      <c r="W28" s="11">
        <v>27</v>
      </c>
      <c r="X28" s="11">
        <v>33</v>
      </c>
      <c r="Y28" s="11">
        <v>24</v>
      </c>
      <c r="Z28" s="11">
        <v>7</v>
      </c>
      <c r="AA28" s="11">
        <v>4</v>
      </c>
      <c r="AB28" s="11">
        <v>18</v>
      </c>
      <c r="AC28" s="11">
        <v>20</v>
      </c>
      <c r="AD28" s="11">
        <v>25</v>
      </c>
      <c r="AE28" s="11">
        <v>67</v>
      </c>
      <c r="AF28" s="12">
        <v>0.37309999999999999</v>
      </c>
      <c r="AG28" s="11">
        <v>13</v>
      </c>
      <c r="AH28" s="11">
        <v>35</v>
      </c>
      <c r="AI28" s="12">
        <v>0.37140000000000001</v>
      </c>
      <c r="AJ28" s="11">
        <v>12</v>
      </c>
      <c r="AK28" s="11">
        <v>32</v>
      </c>
      <c r="AL28" s="12">
        <v>0.375</v>
      </c>
      <c r="AM28" s="11">
        <v>10</v>
      </c>
      <c r="AN28" s="11">
        <v>17</v>
      </c>
      <c r="AO28" s="12">
        <v>0.58819999999999995</v>
      </c>
      <c r="AP28" s="11">
        <v>16</v>
      </c>
      <c r="AQ28" s="11">
        <v>19</v>
      </c>
      <c r="AR28" s="11">
        <v>35</v>
      </c>
      <c r="AS28" s="11">
        <v>19</v>
      </c>
      <c r="AT28" s="11">
        <v>9</v>
      </c>
      <c r="AU28" s="11">
        <v>0</v>
      </c>
      <c r="AV28" s="11">
        <v>14</v>
      </c>
      <c r="AW28" s="11">
        <v>27</v>
      </c>
      <c r="AX28" s="12">
        <v>0.71950000000000003</v>
      </c>
      <c r="AY28" s="12">
        <v>0.67020000000000002</v>
      </c>
      <c r="AZ28" s="12">
        <v>0.24</v>
      </c>
      <c r="BA28" s="12">
        <v>0.62790000000000001</v>
      </c>
      <c r="BB28" s="12">
        <v>0.48530000000000001</v>
      </c>
      <c r="BC28" s="4">
        <v>72.319999999999993</v>
      </c>
      <c r="BD28" s="12">
        <v>0.96</v>
      </c>
      <c r="BE28" s="12">
        <v>0.4894</v>
      </c>
      <c r="BF28" s="12">
        <v>0.23150000000000001</v>
      </c>
      <c r="BG28" s="4">
        <v>123.2</v>
      </c>
      <c r="BH28" s="4">
        <v>103.2</v>
      </c>
      <c r="BI28" s="4">
        <v>69.787999999999997</v>
      </c>
      <c r="BJ28" s="12">
        <v>0.4834</v>
      </c>
      <c r="BK28" s="12">
        <v>0.4627</v>
      </c>
      <c r="BL28" s="12">
        <v>0.37209999999999999</v>
      </c>
      <c r="BM28" s="12">
        <v>0.76</v>
      </c>
      <c r="BN28" s="12">
        <v>0.51470000000000005</v>
      </c>
      <c r="BO28" s="4">
        <v>67.256</v>
      </c>
      <c r="BP28" s="12">
        <v>0.76</v>
      </c>
      <c r="BQ28" s="12">
        <v>0.14929999999999999</v>
      </c>
      <c r="BR28" s="12">
        <v>0.15820000000000001</v>
      </c>
      <c r="BS28" s="4">
        <v>103.2</v>
      </c>
      <c r="BT28" s="4">
        <v>123.2</v>
      </c>
      <c r="BU28" s="11">
        <v>24</v>
      </c>
      <c r="BV28" s="11">
        <v>25</v>
      </c>
      <c r="BW28" s="11">
        <v>22</v>
      </c>
      <c r="BX28" s="11">
        <v>15</v>
      </c>
      <c r="BY28" s="11">
        <v>10</v>
      </c>
      <c r="BZ28" s="11">
        <v>22</v>
      </c>
      <c r="CA28" s="11">
        <v>19</v>
      </c>
      <c r="CB28" s="11">
        <v>21</v>
      </c>
      <c r="CC28" s="11">
        <v>49</v>
      </c>
      <c r="CD28" s="11">
        <v>37</v>
      </c>
      <c r="CE28" s="11">
        <v>32</v>
      </c>
      <c r="CF28" s="11">
        <v>40</v>
      </c>
      <c r="CG28" s="4">
        <v>1.1100000000000001</v>
      </c>
      <c r="CH28" s="13">
        <v>6.75</v>
      </c>
      <c r="CI28" s="4">
        <v>-12.5</v>
      </c>
      <c r="CJ28" s="4">
        <v>12.5</v>
      </c>
      <c r="CK28" s="4">
        <v>162.5</v>
      </c>
      <c r="CL28" s="2" t="s">
        <v>548</v>
      </c>
      <c r="CM28" s="4" t="str">
        <f>VLOOKUP(monaco[[#This Row],[Away_team]],all[[Full name]:[Abbr]],3,FALSE)</f>
        <v>SQU</v>
      </c>
      <c r="CN28" s="4">
        <f>IF(OR(monaco[[#This Row],[Result]]="w",monaco[[#This Row],[Result]]="dw"),monaco[[#This Row],[win]]-1,-1)</f>
        <v>0.1100000000000001</v>
      </c>
      <c r="CO28" s="4">
        <f>IF(OR(monaco[[#This Row],[Result]]="L",monaco[[#This Row],[Result]]="dl"),monaco[[#This Row],[lose]]-1,-1)</f>
        <v>-1</v>
      </c>
      <c r="CP28" s="4">
        <f>IF(OR((monaco[[#This Row],[Home_scored]]+monaco[[#This Row],[Away_scored]])&gt;monaco[[#This Row],[total]],OR(monaco[[#This Row],[Result]]="dw",monaco[[#This Row],[Result]]="dl")),1,0)</f>
        <v>0</v>
      </c>
      <c r="CQ28" s="4">
        <f>ABS((monaco[[#This Row],[Home_scored]]+monaco[[#This Row],[Away_scored]])-monaco[[#This Row],[total]])+0.5</f>
        <v>5</v>
      </c>
    </row>
    <row r="29" spans="1:95" x14ac:dyDescent="0.25">
      <c r="A29" s="2" t="s">
        <v>349</v>
      </c>
      <c r="B29" s="2" t="s">
        <v>330</v>
      </c>
      <c r="C29" s="3" t="s">
        <v>73</v>
      </c>
      <c r="D29" s="3">
        <v>45767</v>
      </c>
      <c r="E29" s="2" t="s">
        <v>140</v>
      </c>
      <c r="F29" s="2" t="s">
        <v>311</v>
      </c>
      <c r="G29" s="2" t="s">
        <v>75</v>
      </c>
      <c r="H29" s="11">
        <v>78</v>
      </c>
      <c r="I29" s="11">
        <v>77</v>
      </c>
      <c r="J29" s="11">
        <v>26</v>
      </c>
      <c r="K29" s="11">
        <v>61</v>
      </c>
      <c r="L29" s="12">
        <v>0.42620000000000002</v>
      </c>
      <c r="M29" s="11">
        <v>18</v>
      </c>
      <c r="N29" s="11">
        <v>34</v>
      </c>
      <c r="O29" s="12">
        <v>0.52939999999999998</v>
      </c>
      <c r="P29" s="11">
        <v>8</v>
      </c>
      <c r="Q29" s="11">
        <v>27</v>
      </c>
      <c r="R29" s="12">
        <v>0.29630000000000001</v>
      </c>
      <c r="S29" s="11">
        <v>18</v>
      </c>
      <c r="T29" s="11">
        <v>25</v>
      </c>
      <c r="U29" s="12">
        <v>0.72</v>
      </c>
      <c r="V29" s="11">
        <v>12</v>
      </c>
      <c r="W29" s="11">
        <v>30</v>
      </c>
      <c r="X29" s="11">
        <v>42</v>
      </c>
      <c r="Y29" s="11">
        <v>23</v>
      </c>
      <c r="Z29" s="11">
        <v>10</v>
      </c>
      <c r="AA29" s="11">
        <v>3</v>
      </c>
      <c r="AB29" s="11">
        <v>15</v>
      </c>
      <c r="AC29" s="11">
        <v>22</v>
      </c>
      <c r="AD29" s="11">
        <v>25</v>
      </c>
      <c r="AE29" s="11">
        <v>62</v>
      </c>
      <c r="AF29" s="12">
        <v>0.4032</v>
      </c>
      <c r="AG29" s="11">
        <v>16</v>
      </c>
      <c r="AH29" s="11">
        <v>35</v>
      </c>
      <c r="AI29" s="12">
        <v>0.45710000000000001</v>
      </c>
      <c r="AJ29" s="11">
        <v>9</v>
      </c>
      <c r="AK29" s="11">
        <v>27</v>
      </c>
      <c r="AL29" s="12">
        <v>0.33329999999999999</v>
      </c>
      <c r="AM29" s="11">
        <v>18</v>
      </c>
      <c r="AN29" s="11">
        <v>25</v>
      </c>
      <c r="AO29" s="12">
        <v>0.72</v>
      </c>
      <c r="AP29" s="11">
        <v>8</v>
      </c>
      <c r="AQ29" s="11">
        <v>26</v>
      </c>
      <c r="AR29" s="11">
        <v>34</v>
      </c>
      <c r="AS29" s="11">
        <v>18</v>
      </c>
      <c r="AT29" s="11">
        <v>8</v>
      </c>
      <c r="AU29" s="11">
        <v>0</v>
      </c>
      <c r="AV29" s="11">
        <v>12</v>
      </c>
      <c r="AW29" s="11">
        <v>28</v>
      </c>
      <c r="AX29" s="12">
        <v>0.54169999999999996</v>
      </c>
      <c r="AY29" s="12">
        <v>0.49180000000000001</v>
      </c>
      <c r="AZ29" s="12">
        <v>0.31580000000000003</v>
      </c>
      <c r="BA29" s="12">
        <v>0.78949999999999998</v>
      </c>
      <c r="BB29" s="12">
        <v>0.55259999999999998</v>
      </c>
      <c r="BC29" s="4">
        <v>75.3</v>
      </c>
      <c r="BD29" s="12">
        <v>0.88460000000000005</v>
      </c>
      <c r="BE29" s="12">
        <v>0.29509999999999997</v>
      </c>
      <c r="BF29" s="12">
        <v>0.1724</v>
      </c>
      <c r="BG29" s="4">
        <v>104</v>
      </c>
      <c r="BH29" s="4">
        <v>102.7</v>
      </c>
      <c r="BI29" s="4">
        <v>74.992500000000007</v>
      </c>
      <c r="BJ29" s="12">
        <v>0.52739999999999998</v>
      </c>
      <c r="BK29" s="12">
        <v>0.4758</v>
      </c>
      <c r="BL29" s="12">
        <v>0.21049999999999999</v>
      </c>
      <c r="BM29" s="12">
        <v>0.68420000000000003</v>
      </c>
      <c r="BN29" s="12">
        <v>0.44740000000000002</v>
      </c>
      <c r="BO29" s="4">
        <v>74.685000000000002</v>
      </c>
      <c r="BP29" s="12">
        <v>0.72</v>
      </c>
      <c r="BQ29" s="12">
        <v>0.2903</v>
      </c>
      <c r="BR29" s="12">
        <v>0.14119999999999999</v>
      </c>
      <c r="BS29" s="4">
        <v>102.7</v>
      </c>
      <c r="BT29" s="4">
        <v>104</v>
      </c>
      <c r="BU29" s="11">
        <v>16</v>
      </c>
      <c r="BV29" s="11">
        <v>19</v>
      </c>
      <c r="BW29" s="11">
        <v>23</v>
      </c>
      <c r="BX29" s="11">
        <v>20</v>
      </c>
      <c r="BY29" s="11">
        <v>17</v>
      </c>
      <c r="BZ29" s="11">
        <v>21</v>
      </c>
      <c r="CA29" s="11">
        <v>16</v>
      </c>
      <c r="CB29" s="11">
        <v>23</v>
      </c>
      <c r="CC29" s="11">
        <v>35</v>
      </c>
      <c r="CD29" s="11">
        <v>43</v>
      </c>
      <c r="CE29" s="11">
        <v>38</v>
      </c>
      <c r="CF29" s="11">
        <v>39</v>
      </c>
      <c r="CG29" s="4">
        <v>1.32</v>
      </c>
      <c r="CH29" s="13">
        <v>3.5</v>
      </c>
      <c r="CI29" s="4">
        <v>-7.5</v>
      </c>
      <c r="CJ29" s="4">
        <v>7.5</v>
      </c>
      <c r="CK29" s="4">
        <v>170.5</v>
      </c>
      <c r="CL29" s="2" t="s">
        <v>559</v>
      </c>
      <c r="CM29" s="4" t="str">
        <f>VLOOKUP(monaco[[#This Row],[Away_team]],all[[Full name]:[Abbr]],3,FALSE)</f>
        <v>DIJ</v>
      </c>
      <c r="CN29" s="4">
        <f>IF(OR(monaco[[#This Row],[Result]]="w",monaco[[#This Row],[Result]]="dw"),monaco[[#This Row],[win]]-1,-1)</f>
        <v>0.32000000000000006</v>
      </c>
      <c r="CO29" s="4">
        <f>IF(OR(monaco[[#This Row],[Result]]="L",monaco[[#This Row],[Result]]="dl"),monaco[[#This Row],[lose]]-1,-1)</f>
        <v>-1</v>
      </c>
      <c r="CP29" s="4">
        <f>IF(OR((monaco[[#This Row],[Home_scored]]+monaco[[#This Row],[Away_scored]])&gt;monaco[[#This Row],[total]],OR(monaco[[#This Row],[Result]]="dw",monaco[[#This Row],[Result]]="dl")),1,0)</f>
        <v>0</v>
      </c>
      <c r="CQ29" s="4">
        <f>ABS((monaco[[#This Row],[Home_scored]]+monaco[[#This Row],[Away_scored]])-monaco[[#This Row],[total]])+0.5</f>
        <v>16</v>
      </c>
    </row>
    <row r="30" spans="1:95" x14ac:dyDescent="0.25">
      <c r="A30" s="2" t="s">
        <v>349</v>
      </c>
      <c r="B30" s="2" t="s">
        <v>330</v>
      </c>
      <c r="C30" s="3" t="s">
        <v>73</v>
      </c>
      <c r="D30" s="3">
        <v>45774</v>
      </c>
      <c r="E30" s="2" t="s">
        <v>74</v>
      </c>
      <c r="F30" s="2" t="s">
        <v>324</v>
      </c>
      <c r="G30" s="2" t="s">
        <v>75</v>
      </c>
      <c r="H30" s="11">
        <v>91</v>
      </c>
      <c r="I30" s="11">
        <v>52</v>
      </c>
      <c r="J30" s="11">
        <v>34</v>
      </c>
      <c r="K30" s="11">
        <v>67</v>
      </c>
      <c r="L30" s="12">
        <v>0.50749999999999995</v>
      </c>
      <c r="M30" s="11">
        <v>19</v>
      </c>
      <c r="N30" s="11">
        <v>37</v>
      </c>
      <c r="O30" s="12">
        <v>0.51349999999999996</v>
      </c>
      <c r="P30" s="11">
        <v>15</v>
      </c>
      <c r="Q30" s="11">
        <v>30</v>
      </c>
      <c r="R30" s="12">
        <v>0.5</v>
      </c>
      <c r="S30" s="11">
        <v>8</v>
      </c>
      <c r="T30" s="11">
        <v>10</v>
      </c>
      <c r="U30" s="12">
        <v>0.8</v>
      </c>
      <c r="V30" s="11">
        <v>11</v>
      </c>
      <c r="W30" s="11">
        <v>31</v>
      </c>
      <c r="X30" s="11">
        <v>42</v>
      </c>
      <c r="Y30" s="11">
        <v>21</v>
      </c>
      <c r="Z30" s="11">
        <v>21</v>
      </c>
      <c r="AA30" s="11">
        <v>5</v>
      </c>
      <c r="AB30" s="11">
        <v>10</v>
      </c>
      <c r="AC30" s="11">
        <v>18</v>
      </c>
      <c r="AD30" s="11">
        <v>20</v>
      </c>
      <c r="AE30" s="11">
        <v>65</v>
      </c>
      <c r="AF30" s="12">
        <v>0.30769999999999997</v>
      </c>
      <c r="AG30" s="11">
        <v>14</v>
      </c>
      <c r="AH30" s="11">
        <v>37</v>
      </c>
      <c r="AI30" s="12">
        <v>0.37840000000000001</v>
      </c>
      <c r="AJ30" s="11">
        <v>6</v>
      </c>
      <c r="AK30" s="11">
        <v>28</v>
      </c>
      <c r="AL30" s="12">
        <v>0.21429999999999999</v>
      </c>
      <c r="AM30" s="11">
        <v>6</v>
      </c>
      <c r="AN30" s="11">
        <v>9</v>
      </c>
      <c r="AO30" s="12">
        <v>0.66669999999999996</v>
      </c>
      <c r="AP30" s="11">
        <v>14</v>
      </c>
      <c r="AQ30" s="11">
        <v>22</v>
      </c>
      <c r="AR30" s="11">
        <v>36</v>
      </c>
      <c r="AS30" s="11">
        <v>13</v>
      </c>
      <c r="AT30" s="11">
        <v>13</v>
      </c>
      <c r="AU30" s="11">
        <v>3</v>
      </c>
      <c r="AV30" s="11">
        <v>18</v>
      </c>
      <c r="AW30" s="11">
        <v>13</v>
      </c>
      <c r="AX30" s="12">
        <v>0.63729999999999998</v>
      </c>
      <c r="AY30" s="12">
        <v>0.61939999999999995</v>
      </c>
      <c r="AZ30" s="12">
        <v>0.33329999999999999</v>
      </c>
      <c r="BA30" s="12">
        <v>0.68889999999999996</v>
      </c>
      <c r="BB30" s="12">
        <v>0.53849999999999998</v>
      </c>
      <c r="BC30" s="4">
        <v>71.751999999999995</v>
      </c>
      <c r="BD30" s="12">
        <v>0.61760000000000004</v>
      </c>
      <c r="BE30" s="12">
        <v>0.11940000000000001</v>
      </c>
      <c r="BF30" s="12">
        <v>0.1229</v>
      </c>
      <c r="BG30" s="4">
        <v>130.30000000000001</v>
      </c>
      <c r="BH30" s="4">
        <v>74.5</v>
      </c>
      <c r="BI30" s="4">
        <v>69.813500000000005</v>
      </c>
      <c r="BJ30" s="12">
        <v>0.377</v>
      </c>
      <c r="BK30" s="12">
        <v>0.3538</v>
      </c>
      <c r="BL30" s="12">
        <v>0.31109999999999999</v>
      </c>
      <c r="BM30" s="12">
        <v>0.66669999999999996</v>
      </c>
      <c r="BN30" s="12">
        <v>0.46150000000000002</v>
      </c>
      <c r="BO30" s="4">
        <v>67.875</v>
      </c>
      <c r="BP30" s="12">
        <v>0.65</v>
      </c>
      <c r="BQ30" s="12">
        <v>9.2299999999999993E-2</v>
      </c>
      <c r="BR30" s="12">
        <v>0.20699999999999999</v>
      </c>
      <c r="BS30" s="4">
        <v>74.5</v>
      </c>
      <c r="BT30" s="4">
        <v>130.30000000000001</v>
      </c>
      <c r="BU30" s="11">
        <v>27</v>
      </c>
      <c r="BV30" s="11">
        <v>20</v>
      </c>
      <c r="BW30" s="11">
        <v>26</v>
      </c>
      <c r="BX30" s="11">
        <v>18</v>
      </c>
      <c r="BY30" s="11">
        <v>16</v>
      </c>
      <c r="BZ30" s="11">
        <v>4</v>
      </c>
      <c r="CA30" s="11">
        <v>16</v>
      </c>
      <c r="CB30" s="11">
        <v>16</v>
      </c>
      <c r="CC30" s="11">
        <v>47</v>
      </c>
      <c r="CD30" s="11">
        <v>44</v>
      </c>
      <c r="CE30" s="11">
        <v>20</v>
      </c>
      <c r="CF30" s="11">
        <v>32</v>
      </c>
      <c r="CG30" s="4">
        <v>1.07</v>
      </c>
      <c r="CH30" s="13">
        <v>9.5</v>
      </c>
      <c r="CI30" s="4">
        <v>-14.5</v>
      </c>
      <c r="CJ30" s="4">
        <v>14.5</v>
      </c>
      <c r="CK30" s="4">
        <v>163.5</v>
      </c>
      <c r="CL30" s="2" t="s">
        <v>565</v>
      </c>
      <c r="CM30" s="4" t="str">
        <f>VLOOKUP(monaco[[#This Row],[Away_team]],all[[Full name]:[Abbr]],3,FALSE)</f>
        <v>LIM</v>
      </c>
      <c r="CN30" s="4">
        <f>IF(OR(monaco[[#This Row],[Result]]="w",monaco[[#This Row],[Result]]="dw"),monaco[[#This Row],[win]]-1,-1)</f>
        <v>7.0000000000000062E-2</v>
      </c>
      <c r="CO30" s="4">
        <f>IF(OR(monaco[[#This Row],[Result]]="L",monaco[[#This Row],[Result]]="dl"),monaco[[#This Row],[lose]]-1,-1)</f>
        <v>-1</v>
      </c>
      <c r="CP30" s="4">
        <f>IF(OR((monaco[[#This Row],[Home_scored]]+monaco[[#This Row],[Away_scored]])&gt;monaco[[#This Row],[total]],OR(monaco[[#This Row],[Result]]="dw",monaco[[#This Row],[Result]]="dl")),1,0)</f>
        <v>0</v>
      </c>
      <c r="CQ30" s="4">
        <f>ABS((monaco[[#This Row],[Home_scored]]+monaco[[#This Row],[Away_scored]])-monaco[[#This Row],[total]])+0.5</f>
        <v>21</v>
      </c>
    </row>
    <row r="31" spans="1:95" x14ac:dyDescent="0.25">
      <c r="A31" s="2" t="s">
        <v>349</v>
      </c>
      <c r="B31" s="2" t="s">
        <v>330</v>
      </c>
      <c r="C31" s="28" t="s">
        <v>73</v>
      </c>
      <c r="D31" s="28">
        <v>45788</v>
      </c>
      <c r="E31" s="2" t="s">
        <v>74</v>
      </c>
      <c r="F31" s="2" t="s">
        <v>302</v>
      </c>
      <c r="G31" s="2" t="s">
        <v>139</v>
      </c>
      <c r="H31" s="11">
        <v>73</v>
      </c>
      <c r="I31" s="11">
        <v>100</v>
      </c>
      <c r="J31" s="11">
        <v>25</v>
      </c>
      <c r="K31" s="11">
        <v>65</v>
      </c>
      <c r="L31" s="12">
        <v>0.3846</v>
      </c>
      <c r="M31" s="11">
        <v>17</v>
      </c>
      <c r="N31" s="11">
        <v>39</v>
      </c>
      <c r="O31" s="12">
        <v>0.43590000000000001</v>
      </c>
      <c r="P31" s="11">
        <v>8</v>
      </c>
      <c r="Q31" s="11">
        <v>26</v>
      </c>
      <c r="R31" s="12">
        <v>0.30769999999999997</v>
      </c>
      <c r="S31" s="11">
        <v>15</v>
      </c>
      <c r="T31" s="11">
        <v>19</v>
      </c>
      <c r="U31" s="12">
        <v>0.78949999999999998</v>
      </c>
      <c r="V31" s="11">
        <v>8</v>
      </c>
      <c r="W31" s="11">
        <v>16</v>
      </c>
      <c r="X31" s="11">
        <v>24</v>
      </c>
      <c r="Y31" s="11">
        <v>20</v>
      </c>
      <c r="Z31" s="11">
        <v>11</v>
      </c>
      <c r="AA31" s="11">
        <v>2</v>
      </c>
      <c r="AB31" s="11">
        <v>10</v>
      </c>
      <c r="AC31" s="11">
        <v>29</v>
      </c>
      <c r="AD31" s="11">
        <v>32</v>
      </c>
      <c r="AE31" s="11">
        <v>63</v>
      </c>
      <c r="AF31" s="12">
        <v>0.50790000000000002</v>
      </c>
      <c r="AG31" s="11">
        <v>21</v>
      </c>
      <c r="AH31" s="11">
        <v>38</v>
      </c>
      <c r="AI31" s="12">
        <v>0.55259999999999998</v>
      </c>
      <c r="AJ31" s="11">
        <v>11</v>
      </c>
      <c r="AK31" s="11">
        <v>25</v>
      </c>
      <c r="AL31" s="12">
        <v>0.44</v>
      </c>
      <c r="AM31" s="11">
        <v>25</v>
      </c>
      <c r="AN31" s="11">
        <v>29</v>
      </c>
      <c r="AO31" s="12">
        <v>0.86209999999999998</v>
      </c>
      <c r="AP31" s="11">
        <v>16</v>
      </c>
      <c r="AQ31" s="11">
        <v>33</v>
      </c>
      <c r="AR31" s="11">
        <v>49</v>
      </c>
      <c r="AS31" s="11">
        <v>22</v>
      </c>
      <c r="AT31" s="11">
        <v>6</v>
      </c>
      <c r="AU31" s="11">
        <v>5</v>
      </c>
      <c r="AV31" s="11">
        <v>19</v>
      </c>
      <c r="AW31" s="11">
        <v>20</v>
      </c>
      <c r="AX31" s="12">
        <v>0.4975</v>
      </c>
      <c r="AY31" s="12">
        <v>0.44619999999999999</v>
      </c>
      <c r="AZ31" s="12">
        <v>0.1951</v>
      </c>
      <c r="BA31" s="12">
        <v>0.5</v>
      </c>
      <c r="BB31" s="12">
        <v>0.32879999999999998</v>
      </c>
      <c r="BC31" s="4">
        <v>68.332999999999998</v>
      </c>
      <c r="BD31" s="12">
        <v>0.8</v>
      </c>
      <c r="BE31" s="12">
        <v>0.23080000000000001</v>
      </c>
      <c r="BF31" s="12">
        <v>0.12</v>
      </c>
      <c r="BG31" s="4">
        <v>96.6</v>
      </c>
      <c r="BH31" s="4">
        <v>132.4</v>
      </c>
      <c r="BI31" s="4">
        <v>75.551000000000002</v>
      </c>
      <c r="BJ31" s="12">
        <v>0.66</v>
      </c>
      <c r="BK31" s="12">
        <v>0.59519999999999995</v>
      </c>
      <c r="BL31" s="12">
        <v>0.5</v>
      </c>
      <c r="BM31" s="12">
        <v>0.80489999999999995</v>
      </c>
      <c r="BN31" s="12">
        <v>0.67120000000000002</v>
      </c>
      <c r="BO31" s="4">
        <v>82.769000000000005</v>
      </c>
      <c r="BP31" s="12">
        <v>0.6875</v>
      </c>
      <c r="BQ31" s="12">
        <v>0.39679999999999999</v>
      </c>
      <c r="BR31" s="12">
        <v>0.20050000000000001</v>
      </c>
      <c r="BS31" s="4">
        <v>132.4</v>
      </c>
      <c r="BT31" s="4">
        <v>96.6</v>
      </c>
      <c r="BU31" s="11">
        <v>19</v>
      </c>
      <c r="BV31" s="11">
        <v>10</v>
      </c>
      <c r="BW31" s="11">
        <v>31</v>
      </c>
      <c r="BX31" s="11">
        <v>13</v>
      </c>
      <c r="BY31" s="11">
        <v>27</v>
      </c>
      <c r="BZ31" s="11">
        <v>28</v>
      </c>
      <c r="CA31" s="11">
        <v>20</v>
      </c>
      <c r="CB31" s="11">
        <v>25</v>
      </c>
      <c r="CC31" s="11">
        <v>29</v>
      </c>
      <c r="CD31" s="11">
        <v>44</v>
      </c>
      <c r="CE31" s="11">
        <v>55</v>
      </c>
      <c r="CF31" s="11">
        <v>45</v>
      </c>
      <c r="CG31" s="4">
        <v>1.22</v>
      </c>
      <c r="CH31" s="13">
        <v>4.5</v>
      </c>
      <c r="CI31" s="4">
        <v>-9.5</v>
      </c>
      <c r="CJ31" s="4">
        <v>9.5</v>
      </c>
      <c r="CK31" s="4">
        <v>170.5</v>
      </c>
      <c r="CL31" s="2" t="s">
        <v>582</v>
      </c>
      <c r="CM31" s="4" t="str">
        <f>VLOOKUP(monaco[[#This Row],[Away_team]],all[[Full name]:[Abbr]],3,FALSE)</f>
        <v>BUR</v>
      </c>
      <c r="CN31" s="4">
        <f>IF(OR(monaco[[#This Row],[Result]]="w",monaco[[#This Row],[Result]]="dw"),monaco[[#This Row],[win]]-1,-1)</f>
        <v>-1</v>
      </c>
      <c r="CO31" s="4">
        <f>IF(OR(monaco[[#This Row],[Result]]="L",monaco[[#This Row],[Result]]="dl"),monaco[[#This Row],[lose]]-1,-1)</f>
        <v>3.5</v>
      </c>
      <c r="CP31" s="4">
        <f>IF(OR((monaco[[#This Row],[Home_scored]]+monaco[[#This Row],[Away_scored]])&gt;monaco[[#This Row],[total]],OR(monaco[[#This Row],[Result]]="dw",monaco[[#This Row],[Result]]="dl")),1,0)</f>
        <v>1</v>
      </c>
      <c r="CQ31" s="4">
        <f>ABS((monaco[[#This Row],[Home_scored]]+monaco[[#This Row],[Away_scored]])-monaco[[#This Row],[total]])+0.5</f>
        <v>3</v>
      </c>
    </row>
    <row r="32" spans="1:95" x14ac:dyDescent="0.25">
      <c r="A32" s="2" t="s">
        <v>349</v>
      </c>
      <c r="B32" s="2" t="s">
        <v>330</v>
      </c>
      <c r="C32" s="28" t="s">
        <v>73</v>
      </c>
      <c r="D32" s="28">
        <v>45790</v>
      </c>
      <c r="E32" s="2" t="s">
        <v>140</v>
      </c>
      <c r="F32" s="2" t="s">
        <v>323</v>
      </c>
      <c r="G32" s="2" t="s">
        <v>75</v>
      </c>
      <c r="H32" s="11">
        <v>86</v>
      </c>
      <c r="I32" s="11">
        <v>48</v>
      </c>
      <c r="J32" s="11">
        <v>33</v>
      </c>
      <c r="K32" s="11">
        <v>62</v>
      </c>
      <c r="L32" s="12">
        <v>0.5323</v>
      </c>
      <c r="M32" s="11">
        <v>19</v>
      </c>
      <c r="N32" s="11">
        <v>33</v>
      </c>
      <c r="O32" s="12">
        <v>0.57579999999999998</v>
      </c>
      <c r="P32" s="11">
        <v>14</v>
      </c>
      <c r="Q32" s="11">
        <v>29</v>
      </c>
      <c r="R32" s="12">
        <v>0.48280000000000001</v>
      </c>
      <c r="S32" s="11">
        <v>6</v>
      </c>
      <c r="T32" s="11">
        <v>10</v>
      </c>
      <c r="U32" s="12">
        <v>0.6</v>
      </c>
      <c r="V32" s="11">
        <v>5</v>
      </c>
      <c r="W32" s="11">
        <v>37</v>
      </c>
      <c r="X32" s="11">
        <v>42</v>
      </c>
      <c r="Y32" s="11">
        <v>25</v>
      </c>
      <c r="Z32" s="11">
        <v>9</v>
      </c>
      <c r="AA32" s="11">
        <v>7</v>
      </c>
      <c r="AB32" s="11">
        <v>12</v>
      </c>
      <c r="AC32" s="11">
        <v>19</v>
      </c>
      <c r="AD32" s="11">
        <v>19</v>
      </c>
      <c r="AE32" s="11">
        <v>63</v>
      </c>
      <c r="AF32" s="12">
        <v>0.30159999999999998</v>
      </c>
      <c r="AG32" s="11">
        <v>15</v>
      </c>
      <c r="AH32" s="11">
        <v>41</v>
      </c>
      <c r="AI32" s="12">
        <v>0.3659</v>
      </c>
      <c r="AJ32" s="11">
        <v>4</v>
      </c>
      <c r="AK32" s="11">
        <v>22</v>
      </c>
      <c r="AL32" s="12">
        <v>0.18179999999999999</v>
      </c>
      <c r="AM32" s="11">
        <v>6</v>
      </c>
      <c r="AN32" s="11">
        <v>11</v>
      </c>
      <c r="AO32" s="12">
        <v>0.54549999999999998</v>
      </c>
      <c r="AP32" s="11">
        <v>9</v>
      </c>
      <c r="AQ32" s="11">
        <v>25</v>
      </c>
      <c r="AR32" s="11">
        <v>34</v>
      </c>
      <c r="AS32" s="11">
        <v>15</v>
      </c>
      <c r="AT32" s="11">
        <v>6</v>
      </c>
      <c r="AU32" s="11">
        <v>2</v>
      </c>
      <c r="AV32" s="11">
        <v>14</v>
      </c>
      <c r="AW32" s="11">
        <v>16</v>
      </c>
      <c r="AX32" s="12">
        <v>0.64759999999999995</v>
      </c>
      <c r="AY32" s="12">
        <v>0.6452</v>
      </c>
      <c r="AZ32" s="12">
        <v>0.16669999999999999</v>
      </c>
      <c r="BA32" s="12">
        <v>0.80430000000000001</v>
      </c>
      <c r="BB32" s="12">
        <v>0.55259999999999998</v>
      </c>
      <c r="BC32" s="4">
        <v>74.305999999999997</v>
      </c>
      <c r="BD32" s="12">
        <v>0.75760000000000005</v>
      </c>
      <c r="BE32" s="12">
        <v>9.6799999999999997E-2</v>
      </c>
      <c r="BF32" s="12">
        <v>0.15310000000000001</v>
      </c>
      <c r="BG32" s="4">
        <v>120.1</v>
      </c>
      <c r="BH32" s="4">
        <v>67</v>
      </c>
      <c r="BI32" s="4">
        <v>71.622</v>
      </c>
      <c r="BJ32" s="12">
        <v>0.3538</v>
      </c>
      <c r="BK32" s="12">
        <v>0.33329999999999999</v>
      </c>
      <c r="BL32" s="12">
        <v>0.19570000000000001</v>
      </c>
      <c r="BM32" s="12">
        <v>0.83330000000000004</v>
      </c>
      <c r="BN32" s="12">
        <v>0.44740000000000002</v>
      </c>
      <c r="BO32" s="4">
        <v>68.938000000000002</v>
      </c>
      <c r="BP32" s="12">
        <v>0.78949999999999998</v>
      </c>
      <c r="BQ32" s="12">
        <v>9.5200000000000007E-2</v>
      </c>
      <c r="BR32" s="12">
        <v>0.1711</v>
      </c>
      <c r="BS32" s="4">
        <v>67</v>
      </c>
      <c r="BT32" s="4">
        <v>120.1</v>
      </c>
      <c r="BU32" s="11">
        <v>23</v>
      </c>
      <c r="BV32" s="11">
        <v>15</v>
      </c>
      <c r="BW32" s="11">
        <v>22</v>
      </c>
      <c r="BX32" s="11">
        <v>26</v>
      </c>
      <c r="BY32" s="11">
        <v>16</v>
      </c>
      <c r="BZ32" s="11">
        <v>13</v>
      </c>
      <c r="CA32" s="11">
        <v>7</v>
      </c>
      <c r="CB32" s="11">
        <v>12</v>
      </c>
      <c r="CC32" s="11">
        <v>38</v>
      </c>
      <c r="CD32" s="11">
        <v>48</v>
      </c>
      <c r="CE32" s="11">
        <v>29</v>
      </c>
      <c r="CF32" s="11">
        <v>19</v>
      </c>
      <c r="CG32" s="4">
        <v>1.1399999999999999</v>
      </c>
      <c r="CH32" s="13">
        <v>6</v>
      </c>
      <c r="CI32" s="4">
        <v>-11.5</v>
      </c>
      <c r="CJ32" s="4">
        <v>11.5</v>
      </c>
      <c r="CK32" s="4">
        <v>159.5</v>
      </c>
      <c r="CL32" s="2" t="s">
        <v>584</v>
      </c>
      <c r="CM32" s="4" t="e">
        <f>VLOOKUP(monaco[[#This Row],[Away_team]],all[[Full name]:[Abbr]],3,FALSE)</f>
        <v>#N/A</v>
      </c>
      <c r="CN32" s="4">
        <f>IF(OR(monaco[[#This Row],[Result]]="w",monaco[[#This Row],[Result]]="dw"),monaco[[#This Row],[win]]-1,-1)</f>
        <v>0.1399999999999999</v>
      </c>
      <c r="CO32" s="4">
        <f>IF(OR(monaco[[#This Row],[Result]]="L",monaco[[#This Row],[Result]]="dl"),monaco[[#This Row],[lose]]-1,-1)</f>
        <v>-1</v>
      </c>
      <c r="CP32" s="4">
        <f>IF(OR((monaco[[#This Row],[Home_scored]]+monaco[[#This Row],[Away_scored]])&gt;monaco[[#This Row],[total]],OR(monaco[[#This Row],[Result]]="dw",monaco[[#This Row],[Result]]="dl")),1,0)</f>
        <v>0</v>
      </c>
      <c r="CQ32" s="4">
        <f>ABS((monaco[[#This Row],[Home_scored]]+monaco[[#This Row],[Away_scored]])-monaco[[#This Row],[total]])+0.5</f>
        <v>26</v>
      </c>
    </row>
    <row r="33" spans="1:95" x14ac:dyDescent="0.25">
      <c r="A33" s="2" t="s">
        <v>349</v>
      </c>
      <c r="B33" s="2" t="s">
        <v>330</v>
      </c>
      <c r="C33" s="28" t="s">
        <v>73</v>
      </c>
      <c r="D33" s="28">
        <v>45794</v>
      </c>
      <c r="E33" s="2" t="s">
        <v>140</v>
      </c>
      <c r="F33" s="2" t="s">
        <v>305</v>
      </c>
      <c r="G33" s="2" t="s">
        <v>139</v>
      </c>
      <c r="H33" s="11">
        <v>65</v>
      </c>
      <c r="I33" s="11">
        <v>90</v>
      </c>
      <c r="J33" s="11">
        <v>21</v>
      </c>
      <c r="K33" s="11">
        <v>61</v>
      </c>
      <c r="L33" s="12">
        <v>0.34429999999999999</v>
      </c>
      <c r="M33" s="11">
        <v>14</v>
      </c>
      <c r="N33" s="11">
        <v>29</v>
      </c>
      <c r="O33" s="12">
        <v>0.48280000000000001</v>
      </c>
      <c r="P33" s="11">
        <v>7</v>
      </c>
      <c r="Q33" s="11">
        <v>32</v>
      </c>
      <c r="R33" s="12">
        <v>0.21879999999999999</v>
      </c>
      <c r="S33" s="11">
        <v>16</v>
      </c>
      <c r="T33" s="11">
        <v>21</v>
      </c>
      <c r="U33" s="12">
        <v>0.76190000000000002</v>
      </c>
      <c r="V33" s="11">
        <v>11</v>
      </c>
      <c r="W33" s="11">
        <v>23</v>
      </c>
      <c r="X33" s="11">
        <v>34</v>
      </c>
      <c r="Y33" s="11">
        <v>15</v>
      </c>
      <c r="Z33" s="11">
        <v>6</v>
      </c>
      <c r="AA33" s="11">
        <v>4</v>
      </c>
      <c r="AB33" s="11">
        <v>16</v>
      </c>
      <c r="AC33" s="11">
        <v>24</v>
      </c>
      <c r="AD33" s="11">
        <v>32</v>
      </c>
      <c r="AE33" s="11">
        <v>63</v>
      </c>
      <c r="AF33" s="12">
        <v>0.50790000000000002</v>
      </c>
      <c r="AG33" s="11">
        <v>20</v>
      </c>
      <c r="AH33" s="11">
        <v>35</v>
      </c>
      <c r="AI33" s="12">
        <v>0.57140000000000002</v>
      </c>
      <c r="AJ33" s="11">
        <v>12</v>
      </c>
      <c r="AK33" s="11">
        <v>28</v>
      </c>
      <c r="AL33" s="12">
        <v>0.42859999999999998</v>
      </c>
      <c r="AM33" s="11">
        <v>14</v>
      </c>
      <c r="AN33" s="11">
        <v>21</v>
      </c>
      <c r="AO33" s="12">
        <v>0.66669999999999996</v>
      </c>
      <c r="AP33" s="11">
        <v>10</v>
      </c>
      <c r="AQ33" s="11">
        <v>28</v>
      </c>
      <c r="AR33" s="11">
        <v>38</v>
      </c>
      <c r="AS33" s="11">
        <v>28</v>
      </c>
      <c r="AT33" s="11">
        <v>8</v>
      </c>
      <c r="AU33" s="11">
        <v>2</v>
      </c>
      <c r="AV33" s="11">
        <v>12</v>
      </c>
      <c r="AW33" s="11">
        <v>24</v>
      </c>
      <c r="AX33" s="12">
        <v>0.4627</v>
      </c>
      <c r="AY33" s="12">
        <v>0.40160000000000001</v>
      </c>
      <c r="AZ33" s="12">
        <v>0.28210000000000002</v>
      </c>
      <c r="BA33" s="12">
        <v>0.69699999999999995</v>
      </c>
      <c r="BB33" s="12">
        <v>0.47220000000000001</v>
      </c>
      <c r="BC33" s="4">
        <v>71.552999999999997</v>
      </c>
      <c r="BD33" s="12">
        <v>0.71430000000000005</v>
      </c>
      <c r="BE33" s="12">
        <v>0.26229999999999998</v>
      </c>
      <c r="BF33" s="12">
        <v>0.1855</v>
      </c>
      <c r="BG33" s="4">
        <v>88.9</v>
      </c>
      <c r="BH33" s="4">
        <v>123.1</v>
      </c>
      <c r="BI33" s="4">
        <v>73.111999999999995</v>
      </c>
      <c r="BJ33" s="12">
        <v>0.62290000000000001</v>
      </c>
      <c r="BK33" s="12">
        <v>0.60319999999999996</v>
      </c>
      <c r="BL33" s="12">
        <v>0.30299999999999999</v>
      </c>
      <c r="BM33" s="12">
        <v>0.71789999999999998</v>
      </c>
      <c r="BN33" s="12">
        <v>0.52780000000000005</v>
      </c>
      <c r="BO33" s="4">
        <v>74.671000000000006</v>
      </c>
      <c r="BP33" s="12">
        <v>0.875</v>
      </c>
      <c r="BQ33" s="12">
        <v>0.22220000000000001</v>
      </c>
      <c r="BR33" s="12">
        <v>0.14249999999999999</v>
      </c>
      <c r="BS33" s="4">
        <v>123.1</v>
      </c>
      <c r="BT33" s="4">
        <v>88.9</v>
      </c>
      <c r="BU33" s="11">
        <v>17</v>
      </c>
      <c r="BV33" s="11">
        <v>12</v>
      </c>
      <c r="BW33" s="11">
        <v>23</v>
      </c>
      <c r="BX33" s="11">
        <v>13</v>
      </c>
      <c r="BY33" s="11">
        <v>22</v>
      </c>
      <c r="BZ33" s="11">
        <v>22</v>
      </c>
      <c r="CA33" s="11">
        <v>30</v>
      </c>
      <c r="CB33" s="11">
        <v>16</v>
      </c>
      <c r="CC33" s="11">
        <v>29</v>
      </c>
      <c r="CD33" s="11">
        <v>36</v>
      </c>
      <c r="CE33" s="11">
        <v>44</v>
      </c>
      <c r="CF33" s="11">
        <v>46</v>
      </c>
      <c r="CG33" s="4">
        <v>1.29</v>
      </c>
      <c r="CH33" s="13">
        <v>3.7</v>
      </c>
      <c r="CI33" s="4">
        <v>-8</v>
      </c>
      <c r="CJ33" s="4">
        <v>8</v>
      </c>
      <c r="CK33" s="4">
        <v>169.5</v>
      </c>
      <c r="CL33" s="2" t="s">
        <v>586</v>
      </c>
      <c r="CM33" s="4" t="str">
        <f>VLOOKUP(monaco[[#This Row],[Away_team]],all[[Full name]:[Abbr]],3,FALSE)</f>
        <v>CHA</v>
      </c>
      <c r="CN33" s="4">
        <f>IF(OR(monaco[[#This Row],[Result]]="w",monaco[[#This Row],[Result]]="dw"),monaco[[#This Row],[win]]-1,-1)</f>
        <v>-1</v>
      </c>
      <c r="CO33" s="4">
        <f>IF(OR(monaco[[#This Row],[Result]]="L",monaco[[#This Row],[Result]]="dl"),monaco[[#This Row],[lose]]-1,-1)</f>
        <v>2.7</v>
      </c>
      <c r="CP33" s="4">
        <f>IF(OR((monaco[[#This Row],[Home_scored]]+monaco[[#This Row],[Away_scored]])&gt;monaco[[#This Row],[total]],OR(monaco[[#This Row],[Result]]="dw",monaco[[#This Row],[Result]]="dl")),1,0)</f>
        <v>0</v>
      </c>
      <c r="CQ33" s="4">
        <f>ABS((monaco[[#This Row],[Home_scored]]+monaco[[#This Row],[Away_scored]])-monaco[[#This Row],[total]])+0.5</f>
        <v>15</v>
      </c>
    </row>
    <row r="34" spans="1:95" x14ac:dyDescent="0.25">
      <c r="A34" s="2" t="s">
        <v>349</v>
      </c>
      <c r="B34" s="2" t="s">
        <v>330</v>
      </c>
      <c r="C34" s="28" t="s">
        <v>594</v>
      </c>
      <c r="D34" s="28">
        <v>45805</v>
      </c>
      <c r="E34" s="2" t="s">
        <v>74</v>
      </c>
      <c r="F34" s="2" t="s">
        <v>317</v>
      </c>
      <c r="G34" s="2" t="s">
        <v>75</v>
      </c>
      <c r="H34" s="11">
        <v>76</v>
      </c>
      <c r="I34" s="11">
        <v>69</v>
      </c>
      <c r="J34" s="11">
        <v>26</v>
      </c>
      <c r="K34" s="11">
        <v>66</v>
      </c>
      <c r="L34" s="12">
        <v>0.39389999999999997</v>
      </c>
      <c r="M34" s="11">
        <v>20</v>
      </c>
      <c r="N34" s="11">
        <v>42</v>
      </c>
      <c r="O34" s="12">
        <v>0.47620000000000001</v>
      </c>
      <c r="P34" s="11">
        <v>6</v>
      </c>
      <c r="Q34" s="11">
        <v>24</v>
      </c>
      <c r="R34" s="12">
        <v>0.25</v>
      </c>
      <c r="S34" s="11">
        <v>18</v>
      </c>
      <c r="T34" s="11">
        <v>25</v>
      </c>
      <c r="U34" s="12">
        <v>0.72</v>
      </c>
      <c r="V34" s="11">
        <v>10</v>
      </c>
      <c r="W34" s="11">
        <v>29</v>
      </c>
      <c r="X34" s="11">
        <v>39</v>
      </c>
      <c r="Y34" s="11">
        <v>17</v>
      </c>
      <c r="Z34" s="11">
        <v>3</v>
      </c>
      <c r="AA34" s="11">
        <v>13</v>
      </c>
      <c r="AB34" s="11">
        <v>12</v>
      </c>
      <c r="AC34" s="11">
        <v>28</v>
      </c>
      <c r="AD34" s="11">
        <v>24</v>
      </c>
      <c r="AE34" s="11">
        <v>60</v>
      </c>
      <c r="AF34" s="12">
        <v>0.4</v>
      </c>
      <c r="AG34" s="11">
        <v>19</v>
      </c>
      <c r="AH34" s="11">
        <v>34</v>
      </c>
      <c r="AI34" s="12">
        <v>0.55879999999999996</v>
      </c>
      <c r="AJ34" s="11">
        <v>5</v>
      </c>
      <c r="AK34" s="11">
        <v>26</v>
      </c>
      <c r="AL34" s="12">
        <v>0.1923</v>
      </c>
      <c r="AM34" s="11">
        <v>16</v>
      </c>
      <c r="AN34" s="11">
        <v>25</v>
      </c>
      <c r="AO34" s="12">
        <v>0.64</v>
      </c>
      <c r="AP34" s="11">
        <v>12</v>
      </c>
      <c r="AQ34" s="11">
        <v>31</v>
      </c>
      <c r="AR34" s="11">
        <v>43</v>
      </c>
      <c r="AS34" s="11">
        <v>16</v>
      </c>
      <c r="AT34" s="11">
        <v>2</v>
      </c>
      <c r="AU34" s="11">
        <v>19</v>
      </c>
      <c r="AV34" s="11">
        <v>5</v>
      </c>
      <c r="AW34" s="11">
        <v>24</v>
      </c>
      <c r="AX34" s="12">
        <v>0.49349999999999999</v>
      </c>
      <c r="AY34" s="12">
        <v>0.43940000000000001</v>
      </c>
      <c r="AZ34" s="12">
        <v>0.24390000000000001</v>
      </c>
      <c r="BA34" s="12">
        <v>0.70730000000000004</v>
      </c>
      <c r="BB34" s="12">
        <v>0.47560000000000002</v>
      </c>
      <c r="BC34" s="4">
        <v>77.025999999999996</v>
      </c>
      <c r="BD34" s="12">
        <v>0.65380000000000005</v>
      </c>
      <c r="BE34" s="12">
        <v>0.2727</v>
      </c>
      <c r="BF34" s="12">
        <v>0.1348</v>
      </c>
      <c r="BG34" s="4">
        <v>107.6</v>
      </c>
      <c r="BH34" s="4">
        <v>97.7</v>
      </c>
      <c r="BI34" s="4">
        <v>70.638000000000005</v>
      </c>
      <c r="BJ34" s="12">
        <v>0.4859</v>
      </c>
      <c r="BK34" s="12">
        <v>0.44169999999999998</v>
      </c>
      <c r="BL34" s="12">
        <v>0.29270000000000002</v>
      </c>
      <c r="BM34" s="12">
        <v>0.75609999999999999</v>
      </c>
      <c r="BN34" s="12">
        <v>0.52439999999999998</v>
      </c>
      <c r="BO34" s="4">
        <v>64.25</v>
      </c>
      <c r="BP34" s="12">
        <v>0.66669999999999996</v>
      </c>
      <c r="BQ34" s="12">
        <v>0.26669999999999999</v>
      </c>
      <c r="BR34" s="12">
        <v>6.5799999999999997E-2</v>
      </c>
      <c r="BS34" s="4">
        <v>97.7</v>
      </c>
      <c r="BT34" s="4">
        <v>107.6</v>
      </c>
      <c r="BU34" s="11">
        <v>18</v>
      </c>
      <c r="BV34" s="11">
        <v>11</v>
      </c>
      <c r="BW34" s="11">
        <v>21</v>
      </c>
      <c r="BX34" s="11">
        <v>26</v>
      </c>
      <c r="BY34" s="11">
        <v>20</v>
      </c>
      <c r="BZ34" s="11">
        <v>13</v>
      </c>
      <c r="CA34" s="11">
        <v>21</v>
      </c>
      <c r="CB34" s="11">
        <v>15</v>
      </c>
      <c r="CC34" s="11">
        <v>29</v>
      </c>
      <c r="CD34" s="11">
        <v>47</v>
      </c>
      <c r="CE34" s="11">
        <v>33</v>
      </c>
      <c r="CF34" s="11">
        <v>36</v>
      </c>
      <c r="CG34" s="4">
        <v>1.22</v>
      </c>
      <c r="CH34" s="13">
        <v>4.5</v>
      </c>
      <c r="CI34" s="4">
        <v>-9.5</v>
      </c>
      <c r="CJ34" s="4">
        <v>9.5</v>
      </c>
      <c r="CK34" s="4">
        <v>169.5</v>
      </c>
      <c r="CL34" s="2" t="s">
        <v>602</v>
      </c>
      <c r="CM34" s="4" t="str">
        <f>VLOOKUP(monaco[[#This Row],[Away_team]],all[[Full name]:[Abbr]],3,FALSE)</f>
        <v>LEM</v>
      </c>
      <c r="CN34" s="4">
        <f>IF(OR(monaco[[#This Row],[Result]]="w",monaco[[#This Row],[Result]]="dw"),monaco[[#This Row],[win]]-1,-1)</f>
        <v>0.21999999999999997</v>
      </c>
      <c r="CO34" s="4">
        <f>IF(OR(monaco[[#This Row],[Result]]="L",monaco[[#This Row],[Result]]="dl"),monaco[[#This Row],[lose]]-1,-1)</f>
        <v>-1</v>
      </c>
      <c r="CP34" s="4">
        <f>IF(OR((monaco[[#This Row],[Home_scored]]+monaco[[#This Row],[Away_scored]])&gt;monaco[[#This Row],[total]],OR(monaco[[#This Row],[Result]]="dw",monaco[[#This Row],[Result]]="dl")),1,0)</f>
        <v>0</v>
      </c>
      <c r="CQ34" s="4">
        <f>ABS((monaco[[#This Row],[Home_scored]]+monaco[[#This Row],[Away_scored]])-monaco[[#This Row],[total]])+0.5</f>
        <v>25</v>
      </c>
    </row>
    <row r="35" spans="1:95" x14ac:dyDescent="0.25">
      <c r="A35" s="2" t="s">
        <v>349</v>
      </c>
      <c r="B35" s="2" t="s">
        <v>330</v>
      </c>
      <c r="C35" s="28" t="s">
        <v>594</v>
      </c>
      <c r="D35" s="28">
        <v>45807</v>
      </c>
      <c r="E35" s="2" t="s">
        <v>140</v>
      </c>
      <c r="F35" s="2" t="s">
        <v>317</v>
      </c>
      <c r="G35" s="2" t="s">
        <v>139</v>
      </c>
      <c r="H35" s="11">
        <v>87</v>
      </c>
      <c r="I35" s="11">
        <v>88</v>
      </c>
      <c r="J35" s="11">
        <v>31</v>
      </c>
      <c r="K35" s="11">
        <v>64</v>
      </c>
      <c r="L35" s="12">
        <v>0.4844</v>
      </c>
      <c r="M35" s="11">
        <v>24</v>
      </c>
      <c r="N35" s="11">
        <v>39</v>
      </c>
      <c r="O35" s="12">
        <v>0.61539999999999995</v>
      </c>
      <c r="P35" s="11">
        <v>7</v>
      </c>
      <c r="Q35" s="11">
        <v>25</v>
      </c>
      <c r="R35" s="12">
        <v>0.28000000000000003</v>
      </c>
      <c r="S35" s="11">
        <v>18</v>
      </c>
      <c r="T35" s="11">
        <v>22</v>
      </c>
      <c r="U35" s="12">
        <v>0.81820000000000004</v>
      </c>
      <c r="V35" s="11">
        <v>13</v>
      </c>
      <c r="W35" s="11">
        <v>24</v>
      </c>
      <c r="X35" s="11">
        <v>37</v>
      </c>
      <c r="Y35" s="11">
        <v>30</v>
      </c>
      <c r="Z35" s="11">
        <v>2</v>
      </c>
      <c r="AA35" s="11">
        <v>12</v>
      </c>
      <c r="AB35" s="11">
        <v>4</v>
      </c>
      <c r="AC35" s="11">
        <v>22</v>
      </c>
      <c r="AD35" s="11">
        <v>36</v>
      </c>
      <c r="AE35" s="11">
        <v>64</v>
      </c>
      <c r="AF35" s="12">
        <v>0.5625</v>
      </c>
      <c r="AG35" s="11">
        <v>27</v>
      </c>
      <c r="AH35" s="11">
        <v>36</v>
      </c>
      <c r="AI35" s="12">
        <v>0.75</v>
      </c>
      <c r="AJ35" s="11">
        <v>9</v>
      </c>
      <c r="AK35" s="11">
        <v>28</v>
      </c>
      <c r="AL35" s="12">
        <v>0.32140000000000002</v>
      </c>
      <c r="AM35" s="11">
        <v>7</v>
      </c>
      <c r="AN35" s="11">
        <v>13</v>
      </c>
      <c r="AO35" s="12">
        <v>0.53849999999999998</v>
      </c>
      <c r="AP35" s="11">
        <v>8</v>
      </c>
      <c r="AQ35" s="11">
        <v>21</v>
      </c>
      <c r="AR35" s="11">
        <v>29</v>
      </c>
      <c r="AS35" s="11">
        <v>21</v>
      </c>
      <c r="AT35" s="11">
        <v>2</v>
      </c>
      <c r="AU35" s="11">
        <v>12</v>
      </c>
      <c r="AV35" s="11">
        <v>4</v>
      </c>
      <c r="AW35" s="11">
        <v>20</v>
      </c>
      <c r="AX35" s="12">
        <v>0.59040000000000004</v>
      </c>
      <c r="AY35" s="12">
        <v>0.53910000000000002</v>
      </c>
      <c r="AZ35" s="12">
        <v>0.38240000000000002</v>
      </c>
      <c r="BA35" s="12">
        <v>0.75</v>
      </c>
      <c r="BB35" s="12">
        <v>0.56059999999999999</v>
      </c>
      <c r="BC35" s="4">
        <v>64.394000000000005</v>
      </c>
      <c r="BD35" s="12">
        <v>0.9677</v>
      </c>
      <c r="BE35" s="12">
        <v>0.28129999999999999</v>
      </c>
      <c r="BF35" s="12">
        <v>5.1499999999999997E-2</v>
      </c>
      <c r="BG35" s="4">
        <v>134.5</v>
      </c>
      <c r="BH35" s="4">
        <v>136.1</v>
      </c>
      <c r="BI35" s="4">
        <v>64.664500000000004</v>
      </c>
      <c r="BJ35" s="12">
        <v>0.63109999999999999</v>
      </c>
      <c r="BK35" s="12">
        <v>0.63280000000000003</v>
      </c>
      <c r="BL35" s="12">
        <v>0.25</v>
      </c>
      <c r="BM35" s="12">
        <v>0.61760000000000004</v>
      </c>
      <c r="BN35" s="12">
        <v>0.43940000000000001</v>
      </c>
      <c r="BO35" s="4">
        <v>64.935000000000002</v>
      </c>
      <c r="BP35" s="12">
        <v>0.58330000000000004</v>
      </c>
      <c r="BQ35" s="12">
        <v>0.1094</v>
      </c>
      <c r="BR35" s="12">
        <v>5.4300000000000001E-2</v>
      </c>
      <c r="BS35" s="4">
        <v>136.1</v>
      </c>
      <c r="BT35" s="4">
        <v>134.5</v>
      </c>
      <c r="BU35" s="11">
        <v>19</v>
      </c>
      <c r="BV35" s="11">
        <v>15</v>
      </c>
      <c r="BW35" s="11">
        <v>28</v>
      </c>
      <c r="BX35" s="11">
        <v>25</v>
      </c>
      <c r="BY35" s="11">
        <v>13</v>
      </c>
      <c r="BZ35" s="11">
        <v>20</v>
      </c>
      <c r="CA35" s="11">
        <v>33</v>
      </c>
      <c r="CB35" s="11">
        <v>22</v>
      </c>
      <c r="CC35" s="11">
        <v>34</v>
      </c>
      <c r="CD35" s="11">
        <v>53</v>
      </c>
      <c r="CE35" s="11">
        <v>33</v>
      </c>
      <c r="CF35" s="11">
        <v>55</v>
      </c>
      <c r="CG35" s="4">
        <v>1.48</v>
      </c>
      <c r="CH35" s="13">
        <v>2.7</v>
      </c>
      <c r="CI35" s="4">
        <v>-5</v>
      </c>
      <c r="CJ35" s="4">
        <v>5</v>
      </c>
      <c r="CK35" s="4">
        <v>166.5</v>
      </c>
      <c r="CL35" s="2" t="s">
        <v>605</v>
      </c>
      <c r="CM35" s="4" t="str">
        <f>VLOOKUP(monaco[[#This Row],[Away_team]],all[[Full name]:[Abbr]],3,FALSE)</f>
        <v>LEM</v>
      </c>
      <c r="CN35" s="4">
        <f>IF(OR(monaco[[#This Row],[Result]]="w",monaco[[#This Row],[Result]]="dw"),monaco[[#This Row],[win]]-1,-1)</f>
        <v>-1</v>
      </c>
      <c r="CO35" s="4">
        <f>IF(OR(monaco[[#This Row],[Result]]="L",monaco[[#This Row],[Result]]="dl"),monaco[[#This Row],[lose]]-1,-1)</f>
        <v>1.7000000000000002</v>
      </c>
      <c r="CP35" s="4">
        <f>IF(OR((monaco[[#This Row],[Home_scored]]+monaco[[#This Row],[Away_scored]])&gt;monaco[[#This Row],[total]],OR(monaco[[#This Row],[Result]]="dw",monaco[[#This Row],[Result]]="dl")),1,0)</f>
        <v>1</v>
      </c>
      <c r="CQ35" s="4">
        <f>ABS((monaco[[#This Row],[Home_scored]]+monaco[[#This Row],[Away_scored]])-monaco[[#This Row],[total]])+0.5</f>
        <v>9</v>
      </c>
    </row>
    <row r="36" spans="1:95" x14ac:dyDescent="0.25">
      <c r="A36" s="2" t="s">
        <v>349</v>
      </c>
      <c r="B36" s="2" t="s">
        <v>330</v>
      </c>
      <c r="C36" s="28" t="s">
        <v>594</v>
      </c>
      <c r="D36" s="28">
        <v>45809</v>
      </c>
      <c r="E36" s="2" t="s">
        <v>74</v>
      </c>
      <c r="F36" s="2" t="s">
        <v>317</v>
      </c>
      <c r="G36" s="2" t="s">
        <v>75</v>
      </c>
      <c r="H36" s="11">
        <v>85</v>
      </c>
      <c r="I36" s="11">
        <v>76</v>
      </c>
      <c r="J36" s="11">
        <v>28</v>
      </c>
      <c r="K36" s="11">
        <v>67</v>
      </c>
      <c r="L36" s="12">
        <v>0.41789999999999999</v>
      </c>
      <c r="M36" s="11">
        <v>18</v>
      </c>
      <c r="N36" s="11">
        <v>38</v>
      </c>
      <c r="O36" s="12">
        <v>0.47370000000000001</v>
      </c>
      <c r="P36" s="11">
        <v>10</v>
      </c>
      <c r="Q36" s="11">
        <v>29</v>
      </c>
      <c r="R36" s="12">
        <v>0.3448</v>
      </c>
      <c r="S36" s="11">
        <v>19</v>
      </c>
      <c r="T36" s="11">
        <v>27</v>
      </c>
      <c r="U36" s="12">
        <v>0.70369999999999999</v>
      </c>
      <c r="V36" s="11">
        <v>16</v>
      </c>
      <c r="W36" s="11">
        <v>29</v>
      </c>
      <c r="X36" s="11">
        <v>45</v>
      </c>
      <c r="Y36" s="11">
        <v>19</v>
      </c>
      <c r="Z36" s="11">
        <v>7</v>
      </c>
      <c r="AA36" s="11">
        <v>10</v>
      </c>
      <c r="AB36" s="11">
        <v>1</v>
      </c>
      <c r="AC36" s="11">
        <v>17</v>
      </c>
      <c r="AD36" s="11">
        <v>31</v>
      </c>
      <c r="AE36" s="11">
        <v>76</v>
      </c>
      <c r="AF36" s="12">
        <v>0.40789999999999998</v>
      </c>
      <c r="AG36" s="11">
        <v>23</v>
      </c>
      <c r="AH36" s="11">
        <v>47</v>
      </c>
      <c r="AI36" s="12">
        <v>0.4894</v>
      </c>
      <c r="AJ36" s="11">
        <v>8</v>
      </c>
      <c r="AK36" s="11">
        <v>29</v>
      </c>
      <c r="AL36" s="12">
        <v>0.27589999999999998</v>
      </c>
      <c r="AM36" s="11">
        <v>6</v>
      </c>
      <c r="AN36" s="11">
        <v>12</v>
      </c>
      <c r="AO36" s="12">
        <v>0.5</v>
      </c>
      <c r="AP36" s="11">
        <v>19</v>
      </c>
      <c r="AQ36" s="11">
        <v>27</v>
      </c>
      <c r="AR36" s="11">
        <v>46</v>
      </c>
      <c r="AS36" s="11">
        <v>19</v>
      </c>
      <c r="AT36" s="11">
        <v>1</v>
      </c>
      <c r="AU36" s="11">
        <v>10</v>
      </c>
      <c r="AV36" s="11">
        <v>5</v>
      </c>
      <c r="AW36" s="11">
        <v>25</v>
      </c>
      <c r="AX36" s="12">
        <v>0.53879999999999995</v>
      </c>
      <c r="AY36" s="12">
        <v>0.49249999999999999</v>
      </c>
      <c r="AZ36" s="12">
        <v>0.37209999999999999</v>
      </c>
      <c r="BA36" s="12">
        <v>0.60419999999999996</v>
      </c>
      <c r="BB36" s="12">
        <v>0.4945</v>
      </c>
      <c r="BC36" s="4">
        <v>63.963000000000001</v>
      </c>
      <c r="BD36" s="12">
        <v>0.67859999999999998</v>
      </c>
      <c r="BE36" s="12">
        <v>0.28360000000000002</v>
      </c>
      <c r="BF36" s="12">
        <v>1.2500000000000001E-2</v>
      </c>
      <c r="BG36" s="4">
        <v>130.9</v>
      </c>
      <c r="BH36" s="4">
        <v>117</v>
      </c>
      <c r="BI36" s="4">
        <v>64.9375</v>
      </c>
      <c r="BJ36" s="12">
        <v>0.46750000000000003</v>
      </c>
      <c r="BK36" s="12">
        <v>0.46050000000000002</v>
      </c>
      <c r="BL36" s="12">
        <v>0.39579999999999999</v>
      </c>
      <c r="BM36" s="12">
        <v>0.62790000000000001</v>
      </c>
      <c r="BN36" s="12">
        <v>0.50549999999999995</v>
      </c>
      <c r="BO36" s="4">
        <v>65.912000000000006</v>
      </c>
      <c r="BP36" s="12">
        <v>0.6129</v>
      </c>
      <c r="BQ36" s="12">
        <v>7.8899999999999998E-2</v>
      </c>
      <c r="BR36" s="12">
        <v>5.8000000000000003E-2</v>
      </c>
      <c r="BS36" s="4">
        <v>117</v>
      </c>
      <c r="BT36" s="4">
        <v>130.9</v>
      </c>
      <c r="BU36" s="11">
        <v>21</v>
      </c>
      <c r="BV36" s="11">
        <v>21</v>
      </c>
      <c r="BW36" s="11">
        <v>19</v>
      </c>
      <c r="BX36" s="11">
        <v>24</v>
      </c>
      <c r="BY36" s="11">
        <v>21</v>
      </c>
      <c r="BZ36" s="11">
        <v>18</v>
      </c>
      <c r="CA36" s="11">
        <v>14</v>
      </c>
      <c r="CB36" s="11">
        <v>23</v>
      </c>
      <c r="CC36" s="11">
        <v>42</v>
      </c>
      <c r="CD36" s="11">
        <v>43</v>
      </c>
      <c r="CE36" s="11">
        <v>39</v>
      </c>
      <c r="CF36" s="11">
        <v>37</v>
      </c>
      <c r="CG36" s="4">
        <v>1.25</v>
      </c>
      <c r="CH36" s="13">
        <v>4.2</v>
      </c>
      <c r="CI36" s="4">
        <v>-9.5</v>
      </c>
      <c r="CJ36" s="4">
        <v>9.5</v>
      </c>
      <c r="CK36" s="4">
        <v>167.5</v>
      </c>
      <c r="CL36" s="2" t="s">
        <v>608</v>
      </c>
      <c r="CM36" s="4" t="str">
        <f>VLOOKUP(monaco[[#This Row],[Away_team]],all[[Full name]:[Abbr]],3,FALSE)</f>
        <v>LEM</v>
      </c>
      <c r="CN36" s="4">
        <f>IF(OR(monaco[[#This Row],[Result]]="w",monaco[[#This Row],[Result]]="dw"),monaco[[#This Row],[win]]-1,-1)</f>
        <v>0.25</v>
      </c>
      <c r="CO36" s="4">
        <f>IF(OR(monaco[[#This Row],[Result]]="L",monaco[[#This Row],[Result]]="dl"),monaco[[#This Row],[lose]]-1,-1)</f>
        <v>-1</v>
      </c>
      <c r="CP36" s="4">
        <f>IF(OR((monaco[[#This Row],[Home_scored]]+monaco[[#This Row],[Away_scored]])&gt;monaco[[#This Row],[total]],OR(monaco[[#This Row],[Result]]="dw",monaco[[#This Row],[Result]]="dl")),1,0)</f>
        <v>0</v>
      </c>
      <c r="CQ36" s="4">
        <f>ABS((monaco[[#This Row],[Home_scored]]+monaco[[#This Row],[Away_scored]])-monaco[[#This Row],[total]])+0.5</f>
        <v>7</v>
      </c>
    </row>
    <row r="37" spans="1:95" x14ac:dyDescent="0.25">
      <c r="A37" s="2" t="s">
        <v>349</v>
      </c>
      <c r="B37" s="2" t="s">
        <v>330</v>
      </c>
      <c r="C37" s="28" t="s">
        <v>594</v>
      </c>
      <c r="D37" s="28">
        <v>45811</v>
      </c>
      <c r="E37" s="2" t="s">
        <v>140</v>
      </c>
      <c r="F37" s="2" t="s">
        <v>327</v>
      </c>
      <c r="G37" s="2" t="s">
        <v>139</v>
      </c>
      <c r="H37" s="11">
        <v>74</v>
      </c>
      <c r="I37" s="11">
        <v>94</v>
      </c>
      <c r="J37" s="11">
        <v>25</v>
      </c>
      <c r="K37" s="11">
        <v>55</v>
      </c>
      <c r="L37" s="12">
        <v>0.45450000000000002</v>
      </c>
      <c r="M37" s="11">
        <v>17</v>
      </c>
      <c r="N37" s="11">
        <v>31</v>
      </c>
      <c r="O37" s="12">
        <v>0.5484</v>
      </c>
      <c r="P37" s="11">
        <v>8</v>
      </c>
      <c r="Q37" s="11">
        <v>24</v>
      </c>
      <c r="R37" s="12">
        <v>0.33329999999999999</v>
      </c>
      <c r="S37" s="11">
        <v>16</v>
      </c>
      <c r="T37" s="11">
        <v>22</v>
      </c>
      <c r="U37" s="12">
        <v>0.72729999999999995</v>
      </c>
      <c r="V37" s="11">
        <v>10</v>
      </c>
      <c r="W37" s="11">
        <v>22</v>
      </c>
      <c r="X37" s="11">
        <v>32</v>
      </c>
      <c r="Y37" s="11">
        <v>13</v>
      </c>
      <c r="Z37" s="11">
        <v>0</v>
      </c>
      <c r="AA37" s="11">
        <v>15</v>
      </c>
      <c r="AB37" s="11">
        <v>2</v>
      </c>
      <c r="AC37" s="11">
        <v>29</v>
      </c>
      <c r="AD37" s="11">
        <v>31</v>
      </c>
      <c r="AE37" s="11">
        <v>61</v>
      </c>
      <c r="AF37" s="12">
        <v>0.50819999999999999</v>
      </c>
      <c r="AG37" s="11">
        <v>23</v>
      </c>
      <c r="AH37" s="11">
        <v>38</v>
      </c>
      <c r="AI37" s="12">
        <v>0.60529999999999995</v>
      </c>
      <c r="AJ37" s="11">
        <v>8</v>
      </c>
      <c r="AK37" s="11">
        <v>23</v>
      </c>
      <c r="AL37" s="12">
        <v>0.3478</v>
      </c>
      <c r="AM37" s="11">
        <v>24</v>
      </c>
      <c r="AN37" s="11">
        <v>34</v>
      </c>
      <c r="AO37" s="12">
        <v>0.70589999999999997</v>
      </c>
      <c r="AP37" s="11">
        <v>12</v>
      </c>
      <c r="AQ37" s="11">
        <v>21</v>
      </c>
      <c r="AR37" s="11">
        <v>33</v>
      </c>
      <c r="AS37" s="11">
        <v>19</v>
      </c>
      <c r="AT37" s="11">
        <v>2</v>
      </c>
      <c r="AU37" s="11">
        <v>9</v>
      </c>
      <c r="AV37" s="11">
        <v>7</v>
      </c>
      <c r="AW37" s="11">
        <v>24</v>
      </c>
      <c r="AX37" s="12">
        <v>0.57199999999999995</v>
      </c>
      <c r="AY37" s="12">
        <v>0.52729999999999999</v>
      </c>
      <c r="AZ37" s="12">
        <v>0.3226</v>
      </c>
      <c r="BA37" s="12">
        <v>0.64710000000000001</v>
      </c>
      <c r="BB37" s="12">
        <v>0.49230000000000002</v>
      </c>
      <c r="BC37" s="4">
        <v>55.768999999999998</v>
      </c>
      <c r="BD37" s="12">
        <v>0.52</v>
      </c>
      <c r="BE37" s="12">
        <v>0.29089999999999999</v>
      </c>
      <c r="BF37" s="12">
        <v>0.03</v>
      </c>
      <c r="BG37" s="4">
        <v>117.7</v>
      </c>
      <c r="BH37" s="4">
        <v>149.6</v>
      </c>
      <c r="BI37" s="4">
        <v>62.847999999999999</v>
      </c>
      <c r="BJ37" s="12">
        <v>0.61870000000000003</v>
      </c>
      <c r="BK37" s="12">
        <v>0.57379999999999998</v>
      </c>
      <c r="BL37" s="12">
        <v>0.35289999999999999</v>
      </c>
      <c r="BM37" s="12">
        <v>0.6774</v>
      </c>
      <c r="BN37" s="12">
        <v>0.50770000000000004</v>
      </c>
      <c r="BO37" s="4">
        <v>69.927000000000007</v>
      </c>
      <c r="BP37" s="12">
        <v>0.6129</v>
      </c>
      <c r="BQ37" s="12">
        <v>0.39340000000000003</v>
      </c>
      <c r="BR37" s="12">
        <v>8.4400000000000003E-2</v>
      </c>
      <c r="BS37" s="4">
        <v>149.6</v>
      </c>
      <c r="BT37" s="4">
        <v>117.7</v>
      </c>
      <c r="BU37" s="11">
        <v>21</v>
      </c>
      <c r="BV37" s="11">
        <v>24</v>
      </c>
      <c r="BW37" s="11">
        <v>13</v>
      </c>
      <c r="BX37" s="11">
        <v>16</v>
      </c>
      <c r="BY37" s="11">
        <v>31</v>
      </c>
      <c r="BZ37" s="11">
        <v>18</v>
      </c>
      <c r="CA37" s="11">
        <v>19</v>
      </c>
      <c r="CB37" s="11">
        <v>26</v>
      </c>
      <c r="CC37" s="11">
        <v>45</v>
      </c>
      <c r="CD37" s="11">
        <v>29</v>
      </c>
      <c r="CE37" s="11">
        <v>49</v>
      </c>
      <c r="CF37" s="11">
        <v>45</v>
      </c>
      <c r="CG37" s="4">
        <v>1.71</v>
      </c>
      <c r="CH37" s="13">
        <v>2.2000000000000002</v>
      </c>
      <c r="CI37" s="4">
        <v>-2.5</v>
      </c>
      <c r="CJ37" s="4">
        <v>2.5</v>
      </c>
      <c r="CK37" s="4">
        <v>166.5</v>
      </c>
      <c r="CL37" s="2" t="s">
        <v>609</v>
      </c>
      <c r="CM37" s="4" t="str">
        <f>VLOOKUP(monaco[[#This Row],[Away_team]],all[[Full name]:[Abbr]],3,FALSE)</f>
        <v>LYO</v>
      </c>
      <c r="CN37" s="4">
        <f>IF(OR(monaco[[#This Row],[Result]]="w",monaco[[#This Row],[Result]]="dw"),monaco[[#This Row],[win]]-1,-1)</f>
        <v>-1</v>
      </c>
      <c r="CO37" s="4">
        <f>IF(OR(monaco[[#This Row],[Result]]="L",monaco[[#This Row],[Result]]="dl"),monaco[[#This Row],[lose]]-1,-1)</f>
        <v>1.2000000000000002</v>
      </c>
      <c r="CP37" s="4">
        <f>IF(OR((monaco[[#This Row],[Home_scored]]+monaco[[#This Row],[Away_scored]])&gt;monaco[[#This Row],[total]],OR(monaco[[#This Row],[Result]]="dw",monaco[[#This Row],[Result]]="dl")),1,0)</f>
        <v>1</v>
      </c>
      <c r="CQ37" s="4">
        <f>ABS((monaco[[#This Row],[Home_scored]]+monaco[[#This Row],[Away_scored]])-monaco[[#This Row],[total]])+0.5</f>
        <v>2</v>
      </c>
    </row>
    <row r="38" spans="1:95" x14ac:dyDescent="0.25">
      <c r="A38" s="2" t="s">
        <v>349</v>
      </c>
      <c r="B38" s="2" t="s">
        <v>330</v>
      </c>
      <c r="C38" s="28" t="s">
        <v>594</v>
      </c>
      <c r="D38" s="28">
        <v>45813</v>
      </c>
      <c r="E38" s="2" t="s">
        <v>140</v>
      </c>
      <c r="F38" s="2" t="s">
        <v>327</v>
      </c>
      <c r="G38" s="2" t="s">
        <v>75</v>
      </c>
      <c r="H38" s="11">
        <v>94</v>
      </c>
      <c r="I38" s="11">
        <v>77</v>
      </c>
      <c r="J38" s="11">
        <v>31</v>
      </c>
      <c r="K38" s="11">
        <v>59</v>
      </c>
      <c r="L38" s="12">
        <v>0.52539999999999998</v>
      </c>
      <c r="M38" s="11">
        <v>24</v>
      </c>
      <c r="N38" s="11">
        <v>38</v>
      </c>
      <c r="O38" s="12">
        <v>0.63160000000000005</v>
      </c>
      <c r="P38" s="11">
        <v>7</v>
      </c>
      <c r="Q38" s="11">
        <v>21</v>
      </c>
      <c r="R38" s="12">
        <v>0.33329999999999999</v>
      </c>
      <c r="S38" s="11">
        <v>25</v>
      </c>
      <c r="T38" s="11">
        <v>29</v>
      </c>
      <c r="U38" s="12">
        <v>0.86209999999999998</v>
      </c>
      <c r="V38" s="11">
        <v>11</v>
      </c>
      <c r="W38" s="11">
        <v>26</v>
      </c>
      <c r="X38" s="11">
        <v>37</v>
      </c>
      <c r="Y38" s="11">
        <v>18</v>
      </c>
      <c r="Z38" s="11">
        <v>4</v>
      </c>
      <c r="AA38" s="11">
        <v>15</v>
      </c>
      <c r="AB38" s="11">
        <v>7</v>
      </c>
      <c r="AC38" s="11">
        <v>17</v>
      </c>
      <c r="AD38" s="11">
        <v>26</v>
      </c>
      <c r="AE38" s="11">
        <v>72</v>
      </c>
      <c r="AF38" s="12">
        <v>0.36109999999999998</v>
      </c>
      <c r="AG38" s="11">
        <v>16</v>
      </c>
      <c r="AH38" s="11">
        <v>38</v>
      </c>
      <c r="AI38" s="12">
        <v>0.42109999999999997</v>
      </c>
      <c r="AJ38" s="11">
        <v>10</v>
      </c>
      <c r="AK38" s="11">
        <v>34</v>
      </c>
      <c r="AL38" s="12">
        <v>0.29409999999999997</v>
      </c>
      <c r="AM38" s="11">
        <v>15</v>
      </c>
      <c r="AN38" s="11">
        <v>17</v>
      </c>
      <c r="AO38" s="12">
        <v>0.88239999999999996</v>
      </c>
      <c r="AP38" s="11">
        <v>20</v>
      </c>
      <c r="AQ38" s="11">
        <v>18</v>
      </c>
      <c r="AR38" s="11">
        <v>38</v>
      </c>
      <c r="AS38" s="11">
        <v>15</v>
      </c>
      <c r="AT38" s="11">
        <v>2</v>
      </c>
      <c r="AU38" s="11">
        <v>17</v>
      </c>
      <c r="AV38" s="11">
        <v>9</v>
      </c>
      <c r="AW38" s="11">
        <v>25</v>
      </c>
      <c r="AX38" s="12">
        <v>0.65500000000000003</v>
      </c>
      <c r="AY38" s="12">
        <v>0.5847</v>
      </c>
      <c r="AZ38" s="12">
        <v>0.37930000000000003</v>
      </c>
      <c r="BA38" s="12">
        <v>0.56520000000000004</v>
      </c>
      <c r="BB38" s="12">
        <v>0.49330000000000002</v>
      </c>
      <c r="BC38" s="4">
        <v>68.692999999999998</v>
      </c>
      <c r="BD38" s="12">
        <v>0.5806</v>
      </c>
      <c r="BE38" s="12">
        <v>0.42370000000000002</v>
      </c>
      <c r="BF38" s="12">
        <v>8.8900000000000007E-2</v>
      </c>
      <c r="BG38" s="4">
        <v>144</v>
      </c>
      <c r="BH38" s="4">
        <v>117.9</v>
      </c>
      <c r="BI38" s="4">
        <v>65.293999999999997</v>
      </c>
      <c r="BJ38" s="12">
        <v>0.4844</v>
      </c>
      <c r="BK38" s="12">
        <v>0.43059999999999998</v>
      </c>
      <c r="BL38" s="12">
        <v>0.43480000000000002</v>
      </c>
      <c r="BM38" s="12">
        <v>0.62070000000000003</v>
      </c>
      <c r="BN38" s="12">
        <v>0.50670000000000004</v>
      </c>
      <c r="BO38" s="4">
        <v>61.895000000000003</v>
      </c>
      <c r="BP38" s="12">
        <v>0.57689999999999997</v>
      </c>
      <c r="BQ38" s="12">
        <v>0.20830000000000001</v>
      </c>
      <c r="BR38" s="12">
        <v>0.1017</v>
      </c>
      <c r="BS38" s="4">
        <v>117.9</v>
      </c>
      <c r="BT38" s="4">
        <v>144</v>
      </c>
      <c r="BU38" s="11">
        <v>21</v>
      </c>
      <c r="BV38" s="11">
        <v>26</v>
      </c>
      <c r="BW38" s="11">
        <v>19</v>
      </c>
      <c r="BX38" s="11">
        <v>28</v>
      </c>
      <c r="BY38" s="11">
        <v>12</v>
      </c>
      <c r="BZ38" s="11">
        <v>16</v>
      </c>
      <c r="CA38" s="11">
        <v>24</v>
      </c>
      <c r="CB38" s="11">
        <v>25</v>
      </c>
      <c r="CC38" s="11">
        <v>47</v>
      </c>
      <c r="CD38" s="11">
        <v>47</v>
      </c>
      <c r="CE38" s="11">
        <v>28</v>
      </c>
      <c r="CF38" s="11">
        <v>49</v>
      </c>
      <c r="CG38" s="4">
        <v>2.0499999999999998</v>
      </c>
      <c r="CH38" s="13">
        <v>1.8</v>
      </c>
      <c r="CI38" s="4">
        <v>1.5</v>
      </c>
      <c r="CJ38" s="4">
        <v>-1.5</v>
      </c>
      <c r="CK38" s="4">
        <v>167.5</v>
      </c>
      <c r="CL38" s="2" t="s">
        <v>611</v>
      </c>
      <c r="CM38" s="4" t="str">
        <f>VLOOKUP(monaco[[#This Row],[Away_team]],all[[Full name]:[Abbr]],3,FALSE)</f>
        <v>LYO</v>
      </c>
      <c r="CN38" s="4">
        <f>IF(OR(monaco[[#This Row],[Result]]="w",monaco[[#This Row],[Result]]="dw"),monaco[[#This Row],[win]]-1,-1)</f>
        <v>1.0499999999999998</v>
      </c>
      <c r="CO38" s="4">
        <f>IF(OR(monaco[[#This Row],[Result]]="L",monaco[[#This Row],[Result]]="dl"),monaco[[#This Row],[lose]]-1,-1)</f>
        <v>-1</v>
      </c>
      <c r="CP38" s="4">
        <f>IF(OR((monaco[[#This Row],[Home_scored]]+monaco[[#This Row],[Away_scored]])&gt;monaco[[#This Row],[total]],OR(monaco[[#This Row],[Result]]="dw",monaco[[#This Row],[Result]]="dl")),1,0)</f>
        <v>1</v>
      </c>
      <c r="CQ38" s="4">
        <f>ABS((monaco[[#This Row],[Home_scored]]+monaco[[#This Row],[Away_scored]])-monaco[[#This Row],[total]])+0.5</f>
        <v>4</v>
      </c>
    </row>
    <row r="39" spans="1:95" x14ac:dyDescent="0.25">
      <c r="A39" s="2" t="s">
        <v>349</v>
      </c>
      <c r="B39" s="2" t="s">
        <v>330</v>
      </c>
      <c r="C39" s="28" t="s">
        <v>594</v>
      </c>
      <c r="D39" s="28">
        <v>45816</v>
      </c>
      <c r="E39" s="2" t="s">
        <v>74</v>
      </c>
      <c r="F39" s="2" t="s">
        <v>327</v>
      </c>
      <c r="G39" s="2" t="s">
        <v>75</v>
      </c>
      <c r="H39" s="11">
        <v>74</v>
      </c>
      <c r="I39" s="11">
        <v>64</v>
      </c>
      <c r="J39" s="11">
        <v>25</v>
      </c>
      <c r="K39" s="11">
        <v>62</v>
      </c>
      <c r="L39" s="12">
        <v>0.4032</v>
      </c>
      <c r="M39" s="11">
        <v>16</v>
      </c>
      <c r="N39" s="11">
        <v>36</v>
      </c>
      <c r="O39" s="12">
        <v>0.44440000000000002</v>
      </c>
      <c r="P39" s="11">
        <v>9</v>
      </c>
      <c r="Q39" s="11">
        <v>26</v>
      </c>
      <c r="R39" s="12">
        <v>0.34620000000000001</v>
      </c>
      <c r="S39" s="11">
        <v>15</v>
      </c>
      <c r="T39" s="11">
        <v>19</v>
      </c>
      <c r="U39" s="12">
        <v>0.78949999999999998</v>
      </c>
      <c r="V39" s="11">
        <v>10</v>
      </c>
      <c r="W39" s="11">
        <v>21</v>
      </c>
      <c r="X39" s="11">
        <v>31</v>
      </c>
      <c r="Y39" s="11">
        <v>15</v>
      </c>
      <c r="Z39" s="11">
        <v>3</v>
      </c>
      <c r="AA39" s="11">
        <v>14</v>
      </c>
      <c r="AB39" s="11">
        <v>13</v>
      </c>
      <c r="AC39" s="11">
        <v>23</v>
      </c>
      <c r="AD39" s="11">
        <v>22</v>
      </c>
      <c r="AE39" s="11">
        <v>55</v>
      </c>
      <c r="AF39" s="12">
        <v>0.4</v>
      </c>
      <c r="AG39" s="11">
        <v>19</v>
      </c>
      <c r="AH39" s="11">
        <v>38</v>
      </c>
      <c r="AI39" s="12">
        <v>0.5</v>
      </c>
      <c r="AJ39" s="11">
        <v>3</v>
      </c>
      <c r="AK39" s="11">
        <v>17</v>
      </c>
      <c r="AL39" s="12">
        <v>0.17649999999999999</v>
      </c>
      <c r="AM39" s="11">
        <v>17</v>
      </c>
      <c r="AN39" s="11">
        <v>27</v>
      </c>
      <c r="AO39" s="12">
        <v>0.62960000000000005</v>
      </c>
      <c r="AP39" s="11">
        <v>13</v>
      </c>
      <c r="AQ39" s="11">
        <v>28</v>
      </c>
      <c r="AR39" s="11">
        <v>41</v>
      </c>
      <c r="AS39" s="11">
        <v>11</v>
      </c>
      <c r="AT39" s="11">
        <v>0</v>
      </c>
      <c r="AU39" s="11">
        <v>21</v>
      </c>
      <c r="AV39" s="11">
        <v>10</v>
      </c>
      <c r="AW39" s="11">
        <v>23</v>
      </c>
      <c r="AX39" s="12">
        <v>0.52590000000000003</v>
      </c>
      <c r="AY39" s="12">
        <v>0.4758</v>
      </c>
      <c r="AZ39" s="12">
        <v>0.26319999999999999</v>
      </c>
      <c r="BA39" s="12">
        <v>0.61760000000000004</v>
      </c>
      <c r="BB39" s="12">
        <v>0.43059999999999998</v>
      </c>
      <c r="BC39" s="4">
        <v>69.828999999999994</v>
      </c>
      <c r="BD39" s="12">
        <v>0.6</v>
      </c>
      <c r="BE39" s="12">
        <v>0.2419</v>
      </c>
      <c r="BF39" s="12">
        <v>0.156</v>
      </c>
      <c r="BG39" s="4">
        <v>110.1</v>
      </c>
      <c r="BH39" s="4">
        <v>95.2</v>
      </c>
      <c r="BI39" s="4">
        <v>67.216499999999996</v>
      </c>
      <c r="BJ39" s="12">
        <v>0.47849999999999998</v>
      </c>
      <c r="BK39" s="12">
        <v>0.42730000000000001</v>
      </c>
      <c r="BL39" s="12">
        <v>0.38240000000000002</v>
      </c>
      <c r="BM39" s="12">
        <v>0.73680000000000001</v>
      </c>
      <c r="BN39" s="12">
        <v>0.56940000000000002</v>
      </c>
      <c r="BO39" s="4">
        <v>64.603999999999999</v>
      </c>
      <c r="BP39" s="12">
        <v>0.5</v>
      </c>
      <c r="BQ39" s="12">
        <v>0.30909999999999999</v>
      </c>
      <c r="BR39" s="12">
        <v>0.13009999999999999</v>
      </c>
      <c r="BS39" s="4">
        <v>95.2</v>
      </c>
      <c r="BT39" s="4">
        <v>110.1</v>
      </c>
      <c r="BU39" s="11">
        <v>19</v>
      </c>
      <c r="BV39" s="11">
        <v>15</v>
      </c>
      <c r="BW39" s="11">
        <v>21</v>
      </c>
      <c r="BX39" s="11">
        <v>19</v>
      </c>
      <c r="BY39" s="11">
        <v>15</v>
      </c>
      <c r="BZ39" s="11">
        <v>17</v>
      </c>
      <c r="CA39" s="11">
        <v>16</v>
      </c>
      <c r="CB39" s="11">
        <v>16</v>
      </c>
      <c r="CC39" s="11">
        <v>34</v>
      </c>
      <c r="CD39" s="11">
        <v>40</v>
      </c>
      <c r="CE39" s="11">
        <v>32</v>
      </c>
      <c r="CF39" s="11">
        <v>32</v>
      </c>
      <c r="CG39" s="4">
        <v>1.38</v>
      </c>
      <c r="CH39" s="13">
        <v>3.1</v>
      </c>
      <c r="CI39" s="4">
        <v>-6.5</v>
      </c>
      <c r="CJ39" s="4">
        <v>6.5</v>
      </c>
      <c r="CK39" s="4">
        <v>165.5</v>
      </c>
      <c r="CL39" s="2" t="s">
        <v>613</v>
      </c>
      <c r="CM39" s="4" t="str">
        <f>VLOOKUP(monaco[[#This Row],[Away_team]],all[[Full name]:[Abbr]],3,FALSE)</f>
        <v>LYO</v>
      </c>
      <c r="CN39" s="4">
        <f>IF(OR(monaco[[#This Row],[Result]]="w",monaco[[#This Row],[Result]]="dw"),monaco[[#This Row],[win]]-1,-1)</f>
        <v>0.37999999999999989</v>
      </c>
      <c r="CO39" s="4">
        <f>IF(OR(monaco[[#This Row],[Result]]="L",monaco[[#This Row],[Result]]="dl"),monaco[[#This Row],[lose]]-1,-1)</f>
        <v>-1</v>
      </c>
      <c r="CP39" s="4">
        <f>IF(OR((monaco[[#This Row],[Home_scored]]+monaco[[#This Row],[Away_scored]])&gt;monaco[[#This Row],[total]],OR(monaco[[#This Row],[Result]]="dw",monaco[[#This Row],[Result]]="dl")),1,0)</f>
        <v>0</v>
      </c>
      <c r="CQ39" s="4">
        <f>ABS((monaco[[#This Row],[Home_scored]]+monaco[[#This Row],[Away_scored]])-monaco[[#This Row],[total]])+0.5</f>
        <v>28</v>
      </c>
    </row>
    <row r="40" spans="1:95" x14ac:dyDescent="0.25">
      <c r="A40" s="2" t="s">
        <v>349</v>
      </c>
      <c r="B40" s="2" t="s">
        <v>330</v>
      </c>
      <c r="C40" s="28" t="s">
        <v>594</v>
      </c>
      <c r="D40" s="28">
        <v>45818</v>
      </c>
      <c r="E40" s="2" t="s">
        <v>74</v>
      </c>
      <c r="F40" s="2" t="s">
        <v>327</v>
      </c>
      <c r="G40" s="2" t="s">
        <v>75</v>
      </c>
      <c r="H40" s="11">
        <v>91</v>
      </c>
      <c r="I40" s="11">
        <v>86</v>
      </c>
      <c r="J40" s="11">
        <v>31</v>
      </c>
      <c r="K40" s="11">
        <v>53</v>
      </c>
      <c r="L40" s="12">
        <v>0.58489999999999998</v>
      </c>
      <c r="M40" s="11">
        <v>16</v>
      </c>
      <c r="N40" s="11">
        <v>21</v>
      </c>
      <c r="O40" s="12">
        <v>0.76190000000000002</v>
      </c>
      <c r="P40" s="11">
        <v>15</v>
      </c>
      <c r="Q40" s="11">
        <v>32</v>
      </c>
      <c r="R40" s="12">
        <v>0.46879999999999999</v>
      </c>
      <c r="S40" s="11">
        <v>14</v>
      </c>
      <c r="T40" s="11">
        <v>19</v>
      </c>
      <c r="U40" s="12">
        <v>0.73680000000000001</v>
      </c>
      <c r="V40" s="11">
        <v>9</v>
      </c>
      <c r="W40" s="11">
        <v>23</v>
      </c>
      <c r="X40" s="11">
        <v>32</v>
      </c>
      <c r="Y40" s="11">
        <v>25</v>
      </c>
      <c r="Z40" s="11">
        <v>4</v>
      </c>
      <c r="AA40" s="11">
        <v>19</v>
      </c>
      <c r="AB40" s="11">
        <v>7</v>
      </c>
      <c r="AC40" s="11">
        <v>16</v>
      </c>
      <c r="AD40" s="11">
        <v>31</v>
      </c>
      <c r="AE40" s="11">
        <v>65</v>
      </c>
      <c r="AF40" s="12">
        <v>0.47689999999999999</v>
      </c>
      <c r="AG40" s="11">
        <v>18</v>
      </c>
      <c r="AH40" s="11">
        <v>37</v>
      </c>
      <c r="AI40" s="12">
        <v>0.48649999999999999</v>
      </c>
      <c r="AJ40" s="11">
        <v>13</v>
      </c>
      <c r="AK40" s="11">
        <v>28</v>
      </c>
      <c r="AL40" s="12">
        <v>0.46429999999999999</v>
      </c>
      <c r="AM40" s="11">
        <v>11</v>
      </c>
      <c r="AN40" s="11">
        <v>14</v>
      </c>
      <c r="AO40" s="12">
        <v>0.78569999999999995</v>
      </c>
      <c r="AP40" s="11">
        <v>14</v>
      </c>
      <c r="AQ40" s="11">
        <v>15</v>
      </c>
      <c r="AR40" s="11">
        <v>29</v>
      </c>
      <c r="AS40" s="11">
        <v>17</v>
      </c>
      <c r="AT40" s="11">
        <v>0</v>
      </c>
      <c r="AU40" s="11">
        <v>15</v>
      </c>
      <c r="AV40" s="11">
        <v>12</v>
      </c>
      <c r="AW40" s="11">
        <v>25</v>
      </c>
      <c r="AX40" s="12">
        <v>0.74150000000000005</v>
      </c>
      <c r="AY40" s="12">
        <v>0.72640000000000005</v>
      </c>
      <c r="AZ40" s="12">
        <v>0.375</v>
      </c>
      <c r="BA40" s="12">
        <v>0.62160000000000004</v>
      </c>
      <c r="BB40" s="12">
        <v>0.52459999999999996</v>
      </c>
      <c r="BC40" s="4">
        <v>60.978999999999999</v>
      </c>
      <c r="BD40" s="12">
        <v>0.80649999999999999</v>
      </c>
      <c r="BE40" s="12">
        <v>0.26419999999999999</v>
      </c>
      <c r="BF40" s="12">
        <v>0.1024</v>
      </c>
      <c r="BG40" s="4">
        <v>144.4</v>
      </c>
      <c r="BH40" s="4">
        <v>136.5</v>
      </c>
      <c r="BI40" s="4">
        <v>63.008000000000003</v>
      </c>
      <c r="BJ40" s="12">
        <v>0.60429999999999995</v>
      </c>
      <c r="BK40" s="12">
        <v>0.57689999999999997</v>
      </c>
      <c r="BL40" s="12">
        <v>0.37840000000000001</v>
      </c>
      <c r="BM40" s="12">
        <v>0.625</v>
      </c>
      <c r="BN40" s="12">
        <v>0.47539999999999999</v>
      </c>
      <c r="BO40" s="4">
        <v>65.037000000000006</v>
      </c>
      <c r="BP40" s="12">
        <v>0.5484</v>
      </c>
      <c r="BQ40" s="12">
        <v>0.16919999999999999</v>
      </c>
      <c r="BR40" s="12">
        <v>0.14430000000000001</v>
      </c>
      <c r="BS40" s="4">
        <v>136.5</v>
      </c>
      <c r="BT40" s="4">
        <v>144.4</v>
      </c>
      <c r="BU40" s="11">
        <v>21</v>
      </c>
      <c r="BV40" s="11">
        <v>29</v>
      </c>
      <c r="BW40" s="11">
        <v>16</v>
      </c>
      <c r="BX40" s="11">
        <v>25</v>
      </c>
      <c r="BY40" s="11">
        <v>24</v>
      </c>
      <c r="BZ40" s="11">
        <v>27</v>
      </c>
      <c r="CA40" s="11">
        <v>27</v>
      </c>
      <c r="CB40" s="11">
        <v>8</v>
      </c>
      <c r="CC40" s="11">
        <v>50</v>
      </c>
      <c r="CD40" s="11">
        <v>41</v>
      </c>
      <c r="CE40" s="11">
        <v>51</v>
      </c>
      <c r="CF40" s="11">
        <v>35</v>
      </c>
      <c r="CG40" s="4">
        <v>1.45</v>
      </c>
      <c r="CH40" s="13">
        <v>2.8</v>
      </c>
      <c r="CI40" s="4">
        <v>-5.5</v>
      </c>
      <c r="CJ40" s="4">
        <v>5.5</v>
      </c>
      <c r="CK40" s="4">
        <v>163.5</v>
      </c>
      <c r="CL40" s="2" t="s">
        <v>615</v>
      </c>
      <c r="CM40" s="4" t="str">
        <f>VLOOKUP(monaco[[#This Row],[Away_team]],all[[Full name]:[Abbr]],3,FALSE)</f>
        <v>LYO</v>
      </c>
      <c r="CN40" s="4">
        <f>IF(OR(monaco[[#This Row],[Result]]="w",monaco[[#This Row],[Result]]="dw"),monaco[[#This Row],[win]]-1,-1)</f>
        <v>0.44999999999999996</v>
      </c>
      <c r="CO40" s="4">
        <f>IF(OR(monaco[[#This Row],[Result]]="L",monaco[[#This Row],[Result]]="dl"),monaco[[#This Row],[lose]]-1,-1)</f>
        <v>-1</v>
      </c>
      <c r="CP40" s="4">
        <f>IF(OR((monaco[[#This Row],[Home_scored]]+monaco[[#This Row],[Away_scored]])&gt;monaco[[#This Row],[total]],OR(monaco[[#This Row],[Result]]="dw",monaco[[#This Row],[Result]]="dl")),1,0)</f>
        <v>1</v>
      </c>
      <c r="CQ40" s="4">
        <f>ABS((monaco[[#This Row],[Home_scored]]+monaco[[#This Row],[Away_scored]])-monaco[[#This Row],[total]])+0.5</f>
        <v>14</v>
      </c>
    </row>
    <row r="41" spans="1:95" x14ac:dyDescent="0.25">
      <c r="A41" s="2" t="s">
        <v>349</v>
      </c>
      <c r="B41" s="2" t="s">
        <v>330</v>
      </c>
      <c r="C41" s="28" t="s">
        <v>594</v>
      </c>
      <c r="D41" s="28">
        <v>45823</v>
      </c>
      <c r="E41" s="2" t="s">
        <v>140</v>
      </c>
      <c r="F41" s="2" t="s">
        <v>339</v>
      </c>
      <c r="G41" s="2" t="s">
        <v>139</v>
      </c>
      <c r="H41" s="11">
        <v>82</v>
      </c>
      <c r="I41" s="11">
        <v>94</v>
      </c>
      <c r="J41" s="11">
        <v>30</v>
      </c>
      <c r="K41" s="11">
        <v>64</v>
      </c>
      <c r="L41" s="12">
        <v>0.46879999999999999</v>
      </c>
      <c r="M41" s="11">
        <v>23</v>
      </c>
      <c r="N41" s="11">
        <v>40</v>
      </c>
      <c r="O41" s="12">
        <v>0.57499999999999996</v>
      </c>
      <c r="P41" s="11">
        <v>7</v>
      </c>
      <c r="Q41" s="11">
        <v>24</v>
      </c>
      <c r="R41" s="12">
        <v>0.29170000000000001</v>
      </c>
      <c r="S41" s="11">
        <v>15</v>
      </c>
      <c r="T41" s="11">
        <v>24</v>
      </c>
      <c r="U41" s="12">
        <v>0.625</v>
      </c>
      <c r="V41" s="11">
        <v>14</v>
      </c>
      <c r="W41" s="11">
        <v>23</v>
      </c>
      <c r="X41" s="11">
        <v>37</v>
      </c>
      <c r="Y41" s="11">
        <v>19</v>
      </c>
      <c r="Z41" s="11">
        <v>6</v>
      </c>
      <c r="AA41" s="11">
        <v>13</v>
      </c>
      <c r="AB41" s="11">
        <v>3</v>
      </c>
      <c r="AC41" s="11">
        <v>20</v>
      </c>
      <c r="AD41" s="11">
        <v>38</v>
      </c>
      <c r="AE41" s="11">
        <v>74</v>
      </c>
      <c r="AF41" s="12">
        <v>0.51349999999999996</v>
      </c>
      <c r="AG41" s="11">
        <v>33</v>
      </c>
      <c r="AH41" s="11">
        <v>50</v>
      </c>
      <c r="AI41" s="12">
        <v>0.66</v>
      </c>
      <c r="AJ41" s="11">
        <v>5</v>
      </c>
      <c r="AK41" s="11">
        <v>24</v>
      </c>
      <c r="AL41" s="12">
        <v>0.20830000000000001</v>
      </c>
      <c r="AM41" s="11">
        <v>13</v>
      </c>
      <c r="AN41" s="11">
        <v>15</v>
      </c>
      <c r="AO41" s="12">
        <v>0.86670000000000003</v>
      </c>
      <c r="AP41" s="11">
        <v>11</v>
      </c>
      <c r="AQ41" s="11">
        <v>26</v>
      </c>
      <c r="AR41" s="11">
        <v>37</v>
      </c>
      <c r="AS41" s="11">
        <v>19</v>
      </c>
      <c r="AT41" s="11">
        <v>2</v>
      </c>
      <c r="AU41" s="11">
        <v>10</v>
      </c>
      <c r="AV41" s="11">
        <v>12</v>
      </c>
      <c r="AW41" s="11">
        <v>23</v>
      </c>
      <c r="AX41" s="12">
        <v>0.54990000000000006</v>
      </c>
      <c r="AY41" s="12">
        <v>0.52339999999999998</v>
      </c>
      <c r="AZ41" s="12">
        <v>0.35</v>
      </c>
      <c r="BA41" s="12">
        <v>0.67649999999999999</v>
      </c>
      <c r="BB41" s="12">
        <v>0.5</v>
      </c>
      <c r="BC41" s="4">
        <v>62.835000000000001</v>
      </c>
      <c r="BD41" s="12">
        <v>0.63329999999999997</v>
      </c>
      <c r="BE41" s="12">
        <v>0.2344</v>
      </c>
      <c r="BF41" s="12">
        <v>3.8699999999999998E-2</v>
      </c>
      <c r="BG41" s="4">
        <v>114.4</v>
      </c>
      <c r="BH41" s="4">
        <v>131.1</v>
      </c>
      <c r="BI41" s="4">
        <v>71.691500000000005</v>
      </c>
      <c r="BJ41" s="12">
        <v>0.58309999999999995</v>
      </c>
      <c r="BK41" s="12">
        <v>0.54730000000000001</v>
      </c>
      <c r="BL41" s="12">
        <v>0.32350000000000001</v>
      </c>
      <c r="BM41" s="12">
        <v>0.65</v>
      </c>
      <c r="BN41" s="12">
        <v>0.5</v>
      </c>
      <c r="BO41" s="4">
        <v>80.548000000000002</v>
      </c>
      <c r="BP41" s="12">
        <v>0.5</v>
      </c>
      <c r="BQ41" s="12">
        <v>0.1757</v>
      </c>
      <c r="BR41" s="12">
        <v>0.12959999999999999</v>
      </c>
      <c r="BS41" s="4">
        <v>131.1</v>
      </c>
      <c r="BT41" s="4">
        <v>114.4</v>
      </c>
      <c r="BU41" s="11">
        <v>23</v>
      </c>
      <c r="BV41" s="11">
        <v>15</v>
      </c>
      <c r="BW41" s="11">
        <v>23</v>
      </c>
      <c r="BX41" s="11">
        <v>21</v>
      </c>
      <c r="BY41" s="11">
        <v>22</v>
      </c>
      <c r="BZ41" s="11">
        <v>27</v>
      </c>
      <c r="CA41" s="11">
        <v>25</v>
      </c>
      <c r="CB41" s="11">
        <v>20</v>
      </c>
      <c r="CC41" s="11">
        <v>38</v>
      </c>
      <c r="CD41" s="11">
        <v>44</v>
      </c>
      <c r="CE41" s="11">
        <v>49</v>
      </c>
      <c r="CF41" s="11">
        <v>45</v>
      </c>
      <c r="CG41" s="4">
        <v>2.4</v>
      </c>
      <c r="CH41" s="13">
        <v>1.6</v>
      </c>
      <c r="CI41" s="4">
        <v>3.5</v>
      </c>
      <c r="CJ41" s="4">
        <v>-3.5</v>
      </c>
      <c r="CK41" s="4">
        <v>175.5</v>
      </c>
      <c r="CL41" s="2" t="s">
        <v>616</v>
      </c>
      <c r="CM41" s="4" t="str">
        <f>VLOOKUP(monaco[[#This Row],[Away_team]],all[[Full name]:[Abbr]],3,FALSE)</f>
        <v>PAR</v>
      </c>
      <c r="CN41" s="4">
        <f>IF(OR(monaco[[#This Row],[Result]]="w",monaco[[#This Row],[Result]]="dw"),monaco[[#This Row],[win]]-1,-1)</f>
        <v>-1</v>
      </c>
      <c r="CO41" s="4">
        <f>IF(OR(monaco[[#This Row],[Result]]="L",monaco[[#This Row],[Result]]="dl"),monaco[[#This Row],[lose]]-1,-1)</f>
        <v>0.60000000000000009</v>
      </c>
      <c r="CP41" s="4">
        <f>IF(OR((monaco[[#This Row],[Home_scored]]+monaco[[#This Row],[Away_scored]])&gt;monaco[[#This Row],[total]],OR(monaco[[#This Row],[Result]]="dw",monaco[[#This Row],[Result]]="dl")),1,0)</f>
        <v>1</v>
      </c>
      <c r="CQ41" s="4">
        <f>ABS((monaco[[#This Row],[Home_scored]]+monaco[[#This Row],[Away_scored]])-monaco[[#This Row],[total]])+0.5</f>
        <v>1</v>
      </c>
    </row>
    <row r="42" spans="1:95" x14ac:dyDescent="0.25">
      <c r="A42" s="2" t="s">
        <v>349</v>
      </c>
      <c r="B42" s="2" t="s">
        <v>330</v>
      </c>
      <c r="C42" s="28" t="s">
        <v>594</v>
      </c>
      <c r="D42" s="28">
        <v>45825</v>
      </c>
      <c r="E42" s="2" t="s">
        <v>140</v>
      </c>
      <c r="F42" s="2" t="s">
        <v>339</v>
      </c>
      <c r="G42" s="2" t="s">
        <v>139</v>
      </c>
      <c r="H42" s="11">
        <v>67</v>
      </c>
      <c r="I42" s="11">
        <v>92</v>
      </c>
      <c r="J42" s="11">
        <v>25</v>
      </c>
      <c r="K42" s="11">
        <v>64</v>
      </c>
      <c r="L42" s="12">
        <v>0.3906</v>
      </c>
      <c r="M42" s="11">
        <v>19</v>
      </c>
      <c r="N42" s="11">
        <v>36</v>
      </c>
      <c r="O42" s="12">
        <v>0.52780000000000005</v>
      </c>
      <c r="P42" s="11">
        <v>6</v>
      </c>
      <c r="Q42" s="11">
        <v>28</v>
      </c>
      <c r="R42" s="12">
        <v>0.21429999999999999</v>
      </c>
      <c r="S42" s="11">
        <v>11</v>
      </c>
      <c r="T42" s="11">
        <v>17</v>
      </c>
      <c r="U42" s="12">
        <v>0.64710000000000001</v>
      </c>
      <c r="V42" s="11">
        <v>11</v>
      </c>
      <c r="W42" s="11">
        <v>18</v>
      </c>
      <c r="X42" s="11">
        <v>29</v>
      </c>
      <c r="Y42" s="11">
        <v>16</v>
      </c>
      <c r="Z42" s="11">
        <v>5</v>
      </c>
      <c r="AA42" s="11">
        <v>9</v>
      </c>
      <c r="AB42" s="11">
        <v>4</v>
      </c>
      <c r="AC42" s="11">
        <v>20</v>
      </c>
      <c r="AD42" s="11">
        <v>30</v>
      </c>
      <c r="AE42" s="11">
        <v>65</v>
      </c>
      <c r="AF42" s="12">
        <v>0.46150000000000002</v>
      </c>
      <c r="AG42" s="11">
        <v>15</v>
      </c>
      <c r="AH42" s="11">
        <v>29</v>
      </c>
      <c r="AI42" s="12">
        <v>0.51719999999999999</v>
      </c>
      <c r="AJ42" s="11">
        <v>15</v>
      </c>
      <c r="AK42" s="11">
        <v>36</v>
      </c>
      <c r="AL42" s="12">
        <v>0.41670000000000001</v>
      </c>
      <c r="AM42" s="11">
        <v>17</v>
      </c>
      <c r="AN42" s="11">
        <v>20</v>
      </c>
      <c r="AO42" s="12">
        <v>0.85</v>
      </c>
      <c r="AP42" s="11">
        <v>16</v>
      </c>
      <c r="AQ42" s="11">
        <v>31</v>
      </c>
      <c r="AR42" s="11">
        <v>47</v>
      </c>
      <c r="AS42" s="11">
        <v>17</v>
      </c>
      <c r="AT42" s="11">
        <v>4</v>
      </c>
      <c r="AU42" s="11">
        <v>13</v>
      </c>
      <c r="AV42" s="11">
        <v>2</v>
      </c>
      <c r="AW42" s="11">
        <v>25</v>
      </c>
      <c r="AX42" s="12">
        <v>0.46870000000000001</v>
      </c>
      <c r="AY42" s="12">
        <v>0.4375</v>
      </c>
      <c r="AZ42" s="12">
        <v>0.26190000000000002</v>
      </c>
      <c r="BA42" s="12">
        <v>0.52939999999999998</v>
      </c>
      <c r="BB42" s="12">
        <v>0.38159999999999999</v>
      </c>
      <c r="BC42" s="4">
        <v>58.970999999999997</v>
      </c>
      <c r="BD42" s="12">
        <v>0.64</v>
      </c>
      <c r="BE42" s="12">
        <v>0.1719</v>
      </c>
      <c r="BF42" s="12">
        <v>5.2999999999999999E-2</v>
      </c>
      <c r="BG42" s="4">
        <v>110.5</v>
      </c>
      <c r="BH42" s="4">
        <v>151.80000000000001</v>
      </c>
      <c r="BI42" s="4">
        <v>60.610999999999997</v>
      </c>
      <c r="BJ42" s="12">
        <v>0.62329999999999997</v>
      </c>
      <c r="BK42" s="12">
        <v>0.57689999999999997</v>
      </c>
      <c r="BL42" s="12">
        <v>0.47060000000000002</v>
      </c>
      <c r="BM42" s="12">
        <v>0.73809999999999998</v>
      </c>
      <c r="BN42" s="12">
        <v>0.61839999999999995</v>
      </c>
      <c r="BO42" s="4">
        <v>62.250999999999998</v>
      </c>
      <c r="BP42" s="12">
        <v>0.56669999999999998</v>
      </c>
      <c r="BQ42" s="12">
        <v>0.26150000000000001</v>
      </c>
      <c r="BR42" s="12">
        <v>2.64E-2</v>
      </c>
      <c r="BS42" s="4">
        <v>151.80000000000001</v>
      </c>
      <c r="BT42" s="4">
        <v>110.5</v>
      </c>
      <c r="BU42" s="11">
        <v>13</v>
      </c>
      <c r="BV42" s="11">
        <v>15</v>
      </c>
      <c r="BW42" s="11">
        <v>17</v>
      </c>
      <c r="BX42" s="11">
        <v>22</v>
      </c>
      <c r="BY42" s="11">
        <v>20</v>
      </c>
      <c r="BZ42" s="11">
        <v>21</v>
      </c>
      <c r="CA42" s="11">
        <v>29</v>
      </c>
      <c r="CB42" s="11">
        <v>22</v>
      </c>
      <c r="CC42" s="11">
        <v>28</v>
      </c>
      <c r="CD42" s="11">
        <v>39</v>
      </c>
      <c r="CE42" s="11">
        <v>41</v>
      </c>
      <c r="CF42" s="11">
        <v>51</v>
      </c>
      <c r="CG42" s="4">
        <v>2.6</v>
      </c>
      <c r="CH42" s="13">
        <v>1.52</v>
      </c>
      <c r="CI42" s="4">
        <v>4.5</v>
      </c>
      <c r="CJ42" s="4">
        <v>-4.5</v>
      </c>
      <c r="CK42" s="4">
        <v>175.5</v>
      </c>
      <c r="CL42" s="2" t="s">
        <v>617</v>
      </c>
      <c r="CM42" s="4" t="str">
        <f>VLOOKUP(monaco[[#This Row],[Away_team]],all[[Full name]:[Abbr]],3,FALSE)</f>
        <v>PAR</v>
      </c>
      <c r="CN42" s="4">
        <f>IF(OR(monaco[[#This Row],[Result]]="w",monaco[[#This Row],[Result]]="dw"),monaco[[#This Row],[win]]-1,-1)</f>
        <v>-1</v>
      </c>
      <c r="CO42" s="4">
        <f>IF(OR(monaco[[#This Row],[Result]]="L",monaco[[#This Row],[Result]]="dl"),monaco[[#This Row],[lose]]-1,-1)</f>
        <v>0.52</v>
      </c>
      <c r="CP42" s="4">
        <f>IF(OR((monaco[[#This Row],[Home_scored]]+monaco[[#This Row],[Away_scored]])&gt;monaco[[#This Row],[total]],OR(monaco[[#This Row],[Result]]="dw",monaco[[#This Row],[Result]]="dl")),1,0)</f>
        <v>0</v>
      </c>
      <c r="CQ42" s="4">
        <f>ABS((monaco[[#This Row],[Home_scored]]+monaco[[#This Row],[Away_scored]])-monaco[[#This Row],[total]])+0.5</f>
        <v>17</v>
      </c>
    </row>
    <row r="43" spans="1:95" x14ac:dyDescent="0.25">
      <c r="A43" s="2" t="s">
        <v>349</v>
      </c>
      <c r="B43" s="2" t="s">
        <v>330</v>
      </c>
      <c r="C43" s="28" t="s">
        <v>594</v>
      </c>
      <c r="D43" s="28">
        <v>45828</v>
      </c>
      <c r="E43" s="2" t="s">
        <v>74</v>
      </c>
      <c r="F43" s="2" t="s">
        <v>339</v>
      </c>
      <c r="G43" s="2" t="s">
        <v>75</v>
      </c>
      <c r="H43" s="11">
        <v>81</v>
      </c>
      <c r="I43" s="11">
        <v>78</v>
      </c>
      <c r="J43" s="11">
        <v>29</v>
      </c>
      <c r="K43" s="11">
        <v>61</v>
      </c>
      <c r="L43" s="12">
        <v>0.47539999999999999</v>
      </c>
      <c r="M43" s="11">
        <v>19</v>
      </c>
      <c r="N43" s="11">
        <v>33</v>
      </c>
      <c r="O43" s="12">
        <v>0.57579999999999998</v>
      </c>
      <c r="P43" s="11">
        <v>10</v>
      </c>
      <c r="Q43" s="11">
        <v>28</v>
      </c>
      <c r="R43" s="12">
        <v>0.35709999999999997</v>
      </c>
      <c r="S43" s="11">
        <v>13</v>
      </c>
      <c r="T43" s="11">
        <v>26</v>
      </c>
      <c r="U43" s="12">
        <v>0.5</v>
      </c>
      <c r="V43" s="11">
        <v>10</v>
      </c>
      <c r="W43" s="11">
        <v>26</v>
      </c>
      <c r="X43" s="11">
        <v>36</v>
      </c>
      <c r="Y43" s="11">
        <v>27</v>
      </c>
      <c r="Z43" s="11">
        <v>2</v>
      </c>
      <c r="AA43" s="11">
        <v>10</v>
      </c>
      <c r="AB43" s="11">
        <v>3</v>
      </c>
      <c r="AC43" s="11">
        <v>19</v>
      </c>
      <c r="AD43" s="11">
        <v>24</v>
      </c>
      <c r="AE43" s="11">
        <v>61</v>
      </c>
      <c r="AF43" s="12">
        <v>0.39340000000000003</v>
      </c>
      <c r="AG43" s="11">
        <v>13</v>
      </c>
      <c r="AH43" s="11">
        <v>35</v>
      </c>
      <c r="AI43" s="12">
        <v>0.37140000000000001</v>
      </c>
      <c r="AJ43" s="11">
        <v>11</v>
      </c>
      <c r="AK43" s="11">
        <v>26</v>
      </c>
      <c r="AL43" s="12">
        <v>0.42309999999999998</v>
      </c>
      <c r="AM43" s="11">
        <v>19</v>
      </c>
      <c r="AN43" s="11">
        <v>24</v>
      </c>
      <c r="AO43" s="12">
        <v>0.79169999999999996</v>
      </c>
      <c r="AP43" s="11">
        <v>11</v>
      </c>
      <c r="AQ43" s="11">
        <v>26</v>
      </c>
      <c r="AR43" s="11">
        <v>37</v>
      </c>
      <c r="AS43" s="11">
        <v>12</v>
      </c>
      <c r="AT43" s="11">
        <v>1</v>
      </c>
      <c r="AU43" s="11">
        <v>10</v>
      </c>
      <c r="AV43" s="11">
        <v>3</v>
      </c>
      <c r="AW43" s="11">
        <v>24</v>
      </c>
      <c r="AX43" s="12">
        <v>0.55910000000000004</v>
      </c>
      <c r="AY43" s="12">
        <v>0.55740000000000001</v>
      </c>
      <c r="AZ43" s="12">
        <v>0.27779999999999999</v>
      </c>
      <c r="BA43" s="12">
        <v>0.70269999999999999</v>
      </c>
      <c r="BB43" s="12">
        <v>0.49320000000000003</v>
      </c>
      <c r="BC43" s="4">
        <v>64.888999999999996</v>
      </c>
      <c r="BD43" s="12">
        <v>0.93100000000000005</v>
      </c>
      <c r="BE43" s="12">
        <v>0.21310000000000001</v>
      </c>
      <c r="BF43" s="12">
        <v>3.9800000000000002E-2</v>
      </c>
      <c r="BG43" s="4">
        <v>127.8</v>
      </c>
      <c r="BH43" s="4">
        <v>123.1</v>
      </c>
      <c r="BI43" s="4">
        <v>63.359499999999997</v>
      </c>
      <c r="BJ43" s="12">
        <v>0.54500000000000004</v>
      </c>
      <c r="BK43" s="12">
        <v>0.48359999999999997</v>
      </c>
      <c r="BL43" s="12">
        <v>0.29730000000000001</v>
      </c>
      <c r="BM43" s="12">
        <v>0.72219999999999995</v>
      </c>
      <c r="BN43" s="12">
        <v>0.50680000000000003</v>
      </c>
      <c r="BO43" s="4">
        <v>61.83</v>
      </c>
      <c r="BP43" s="12">
        <v>0.5</v>
      </c>
      <c r="BQ43" s="12">
        <v>0.3115</v>
      </c>
      <c r="BR43" s="12">
        <v>4.02E-2</v>
      </c>
      <c r="BS43" s="4">
        <v>123.1</v>
      </c>
      <c r="BT43" s="4">
        <v>127.8</v>
      </c>
      <c r="BU43" s="11">
        <v>12</v>
      </c>
      <c r="BV43" s="11">
        <v>21</v>
      </c>
      <c r="BW43" s="11">
        <v>30</v>
      </c>
      <c r="BX43" s="11">
        <v>18</v>
      </c>
      <c r="BY43" s="11">
        <v>23</v>
      </c>
      <c r="BZ43" s="11">
        <v>22</v>
      </c>
      <c r="CA43" s="11">
        <v>15</v>
      </c>
      <c r="CB43" s="11">
        <v>18</v>
      </c>
      <c r="CC43" s="11">
        <v>33</v>
      </c>
      <c r="CD43" s="11">
        <v>48</v>
      </c>
      <c r="CE43" s="11">
        <v>45</v>
      </c>
      <c r="CF43" s="11">
        <v>33</v>
      </c>
      <c r="CG43" s="4">
        <v>1.64</v>
      </c>
      <c r="CH43" s="13">
        <v>2.2999999999999998</v>
      </c>
      <c r="CI43" s="4">
        <v>-3</v>
      </c>
      <c r="CJ43" s="4">
        <v>-3</v>
      </c>
      <c r="CK43" s="4">
        <v>173.5</v>
      </c>
      <c r="CL43" s="2" t="s">
        <v>618</v>
      </c>
      <c r="CM43" s="4" t="str">
        <f>VLOOKUP(monaco[[#This Row],[Away_team]],all[[Full name]:[Abbr]],3,FALSE)</f>
        <v>PAR</v>
      </c>
      <c r="CN43" s="4">
        <f>IF(OR(monaco[[#This Row],[Result]]="w",monaco[[#This Row],[Result]]="dw"),monaco[[#This Row],[win]]-1,-1)</f>
        <v>0.6399999999999999</v>
      </c>
      <c r="CO43" s="4">
        <f>IF(OR(monaco[[#This Row],[Result]]="L",monaco[[#This Row],[Result]]="dl"),monaco[[#This Row],[lose]]-1,-1)</f>
        <v>-1</v>
      </c>
      <c r="CP43" s="4">
        <f>IF(OR((monaco[[#This Row],[Home_scored]]+monaco[[#This Row],[Away_scored]])&gt;monaco[[#This Row],[total]],OR(monaco[[#This Row],[Result]]="dw",monaco[[#This Row],[Result]]="dl")),1,0)</f>
        <v>0</v>
      </c>
      <c r="CQ43" s="4">
        <f>ABS((monaco[[#This Row],[Home_scored]]+monaco[[#This Row],[Away_scored]])-monaco[[#This Row],[total]])+0.5</f>
        <v>15</v>
      </c>
    </row>
    <row r="44" spans="1:95" x14ac:dyDescent="0.25">
      <c r="A44" s="2" t="s">
        <v>349</v>
      </c>
      <c r="B44" s="2" t="s">
        <v>330</v>
      </c>
      <c r="C44" s="28" t="s">
        <v>594</v>
      </c>
      <c r="D44" s="28">
        <v>45830</v>
      </c>
      <c r="E44" s="2" t="s">
        <v>74</v>
      </c>
      <c r="F44" s="2" t="s">
        <v>339</v>
      </c>
      <c r="G44" s="2" t="s">
        <v>75</v>
      </c>
      <c r="H44" s="11">
        <v>80</v>
      </c>
      <c r="I44" s="11">
        <v>74</v>
      </c>
      <c r="J44" s="11">
        <v>24</v>
      </c>
      <c r="K44" s="11">
        <v>63</v>
      </c>
      <c r="L44" s="12">
        <v>0.38100000000000001</v>
      </c>
      <c r="M44" s="11">
        <v>14</v>
      </c>
      <c r="N44" s="11">
        <v>38</v>
      </c>
      <c r="O44" s="12">
        <v>0.36840000000000001</v>
      </c>
      <c r="P44" s="11">
        <v>10</v>
      </c>
      <c r="Q44" s="11">
        <v>25</v>
      </c>
      <c r="R44" s="12">
        <v>0.4</v>
      </c>
      <c r="S44" s="11">
        <v>22</v>
      </c>
      <c r="T44" s="11">
        <v>27</v>
      </c>
      <c r="U44" s="12">
        <v>0.81479999999999997</v>
      </c>
      <c r="V44" s="11">
        <v>13</v>
      </c>
      <c r="W44" s="11">
        <v>27</v>
      </c>
      <c r="X44" s="11">
        <v>40</v>
      </c>
      <c r="Y44" s="11">
        <v>16</v>
      </c>
      <c r="Z44" s="11">
        <v>1</v>
      </c>
      <c r="AA44" s="11">
        <v>13</v>
      </c>
      <c r="AB44" s="11">
        <v>6</v>
      </c>
      <c r="AC44" s="11">
        <v>21</v>
      </c>
      <c r="AD44" s="11">
        <v>23</v>
      </c>
      <c r="AE44" s="11">
        <v>65</v>
      </c>
      <c r="AF44" s="12">
        <v>0.3538</v>
      </c>
      <c r="AG44" s="11">
        <v>15</v>
      </c>
      <c r="AH44" s="11">
        <v>40</v>
      </c>
      <c r="AI44" s="12">
        <v>0.375</v>
      </c>
      <c r="AJ44" s="11">
        <v>8</v>
      </c>
      <c r="AK44" s="11">
        <v>25</v>
      </c>
      <c r="AL44" s="12">
        <v>0.32</v>
      </c>
      <c r="AM44" s="11">
        <v>20</v>
      </c>
      <c r="AN44" s="11">
        <v>23</v>
      </c>
      <c r="AO44" s="12">
        <v>0.86960000000000004</v>
      </c>
      <c r="AP44" s="11">
        <v>15</v>
      </c>
      <c r="AQ44" s="11">
        <v>27</v>
      </c>
      <c r="AR44" s="11">
        <v>42</v>
      </c>
      <c r="AS44" s="11">
        <v>16</v>
      </c>
      <c r="AT44" s="11">
        <v>2</v>
      </c>
      <c r="AU44" s="11">
        <v>16</v>
      </c>
      <c r="AV44" s="11">
        <v>6</v>
      </c>
      <c r="AW44" s="11">
        <v>28</v>
      </c>
      <c r="AX44" s="12">
        <v>0.53420000000000001</v>
      </c>
      <c r="AY44" s="12">
        <v>0.46029999999999999</v>
      </c>
      <c r="AZ44" s="12">
        <v>0.32500000000000001</v>
      </c>
      <c r="BA44" s="12">
        <v>0.64290000000000003</v>
      </c>
      <c r="BB44" s="12">
        <v>0.48780000000000001</v>
      </c>
      <c r="BC44" s="4">
        <v>66.238</v>
      </c>
      <c r="BD44" s="12">
        <v>0.66669999999999996</v>
      </c>
      <c r="BE44" s="12">
        <v>0.34920000000000001</v>
      </c>
      <c r="BF44" s="12">
        <v>7.4200000000000002E-2</v>
      </c>
      <c r="BG44" s="4">
        <v>122.7</v>
      </c>
      <c r="BH44" s="4">
        <v>113.5</v>
      </c>
      <c r="BI44" s="4">
        <v>65.194000000000003</v>
      </c>
      <c r="BJ44" s="12">
        <v>0.49249999999999999</v>
      </c>
      <c r="BK44" s="12">
        <v>0.41539999999999999</v>
      </c>
      <c r="BL44" s="12">
        <v>0.35709999999999997</v>
      </c>
      <c r="BM44" s="12">
        <v>0.67500000000000004</v>
      </c>
      <c r="BN44" s="12">
        <v>0.51219999999999999</v>
      </c>
      <c r="BO44" s="4">
        <v>64.150000000000006</v>
      </c>
      <c r="BP44" s="12">
        <v>0.69569999999999999</v>
      </c>
      <c r="BQ44" s="12">
        <v>0.30769999999999997</v>
      </c>
      <c r="BR44" s="12">
        <v>7.3999999999999996E-2</v>
      </c>
      <c r="BS44" s="4">
        <v>113.5</v>
      </c>
      <c r="BT44" s="4">
        <v>122.7</v>
      </c>
      <c r="BU44" s="11">
        <v>20</v>
      </c>
      <c r="BV44" s="11">
        <v>20</v>
      </c>
      <c r="BW44" s="11">
        <v>15</v>
      </c>
      <c r="BX44" s="11">
        <v>25</v>
      </c>
      <c r="BY44" s="11">
        <v>16</v>
      </c>
      <c r="BZ44" s="11">
        <v>27</v>
      </c>
      <c r="CA44" s="11">
        <v>13</v>
      </c>
      <c r="CB44" s="11">
        <v>18</v>
      </c>
      <c r="CC44" s="11">
        <v>40</v>
      </c>
      <c r="CD44" s="11">
        <v>40</v>
      </c>
      <c r="CE44" s="11">
        <v>43</v>
      </c>
      <c r="CF44" s="11">
        <v>31</v>
      </c>
      <c r="CG44" s="4">
        <v>1.71</v>
      </c>
      <c r="CH44" s="13">
        <v>2.2000000000000002</v>
      </c>
      <c r="CI44" s="4">
        <v>-2.5</v>
      </c>
      <c r="CJ44" s="4">
        <v>2.5</v>
      </c>
      <c r="CK44" s="4">
        <v>170.5</v>
      </c>
      <c r="CL44" s="2" t="s">
        <v>619</v>
      </c>
      <c r="CM44" s="4" t="str">
        <f>VLOOKUP(monaco[[#This Row],[Away_team]],all[[Full name]:[Abbr]],3,FALSE)</f>
        <v>PAR</v>
      </c>
      <c r="CN44" s="4">
        <f>IF(OR(monaco[[#This Row],[Result]]="w",monaco[[#This Row],[Result]]="dw"),monaco[[#This Row],[win]]-1,-1)</f>
        <v>0.71</v>
      </c>
      <c r="CO44" s="4">
        <f>IF(OR(monaco[[#This Row],[Result]]="L",monaco[[#This Row],[Result]]="dl"),monaco[[#This Row],[lose]]-1,-1)</f>
        <v>-1</v>
      </c>
      <c r="CP44" s="4">
        <f>IF(OR((monaco[[#This Row],[Home_scored]]+monaco[[#This Row],[Away_scored]])&gt;monaco[[#This Row],[total]],OR(monaco[[#This Row],[Result]]="dw",monaco[[#This Row],[Result]]="dl")),1,0)</f>
        <v>0</v>
      </c>
      <c r="CQ44" s="4">
        <f>ABS((monaco[[#This Row],[Home_scored]]+monaco[[#This Row],[Away_scored]])-monaco[[#This Row],[total]])+0.5</f>
        <v>17</v>
      </c>
    </row>
    <row r="45" spans="1:95" x14ac:dyDescent="0.25">
      <c r="A45" s="2" t="s">
        <v>349</v>
      </c>
      <c r="B45" s="2" t="s">
        <v>330</v>
      </c>
      <c r="C45" s="28" t="s">
        <v>594</v>
      </c>
      <c r="D45" s="28">
        <v>45832</v>
      </c>
      <c r="E45" s="2" t="s">
        <v>140</v>
      </c>
      <c r="F45" s="2" t="s">
        <v>339</v>
      </c>
      <c r="G45" s="2" t="s">
        <v>139</v>
      </c>
      <c r="H45" s="11">
        <v>93</v>
      </c>
      <c r="I45" s="11">
        <v>99</v>
      </c>
      <c r="J45" s="11">
        <v>35</v>
      </c>
      <c r="K45" s="11">
        <v>77</v>
      </c>
      <c r="L45" s="12">
        <v>0.45450000000000002</v>
      </c>
      <c r="M45" s="11">
        <v>22</v>
      </c>
      <c r="N45" s="11">
        <v>43</v>
      </c>
      <c r="O45" s="12">
        <v>0.51160000000000005</v>
      </c>
      <c r="P45" s="11">
        <v>13</v>
      </c>
      <c r="Q45" s="11">
        <v>34</v>
      </c>
      <c r="R45" s="12">
        <v>0.38240000000000002</v>
      </c>
      <c r="S45" s="11">
        <v>10</v>
      </c>
      <c r="T45" s="11">
        <v>16</v>
      </c>
      <c r="U45" s="12">
        <v>0.625</v>
      </c>
      <c r="V45" s="11">
        <v>13</v>
      </c>
      <c r="W45" s="11">
        <v>26</v>
      </c>
      <c r="X45" s="11">
        <v>39</v>
      </c>
      <c r="Y45" s="11">
        <v>17</v>
      </c>
      <c r="Z45" s="11">
        <v>0</v>
      </c>
      <c r="AA45" s="11">
        <v>7</v>
      </c>
      <c r="AB45" s="11">
        <v>4</v>
      </c>
      <c r="AC45" s="11">
        <v>26</v>
      </c>
      <c r="AD45" s="11">
        <v>33</v>
      </c>
      <c r="AE45" s="11">
        <v>65</v>
      </c>
      <c r="AF45" s="12">
        <v>0.50770000000000004</v>
      </c>
      <c r="AG45" s="11">
        <v>25</v>
      </c>
      <c r="AH45" s="11">
        <v>41</v>
      </c>
      <c r="AI45" s="12">
        <v>0.60980000000000001</v>
      </c>
      <c r="AJ45" s="11">
        <v>8</v>
      </c>
      <c r="AK45" s="11">
        <v>24</v>
      </c>
      <c r="AL45" s="12">
        <v>0.33329999999999999</v>
      </c>
      <c r="AM45" s="11">
        <v>25</v>
      </c>
      <c r="AN45" s="11">
        <v>34</v>
      </c>
      <c r="AO45" s="12">
        <v>0.73529999999999995</v>
      </c>
      <c r="AP45" s="11">
        <v>10</v>
      </c>
      <c r="AQ45" s="11">
        <v>29</v>
      </c>
      <c r="AR45" s="11">
        <v>39</v>
      </c>
      <c r="AS45" s="11">
        <v>16</v>
      </c>
      <c r="AT45" s="11">
        <v>2</v>
      </c>
      <c r="AU45" s="11">
        <v>8</v>
      </c>
      <c r="AV45" s="11">
        <v>3</v>
      </c>
      <c r="AW45" s="11">
        <v>21</v>
      </c>
      <c r="AX45" s="12">
        <v>0.55330000000000001</v>
      </c>
      <c r="AY45" s="12">
        <v>0.53900000000000003</v>
      </c>
      <c r="AZ45" s="12">
        <v>0.3095</v>
      </c>
      <c r="BA45" s="12">
        <v>0.72219999999999995</v>
      </c>
      <c r="BB45" s="12">
        <v>0.5</v>
      </c>
      <c r="BC45" s="4">
        <v>72.42</v>
      </c>
      <c r="BD45" s="12">
        <v>0.48570000000000002</v>
      </c>
      <c r="BE45" s="12">
        <v>0.12989999999999999</v>
      </c>
      <c r="BF45" s="12">
        <v>4.5400000000000003E-2</v>
      </c>
      <c r="BG45" s="4">
        <v>128.1</v>
      </c>
      <c r="BH45" s="4">
        <v>136.30000000000001</v>
      </c>
      <c r="BI45" s="4">
        <v>72.620500000000007</v>
      </c>
      <c r="BJ45" s="12">
        <v>0.61909999999999998</v>
      </c>
      <c r="BK45" s="12">
        <v>0.56920000000000004</v>
      </c>
      <c r="BL45" s="12">
        <v>0.27779999999999999</v>
      </c>
      <c r="BM45" s="12">
        <v>0.6905</v>
      </c>
      <c r="BN45" s="12">
        <v>0.5</v>
      </c>
      <c r="BO45" s="4">
        <v>72.820999999999998</v>
      </c>
      <c r="BP45" s="12">
        <v>0.48480000000000001</v>
      </c>
      <c r="BQ45" s="12">
        <v>0.3846</v>
      </c>
      <c r="BR45" s="12">
        <v>3.6200000000000003E-2</v>
      </c>
      <c r="BS45" s="4">
        <v>136.30000000000001</v>
      </c>
      <c r="BT45" s="4">
        <v>128.1</v>
      </c>
      <c r="BU45" s="11">
        <v>21</v>
      </c>
      <c r="BV45" s="11">
        <v>29</v>
      </c>
      <c r="BW45" s="11">
        <v>31</v>
      </c>
      <c r="BX45" s="11">
        <v>12</v>
      </c>
      <c r="BY45" s="11">
        <v>29</v>
      </c>
      <c r="BZ45" s="11">
        <v>25</v>
      </c>
      <c r="CA45" s="11">
        <v>19</v>
      </c>
      <c r="CB45" s="11">
        <v>26</v>
      </c>
      <c r="CC45" s="11">
        <v>50</v>
      </c>
      <c r="CD45" s="11">
        <v>43</v>
      </c>
      <c r="CE45" s="11">
        <v>54</v>
      </c>
      <c r="CF45" s="11">
        <v>45</v>
      </c>
      <c r="CG45" s="4">
        <v>2.7</v>
      </c>
      <c r="CH45" s="13">
        <v>1.48</v>
      </c>
      <c r="CI45" s="4">
        <v>-5</v>
      </c>
      <c r="CJ45" s="4">
        <v>-5</v>
      </c>
      <c r="CK45" s="4">
        <v>168.5</v>
      </c>
      <c r="CL45" s="2" t="s">
        <v>620</v>
      </c>
      <c r="CM45" s="4" t="str">
        <f>VLOOKUP(monaco[[#This Row],[Away_team]],all[[Full name]:[Abbr]],3,FALSE)</f>
        <v>PAR</v>
      </c>
      <c r="CN45" s="4">
        <f>IF(OR(monaco[[#This Row],[Result]]="w",monaco[[#This Row],[Result]]="dw"),monaco[[#This Row],[win]]-1,-1)</f>
        <v>-1</v>
      </c>
      <c r="CO45" s="4">
        <f>IF(OR(monaco[[#This Row],[Result]]="L",monaco[[#This Row],[Result]]="dl"),monaco[[#This Row],[lose]]-1,-1)</f>
        <v>0.48</v>
      </c>
      <c r="CP45" s="4">
        <f>IF(OR((monaco[[#This Row],[Home_scored]]+monaco[[#This Row],[Away_scored]])&gt;monaco[[#This Row],[total]],OR(monaco[[#This Row],[Result]]="dw",monaco[[#This Row],[Result]]="dl")),1,0)</f>
        <v>1</v>
      </c>
      <c r="CQ45" s="4">
        <f>ABS((monaco[[#This Row],[Home_scored]]+monaco[[#This Row],[Away_scored]])-monaco[[#This Row],[total]])+0.5</f>
        <v>24</v>
      </c>
    </row>
  </sheetData>
  <conditionalFormatting sqref="A4:A45">
    <cfRule type="expression" dxfId="353" priority="1">
      <formula>SUMPRODUCT(--ISERROR(B4:CL4))&gt;0</formula>
    </cfRule>
  </conditionalFormatting>
  <conditionalFormatting sqref="B4:B45">
    <cfRule type="uniqueValues" dxfId="352" priority="482"/>
  </conditionalFormatting>
  <conditionalFormatting sqref="D4:D45">
    <cfRule type="duplicateValues" dxfId="351" priority="483"/>
  </conditionalFormatting>
  <conditionalFormatting sqref="H4:H45">
    <cfRule type="expression" dxfId="350" priority="3">
      <formula>H4=BU4+BV4+BW4+BX4</formula>
    </cfRule>
  </conditionalFormatting>
  <conditionalFormatting sqref="I4:I45">
    <cfRule type="expression" dxfId="349" priority="2">
      <formula>I4=BY4+BZ4+CA4+CB4</formula>
    </cfRule>
  </conditionalFormatting>
  <hyperlinks>
    <hyperlink ref="A1" location="all_data!A1" display="ratings" xr:uid="{BA48F5A0-FD3A-4F24-8D37-1E064ECA7AE8}"/>
  </hyperlink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1C2C-0E19-4772-825D-9BDEC8C7D130}">
  <sheetPr codeName="Sheet15"/>
  <dimension ref="A1:CQ34"/>
  <sheetViews>
    <sheetView zoomScale="80" zoomScaleNormal="80" workbookViewId="0">
      <selection activeCell="A35" sqref="A3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349</v>
      </c>
      <c r="B4" s="2" t="s">
        <v>333</v>
      </c>
      <c r="C4" s="2" t="s">
        <v>73</v>
      </c>
      <c r="D4" s="3">
        <v>45556</v>
      </c>
      <c r="E4" s="2" t="s">
        <v>74</v>
      </c>
      <c r="F4" s="2" t="s">
        <v>323</v>
      </c>
      <c r="G4" s="2" t="s">
        <v>75</v>
      </c>
      <c r="H4" s="2">
        <v>64</v>
      </c>
      <c r="I4" s="2">
        <v>56</v>
      </c>
      <c r="J4" s="2">
        <v>27</v>
      </c>
      <c r="K4" s="2">
        <v>69</v>
      </c>
      <c r="L4" s="2">
        <v>0.39129999999999998</v>
      </c>
      <c r="M4" s="2">
        <v>24</v>
      </c>
      <c r="N4" s="2">
        <v>41</v>
      </c>
      <c r="O4" s="2">
        <v>0.58540000000000003</v>
      </c>
      <c r="P4" s="2">
        <v>3</v>
      </c>
      <c r="Q4" s="2">
        <v>28</v>
      </c>
      <c r="R4" s="2">
        <v>0.1071</v>
      </c>
      <c r="S4" s="2">
        <v>7</v>
      </c>
      <c r="T4" s="2">
        <v>13</v>
      </c>
      <c r="U4" s="2">
        <v>0.53849999999999998</v>
      </c>
      <c r="V4" s="2">
        <v>13</v>
      </c>
      <c r="W4" s="2">
        <v>32</v>
      </c>
      <c r="X4" s="2">
        <v>45</v>
      </c>
      <c r="Y4" s="2">
        <v>15</v>
      </c>
      <c r="Z4" s="2">
        <v>9</v>
      </c>
      <c r="AA4" s="2">
        <v>4</v>
      </c>
      <c r="AB4" s="2">
        <v>13</v>
      </c>
      <c r="AC4" s="2">
        <v>13</v>
      </c>
      <c r="AD4" s="2">
        <v>23</v>
      </c>
      <c r="AE4" s="2">
        <v>60</v>
      </c>
      <c r="AF4" s="2">
        <v>0.38329999999999997</v>
      </c>
      <c r="AG4" s="2">
        <v>19</v>
      </c>
      <c r="AH4" s="2">
        <v>41</v>
      </c>
      <c r="AI4" s="2">
        <v>0.46339999999999998</v>
      </c>
      <c r="AJ4" s="2">
        <v>4</v>
      </c>
      <c r="AK4" s="2">
        <v>19</v>
      </c>
      <c r="AL4" s="2">
        <v>0.21049999999999999</v>
      </c>
      <c r="AM4" s="2">
        <v>6</v>
      </c>
      <c r="AN4" s="2">
        <v>9</v>
      </c>
      <c r="AO4" s="2">
        <v>0.66669999999999996</v>
      </c>
      <c r="AP4" s="2">
        <v>6</v>
      </c>
      <c r="AQ4" s="2">
        <v>31</v>
      </c>
      <c r="AR4" s="2">
        <v>37</v>
      </c>
      <c r="AS4" s="2">
        <v>16</v>
      </c>
      <c r="AT4" s="2">
        <v>4</v>
      </c>
      <c r="AU4" s="2">
        <v>4</v>
      </c>
      <c r="AV4" s="2">
        <v>16</v>
      </c>
      <c r="AW4" s="2">
        <v>12</v>
      </c>
      <c r="AX4" s="2">
        <v>0.42830000000000001</v>
      </c>
      <c r="AY4" s="2">
        <v>0.41299999999999998</v>
      </c>
      <c r="AZ4" s="2">
        <v>0.29549999999999998</v>
      </c>
      <c r="BA4" s="2">
        <v>0.84209999999999996</v>
      </c>
      <c r="BB4" s="2">
        <v>0.54879999999999995</v>
      </c>
      <c r="BC4" s="4">
        <v>74.216999999999999</v>
      </c>
      <c r="BD4" s="2">
        <v>0.55559999999999998</v>
      </c>
      <c r="BE4" s="2">
        <v>0.1014</v>
      </c>
      <c r="BF4" s="2">
        <v>0.1482</v>
      </c>
      <c r="BG4" s="2">
        <v>86.8</v>
      </c>
      <c r="BH4" s="2">
        <v>76</v>
      </c>
      <c r="BI4" s="2">
        <v>73.698499999999996</v>
      </c>
      <c r="BJ4" s="2">
        <v>0.43780000000000002</v>
      </c>
      <c r="BK4" s="2">
        <v>0.41670000000000001</v>
      </c>
      <c r="BL4" s="2">
        <v>0.15790000000000001</v>
      </c>
      <c r="BM4" s="2">
        <v>0.70450000000000002</v>
      </c>
      <c r="BN4" s="2">
        <v>0.45119999999999999</v>
      </c>
      <c r="BO4" s="4">
        <v>73.180000000000007</v>
      </c>
      <c r="BP4" s="2">
        <v>0.69569999999999999</v>
      </c>
      <c r="BQ4" s="2">
        <v>0.1</v>
      </c>
      <c r="BR4" s="2">
        <v>0.2001</v>
      </c>
      <c r="BS4" s="2">
        <v>76</v>
      </c>
      <c r="BT4" s="2">
        <v>86.8</v>
      </c>
      <c r="BU4" s="2">
        <v>16</v>
      </c>
      <c r="BV4" s="2">
        <v>17</v>
      </c>
      <c r="BW4" s="2">
        <v>14</v>
      </c>
      <c r="BX4" s="2">
        <v>17</v>
      </c>
      <c r="BY4" s="2">
        <v>18</v>
      </c>
      <c r="BZ4" s="2">
        <v>10</v>
      </c>
      <c r="CA4" s="2">
        <v>18</v>
      </c>
      <c r="CB4" s="2">
        <v>10</v>
      </c>
      <c r="CC4" s="2">
        <v>33</v>
      </c>
      <c r="CD4" s="2">
        <v>31</v>
      </c>
      <c r="CE4" s="2">
        <v>28</v>
      </c>
      <c r="CF4" s="2">
        <v>28</v>
      </c>
      <c r="CG4" s="2">
        <v>1.22</v>
      </c>
      <c r="CH4" s="2">
        <v>4.5</v>
      </c>
      <c r="CI4" s="2">
        <v>-9.5</v>
      </c>
      <c r="CJ4" s="2">
        <v>9.5</v>
      </c>
      <c r="CK4" s="2">
        <v>155.5</v>
      </c>
      <c r="CL4" s="2" t="s">
        <v>408</v>
      </c>
      <c r="CM4" s="4" t="e">
        <f>VLOOKUP(nancy[[#This Row],[Away_team]],all[[Full name]:[Abbr]],3,FALSE)</f>
        <v>#N/A</v>
      </c>
      <c r="CN4" s="4">
        <f>IF(OR(nancy[[#This Row],[Result]]="w",nancy[[#This Row],[Result]]="dw"),nancy[[#This Row],[win]]-1,-1)</f>
        <v>0.21999999999999997</v>
      </c>
      <c r="CO4" s="4">
        <f>IF(OR(nancy[[#This Row],[Result]]="L",nancy[[#This Row],[Result]]="dl"),nancy[[#This Row],[lose]]-1,-1)</f>
        <v>-1</v>
      </c>
      <c r="CP4" s="4">
        <f>IF(OR((nancy[[#This Row],[Home_scored]]+nancy[[#This Row],[Away_scored]])&gt;nancy[[#This Row],[total]],OR(nancy[[#This Row],[Result]]="dw",nancy[[#This Row],[Result]]="dl")),1,0)</f>
        <v>0</v>
      </c>
      <c r="CQ4" s="4">
        <f>ABS((nancy[[#This Row],[Home_scored]]+nancy[[#This Row],[Away_scored]])-nancy[[#This Row],[total]])+0.5</f>
        <v>36</v>
      </c>
    </row>
    <row r="5" spans="1:95" x14ac:dyDescent="0.25">
      <c r="A5" s="2" t="s">
        <v>349</v>
      </c>
      <c r="B5" s="2" t="s">
        <v>333</v>
      </c>
      <c r="C5" s="3" t="s">
        <v>73</v>
      </c>
      <c r="D5" s="3">
        <v>45566</v>
      </c>
      <c r="E5" s="2" t="s">
        <v>140</v>
      </c>
      <c r="F5" s="2" t="s">
        <v>311</v>
      </c>
      <c r="G5" s="2" t="s">
        <v>139</v>
      </c>
      <c r="H5" s="11">
        <v>84</v>
      </c>
      <c r="I5" s="11">
        <v>93</v>
      </c>
      <c r="J5" s="11">
        <v>34</v>
      </c>
      <c r="K5" s="11">
        <v>69</v>
      </c>
      <c r="L5" s="12">
        <v>0.49280000000000002</v>
      </c>
      <c r="M5" s="11">
        <v>27</v>
      </c>
      <c r="N5" s="11">
        <v>44</v>
      </c>
      <c r="O5" s="12">
        <v>0.61360000000000003</v>
      </c>
      <c r="P5" s="11">
        <v>7</v>
      </c>
      <c r="Q5" s="11">
        <v>25</v>
      </c>
      <c r="R5" s="12">
        <v>0.28000000000000003</v>
      </c>
      <c r="S5" s="11">
        <v>9</v>
      </c>
      <c r="T5" s="11">
        <v>10</v>
      </c>
      <c r="U5" s="12">
        <v>0.9</v>
      </c>
      <c r="V5" s="11">
        <v>9</v>
      </c>
      <c r="W5" s="11">
        <v>22</v>
      </c>
      <c r="X5" s="11">
        <v>31</v>
      </c>
      <c r="Y5" s="11">
        <v>26</v>
      </c>
      <c r="Z5" s="11">
        <v>7</v>
      </c>
      <c r="AA5" s="11">
        <v>2</v>
      </c>
      <c r="AB5" s="11">
        <v>12</v>
      </c>
      <c r="AC5" s="11">
        <v>18</v>
      </c>
      <c r="AD5" s="11">
        <v>35</v>
      </c>
      <c r="AE5" s="11">
        <v>63</v>
      </c>
      <c r="AF5" s="12">
        <v>0.55559999999999998</v>
      </c>
      <c r="AG5" s="11">
        <v>22</v>
      </c>
      <c r="AH5" s="11">
        <v>40</v>
      </c>
      <c r="AI5" s="12">
        <v>0.55000000000000004</v>
      </c>
      <c r="AJ5" s="11">
        <v>13</v>
      </c>
      <c r="AK5" s="11">
        <v>23</v>
      </c>
      <c r="AL5" s="12">
        <v>0.56520000000000004</v>
      </c>
      <c r="AM5" s="11">
        <v>10</v>
      </c>
      <c r="AN5" s="11">
        <v>10</v>
      </c>
      <c r="AO5" s="12">
        <v>1</v>
      </c>
      <c r="AP5" s="11">
        <v>6</v>
      </c>
      <c r="AQ5" s="11">
        <v>27</v>
      </c>
      <c r="AR5" s="11">
        <v>33</v>
      </c>
      <c r="AS5" s="11">
        <v>27</v>
      </c>
      <c r="AT5" s="11">
        <v>7</v>
      </c>
      <c r="AU5" s="11">
        <v>4</v>
      </c>
      <c r="AV5" s="11">
        <v>15</v>
      </c>
      <c r="AW5" s="11">
        <v>16</v>
      </c>
      <c r="AX5" s="12">
        <v>0.57220000000000004</v>
      </c>
      <c r="AY5" s="12">
        <v>0.54349999999999998</v>
      </c>
      <c r="AZ5" s="12">
        <v>0.25</v>
      </c>
      <c r="BA5" s="12">
        <v>0.78569999999999995</v>
      </c>
      <c r="BB5" s="12">
        <v>0.4844</v>
      </c>
      <c r="BC5" s="4">
        <v>74.126999999999995</v>
      </c>
      <c r="BD5" s="12">
        <v>0.76470000000000005</v>
      </c>
      <c r="BE5" s="12">
        <v>0.13039999999999999</v>
      </c>
      <c r="BF5" s="12">
        <v>0.14050000000000001</v>
      </c>
      <c r="BG5" s="4">
        <v>111.5</v>
      </c>
      <c r="BH5" s="4">
        <v>123.4</v>
      </c>
      <c r="BI5" s="4">
        <v>75.34</v>
      </c>
      <c r="BJ5" s="12">
        <v>0.68989999999999996</v>
      </c>
      <c r="BK5" s="12">
        <v>0.65869999999999995</v>
      </c>
      <c r="BL5" s="12">
        <v>0.21429999999999999</v>
      </c>
      <c r="BM5" s="12">
        <v>0.75</v>
      </c>
      <c r="BN5" s="12">
        <v>0.51559999999999995</v>
      </c>
      <c r="BO5" s="4">
        <v>76.552999999999997</v>
      </c>
      <c r="BP5" s="12">
        <v>0.77139999999999997</v>
      </c>
      <c r="BQ5" s="12">
        <v>0.15870000000000001</v>
      </c>
      <c r="BR5" s="12">
        <v>0.182</v>
      </c>
      <c r="BS5" s="4">
        <v>123.4</v>
      </c>
      <c r="BT5" s="4">
        <v>111.5</v>
      </c>
      <c r="BU5" s="11">
        <v>21</v>
      </c>
      <c r="BV5" s="11">
        <v>16</v>
      </c>
      <c r="BW5" s="11">
        <v>25</v>
      </c>
      <c r="BX5" s="11">
        <v>22</v>
      </c>
      <c r="BY5" s="11">
        <v>23</v>
      </c>
      <c r="BZ5" s="11">
        <v>27</v>
      </c>
      <c r="CA5" s="11">
        <v>21</v>
      </c>
      <c r="CB5" s="11">
        <v>22</v>
      </c>
      <c r="CC5" s="11">
        <v>37</v>
      </c>
      <c r="CD5" s="11">
        <v>47</v>
      </c>
      <c r="CE5" s="11">
        <v>50</v>
      </c>
      <c r="CF5" s="11">
        <v>43</v>
      </c>
      <c r="CG5" s="4">
        <v>4</v>
      </c>
      <c r="CH5" s="13">
        <v>1.26</v>
      </c>
      <c r="CI5" s="4">
        <v>8.5</v>
      </c>
      <c r="CJ5" s="4">
        <v>-8.5</v>
      </c>
      <c r="CK5" s="4">
        <v>151.5</v>
      </c>
      <c r="CL5" s="2" t="s">
        <v>377</v>
      </c>
      <c r="CM5" s="4" t="str">
        <f>VLOOKUP(nancy[[#This Row],[Away_team]],all[[Full name]:[Abbr]],3,FALSE)</f>
        <v>DIJ</v>
      </c>
      <c r="CN5" s="4">
        <f>IF(OR(nancy[[#This Row],[Result]]="w",nancy[[#This Row],[Result]]="dw"),nancy[[#This Row],[win]]-1,-1)</f>
        <v>-1</v>
      </c>
      <c r="CO5" s="4">
        <f>IF(OR(nancy[[#This Row],[Result]]="L",nancy[[#This Row],[Result]]="dl"),nancy[[#This Row],[lose]]-1,-1)</f>
        <v>0.26</v>
      </c>
      <c r="CP5" s="4">
        <f>IF(OR((nancy[[#This Row],[Home_scored]]+nancy[[#This Row],[Away_scored]])&gt;nancy[[#This Row],[total]],OR(nancy[[#This Row],[Result]]="dw",nancy[[#This Row],[Result]]="dl")),1,0)</f>
        <v>1</v>
      </c>
      <c r="CQ5" s="4">
        <f>ABS((nancy[[#This Row],[Home_scored]]+nancy[[#This Row],[Away_scored]])-nancy[[#This Row],[total]])+0.5</f>
        <v>26</v>
      </c>
    </row>
    <row r="6" spans="1:95" x14ac:dyDescent="0.25">
      <c r="A6" s="2" t="s">
        <v>349</v>
      </c>
      <c r="B6" s="2" t="s">
        <v>333</v>
      </c>
      <c r="C6" s="3" t="s">
        <v>73</v>
      </c>
      <c r="D6" s="3">
        <v>45571</v>
      </c>
      <c r="E6" s="2" t="s">
        <v>140</v>
      </c>
      <c r="F6" s="2" t="s">
        <v>342</v>
      </c>
      <c r="G6" s="2" t="s">
        <v>139</v>
      </c>
      <c r="H6" s="11">
        <v>96</v>
      </c>
      <c r="I6" s="11">
        <v>104</v>
      </c>
      <c r="J6" s="11">
        <v>32</v>
      </c>
      <c r="K6" s="11">
        <v>65</v>
      </c>
      <c r="L6" s="12">
        <v>0.49230000000000002</v>
      </c>
      <c r="M6" s="11">
        <v>20</v>
      </c>
      <c r="N6" s="11">
        <v>37</v>
      </c>
      <c r="O6" s="12">
        <v>0.54049999999999998</v>
      </c>
      <c r="P6" s="11">
        <v>12</v>
      </c>
      <c r="Q6" s="11">
        <v>28</v>
      </c>
      <c r="R6" s="12">
        <v>0.42859999999999998</v>
      </c>
      <c r="S6" s="11">
        <v>20</v>
      </c>
      <c r="T6" s="11">
        <v>27</v>
      </c>
      <c r="U6" s="12">
        <v>0.74070000000000003</v>
      </c>
      <c r="V6" s="11">
        <v>12</v>
      </c>
      <c r="W6" s="11">
        <v>22</v>
      </c>
      <c r="X6" s="11">
        <v>34</v>
      </c>
      <c r="Y6" s="11">
        <v>14</v>
      </c>
      <c r="Z6" s="11">
        <v>2</v>
      </c>
      <c r="AA6" s="11">
        <v>1</v>
      </c>
      <c r="AB6" s="11">
        <v>13</v>
      </c>
      <c r="AC6" s="11">
        <v>18</v>
      </c>
      <c r="AD6" s="11">
        <v>41</v>
      </c>
      <c r="AE6" s="11">
        <v>72</v>
      </c>
      <c r="AF6" s="12">
        <v>0.56940000000000002</v>
      </c>
      <c r="AG6" s="11">
        <v>31</v>
      </c>
      <c r="AH6" s="11">
        <v>44</v>
      </c>
      <c r="AI6" s="12">
        <v>0.70450000000000002</v>
      </c>
      <c r="AJ6" s="11">
        <v>10</v>
      </c>
      <c r="AK6" s="11">
        <v>28</v>
      </c>
      <c r="AL6" s="12">
        <v>0.35709999999999997</v>
      </c>
      <c r="AM6" s="11">
        <v>12</v>
      </c>
      <c r="AN6" s="11">
        <v>15</v>
      </c>
      <c r="AO6" s="12">
        <v>0.8</v>
      </c>
      <c r="AP6" s="11">
        <v>8</v>
      </c>
      <c r="AQ6" s="11">
        <v>25</v>
      </c>
      <c r="AR6" s="11">
        <v>33</v>
      </c>
      <c r="AS6" s="11">
        <v>27</v>
      </c>
      <c r="AT6" s="11">
        <v>4</v>
      </c>
      <c r="AU6" s="11">
        <v>4</v>
      </c>
      <c r="AV6" s="11">
        <v>7</v>
      </c>
      <c r="AW6" s="11">
        <v>24</v>
      </c>
      <c r="AX6" s="12">
        <v>0.62429999999999997</v>
      </c>
      <c r="AY6" s="12">
        <v>0.58460000000000001</v>
      </c>
      <c r="AZ6" s="12">
        <v>0.32429999999999998</v>
      </c>
      <c r="BA6" s="12">
        <v>0.73329999999999995</v>
      </c>
      <c r="BB6" s="12">
        <v>0.50749999999999995</v>
      </c>
      <c r="BC6" s="4">
        <v>76.337999999999994</v>
      </c>
      <c r="BD6" s="12">
        <v>0.4375</v>
      </c>
      <c r="BE6" s="12">
        <v>0.30769999999999997</v>
      </c>
      <c r="BF6" s="12">
        <v>0.14460000000000001</v>
      </c>
      <c r="BG6" s="4">
        <v>125.2</v>
      </c>
      <c r="BH6" s="4">
        <v>135.69999999999999</v>
      </c>
      <c r="BI6" s="4">
        <v>76.648499999999999</v>
      </c>
      <c r="BJ6" s="12">
        <v>0.66159999999999997</v>
      </c>
      <c r="BK6" s="12">
        <v>0.63890000000000002</v>
      </c>
      <c r="BL6" s="12">
        <v>0.26669999999999999</v>
      </c>
      <c r="BM6" s="12">
        <v>0.67569999999999997</v>
      </c>
      <c r="BN6" s="12">
        <v>0.49249999999999999</v>
      </c>
      <c r="BO6" s="4">
        <v>76.959000000000003</v>
      </c>
      <c r="BP6" s="12">
        <v>0.65849999999999997</v>
      </c>
      <c r="BQ6" s="12">
        <v>0.16669999999999999</v>
      </c>
      <c r="BR6" s="12">
        <v>8.1799999999999998E-2</v>
      </c>
      <c r="BS6" s="4">
        <v>135.69999999999999</v>
      </c>
      <c r="BT6" s="4">
        <v>125.2</v>
      </c>
      <c r="BU6" s="11">
        <v>25</v>
      </c>
      <c r="BV6" s="11">
        <v>18</v>
      </c>
      <c r="BW6" s="11">
        <v>32</v>
      </c>
      <c r="BX6" s="11">
        <v>21</v>
      </c>
      <c r="BY6" s="11">
        <v>24</v>
      </c>
      <c r="BZ6" s="11">
        <v>22</v>
      </c>
      <c r="CA6" s="11">
        <v>29</v>
      </c>
      <c r="CB6" s="11">
        <v>29</v>
      </c>
      <c r="CC6" s="11">
        <v>43</v>
      </c>
      <c r="CD6" s="11">
        <v>53</v>
      </c>
      <c r="CE6" s="11">
        <v>46</v>
      </c>
      <c r="CF6" s="11">
        <v>58</v>
      </c>
      <c r="CG6" s="4">
        <v>4.5</v>
      </c>
      <c r="CH6" s="13">
        <v>1.22</v>
      </c>
      <c r="CI6" s="4">
        <v>9.5</v>
      </c>
      <c r="CJ6" s="4">
        <v>-9.5</v>
      </c>
      <c r="CK6" s="4">
        <v>152.5</v>
      </c>
      <c r="CL6" s="2" t="s">
        <v>425</v>
      </c>
      <c r="CM6" s="4" t="str">
        <f>VLOOKUP(nancy[[#This Row],[Away_team]],all[[Full name]:[Abbr]],3,FALSE)</f>
        <v>SQU</v>
      </c>
      <c r="CN6" s="4">
        <f>IF(OR(nancy[[#This Row],[Result]]="w",nancy[[#This Row],[Result]]="dw"),nancy[[#This Row],[win]]-1,-1)</f>
        <v>-1</v>
      </c>
      <c r="CO6" s="4">
        <f>IF(OR(nancy[[#This Row],[Result]]="L",nancy[[#This Row],[Result]]="dl"),nancy[[#This Row],[lose]]-1,-1)</f>
        <v>0.21999999999999997</v>
      </c>
      <c r="CP6" s="4">
        <f>IF(OR((nancy[[#This Row],[Home_scored]]+nancy[[#This Row],[Away_scored]])&gt;nancy[[#This Row],[total]],OR(nancy[[#This Row],[Result]]="dw",nancy[[#This Row],[Result]]="dl")),1,0)</f>
        <v>1</v>
      </c>
      <c r="CQ6" s="4">
        <f>ABS((nancy[[#This Row],[Home_scored]]+nancy[[#This Row],[Away_scored]])-nancy[[#This Row],[total]])+0.5</f>
        <v>48</v>
      </c>
    </row>
    <row r="7" spans="1:95" x14ac:dyDescent="0.25">
      <c r="A7" s="2" t="s">
        <v>349</v>
      </c>
      <c r="B7" s="2" t="s">
        <v>333</v>
      </c>
      <c r="C7" s="3" t="s">
        <v>73</v>
      </c>
      <c r="D7" s="3">
        <v>45577</v>
      </c>
      <c r="E7" s="2" t="s">
        <v>74</v>
      </c>
      <c r="F7" s="2" t="s">
        <v>305</v>
      </c>
      <c r="G7" s="2" t="s">
        <v>75</v>
      </c>
      <c r="H7" s="11">
        <v>96</v>
      </c>
      <c r="I7" s="11">
        <v>84</v>
      </c>
      <c r="J7" s="11">
        <v>36</v>
      </c>
      <c r="K7" s="11">
        <v>67</v>
      </c>
      <c r="L7" s="12">
        <v>0.5373</v>
      </c>
      <c r="M7" s="11">
        <v>24</v>
      </c>
      <c r="N7" s="11">
        <v>39</v>
      </c>
      <c r="O7" s="12">
        <v>0.61539999999999995</v>
      </c>
      <c r="P7" s="11">
        <v>12</v>
      </c>
      <c r="Q7" s="11">
        <v>28</v>
      </c>
      <c r="R7" s="12">
        <v>0.42859999999999998</v>
      </c>
      <c r="S7" s="11">
        <v>12</v>
      </c>
      <c r="T7" s="11">
        <v>13</v>
      </c>
      <c r="U7" s="12">
        <v>0.92310000000000003</v>
      </c>
      <c r="V7" s="11">
        <v>11</v>
      </c>
      <c r="W7" s="11">
        <v>24</v>
      </c>
      <c r="X7" s="11">
        <v>35</v>
      </c>
      <c r="Y7" s="11">
        <v>19</v>
      </c>
      <c r="Z7" s="11">
        <v>6</v>
      </c>
      <c r="AA7" s="11">
        <v>1</v>
      </c>
      <c r="AB7" s="11">
        <v>13</v>
      </c>
      <c r="AC7" s="11">
        <v>20</v>
      </c>
      <c r="AD7" s="11">
        <v>30</v>
      </c>
      <c r="AE7" s="11">
        <v>63</v>
      </c>
      <c r="AF7" s="12">
        <v>0.47620000000000001</v>
      </c>
      <c r="AG7" s="11">
        <v>23</v>
      </c>
      <c r="AH7" s="11">
        <v>40</v>
      </c>
      <c r="AI7" s="12">
        <v>0.57499999999999996</v>
      </c>
      <c r="AJ7" s="11">
        <v>7</v>
      </c>
      <c r="AK7" s="11">
        <v>23</v>
      </c>
      <c r="AL7" s="12">
        <v>0.30430000000000001</v>
      </c>
      <c r="AM7" s="11">
        <v>17</v>
      </c>
      <c r="AN7" s="11">
        <v>21</v>
      </c>
      <c r="AO7" s="12">
        <v>0.8095</v>
      </c>
      <c r="AP7" s="11">
        <v>11</v>
      </c>
      <c r="AQ7" s="11">
        <v>21</v>
      </c>
      <c r="AR7" s="11">
        <v>32</v>
      </c>
      <c r="AS7" s="11">
        <v>22</v>
      </c>
      <c r="AT7" s="11">
        <v>5</v>
      </c>
      <c r="AU7" s="11">
        <v>2</v>
      </c>
      <c r="AV7" s="11">
        <v>11</v>
      </c>
      <c r="AW7" s="11">
        <v>20</v>
      </c>
      <c r="AX7" s="12">
        <v>0.66010000000000002</v>
      </c>
      <c r="AY7" s="12">
        <v>0.62690000000000001</v>
      </c>
      <c r="AZ7" s="12">
        <v>0.34379999999999999</v>
      </c>
      <c r="BA7" s="12">
        <v>0.68569999999999998</v>
      </c>
      <c r="BB7" s="12">
        <v>0.52239999999999998</v>
      </c>
      <c r="BC7" s="4">
        <v>74.775000000000006</v>
      </c>
      <c r="BD7" s="12">
        <v>0.52780000000000005</v>
      </c>
      <c r="BE7" s="12">
        <v>0.17910000000000001</v>
      </c>
      <c r="BF7" s="12">
        <v>0.1517</v>
      </c>
      <c r="BG7" s="4">
        <v>132.4</v>
      </c>
      <c r="BH7" s="4">
        <v>115.8</v>
      </c>
      <c r="BI7" s="4">
        <v>72.518500000000003</v>
      </c>
      <c r="BJ7" s="12">
        <v>0.58140000000000003</v>
      </c>
      <c r="BK7" s="12">
        <v>0.53169999999999995</v>
      </c>
      <c r="BL7" s="12">
        <v>0.31430000000000002</v>
      </c>
      <c r="BM7" s="12">
        <v>0.65629999999999999</v>
      </c>
      <c r="BN7" s="12">
        <v>0.47760000000000002</v>
      </c>
      <c r="BO7" s="4">
        <v>70.262</v>
      </c>
      <c r="BP7" s="12">
        <v>0.73329999999999995</v>
      </c>
      <c r="BQ7" s="12">
        <v>0.26979999999999998</v>
      </c>
      <c r="BR7" s="12">
        <v>0.1321</v>
      </c>
      <c r="BS7" s="4">
        <v>115.8</v>
      </c>
      <c r="BT7" s="4">
        <v>132.4</v>
      </c>
      <c r="BU7" s="11">
        <v>29</v>
      </c>
      <c r="BV7" s="11">
        <v>19</v>
      </c>
      <c r="BW7" s="11">
        <v>30</v>
      </c>
      <c r="BX7" s="11">
        <v>18</v>
      </c>
      <c r="BY7" s="11">
        <v>14</v>
      </c>
      <c r="BZ7" s="11">
        <v>25</v>
      </c>
      <c r="CA7" s="11">
        <v>21</v>
      </c>
      <c r="CB7" s="11">
        <v>24</v>
      </c>
      <c r="CC7" s="11">
        <v>48</v>
      </c>
      <c r="CD7" s="11">
        <v>48</v>
      </c>
      <c r="CE7" s="11">
        <v>39</v>
      </c>
      <c r="CF7" s="11">
        <v>45</v>
      </c>
      <c r="CG7" s="4">
        <v>1.45</v>
      </c>
      <c r="CH7" s="13">
        <v>2.8</v>
      </c>
      <c r="CI7" s="4">
        <v>-5.5</v>
      </c>
      <c r="CJ7" s="4">
        <v>5.5</v>
      </c>
      <c r="CK7" s="4">
        <v>162.5</v>
      </c>
      <c r="CL7" s="2" t="s">
        <v>364</v>
      </c>
      <c r="CM7" s="4" t="str">
        <f>VLOOKUP(nancy[[#This Row],[Away_team]],all[[Full name]:[Abbr]],3,FALSE)</f>
        <v>CHA</v>
      </c>
      <c r="CN7" s="4">
        <f>IF(OR(nancy[[#This Row],[Result]]="w",nancy[[#This Row],[Result]]="dw"),nancy[[#This Row],[win]]-1,-1)</f>
        <v>0.44999999999999996</v>
      </c>
      <c r="CO7" s="4">
        <f>IF(OR(nancy[[#This Row],[Result]]="L",nancy[[#This Row],[Result]]="dl"),nancy[[#This Row],[lose]]-1,-1)</f>
        <v>-1</v>
      </c>
      <c r="CP7" s="4">
        <f>IF(OR((nancy[[#This Row],[Home_scored]]+nancy[[#This Row],[Away_scored]])&gt;nancy[[#This Row],[total]],OR(nancy[[#This Row],[Result]]="dw",nancy[[#This Row],[Result]]="dl")),1,0)</f>
        <v>1</v>
      </c>
      <c r="CQ7" s="4">
        <f>ABS((nancy[[#This Row],[Home_scored]]+nancy[[#This Row],[Away_scored]])-nancy[[#This Row],[total]])+0.5</f>
        <v>18</v>
      </c>
    </row>
    <row r="8" spans="1:95" x14ac:dyDescent="0.25">
      <c r="A8" s="2" t="s">
        <v>349</v>
      </c>
      <c r="B8" s="2" t="s">
        <v>333</v>
      </c>
      <c r="C8" s="3" t="s">
        <v>73</v>
      </c>
      <c r="D8" s="3">
        <v>45584</v>
      </c>
      <c r="E8" s="2" t="s">
        <v>140</v>
      </c>
      <c r="F8" s="2" t="s">
        <v>345</v>
      </c>
      <c r="G8" s="2" t="s">
        <v>139</v>
      </c>
      <c r="H8" s="11">
        <v>76</v>
      </c>
      <c r="I8" s="11">
        <v>96</v>
      </c>
      <c r="J8" s="11">
        <v>32</v>
      </c>
      <c r="K8" s="11">
        <v>79</v>
      </c>
      <c r="L8" s="12">
        <v>0.40510000000000002</v>
      </c>
      <c r="M8" s="11">
        <v>28</v>
      </c>
      <c r="N8" s="11">
        <v>59</v>
      </c>
      <c r="O8" s="12">
        <v>0.47460000000000002</v>
      </c>
      <c r="P8" s="11">
        <v>4</v>
      </c>
      <c r="Q8" s="11">
        <v>20</v>
      </c>
      <c r="R8" s="12">
        <v>0.2</v>
      </c>
      <c r="S8" s="11">
        <v>8</v>
      </c>
      <c r="T8" s="11">
        <v>12</v>
      </c>
      <c r="U8" s="12">
        <v>0.66669999999999996</v>
      </c>
      <c r="V8" s="11">
        <v>20</v>
      </c>
      <c r="W8" s="11">
        <v>25</v>
      </c>
      <c r="X8" s="11">
        <v>45</v>
      </c>
      <c r="Y8" s="11">
        <v>16</v>
      </c>
      <c r="Z8" s="11">
        <v>7</v>
      </c>
      <c r="AA8" s="11">
        <v>2</v>
      </c>
      <c r="AB8" s="11">
        <v>15</v>
      </c>
      <c r="AC8" s="11">
        <v>16</v>
      </c>
      <c r="AD8" s="11">
        <v>35</v>
      </c>
      <c r="AE8" s="11">
        <v>65</v>
      </c>
      <c r="AF8" s="12">
        <v>0.53849999999999998</v>
      </c>
      <c r="AG8" s="11">
        <v>24</v>
      </c>
      <c r="AH8" s="11">
        <v>41</v>
      </c>
      <c r="AI8" s="12">
        <v>0.58540000000000003</v>
      </c>
      <c r="AJ8" s="11">
        <v>11</v>
      </c>
      <c r="AK8" s="11">
        <v>24</v>
      </c>
      <c r="AL8" s="12">
        <v>0.45829999999999999</v>
      </c>
      <c r="AM8" s="11">
        <v>15</v>
      </c>
      <c r="AN8" s="11">
        <v>20</v>
      </c>
      <c r="AO8" s="12">
        <v>0.75</v>
      </c>
      <c r="AP8" s="11">
        <v>7</v>
      </c>
      <c r="AQ8" s="11">
        <v>27</v>
      </c>
      <c r="AR8" s="11">
        <v>34</v>
      </c>
      <c r="AS8" s="11">
        <v>22</v>
      </c>
      <c r="AT8" s="11">
        <v>10</v>
      </c>
      <c r="AU8" s="11">
        <v>7</v>
      </c>
      <c r="AV8" s="11">
        <v>12</v>
      </c>
      <c r="AW8" s="11">
        <v>18</v>
      </c>
      <c r="AX8" s="12">
        <v>0.45090000000000002</v>
      </c>
      <c r="AY8" s="12">
        <v>0.4304</v>
      </c>
      <c r="AZ8" s="12">
        <v>0.42549999999999999</v>
      </c>
      <c r="BA8" s="12">
        <v>0.78129999999999999</v>
      </c>
      <c r="BB8" s="12">
        <v>0.5696</v>
      </c>
      <c r="BC8" s="4">
        <v>76.448999999999998</v>
      </c>
      <c r="BD8" s="12">
        <v>0.5</v>
      </c>
      <c r="BE8" s="12">
        <v>0.1013</v>
      </c>
      <c r="BF8" s="12">
        <v>0.15110000000000001</v>
      </c>
      <c r="BG8" s="4">
        <v>98.2</v>
      </c>
      <c r="BH8" s="4">
        <v>124</v>
      </c>
      <c r="BI8" s="4">
        <v>77.42</v>
      </c>
      <c r="BJ8" s="12">
        <v>0.65039999999999998</v>
      </c>
      <c r="BK8" s="12">
        <v>0.62309999999999999</v>
      </c>
      <c r="BL8" s="12">
        <v>0.21879999999999999</v>
      </c>
      <c r="BM8" s="12">
        <v>0.57450000000000001</v>
      </c>
      <c r="BN8" s="12">
        <v>0.4304</v>
      </c>
      <c r="BO8" s="4">
        <v>78.391000000000005</v>
      </c>
      <c r="BP8" s="12">
        <v>0.62860000000000005</v>
      </c>
      <c r="BQ8" s="12">
        <v>0.23080000000000001</v>
      </c>
      <c r="BR8" s="12">
        <v>0.1399</v>
      </c>
      <c r="BS8" s="4">
        <v>124</v>
      </c>
      <c r="BT8" s="4">
        <v>98.2</v>
      </c>
      <c r="BU8" s="11">
        <v>19</v>
      </c>
      <c r="BV8" s="11">
        <v>15</v>
      </c>
      <c r="BW8" s="11">
        <v>17</v>
      </c>
      <c r="BX8" s="11">
        <v>25</v>
      </c>
      <c r="BY8" s="11">
        <v>26</v>
      </c>
      <c r="BZ8" s="11">
        <v>23</v>
      </c>
      <c r="CA8" s="11">
        <v>23</v>
      </c>
      <c r="CB8" s="11">
        <v>24</v>
      </c>
      <c r="CC8" s="11">
        <v>34</v>
      </c>
      <c r="CD8" s="11">
        <v>42</v>
      </c>
      <c r="CE8" s="11">
        <v>49</v>
      </c>
      <c r="CF8" s="11">
        <v>47</v>
      </c>
      <c r="CG8" s="4">
        <v>2.6</v>
      </c>
      <c r="CH8" s="13">
        <v>1.53</v>
      </c>
      <c r="CI8" s="4">
        <v>4.5</v>
      </c>
      <c r="CJ8" s="4">
        <v>-4.5</v>
      </c>
      <c r="CK8" s="4">
        <v>161.5</v>
      </c>
      <c r="CL8" s="2" t="s">
        <v>426</v>
      </c>
      <c r="CM8" s="4" t="str">
        <f>VLOOKUP(nancy[[#This Row],[Away_team]],all[[Full name]:[Abbr]],3,FALSE)</f>
        <v>STR</v>
      </c>
      <c r="CN8" s="4">
        <f>IF(OR(nancy[[#This Row],[Result]]="w",nancy[[#This Row],[Result]]="dw"),nancy[[#This Row],[win]]-1,-1)</f>
        <v>-1</v>
      </c>
      <c r="CO8" s="4">
        <f>IF(OR(nancy[[#This Row],[Result]]="L",nancy[[#This Row],[Result]]="dl"),nancy[[#This Row],[lose]]-1,-1)</f>
        <v>0.53</v>
      </c>
      <c r="CP8" s="4">
        <f>IF(OR((nancy[[#This Row],[Home_scored]]+nancy[[#This Row],[Away_scored]])&gt;nancy[[#This Row],[total]],OR(nancy[[#This Row],[Result]]="dw",nancy[[#This Row],[Result]]="dl")),1,0)</f>
        <v>1</v>
      </c>
      <c r="CQ8" s="4">
        <f>ABS((nancy[[#This Row],[Home_scored]]+nancy[[#This Row],[Away_scored]])-nancy[[#This Row],[total]])+0.5</f>
        <v>11</v>
      </c>
    </row>
    <row r="9" spans="1:95" x14ac:dyDescent="0.25">
      <c r="A9" s="2" t="s">
        <v>349</v>
      </c>
      <c r="B9" s="2" t="s">
        <v>333</v>
      </c>
      <c r="C9" s="3" t="s">
        <v>73</v>
      </c>
      <c r="D9" s="3">
        <v>45591</v>
      </c>
      <c r="E9" s="2" t="s">
        <v>74</v>
      </c>
      <c r="F9" s="2" t="s">
        <v>330</v>
      </c>
      <c r="G9" s="2" t="s">
        <v>139</v>
      </c>
      <c r="H9" s="11">
        <v>77</v>
      </c>
      <c r="I9" s="11">
        <v>98</v>
      </c>
      <c r="J9" s="11">
        <v>29</v>
      </c>
      <c r="K9" s="11">
        <v>72</v>
      </c>
      <c r="L9" s="12">
        <v>0.40279999999999999</v>
      </c>
      <c r="M9" s="11">
        <v>25</v>
      </c>
      <c r="N9" s="11">
        <v>47</v>
      </c>
      <c r="O9" s="12">
        <v>0.53190000000000004</v>
      </c>
      <c r="P9" s="11">
        <v>4</v>
      </c>
      <c r="Q9" s="11">
        <v>25</v>
      </c>
      <c r="R9" s="12">
        <v>0.16</v>
      </c>
      <c r="S9" s="11">
        <v>15</v>
      </c>
      <c r="T9" s="11">
        <v>24</v>
      </c>
      <c r="U9" s="12">
        <v>0.625</v>
      </c>
      <c r="V9" s="11">
        <v>16</v>
      </c>
      <c r="W9" s="11">
        <v>20</v>
      </c>
      <c r="X9" s="11">
        <v>36</v>
      </c>
      <c r="Y9" s="11">
        <v>18</v>
      </c>
      <c r="Z9" s="11">
        <v>8</v>
      </c>
      <c r="AA9" s="11">
        <v>4</v>
      </c>
      <c r="AB9" s="11">
        <v>9</v>
      </c>
      <c r="AC9" s="11">
        <v>24</v>
      </c>
      <c r="AD9" s="11">
        <v>36</v>
      </c>
      <c r="AE9" s="11">
        <v>66</v>
      </c>
      <c r="AF9" s="12">
        <v>0.54549999999999998</v>
      </c>
      <c r="AG9" s="11">
        <v>26</v>
      </c>
      <c r="AH9" s="11">
        <v>39</v>
      </c>
      <c r="AI9" s="12">
        <v>0.66669999999999996</v>
      </c>
      <c r="AJ9" s="11">
        <v>10</v>
      </c>
      <c r="AK9" s="11">
        <v>27</v>
      </c>
      <c r="AL9" s="12">
        <v>0.37040000000000001</v>
      </c>
      <c r="AM9" s="11">
        <v>16</v>
      </c>
      <c r="AN9" s="11">
        <v>23</v>
      </c>
      <c r="AO9" s="12">
        <v>0.69569999999999999</v>
      </c>
      <c r="AP9" s="11">
        <v>11</v>
      </c>
      <c r="AQ9" s="11">
        <v>31</v>
      </c>
      <c r="AR9" s="11">
        <v>42</v>
      </c>
      <c r="AS9" s="11">
        <v>23</v>
      </c>
      <c r="AT9" s="11">
        <v>5</v>
      </c>
      <c r="AU9" s="11">
        <v>6</v>
      </c>
      <c r="AV9" s="11">
        <v>14</v>
      </c>
      <c r="AW9" s="11">
        <v>22</v>
      </c>
      <c r="AX9" s="12">
        <v>0.46629999999999999</v>
      </c>
      <c r="AY9" s="12">
        <v>0.43059999999999998</v>
      </c>
      <c r="AZ9" s="12">
        <v>0.34039999999999998</v>
      </c>
      <c r="BA9" s="12">
        <v>0.6452</v>
      </c>
      <c r="BB9" s="12">
        <v>0.46150000000000002</v>
      </c>
      <c r="BC9" s="4">
        <v>70.150999999999996</v>
      </c>
      <c r="BD9" s="12">
        <v>0.62070000000000003</v>
      </c>
      <c r="BE9" s="12">
        <v>0.20830000000000001</v>
      </c>
      <c r="BF9" s="12">
        <v>9.8299999999999998E-2</v>
      </c>
      <c r="BG9" s="4">
        <v>102</v>
      </c>
      <c r="BH9" s="4">
        <v>129.80000000000001</v>
      </c>
      <c r="BI9" s="4">
        <v>75.471999999999994</v>
      </c>
      <c r="BJ9" s="12">
        <v>0.64370000000000005</v>
      </c>
      <c r="BK9" s="12">
        <v>0.62119999999999997</v>
      </c>
      <c r="BL9" s="12">
        <v>0.3548</v>
      </c>
      <c r="BM9" s="12">
        <v>0.65959999999999996</v>
      </c>
      <c r="BN9" s="12">
        <v>0.53849999999999998</v>
      </c>
      <c r="BO9" s="4">
        <v>80.793000000000006</v>
      </c>
      <c r="BP9" s="12">
        <v>0.63890000000000002</v>
      </c>
      <c r="BQ9" s="12">
        <v>0.2424</v>
      </c>
      <c r="BR9" s="12">
        <v>0.15529999999999999</v>
      </c>
      <c r="BS9" s="4">
        <v>129.80000000000001</v>
      </c>
      <c r="BT9" s="4">
        <v>102</v>
      </c>
      <c r="BU9" s="11">
        <v>21</v>
      </c>
      <c r="BV9" s="11">
        <v>13</v>
      </c>
      <c r="BW9" s="11">
        <v>21</v>
      </c>
      <c r="BX9" s="11">
        <v>22</v>
      </c>
      <c r="BY9" s="11">
        <v>17</v>
      </c>
      <c r="BZ9" s="11">
        <v>30</v>
      </c>
      <c r="CA9" s="11">
        <v>31</v>
      </c>
      <c r="CB9" s="11">
        <v>20</v>
      </c>
      <c r="CC9" s="11">
        <v>34</v>
      </c>
      <c r="CD9" s="11">
        <v>43</v>
      </c>
      <c r="CE9" s="11">
        <v>47</v>
      </c>
      <c r="CF9" s="11">
        <v>51</v>
      </c>
      <c r="CG9" s="4">
        <v>4.5</v>
      </c>
      <c r="CH9" s="13">
        <v>1.22</v>
      </c>
      <c r="CI9" s="4">
        <v>9.5</v>
      </c>
      <c r="CJ9" s="4">
        <v>-9.5</v>
      </c>
      <c r="CK9" s="4">
        <v>157.5</v>
      </c>
      <c r="CL9" s="2" t="s">
        <v>424</v>
      </c>
      <c r="CM9" s="4" t="str">
        <f>VLOOKUP(nancy[[#This Row],[Away_team]],all[[Full name]:[Abbr]],3,FALSE)</f>
        <v>MON</v>
      </c>
      <c r="CN9" s="4">
        <f>IF(OR(nancy[[#This Row],[Result]]="w",nancy[[#This Row],[Result]]="dw"),nancy[[#This Row],[win]]-1,-1)</f>
        <v>-1</v>
      </c>
      <c r="CO9" s="4">
        <f>IF(OR(nancy[[#This Row],[Result]]="L",nancy[[#This Row],[Result]]="dl"),nancy[[#This Row],[lose]]-1,-1)</f>
        <v>0.21999999999999997</v>
      </c>
      <c r="CP9" s="4">
        <f>IF(OR((nancy[[#This Row],[Home_scored]]+nancy[[#This Row],[Away_scored]])&gt;nancy[[#This Row],[total]],OR(nancy[[#This Row],[Result]]="dw",nancy[[#This Row],[Result]]="dl")),1,0)</f>
        <v>1</v>
      </c>
      <c r="CQ9" s="4">
        <f>ABS((nancy[[#This Row],[Home_scored]]+nancy[[#This Row],[Away_scored]])-nancy[[#This Row],[total]])+0.5</f>
        <v>18</v>
      </c>
    </row>
    <row r="10" spans="1:95" x14ac:dyDescent="0.25">
      <c r="A10" s="2" t="s">
        <v>349</v>
      </c>
      <c r="B10" s="2" t="s">
        <v>333</v>
      </c>
      <c r="C10" s="3" t="s">
        <v>73</v>
      </c>
      <c r="D10" s="3">
        <v>45599</v>
      </c>
      <c r="E10" s="2" t="s">
        <v>140</v>
      </c>
      <c r="F10" s="2" t="s">
        <v>339</v>
      </c>
      <c r="G10" s="2" t="s">
        <v>139</v>
      </c>
      <c r="H10" s="11">
        <v>97</v>
      </c>
      <c r="I10" s="11">
        <v>115</v>
      </c>
      <c r="J10" s="11">
        <v>37</v>
      </c>
      <c r="K10" s="11">
        <v>74</v>
      </c>
      <c r="L10" s="12">
        <v>0.5</v>
      </c>
      <c r="M10" s="11">
        <v>27</v>
      </c>
      <c r="N10" s="11">
        <v>46</v>
      </c>
      <c r="O10" s="12">
        <v>0.58699999999999997</v>
      </c>
      <c r="P10" s="11">
        <v>10</v>
      </c>
      <c r="Q10" s="11">
        <v>28</v>
      </c>
      <c r="R10" s="12">
        <v>0.35709999999999997</v>
      </c>
      <c r="S10" s="11">
        <v>13</v>
      </c>
      <c r="T10" s="11">
        <v>17</v>
      </c>
      <c r="U10" s="12">
        <v>0.76470000000000005</v>
      </c>
      <c r="V10" s="11">
        <v>11</v>
      </c>
      <c r="W10" s="11">
        <v>18</v>
      </c>
      <c r="X10" s="11">
        <v>29</v>
      </c>
      <c r="Y10" s="11">
        <v>23</v>
      </c>
      <c r="Z10" s="11">
        <v>9</v>
      </c>
      <c r="AA10" s="11">
        <v>0</v>
      </c>
      <c r="AB10" s="11">
        <v>10</v>
      </c>
      <c r="AC10" s="11">
        <v>19</v>
      </c>
      <c r="AD10" s="11">
        <v>40</v>
      </c>
      <c r="AE10" s="11">
        <v>72</v>
      </c>
      <c r="AF10" s="12">
        <v>0.55559999999999998</v>
      </c>
      <c r="AG10" s="11">
        <v>24</v>
      </c>
      <c r="AH10" s="11">
        <v>33</v>
      </c>
      <c r="AI10" s="12">
        <v>0.72729999999999995</v>
      </c>
      <c r="AJ10" s="11">
        <v>16</v>
      </c>
      <c r="AK10" s="11">
        <v>39</v>
      </c>
      <c r="AL10" s="12">
        <v>0.4103</v>
      </c>
      <c r="AM10" s="11">
        <v>19</v>
      </c>
      <c r="AN10" s="11">
        <v>24</v>
      </c>
      <c r="AO10" s="12">
        <v>0.79169999999999996</v>
      </c>
      <c r="AP10" s="11">
        <v>14</v>
      </c>
      <c r="AQ10" s="11">
        <v>27</v>
      </c>
      <c r="AR10" s="11">
        <v>41</v>
      </c>
      <c r="AS10" s="11">
        <v>25</v>
      </c>
      <c r="AT10" s="11">
        <v>4</v>
      </c>
      <c r="AU10" s="11">
        <v>1</v>
      </c>
      <c r="AV10" s="11">
        <v>12</v>
      </c>
      <c r="AW10" s="11">
        <v>16</v>
      </c>
      <c r="AX10" s="12">
        <v>0.59519999999999995</v>
      </c>
      <c r="AY10" s="12">
        <v>0.56759999999999999</v>
      </c>
      <c r="AZ10" s="12">
        <v>0.28949999999999998</v>
      </c>
      <c r="BA10" s="12">
        <v>0.5625</v>
      </c>
      <c r="BB10" s="12">
        <v>0.4143</v>
      </c>
      <c r="BC10" s="4">
        <v>75.783000000000001</v>
      </c>
      <c r="BD10" s="12">
        <v>0.62160000000000004</v>
      </c>
      <c r="BE10" s="12">
        <v>0.1757</v>
      </c>
      <c r="BF10" s="12">
        <v>0.10929999999999999</v>
      </c>
      <c r="BG10" s="4">
        <v>123</v>
      </c>
      <c r="BH10" s="4">
        <v>145.9</v>
      </c>
      <c r="BI10" s="4">
        <v>78.845500000000001</v>
      </c>
      <c r="BJ10" s="12">
        <v>0.69650000000000001</v>
      </c>
      <c r="BK10" s="12">
        <v>0.66669999999999996</v>
      </c>
      <c r="BL10" s="12">
        <v>0.4375</v>
      </c>
      <c r="BM10" s="12">
        <v>0.71050000000000002</v>
      </c>
      <c r="BN10" s="12">
        <v>0.5857</v>
      </c>
      <c r="BO10" s="4">
        <v>81.908000000000001</v>
      </c>
      <c r="BP10" s="12">
        <v>0.625</v>
      </c>
      <c r="BQ10" s="12">
        <v>0.26390000000000002</v>
      </c>
      <c r="BR10" s="12">
        <v>0.12690000000000001</v>
      </c>
      <c r="BS10" s="4">
        <v>145.9</v>
      </c>
      <c r="BT10" s="4">
        <v>123</v>
      </c>
      <c r="BU10" s="11">
        <v>22</v>
      </c>
      <c r="BV10" s="11">
        <v>25</v>
      </c>
      <c r="BW10" s="11">
        <v>19</v>
      </c>
      <c r="BX10" s="11">
        <v>31</v>
      </c>
      <c r="BY10" s="11">
        <v>30</v>
      </c>
      <c r="BZ10" s="11">
        <v>34</v>
      </c>
      <c r="CA10" s="11">
        <v>25</v>
      </c>
      <c r="CB10" s="11">
        <v>26</v>
      </c>
      <c r="CC10" s="11">
        <v>47</v>
      </c>
      <c r="CD10" s="11">
        <v>50</v>
      </c>
      <c r="CE10" s="11">
        <v>64</v>
      </c>
      <c r="CF10" s="11">
        <v>51</v>
      </c>
      <c r="CG10" s="4">
        <v>5</v>
      </c>
      <c r="CH10" s="13">
        <v>1.18</v>
      </c>
      <c r="CI10" s="4">
        <v>10.5</v>
      </c>
      <c r="CJ10" s="4">
        <v>-10.5</v>
      </c>
      <c r="CK10" s="4">
        <v>171.5</v>
      </c>
      <c r="CL10" s="2" t="s">
        <v>427</v>
      </c>
      <c r="CM10" s="4" t="str">
        <f>VLOOKUP(nancy[[#This Row],[Away_team]],all[[Full name]:[Abbr]],3,FALSE)</f>
        <v>PAR</v>
      </c>
      <c r="CN10" s="4">
        <f>IF(OR(nancy[[#This Row],[Result]]="w",nancy[[#This Row],[Result]]="dw"),nancy[[#This Row],[win]]-1,-1)</f>
        <v>-1</v>
      </c>
      <c r="CO10" s="4">
        <f>IF(OR(nancy[[#This Row],[Result]]="L",nancy[[#This Row],[Result]]="dl"),nancy[[#This Row],[lose]]-1,-1)</f>
        <v>0.17999999999999994</v>
      </c>
      <c r="CP10" s="4">
        <f>IF(OR((nancy[[#This Row],[Home_scored]]+nancy[[#This Row],[Away_scored]])&gt;nancy[[#This Row],[total]],OR(nancy[[#This Row],[Result]]="dw",nancy[[#This Row],[Result]]="dl")),1,0)</f>
        <v>1</v>
      </c>
      <c r="CQ10" s="4">
        <f>ABS((nancy[[#This Row],[Home_scored]]+nancy[[#This Row],[Away_scored]])-nancy[[#This Row],[total]])+0.5</f>
        <v>41</v>
      </c>
    </row>
    <row r="11" spans="1:95" x14ac:dyDescent="0.25">
      <c r="A11" s="2" t="s">
        <v>349</v>
      </c>
      <c r="B11" s="2" t="s">
        <v>333</v>
      </c>
      <c r="C11" s="3" t="s">
        <v>73</v>
      </c>
      <c r="D11" s="3">
        <v>45605</v>
      </c>
      <c r="E11" s="2" t="s">
        <v>74</v>
      </c>
      <c r="F11" s="2" t="s">
        <v>314</v>
      </c>
      <c r="G11" s="2" t="s">
        <v>75</v>
      </c>
      <c r="H11" s="11">
        <v>80</v>
      </c>
      <c r="I11" s="11">
        <v>63</v>
      </c>
      <c r="J11" s="11">
        <v>30</v>
      </c>
      <c r="K11" s="11">
        <v>63</v>
      </c>
      <c r="L11" s="12">
        <v>0.47620000000000001</v>
      </c>
      <c r="M11" s="11">
        <v>15</v>
      </c>
      <c r="N11" s="11">
        <v>30</v>
      </c>
      <c r="O11" s="12">
        <v>0.5</v>
      </c>
      <c r="P11" s="11">
        <v>15</v>
      </c>
      <c r="Q11" s="11">
        <v>33</v>
      </c>
      <c r="R11" s="12">
        <v>0.45450000000000002</v>
      </c>
      <c r="S11" s="11">
        <v>5</v>
      </c>
      <c r="T11" s="11">
        <v>10</v>
      </c>
      <c r="U11" s="12">
        <v>0.5</v>
      </c>
      <c r="V11" s="11">
        <v>9</v>
      </c>
      <c r="W11" s="11">
        <v>30</v>
      </c>
      <c r="X11" s="11">
        <v>39</v>
      </c>
      <c r="Y11" s="11">
        <v>19</v>
      </c>
      <c r="Z11" s="11">
        <v>8</v>
      </c>
      <c r="AA11" s="11">
        <v>4</v>
      </c>
      <c r="AB11" s="11">
        <v>15</v>
      </c>
      <c r="AC11" s="11">
        <v>19</v>
      </c>
      <c r="AD11" s="11">
        <v>25</v>
      </c>
      <c r="AE11" s="11">
        <v>68</v>
      </c>
      <c r="AF11" s="12">
        <v>0.36759999999999998</v>
      </c>
      <c r="AG11" s="11">
        <v>21</v>
      </c>
      <c r="AH11" s="11">
        <v>39</v>
      </c>
      <c r="AI11" s="12">
        <v>0.53849999999999998</v>
      </c>
      <c r="AJ11" s="11">
        <v>4</v>
      </c>
      <c r="AK11" s="11">
        <v>29</v>
      </c>
      <c r="AL11" s="12">
        <v>0.13789999999999999</v>
      </c>
      <c r="AM11" s="11">
        <v>9</v>
      </c>
      <c r="AN11" s="11">
        <v>12</v>
      </c>
      <c r="AO11" s="12">
        <v>0.75</v>
      </c>
      <c r="AP11" s="11">
        <v>13</v>
      </c>
      <c r="AQ11" s="11">
        <v>26</v>
      </c>
      <c r="AR11" s="11">
        <v>39</v>
      </c>
      <c r="AS11" s="11">
        <v>15</v>
      </c>
      <c r="AT11" s="11">
        <v>8</v>
      </c>
      <c r="AU11" s="11">
        <v>0</v>
      </c>
      <c r="AV11" s="11">
        <v>13</v>
      </c>
      <c r="AW11" s="11">
        <v>12</v>
      </c>
      <c r="AX11" s="12">
        <v>0.59350000000000003</v>
      </c>
      <c r="AY11" s="12">
        <v>0.59519999999999995</v>
      </c>
      <c r="AZ11" s="12">
        <v>0.2571</v>
      </c>
      <c r="BA11" s="12">
        <v>0.69769999999999999</v>
      </c>
      <c r="BB11" s="12">
        <v>0.5</v>
      </c>
      <c r="BC11" s="4">
        <v>73.852000000000004</v>
      </c>
      <c r="BD11" s="12">
        <v>0.63329999999999997</v>
      </c>
      <c r="BE11" s="12">
        <v>7.9399999999999998E-2</v>
      </c>
      <c r="BF11" s="12">
        <v>0.182</v>
      </c>
      <c r="BG11" s="4">
        <v>110.9</v>
      </c>
      <c r="BH11" s="4">
        <v>87.3</v>
      </c>
      <c r="BI11" s="4">
        <v>72.157499999999999</v>
      </c>
      <c r="BJ11" s="12">
        <v>0.4299</v>
      </c>
      <c r="BK11" s="12">
        <v>0.39710000000000001</v>
      </c>
      <c r="BL11" s="12">
        <v>0.30230000000000001</v>
      </c>
      <c r="BM11" s="12">
        <v>0.7429</v>
      </c>
      <c r="BN11" s="12">
        <v>0.5</v>
      </c>
      <c r="BO11" s="4">
        <v>70.462999999999994</v>
      </c>
      <c r="BP11" s="12">
        <v>0.6</v>
      </c>
      <c r="BQ11" s="12">
        <v>0.13239999999999999</v>
      </c>
      <c r="BR11" s="12">
        <v>0.1507</v>
      </c>
      <c r="BS11" s="4">
        <v>87.3</v>
      </c>
      <c r="BT11" s="4">
        <v>110.9</v>
      </c>
      <c r="BU11" s="11">
        <v>18</v>
      </c>
      <c r="BV11" s="11">
        <v>22</v>
      </c>
      <c r="BW11" s="11">
        <v>27</v>
      </c>
      <c r="BX11" s="11">
        <v>13</v>
      </c>
      <c r="BY11" s="11">
        <v>14</v>
      </c>
      <c r="BZ11" s="11">
        <v>18</v>
      </c>
      <c r="CA11" s="11">
        <v>16</v>
      </c>
      <c r="CB11" s="11">
        <v>15</v>
      </c>
      <c r="CC11" s="11">
        <v>40</v>
      </c>
      <c r="CD11" s="11">
        <v>40</v>
      </c>
      <c r="CE11" s="11">
        <v>32</v>
      </c>
      <c r="CF11" s="11">
        <v>31</v>
      </c>
      <c r="CG11" s="4">
        <v>2.0499999999999998</v>
      </c>
      <c r="CH11" s="13">
        <v>1.8</v>
      </c>
      <c r="CI11" s="4">
        <v>1.5</v>
      </c>
      <c r="CJ11" s="4">
        <v>-1.5</v>
      </c>
      <c r="CK11" s="4">
        <v>163.5</v>
      </c>
      <c r="CL11" s="2" t="s">
        <v>390</v>
      </c>
      <c r="CM11" s="4" t="str">
        <f>VLOOKUP(nancy[[#This Row],[Away_team]],all[[Full name]:[Abbr]],3,FALSE)</f>
        <v>DUN</v>
      </c>
      <c r="CN11" s="4">
        <f>IF(OR(nancy[[#This Row],[Result]]="w",nancy[[#This Row],[Result]]="dw"),nancy[[#This Row],[win]]-1,-1)</f>
        <v>1.0499999999999998</v>
      </c>
      <c r="CO11" s="4">
        <f>IF(OR(nancy[[#This Row],[Result]]="L",nancy[[#This Row],[Result]]="dl"),nancy[[#This Row],[lose]]-1,-1)</f>
        <v>-1</v>
      </c>
      <c r="CP11" s="4">
        <f>IF(OR((nancy[[#This Row],[Home_scored]]+nancy[[#This Row],[Away_scored]])&gt;nancy[[#This Row],[total]],OR(nancy[[#This Row],[Result]]="dw",nancy[[#This Row],[Result]]="dl")),1,0)</f>
        <v>0</v>
      </c>
      <c r="CQ11" s="4">
        <f>ABS((nancy[[#This Row],[Home_scored]]+nancy[[#This Row],[Away_scored]])-nancy[[#This Row],[total]])+0.5</f>
        <v>21</v>
      </c>
    </row>
    <row r="12" spans="1:95" x14ac:dyDescent="0.25">
      <c r="A12" s="2" t="s">
        <v>349</v>
      </c>
      <c r="B12" s="2" t="s">
        <v>333</v>
      </c>
      <c r="C12" s="3" t="s">
        <v>73</v>
      </c>
      <c r="D12" s="3">
        <v>45612</v>
      </c>
      <c r="E12" s="2" t="s">
        <v>74</v>
      </c>
      <c r="F12" s="2" t="s">
        <v>324</v>
      </c>
      <c r="G12" s="2" t="s">
        <v>146</v>
      </c>
      <c r="H12" s="11">
        <v>75</v>
      </c>
      <c r="I12" s="11">
        <v>75</v>
      </c>
      <c r="J12" s="11">
        <v>28</v>
      </c>
      <c r="K12" s="11">
        <v>57</v>
      </c>
      <c r="L12" s="12">
        <v>0.49120000000000003</v>
      </c>
      <c r="M12" s="11">
        <v>22</v>
      </c>
      <c r="N12" s="11">
        <v>36</v>
      </c>
      <c r="O12" s="12">
        <v>0.61109999999999998</v>
      </c>
      <c r="P12" s="11">
        <v>6</v>
      </c>
      <c r="Q12" s="11">
        <v>21</v>
      </c>
      <c r="R12" s="12">
        <v>0.28570000000000001</v>
      </c>
      <c r="S12" s="11">
        <v>13</v>
      </c>
      <c r="T12" s="11">
        <v>20</v>
      </c>
      <c r="U12" s="12">
        <v>0.65</v>
      </c>
      <c r="V12" s="11">
        <v>6</v>
      </c>
      <c r="W12" s="11">
        <v>23</v>
      </c>
      <c r="X12" s="11">
        <v>29</v>
      </c>
      <c r="Y12" s="11">
        <v>16</v>
      </c>
      <c r="Z12" s="11">
        <v>4</v>
      </c>
      <c r="AA12" s="11">
        <v>3</v>
      </c>
      <c r="AB12" s="11">
        <v>7</v>
      </c>
      <c r="AC12" s="11">
        <v>17</v>
      </c>
      <c r="AD12" s="11">
        <v>29</v>
      </c>
      <c r="AE12" s="11">
        <v>59</v>
      </c>
      <c r="AF12" s="12">
        <v>0.49149999999999999</v>
      </c>
      <c r="AG12" s="11">
        <v>16</v>
      </c>
      <c r="AH12" s="11">
        <v>30</v>
      </c>
      <c r="AI12" s="12">
        <v>0.5333</v>
      </c>
      <c r="AJ12" s="11">
        <v>13</v>
      </c>
      <c r="AK12" s="11">
        <v>29</v>
      </c>
      <c r="AL12" s="12">
        <v>0.44829999999999998</v>
      </c>
      <c r="AM12" s="11">
        <v>4</v>
      </c>
      <c r="AN12" s="11">
        <v>12</v>
      </c>
      <c r="AO12" s="12">
        <v>0.33329999999999999</v>
      </c>
      <c r="AP12" s="11">
        <v>10</v>
      </c>
      <c r="AQ12" s="11">
        <v>29</v>
      </c>
      <c r="AR12" s="11">
        <v>39</v>
      </c>
      <c r="AS12" s="11">
        <v>25</v>
      </c>
      <c r="AT12" s="11">
        <v>2</v>
      </c>
      <c r="AU12" s="11">
        <v>4</v>
      </c>
      <c r="AV12" s="11">
        <v>12</v>
      </c>
      <c r="AW12" s="11">
        <v>17</v>
      </c>
      <c r="AX12" s="12">
        <v>0.56989999999999996</v>
      </c>
      <c r="AY12" s="12">
        <v>0.54390000000000005</v>
      </c>
      <c r="AZ12" s="12">
        <v>0.1714</v>
      </c>
      <c r="BA12" s="12">
        <v>0.69699999999999995</v>
      </c>
      <c r="BB12" s="12">
        <v>0.42649999999999999</v>
      </c>
      <c r="BC12" s="4">
        <v>65.58</v>
      </c>
      <c r="BD12" s="12">
        <v>0.57140000000000002</v>
      </c>
      <c r="BE12" s="12">
        <v>0.2281</v>
      </c>
      <c r="BF12" s="12">
        <v>9.6199999999999994E-2</v>
      </c>
      <c r="BG12" s="4">
        <v>112.7</v>
      </c>
      <c r="BH12" s="4">
        <v>112.7</v>
      </c>
      <c r="BI12" s="4">
        <v>66.5745</v>
      </c>
      <c r="BJ12" s="12">
        <v>0.58340000000000003</v>
      </c>
      <c r="BK12" s="12">
        <v>0.60170000000000001</v>
      </c>
      <c r="BL12" s="12">
        <v>0.30299999999999999</v>
      </c>
      <c r="BM12" s="12">
        <v>0.8286</v>
      </c>
      <c r="BN12" s="12">
        <v>0.57350000000000001</v>
      </c>
      <c r="BO12" s="4">
        <v>67.569000000000003</v>
      </c>
      <c r="BP12" s="12">
        <v>0.86209999999999998</v>
      </c>
      <c r="BQ12" s="12">
        <v>6.7799999999999999E-2</v>
      </c>
      <c r="BR12" s="12">
        <v>0.1573</v>
      </c>
      <c r="BS12" s="4">
        <v>112.7</v>
      </c>
      <c r="BT12" s="4">
        <v>112.7</v>
      </c>
      <c r="BU12" s="11">
        <v>21</v>
      </c>
      <c r="BV12" s="11">
        <v>18</v>
      </c>
      <c r="BW12" s="11">
        <v>17</v>
      </c>
      <c r="BX12" s="11">
        <v>19</v>
      </c>
      <c r="BY12" s="11">
        <v>14</v>
      </c>
      <c r="BZ12" s="11">
        <v>19</v>
      </c>
      <c r="CA12" s="11">
        <v>18</v>
      </c>
      <c r="CB12" s="11">
        <v>24</v>
      </c>
      <c r="CC12" s="11">
        <v>39</v>
      </c>
      <c r="CD12" s="11">
        <v>36</v>
      </c>
      <c r="CE12" s="11">
        <v>33</v>
      </c>
      <c r="CF12" s="11">
        <v>42</v>
      </c>
      <c r="CG12" s="4">
        <v>1.8</v>
      </c>
      <c r="CH12" s="13">
        <v>2.0499999999999998</v>
      </c>
      <c r="CI12" s="4">
        <v>-1.5</v>
      </c>
      <c r="CJ12" s="4">
        <v>1.5</v>
      </c>
      <c r="CK12" s="4">
        <v>161.5</v>
      </c>
      <c r="CL12" s="2" t="s">
        <v>416</v>
      </c>
      <c r="CM12" s="4" t="str">
        <f>VLOOKUP(nancy[[#This Row],[Away_team]],all[[Full name]:[Abbr]],3,FALSE)</f>
        <v>LIM</v>
      </c>
      <c r="CN12" s="4">
        <f>IF(OR(nancy[[#This Row],[Result]]="w",nancy[[#This Row],[Result]]="dw"),nancy[[#This Row],[win]]-1,-1)</f>
        <v>0.8</v>
      </c>
      <c r="CO12" s="4">
        <f>IF(OR(nancy[[#This Row],[Result]]="L",nancy[[#This Row],[Result]]="dl"),nancy[[#This Row],[lose]]-1,-1)</f>
        <v>-1</v>
      </c>
      <c r="CP12" s="4">
        <f>IF(OR((nancy[[#This Row],[Home_scored]]+nancy[[#This Row],[Away_scored]])&gt;nancy[[#This Row],[total]],OR(nancy[[#This Row],[Result]]="dw",nancy[[#This Row],[Result]]="dl")),1,0)</f>
        <v>1</v>
      </c>
      <c r="CQ12" s="4">
        <f>ABS((nancy[[#This Row],[Home_scored]]+nancy[[#This Row],[Away_scored]])-nancy[[#This Row],[total]])+0.5</f>
        <v>12</v>
      </c>
    </row>
    <row r="13" spans="1:95" x14ac:dyDescent="0.25">
      <c r="A13" s="2" t="s">
        <v>349</v>
      </c>
      <c r="B13" s="2" t="s">
        <v>333</v>
      </c>
      <c r="C13" s="3" t="s">
        <v>73</v>
      </c>
      <c r="D13" s="3">
        <v>45627</v>
      </c>
      <c r="E13" s="2" t="s">
        <v>140</v>
      </c>
      <c r="F13" s="2" t="s">
        <v>317</v>
      </c>
      <c r="G13" s="2" t="s">
        <v>75</v>
      </c>
      <c r="H13" s="11">
        <v>96</v>
      </c>
      <c r="I13" s="11">
        <v>85</v>
      </c>
      <c r="J13" s="11">
        <v>35</v>
      </c>
      <c r="K13" s="11">
        <v>67</v>
      </c>
      <c r="L13" s="12">
        <v>0.52239999999999998</v>
      </c>
      <c r="M13" s="11">
        <v>22</v>
      </c>
      <c r="N13" s="11">
        <v>41</v>
      </c>
      <c r="O13" s="12">
        <v>0.53659999999999997</v>
      </c>
      <c r="P13" s="11">
        <v>13</v>
      </c>
      <c r="Q13" s="11">
        <v>26</v>
      </c>
      <c r="R13" s="12">
        <v>0.5</v>
      </c>
      <c r="S13" s="11">
        <v>13</v>
      </c>
      <c r="T13" s="11">
        <v>19</v>
      </c>
      <c r="U13" s="12">
        <v>0.68420000000000003</v>
      </c>
      <c r="V13" s="11">
        <v>9</v>
      </c>
      <c r="W13" s="11">
        <v>31</v>
      </c>
      <c r="X13" s="11">
        <v>40</v>
      </c>
      <c r="Y13" s="11">
        <v>22</v>
      </c>
      <c r="Z13" s="11">
        <v>6</v>
      </c>
      <c r="AA13" s="11">
        <v>3</v>
      </c>
      <c r="AB13" s="11">
        <v>13</v>
      </c>
      <c r="AC13" s="11">
        <v>18</v>
      </c>
      <c r="AD13" s="11">
        <v>26</v>
      </c>
      <c r="AE13" s="11">
        <v>73</v>
      </c>
      <c r="AF13" s="12">
        <v>0.35620000000000002</v>
      </c>
      <c r="AG13" s="11">
        <v>15</v>
      </c>
      <c r="AH13" s="11">
        <v>33</v>
      </c>
      <c r="AI13" s="12">
        <v>0.45450000000000002</v>
      </c>
      <c r="AJ13" s="11">
        <v>11</v>
      </c>
      <c r="AK13" s="11">
        <v>40</v>
      </c>
      <c r="AL13" s="12">
        <v>0.27500000000000002</v>
      </c>
      <c r="AM13" s="11">
        <v>22</v>
      </c>
      <c r="AN13" s="11">
        <v>27</v>
      </c>
      <c r="AO13" s="12">
        <v>0.81479999999999997</v>
      </c>
      <c r="AP13" s="11">
        <v>14</v>
      </c>
      <c r="AQ13" s="11">
        <v>26</v>
      </c>
      <c r="AR13" s="11">
        <v>40</v>
      </c>
      <c r="AS13" s="11">
        <v>20</v>
      </c>
      <c r="AT13" s="11">
        <v>10</v>
      </c>
      <c r="AU13" s="11">
        <v>4</v>
      </c>
      <c r="AV13" s="11">
        <v>13</v>
      </c>
      <c r="AW13" s="11">
        <v>19</v>
      </c>
      <c r="AX13" s="12">
        <v>0.63690000000000002</v>
      </c>
      <c r="AY13" s="12">
        <v>0.61939999999999995</v>
      </c>
      <c r="AZ13" s="12">
        <v>0.2571</v>
      </c>
      <c r="BA13" s="12">
        <v>0.68889999999999996</v>
      </c>
      <c r="BB13" s="12">
        <v>0.5</v>
      </c>
      <c r="BC13" s="4">
        <v>79.896000000000001</v>
      </c>
      <c r="BD13" s="12">
        <v>0.62860000000000005</v>
      </c>
      <c r="BE13" s="12">
        <v>0.19400000000000001</v>
      </c>
      <c r="BF13" s="12">
        <v>0.14710000000000001</v>
      </c>
      <c r="BG13" s="4">
        <v>120.7</v>
      </c>
      <c r="BH13" s="4">
        <v>106.9</v>
      </c>
      <c r="BI13" s="4">
        <v>79.547499999999999</v>
      </c>
      <c r="BJ13" s="12">
        <v>0.50070000000000003</v>
      </c>
      <c r="BK13" s="12">
        <v>0.43149999999999999</v>
      </c>
      <c r="BL13" s="12">
        <v>0.31109999999999999</v>
      </c>
      <c r="BM13" s="12">
        <v>0.7429</v>
      </c>
      <c r="BN13" s="12">
        <v>0.5</v>
      </c>
      <c r="BO13" s="4">
        <v>79.198999999999998</v>
      </c>
      <c r="BP13" s="12">
        <v>0.76919999999999999</v>
      </c>
      <c r="BQ13" s="12">
        <v>0.3014</v>
      </c>
      <c r="BR13" s="12">
        <v>0.1328</v>
      </c>
      <c r="BS13" s="4">
        <v>106.9</v>
      </c>
      <c r="BT13" s="4">
        <v>120.7</v>
      </c>
      <c r="BU13" s="11">
        <v>19</v>
      </c>
      <c r="BV13" s="11">
        <v>21</v>
      </c>
      <c r="BW13" s="11">
        <v>26</v>
      </c>
      <c r="BX13" s="11">
        <v>30</v>
      </c>
      <c r="BY13" s="11">
        <v>24</v>
      </c>
      <c r="BZ13" s="11">
        <v>15</v>
      </c>
      <c r="CA13" s="11">
        <v>19</v>
      </c>
      <c r="CB13" s="11">
        <v>27</v>
      </c>
      <c r="CC13" s="11">
        <v>40</v>
      </c>
      <c r="CD13" s="11">
        <v>56</v>
      </c>
      <c r="CE13" s="11">
        <v>39</v>
      </c>
      <c r="CF13" s="11">
        <v>46</v>
      </c>
      <c r="CG13" s="4">
        <v>3.3</v>
      </c>
      <c r="CH13" s="13">
        <v>1.36</v>
      </c>
      <c r="CI13" s="4">
        <v>-7</v>
      </c>
      <c r="CJ13" s="4">
        <v>-7</v>
      </c>
      <c r="CK13" s="4">
        <v>169.5</v>
      </c>
      <c r="CL13" s="2" t="s">
        <v>401</v>
      </c>
      <c r="CM13" s="4" t="str">
        <f>VLOOKUP(nancy[[#This Row],[Away_team]],all[[Full name]:[Abbr]],3,FALSE)</f>
        <v>LEM</v>
      </c>
      <c r="CN13" s="4">
        <f>IF(OR(nancy[[#This Row],[Result]]="w",nancy[[#This Row],[Result]]="dw"),nancy[[#This Row],[win]]-1,-1)</f>
        <v>2.2999999999999998</v>
      </c>
      <c r="CO13" s="4">
        <f>IF(OR(nancy[[#This Row],[Result]]="L",nancy[[#This Row],[Result]]="dl"),nancy[[#This Row],[lose]]-1,-1)</f>
        <v>-1</v>
      </c>
      <c r="CP13" s="4">
        <f>IF(OR((nancy[[#This Row],[Home_scored]]+nancy[[#This Row],[Away_scored]])&gt;nancy[[#This Row],[total]],OR(nancy[[#This Row],[Result]]="dw",nancy[[#This Row],[Result]]="dl")),1,0)</f>
        <v>1</v>
      </c>
      <c r="CQ13" s="4">
        <f>ABS((nancy[[#This Row],[Home_scored]]+nancy[[#This Row],[Away_scored]])-nancy[[#This Row],[total]])+0.5</f>
        <v>12</v>
      </c>
    </row>
    <row r="14" spans="1:95" x14ac:dyDescent="0.25">
      <c r="A14" s="2" t="s">
        <v>349</v>
      </c>
      <c r="B14" s="2" t="s">
        <v>333</v>
      </c>
      <c r="C14" s="3" t="s">
        <v>73</v>
      </c>
      <c r="D14" s="3">
        <v>45633</v>
      </c>
      <c r="E14" s="2" t="s">
        <v>140</v>
      </c>
      <c r="F14" s="2" t="s">
        <v>336</v>
      </c>
      <c r="G14" s="2" t="s">
        <v>139</v>
      </c>
      <c r="H14" s="11">
        <v>75</v>
      </c>
      <c r="I14" s="11">
        <v>97</v>
      </c>
      <c r="J14" s="11">
        <v>27</v>
      </c>
      <c r="K14" s="11">
        <v>51</v>
      </c>
      <c r="L14" s="12">
        <v>0.52939999999999998</v>
      </c>
      <c r="M14" s="11">
        <v>19</v>
      </c>
      <c r="N14" s="11">
        <v>26</v>
      </c>
      <c r="O14" s="12">
        <v>0.73080000000000001</v>
      </c>
      <c r="P14" s="11">
        <v>8</v>
      </c>
      <c r="Q14" s="11">
        <v>25</v>
      </c>
      <c r="R14" s="12">
        <v>0.32</v>
      </c>
      <c r="S14" s="11">
        <v>13</v>
      </c>
      <c r="T14" s="11">
        <v>23</v>
      </c>
      <c r="U14" s="12">
        <v>0.56520000000000004</v>
      </c>
      <c r="V14" s="11">
        <v>6</v>
      </c>
      <c r="W14" s="11">
        <v>22</v>
      </c>
      <c r="X14" s="11">
        <v>28</v>
      </c>
      <c r="Y14" s="11">
        <v>11</v>
      </c>
      <c r="Z14" s="11">
        <v>8</v>
      </c>
      <c r="AA14" s="11">
        <v>4</v>
      </c>
      <c r="AB14" s="11">
        <v>25</v>
      </c>
      <c r="AC14" s="11">
        <v>17</v>
      </c>
      <c r="AD14" s="11">
        <v>39</v>
      </c>
      <c r="AE14" s="11">
        <v>71</v>
      </c>
      <c r="AF14" s="12">
        <v>0.54930000000000001</v>
      </c>
      <c r="AG14" s="11">
        <v>31</v>
      </c>
      <c r="AH14" s="11">
        <v>48</v>
      </c>
      <c r="AI14" s="12">
        <v>0.64580000000000004</v>
      </c>
      <c r="AJ14" s="11">
        <v>8</v>
      </c>
      <c r="AK14" s="11">
        <v>23</v>
      </c>
      <c r="AL14" s="12">
        <v>0.3478</v>
      </c>
      <c r="AM14" s="11">
        <v>11</v>
      </c>
      <c r="AN14" s="11">
        <v>12</v>
      </c>
      <c r="AO14" s="12">
        <v>0.91669999999999996</v>
      </c>
      <c r="AP14" s="11">
        <v>10</v>
      </c>
      <c r="AQ14" s="11">
        <v>25</v>
      </c>
      <c r="AR14" s="11">
        <v>35</v>
      </c>
      <c r="AS14" s="11">
        <v>24</v>
      </c>
      <c r="AT14" s="11">
        <v>15</v>
      </c>
      <c r="AU14" s="11">
        <v>1</v>
      </c>
      <c r="AV14" s="11">
        <v>13</v>
      </c>
      <c r="AW14" s="11">
        <v>25</v>
      </c>
      <c r="AX14" s="12">
        <v>0.61350000000000005</v>
      </c>
      <c r="AY14" s="12">
        <v>0.60780000000000001</v>
      </c>
      <c r="AZ14" s="12">
        <v>0.19350000000000001</v>
      </c>
      <c r="BA14" s="12">
        <v>0.6875</v>
      </c>
      <c r="BB14" s="12">
        <v>0.44440000000000002</v>
      </c>
      <c r="BC14" s="4">
        <v>79.697000000000003</v>
      </c>
      <c r="BD14" s="12">
        <v>0.40739999999999998</v>
      </c>
      <c r="BE14" s="12">
        <v>0.25490000000000002</v>
      </c>
      <c r="BF14" s="12">
        <v>0.2903</v>
      </c>
      <c r="BG14" s="4">
        <v>94.5</v>
      </c>
      <c r="BH14" s="4">
        <v>122.2</v>
      </c>
      <c r="BI14" s="4">
        <v>79.356999999999999</v>
      </c>
      <c r="BJ14" s="12">
        <v>0.63580000000000003</v>
      </c>
      <c r="BK14" s="12">
        <v>0.60560000000000003</v>
      </c>
      <c r="BL14" s="12">
        <v>0.3125</v>
      </c>
      <c r="BM14" s="12">
        <v>0.80649999999999999</v>
      </c>
      <c r="BN14" s="12">
        <v>0.55559999999999998</v>
      </c>
      <c r="BO14" s="4">
        <v>79.016999999999996</v>
      </c>
      <c r="BP14" s="12">
        <v>0.61539999999999995</v>
      </c>
      <c r="BQ14" s="12">
        <v>0.15490000000000001</v>
      </c>
      <c r="BR14" s="12">
        <v>0.14560000000000001</v>
      </c>
      <c r="BS14" s="4">
        <v>122.2</v>
      </c>
      <c r="BT14" s="4">
        <v>94.5</v>
      </c>
      <c r="BU14" s="11">
        <v>18</v>
      </c>
      <c r="BV14" s="11">
        <v>24</v>
      </c>
      <c r="BW14" s="11">
        <v>18</v>
      </c>
      <c r="BX14" s="11">
        <v>15</v>
      </c>
      <c r="BY14" s="11">
        <v>28</v>
      </c>
      <c r="BZ14" s="11">
        <v>25</v>
      </c>
      <c r="CA14" s="11">
        <v>20</v>
      </c>
      <c r="CB14" s="11">
        <v>24</v>
      </c>
      <c r="CC14" s="11">
        <v>42</v>
      </c>
      <c r="CD14" s="11">
        <v>33</v>
      </c>
      <c r="CE14" s="11">
        <v>53</v>
      </c>
      <c r="CF14" s="11">
        <v>44</v>
      </c>
      <c r="CG14" s="4">
        <v>2.6</v>
      </c>
      <c r="CH14" s="13">
        <v>1.53</v>
      </c>
      <c r="CI14" s="4">
        <v>4.5</v>
      </c>
      <c r="CJ14" s="4">
        <v>-4.5</v>
      </c>
      <c r="CK14" s="4">
        <v>170.5</v>
      </c>
      <c r="CL14" s="2" t="s">
        <v>434</v>
      </c>
      <c r="CM14" s="4" t="str">
        <f>VLOOKUP(nancy[[#This Row],[Away_team]],all[[Full name]:[Abbr]],3,FALSE)</f>
        <v>NAN</v>
      </c>
      <c r="CN14" s="4">
        <f>IF(OR(nancy[[#This Row],[Result]]="w",nancy[[#This Row],[Result]]="dw"),nancy[[#This Row],[win]]-1,-1)</f>
        <v>-1</v>
      </c>
      <c r="CO14" s="4">
        <f>IF(OR(nancy[[#This Row],[Result]]="L",nancy[[#This Row],[Result]]="dl"),nancy[[#This Row],[lose]]-1,-1)</f>
        <v>0.53</v>
      </c>
      <c r="CP14" s="4">
        <f>IF(OR((nancy[[#This Row],[Home_scored]]+nancy[[#This Row],[Away_scored]])&gt;nancy[[#This Row],[total]],OR(nancy[[#This Row],[Result]]="dw",nancy[[#This Row],[Result]]="dl")),1,0)</f>
        <v>1</v>
      </c>
      <c r="CQ14" s="4">
        <f>ABS((nancy[[#This Row],[Home_scored]]+nancy[[#This Row],[Away_scored]])-nancy[[#This Row],[total]])+0.5</f>
        <v>2</v>
      </c>
    </row>
    <row r="15" spans="1:95" x14ac:dyDescent="0.25">
      <c r="A15" s="2" t="s">
        <v>349</v>
      </c>
      <c r="B15" s="2" t="s">
        <v>333</v>
      </c>
      <c r="C15" s="3" t="s">
        <v>73</v>
      </c>
      <c r="D15" s="3">
        <v>45641</v>
      </c>
      <c r="E15" s="2" t="s">
        <v>74</v>
      </c>
      <c r="F15" s="2" t="s">
        <v>327</v>
      </c>
      <c r="G15" s="2" t="s">
        <v>139</v>
      </c>
      <c r="H15" s="11">
        <v>85</v>
      </c>
      <c r="I15" s="11">
        <v>91</v>
      </c>
      <c r="J15" s="11">
        <v>28</v>
      </c>
      <c r="K15" s="11">
        <v>54</v>
      </c>
      <c r="L15" s="12">
        <v>0.51849999999999996</v>
      </c>
      <c r="M15" s="11">
        <v>21</v>
      </c>
      <c r="N15" s="11">
        <v>31</v>
      </c>
      <c r="O15" s="12">
        <v>0.6774</v>
      </c>
      <c r="P15" s="11">
        <v>7</v>
      </c>
      <c r="Q15" s="11">
        <v>23</v>
      </c>
      <c r="R15" s="12">
        <v>0.30430000000000001</v>
      </c>
      <c r="S15" s="11">
        <v>22</v>
      </c>
      <c r="T15" s="11">
        <v>27</v>
      </c>
      <c r="U15" s="12">
        <v>0.81479999999999997</v>
      </c>
      <c r="V15" s="11">
        <v>7</v>
      </c>
      <c r="W15" s="11">
        <v>23</v>
      </c>
      <c r="X15" s="11">
        <v>30</v>
      </c>
      <c r="Y15" s="11">
        <v>10</v>
      </c>
      <c r="Z15" s="11">
        <v>7</v>
      </c>
      <c r="AA15" s="11">
        <v>2</v>
      </c>
      <c r="AB15" s="11">
        <v>16</v>
      </c>
      <c r="AC15" s="11">
        <v>19</v>
      </c>
      <c r="AD15" s="11">
        <v>35</v>
      </c>
      <c r="AE15" s="11">
        <v>66</v>
      </c>
      <c r="AF15" s="12">
        <v>0.53029999999999999</v>
      </c>
      <c r="AG15" s="11">
        <v>24</v>
      </c>
      <c r="AH15" s="11">
        <v>36</v>
      </c>
      <c r="AI15" s="12">
        <v>0.66669999999999996</v>
      </c>
      <c r="AJ15" s="11">
        <v>11</v>
      </c>
      <c r="AK15" s="11">
        <v>30</v>
      </c>
      <c r="AL15" s="12">
        <v>0.36670000000000003</v>
      </c>
      <c r="AM15" s="11">
        <v>10</v>
      </c>
      <c r="AN15" s="11">
        <v>14</v>
      </c>
      <c r="AO15" s="12">
        <v>0.71430000000000005</v>
      </c>
      <c r="AP15" s="11">
        <v>11</v>
      </c>
      <c r="AQ15" s="11">
        <v>21</v>
      </c>
      <c r="AR15" s="11">
        <v>32</v>
      </c>
      <c r="AS15" s="11">
        <v>22</v>
      </c>
      <c r="AT15" s="11">
        <v>10</v>
      </c>
      <c r="AU15" s="11">
        <v>1</v>
      </c>
      <c r="AV15" s="11">
        <v>16</v>
      </c>
      <c r="AW15" s="11">
        <v>25</v>
      </c>
      <c r="AX15" s="12">
        <v>0.64510000000000001</v>
      </c>
      <c r="AY15" s="12">
        <v>0.58330000000000004</v>
      </c>
      <c r="AZ15" s="12">
        <v>0.25</v>
      </c>
      <c r="BA15" s="12">
        <v>0.67649999999999999</v>
      </c>
      <c r="BB15" s="12">
        <v>0.4839</v>
      </c>
      <c r="BC15" s="4">
        <v>74.308999999999997</v>
      </c>
      <c r="BD15" s="12">
        <v>0.35709999999999997</v>
      </c>
      <c r="BE15" s="12">
        <v>0.40739999999999998</v>
      </c>
      <c r="BF15" s="12">
        <v>0.19539999999999999</v>
      </c>
      <c r="BG15" s="4">
        <v>113</v>
      </c>
      <c r="BH15" s="4">
        <v>120.9</v>
      </c>
      <c r="BI15" s="4">
        <v>75.253500000000003</v>
      </c>
      <c r="BJ15" s="12">
        <v>0.63049999999999995</v>
      </c>
      <c r="BK15" s="12">
        <v>0.61360000000000003</v>
      </c>
      <c r="BL15" s="12">
        <v>0.32350000000000001</v>
      </c>
      <c r="BM15" s="12">
        <v>0.75</v>
      </c>
      <c r="BN15" s="12">
        <v>0.5161</v>
      </c>
      <c r="BO15" s="4">
        <v>76.197999999999993</v>
      </c>
      <c r="BP15" s="12">
        <v>0.62860000000000005</v>
      </c>
      <c r="BQ15" s="12">
        <v>0.1515</v>
      </c>
      <c r="BR15" s="12">
        <v>0.18149999999999999</v>
      </c>
      <c r="BS15" s="4">
        <v>120.9</v>
      </c>
      <c r="BT15" s="4">
        <v>113</v>
      </c>
      <c r="BU15" s="11">
        <v>26</v>
      </c>
      <c r="BV15" s="11">
        <v>16</v>
      </c>
      <c r="BW15" s="11">
        <v>24</v>
      </c>
      <c r="BX15" s="11">
        <v>19</v>
      </c>
      <c r="BY15" s="11">
        <v>19</v>
      </c>
      <c r="BZ15" s="11">
        <v>25</v>
      </c>
      <c r="CA15" s="11">
        <v>25</v>
      </c>
      <c r="CB15" s="11">
        <v>22</v>
      </c>
      <c r="CC15" s="11">
        <v>42</v>
      </c>
      <c r="CD15" s="11">
        <v>43</v>
      </c>
      <c r="CE15" s="11">
        <v>44</v>
      </c>
      <c r="CF15" s="11">
        <v>47</v>
      </c>
      <c r="CG15" s="4">
        <v>3.5</v>
      </c>
      <c r="CH15" s="13">
        <v>1.32</v>
      </c>
      <c r="CI15" s="4">
        <v>7.5</v>
      </c>
      <c r="CJ15" s="4">
        <v>-7.5</v>
      </c>
      <c r="CK15" s="4">
        <v>167.5</v>
      </c>
      <c r="CL15" s="2" t="s">
        <v>448</v>
      </c>
      <c r="CM15" s="4" t="str">
        <f>VLOOKUP(nancy[[#This Row],[Away_team]],all[[Full name]:[Abbr]],3,FALSE)</f>
        <v>LYO</v>
      </c>
      <c r="CN15" s="4">
        <f>IF(OR(nancy[[#This Row],[Result]]="w",nancy[[#This Row],[Result]]="dw"),nancy[[#This Row],[win]]-1,-1)</f>
        <v>-1</v>
      </c>
      <c r="CO15" s="4">
        <f>IF(OR(nancy[[#This Row],[Result]]="L",nancy[[#This Row],[Result]]="dl"),nancy[[#This Row],[lose]]-1,-1)</f>
        <v>0.32000000000000006</v>
      </c>
      <c r="CP15" s="4">
        <f>IF(OR((nancy[[#This Row],[Home_scored]]+nancy[[#This Row],[Away_scored]])&gt;nancy[[#This Row],[total]],OR(nancy[[#This Row],[Result]]="dw",nancy[[#This Row],[Result]]="dl")),1,0)</f>
        <v>1</v>
      </c>
      <c r="CQ15" s="4">
        <f>ABS((nancy[[#This Row],[Home_scored]]+nancy[[#This Row],[Away_scored]])-nancy[[#This Row],[total]])+0.5</f>
        <v>9</v>
      </c>
    </row>
    <row r="16" spans="1:95" x14ac:dyDescent="0.25">
      <c r="A16" s="2" t="s">
        <v>349</v>
      </c>
      <c r="B16" s="2" t="s">
        <v>333</v>
      </c>
      <c r="C16" s="3" t="s">
        <v>73</v>
      </c>
      <c r="D16" s="3">
        <v>45648</v>
      </c>
      <c r="E16" s="2" t="s">
        <v>74</v>
      </c>
      <c r="F16" s="2" t="s">
        <v>302</v>
      </c>
      <c r="G16" s="2" t="s">
        <v>75</v>
      </c>
      <c r="H16" s="11">
        <v>84</v>
      </c>
      <c r="I16" s="11">
        <v>79</v>
      </c>
      <c r="J16" s="11">
        <v>31</v>
      </c>
      <c r="K16" s="11">
        <v>64</v>
      </c>
      <c r="L16" s="12">
        <v>0.4844</v>
      </c>
      <c r="M16" s="11">
        <v>22</v>
      </c>
      <c r="N16" s="11">
        <v>43</v>
      </c>
      <c r="O16" s="12">
        <v>0.51160000000000005</v>
      </c>
      <c r="P16" s="11">
        <v>9</v>
      </c>
      <c r="Q16" s="11">
        <v>21</v>
      </c>
      <c r="R16" s="12">
        <v>0.42859999999999998</v>
      </c>
      <c r="S16" s="11">
        <v>13</v>
      </c>
      <c r="T16" s="11">
        <v>17</v>
      </c>
      <c r="U16" s="12">
        <v>0.76470000000000005</v>
      </c>
      <c r="V16" s="11">
        <v>13</v>
      </c>
      <c r="W16" s="11">
        <v>21</v>
      </c>
      <c r="X16" s="11">
        <v>34</v>
      </c>
      <c r="Y16" s="11">
        <v>25</v>
      </c>
      <c r="Z16" s="11">
        <v>4</v>
      </c>
      <c r="AA16" s="11">
        <v>2</v>
      </c>
      <c r="AB16" s="11">
        <v>11</v>
      </c>
      <c r="AC16" s="11">
        <v>23</v>
      </c>
      <c r="AD16" s="11">
        <v>30</v>
      </c>
      <c r="AE16" s="11">
        <v>66</v>
      </c>
      <c r="AF16" s="12">
        <v>0.45450000000000002</v>
      </c>
      <c r="AG16" s="11">
        <v>23</v>
      </c>
      <c r="AH16" s="11">
        <v>43</v>
      </c>
      <c r="AI16" s="12">
        <v>0.53490000000000004</v>
      </c>
      <c r="AJ16" s="11">
        <v>7</v>
      </c>
      <c r="AK16" s="11">
        <v>23</v>
      </c>
      <c r="AL16" s="12">
        <v>0.30430000000000001</v>
      </c>
      <c r="AM16" s="11">
        <v>12</v>
      </c>
      <c r="AN16" s="11">
        <v>18</v>
      </c>
      <c r="AO16" s="12">
        <v>0.66669999999999996</v>
      </c>
      <c r="AP16" s="11">
        <v>16</v>
      </c>
      <c r="AQ16" s="11">
        <v>22</v>
      </c>
      <c r="AR16" s="11">
        <v>38</v>
      </c>
      <c r="AS16" s="11">
        <v>22</v>
      </c>
      <c r="AT16" s="11">
        <v>7</v>
      </c>
      <c r="AU16" s="11">
        <v>3</v>
      </c>
      <c r="AV16" s="11">
        <v>13</v>
      </c>
      <c r="AW16" s="11">
        <v>24</v>
      </c>
      <c r="AX16" s="12">
        <v>0.58760000000000001</v>
      </c>
      <c r="AY16" s="12">
        <v>0.55469999999999997</v>
      </c>
      <c r="AZ16" s="12">
        <v>0.37140000000000001</v>
      </c>
      <c r="BA16" s="12">
        <v>0.56759999999999999</v>
      </c>
      <c r="BB16" s="12">
        <v>0.47220000000000001</v>
      </c>
      <c r="BC16" s="4">
        <v>68.299000000000007</v>
      </c>
      <c r="BD16" s="12">
        <v>0.80649999999999999</v>
      </c>
      <c r="BE16" s="12">
        <v>0.2031</v>
      </c>
      <c r="BF16" s="12">
        <v>0.13339999999999999</v>
      </c>
      <c r="BG16" s="4">
        <v>121.5</v>
      </c>
      <c r="BH16" s="4">
        <v>114.3</v>
      </c>
      <c r="BI16" s="4">
        <v>69.14</v>
      </c>
      <c r="BJ16" s="12">
        <v>0.53439999999999999</v>
      </c>
      <c r="BK16" s="12">
        <v>0.50760000000000005</v>
      </c>
      <c r="BL16" s="12">
        <v>0.43240000000000001</v>
      </c>
      <c r="BM16" s="12">
        <v>0.62860000000000005</v>
      </c>
      <c r="BN16" s="12">
        <v>0.52780000000000005</v>
      </c>
      <c r="BO16" s="4">
        <v>69.980999999999995</v>
      </c>
      <c r="BP16" s="12">
        <v>0.73329999999999995</v>
      </c>
      <c r="BQ16" s="12">
        <v>0.18179999999999999</v>
      </c>
      <c r="BR16" s="12">
        <v>0.14960000000000001</v>
      </c>
      <c r="BS16" s="4">
        <v>114.3</v>
      </c>
      <c r="BT16" s="4">
        <v>121.5</v>
      </c>
      <c r="BU16" s="11">
        <v>15</v>
      </c>
      <c r="BV16" s="11">
        <v>23</v>
      </c>
      <c r="BW16" s="11">
        <v>19</v>
      </c>
      <c r="BX16" s="11">
        <v>27</v>
      </c>
      <c r="BY16" s="11">
        <v>20</v>
      </c>
      <c r="BZ16" s="11">
        <v>21</v>
      </c>
      <c r="CA16" s="11">
        <v>19</v>
      </c>
      <c r="CB16" s="11">
        <v>19</v>
      </c>
      <c r="CC16" s="11">
        <v>38</v>
      </c>
      <c r="CD16" s="11">
        <v>46</v>
      </c>
      <c r="CE16" s="11">
        <v>41</v>
      </c>
      <c r="CF16" s="11">
        <v>38</v>
      </c>
      <c r="CG16" s="4">
        <v>2.8</v>
      </c>
      <c r="CH16" s="13">
        <v>1.45</v>
      </c>
      <c r="CI16" s="4">
        <v>5.5</v>
      </c>
      <c r="CJ16" s="4">
        <v>-5.5</v>
      </c>
      <c r="CK16" s="4">
        <v>169.5</v>
      </c>
      <c r="CL16" s="2" t="s">
        <v>457</v>
      </c>
      <c r="CM16" s="4" t="str">
        <f>VLOOKUP(nancy[[#This Row],[Away_team]],all[[Full name]:[Abbr]],3,FALSE)</f>
        <v>BUR</v>
      </c>
      <c r="CN16" s="4">
        <f>IF(OR(nancy[[#This Row],[Result]]="w",nancy[[#This Row],[Result]]="dw"),nancy[[#This Row],[win]]-1,-1)</f>
        <v>1.7999999999999998</v>
      </c>
      <c r="CO16" s="4">
        <f>IF(OR(nancy[[#This Row],[Result]]="L",nancy[[#This Row],[Result]]="dl"),nancy[[#This Row],[lose]]-1,-1)</f>
        <v>-1</v>
      </c>
      <c r="CP16" s="4">
        <f>IF(OR((nancy[[#This Row],[Home_scored]]+nancy[[#This Row],[Away_scored]])&gt;nancy[[#This Row],[total]],OR(nancy[[#This Row],[Result]]="dw",nancy[[#This Row],[Result]]="dl")),1,0)</f>
        <v>0</v>
      </c>
      <c r="CQ16" s="4">
        <f>ABS((nancy[[#This Row],[Home_scored]]+nancy[[#This Row],[Away_scored]])-nancy[[#This Row],[total]])+0.5</f>
        <v>7</v>
      </c>
    </row>
    <row r="17" spans="1:95" x14ac:dyDescent="0.25">
      <c r="A17" s="2" t="s">
        <v>349</v>
      </c>
      <c r="B17" s="2" t="s">
        <v>333</v>
      </c>
      <c r="C17" s="3" t="s">
        <v>73</v>
      </c>
      <c r="D17" s="3">
        <v>45653</v>
      </c>
      <c r="E17" s="2" t="s">
        <v>140</v>
      </c>
      <c r="F17" s="2" t="s">
        <v>320</v>
      </c>
      <c r="G17" s="2" t="s">
        <v>75</v>
      </c>
      <c r="H17" s="11">
        <v>85</v>
      </c>
      <c r="I17" s="11">
        <v>76</v>
      </c>
      <c r="J17" s="11">
        <v>31</v>
      </c>
      <c r="K17" s="11">
        <v>68</v>
      </c>
      <c r="L17" s="12">
        <v>0.45590000000000003</v>
      </c>
      <c r="M17" s="11">
        <v>27</v>
      </c>
      <c r="N17" s="11">
        <v>41</v>
      </c>
      <c r="O17" s="12">
        <v>0.65849999999999997</v>
      </c>
      <c r="P17" s="11">
        <v>4</v>
      </c>
      <c r="Q17" s="11">
        <v>27</v>
      </c>
      <c r="R17" s="12">
        <v>0.14810000000000001</v>
      </c>
      <c r="S17" s="11">
        <v>19</v>
      </c>
      <c r="T17" s="11">
        <v>23</v>
      </c>
      <c r="U17" s="12">
        <v>0.82609999999999995</v>
      </c>
      <c r="V17" s="11">
        <v>16</v>
      </c>
      <c r="W17" s="11">
        <v>32</v>
      </c>
      <c r="X17" s="11">
        <v>48</v>
      </c>
      <c r="Y17" s="11">
        <v>17</v>
      </c>
      <c r="Z17" s="11">
        <v>17</v>
      </c>
      <c r="AA17" s="11">
        <v>1</v>
      </c>
      <c r="AB17" s="11">
        <v>2</v>
      </c>
      <c r="AC17" s="11">
        <v>16</v>
      </c>
      <c r="AD17" s="11">
        <v>28</v>
      </c>
      <c r="AE17" s="11">
        <v>68</v>
      </c>
      <c r="AF17" s="12">
        <v>0.4118</v>
      </c>
      <c r="AG17" s="11">
        <v>16</v>
      </c>
      <c r="AH17" s="11">
        <v>40</v>
      </c>
      <c r="AI17" s="12">
        <v>0.4</v>
      </c>
      <c r="AJ17" s="11">
        <v>12</v>
      </c>
      <c r="AK17" s="11">
        <v>28</v>
      </c>
      <c r="AL17" s="12">
        <v>0.42859999999999998</v>
      </c>
      <c r="AM17" s="11">
        <v>8</v>
      </c>
      <c r="AN17" s="11">
        <v>13</v>
      </c>
      <c r="AO17" s="12">
        <v>0.61539999999999995</v>
      </c>
      <c r="AP17" s="11">
        <v>12</v>
      </c>
      <c r="AQ17" s="11">
        <v>22</v>
      </c>
      <c r="AR17" s="11">
        <v>34</v>
      </c>
      <c r="AS17" s="11">
        <v>18</v>
      </c>
      <c r="AT17" s="11">
        <v>18</v>
      </c>
      <c r="AU17" s="11">
        <v>2</v>
      </c>
      <c r="AV17" s="11">
        <v>8</v>
      </c>
      <c r="AW17" s="11">
        <v>19</v>
      </c>
      <c r="AX17" s="12">
        <v>0.54400000000000004</v>
      </c>
      <c r="AY17" s="12">
        <v>0.48530000000000001</v>
      </c>
      <c r="AZ17" s="12">
        <v>0.42109999999999997</v>
      </c>
      <c r="BA17" s="12">
        <v>0.72729999999999995</v>
      </c>
      <c r="BB17" s="12">
        <v>0.58540000000000003</v>
      </c>
      <c r="BC17" s="4">
        <v>66.003</v>
      </c>
      <c r="BD17" s="12">
        <v>0.5484</v>
      </c>
      <c r="BE17" s="12">
        <v>0.27939999999999998</v>
      </c>
      <c r="BF17" s="12">
        <v>2.5000000000000001E-2</v>
      </c>
      <c r="BG17" s="4">
        <v>128.69999999999999</v>
      </c>
      <c r="BH17" s="4">
        <v>115.1</v>
      </c>
      <c r="BI17" s="4">
        <v>66.048500000000004</v>
      </c>
      <c r="BJ17" s="12">
        <v>0.51549999999999996</v>
      </c>
      <c r="BK17" s="12">
        <v>0.5</v>
      </c>
      <c r="BL17" s="12">
        <v>0.2727</v>
      </c>
      <c r="BM17" s="12">
        <v>0.57889999999999997</v>
      </c>
      <c r="BN17" s="12">
        <v>0.41460000000000002</v>
      </c>
      <c r="BO17" s="4">
        <v>66.093999999999994</v>
      </c>
      <c r="BP17" s="12">
        <v>0.64290000000000003</v>
      </c>
      <c r="BQ17" s="12">
        <v>0.1176</v>
      </c>
      <c r="BR17" s="12">
        <v>9.7900000000000001E-2</v>
      </c>
      <c r="BS17" s="4">
        <v>115.1</v>
      </c>
      <c r="BT17" s="4">
        <v>128.69999999999999</v>
      </c>
      <c r="BU17" s="11">
        <v>27</v>
      </c>
      <c r="BV17" s="11">
        <v>14</v>
      </c>
      <c r="BW17" s="11">
        <v>16</v>
      </c>
      <c r="BX17" s="11">
        <v>28</v>
      </c>
      <c r="BY17" s="11">
        <v>19</v>
      </c>
      <c r="BZ17" s="11">
        <v>25</v>
      </c>
      <c r="CA17" s="11">
        <v>16</v>
      </c>
      <c r="CB17" s="11">
        <v>16</v>
      </c>
      <c r="CC17" s="11">
        <v>41</v>
      </c>
      <c r="CD17" s="11">
        <v>44</v>
      </c>
      <c r="CE17" s="11">
        <v>44</v>
      </c>
      <c r="CF17" s="11">
        <v>32</v>
      </c>
      <c r="CG17" s="4">
        <v>2.0499999999999998</v>
      </c>
      <c r="CH17" s="13">
        <v>1.8</v>
      </c>
      <c r="CI17" s="4">
        <v>1.5</v>
      </c>
      <c r="CJ17" s="4">
        <v>-1.5</v>
      </c>
      <c r="CK17" s="4">
        <v>160.5</v>
      </c>
      <c r="CL17" s="2" t="s">
        <v>461</v>
      </c>
      <c r="CM17" s="4" t="str">
        <f>VLOOKUP(nancy[[#This Row],[Away_team]],all[[Full name]:[Abbr]],3,FALSE)</f>
        <v>POR</v>
      </c>
      <c r="CN17" s="4">
        <f>IF(OR(nancy[[#This Row],[Result]]="w",nancy[[#This Row],[Result]]="dw"),nancy[[#This Row],[win]]-1,-1)</f>
        <v>1.0499999999999998</v>
      </c>
      <c r="CO17" s="4">
        <f>IF(OR(nancy[[#This Row],[Result]]="L",nancy[[#This Row],[Result]]="dl"),nancy[[#This Row],[lose]]-1,-1)</f>
        <v>-1</v>
      </c>
      <c r="CP17" s="4">
        <f>IF(OR((nancy[[#This Row],[Home_scored]]+nancy[[#This Row],[Away_scored]])&gt;nancy[[#This Row],[total]],OR(nancy[[#This Row],[Result]]="dw",nancy[[#This Row],[Result]]="dl")),1,0)</f>
        <v>1</v>
      </c>
      <c r="CQ17" s="4">
        <f>ABS((nancy[[#This Row],[Home_scored]]+nancy[[#This Row],[Away_scored]])-nancy[[#This Row],[total]])+0.5</f>
        <v>1</v>
      </c>
    </row>
    <row r="18" spans="1:95" x14ac:dyDescent="0.25">
      <c r="A18" s="2" t="s">
        <v>349</v>
      </c>
      <c r="B18" s="2" t="s">
        <v>333</v>
      </c>
      <c r="C18" s="3" t="s">
        <v>73</v>
      </c>
      <c r="D18" s="3">
        <v>45668</v>
      </c>
      <c r="E18" s="2" t="s">
        <v>74</v>
      </c>
      <c r="F18" s="2" t="s">
        <v>308</v>
      </c>
      <c r="G18" s="2" t="s">
        <v>139</v>
      </c>
      <c r="H18" s="11">
        <v>71</v>
      </c>
      <c r="I18" s="11">
        <v>78</v>
      </c>
      <c r="J18" s="11">
        <v>24</v>
      </c>
      <c r="K18" s="11">
        <v>57</v>
      </c>
      <c r="L18" s="12">
        <v>0.42109999999999997</v>
      </c>
      <c r="M18" s="11">
        <v>16</v>
      </c>
      <c r="N18" s="11">
        <v>34</v>
      </c>
      <c r="O18" s="12">
        <v>0.47060000000000002</v>
      </c>
      <c r="P18" s="11">
        <v>8</v>
      </c>
      <c r="Q18" s="11">
        <v>23</v>
      </c>
      <c r="R18" s="12">
        <v>0.3478</v>
      </c>
      <c r="S18" s="11">
        <v>15</v>
      </c>
      <c r="T18" s="11">
        <v>23</v>
      </c>
      <c r="U18" s="12">
        <v>0.6522</v>
      </c>
      <c r="V18" s="11">
        <v>9</v>
      </c>
      <c r="W18" s="11">
        <v>24</v>
      </c>
      <c r="X18" s="11">
        <v>33</v>
      </c>
      <c r="Y18" s="11">
        <v>18</v>
      </c>
      <c r="Z18" s="11">
        <v>10</v>
      </c>
      <c r="AA18" s="11">
        <v>5</v>
      </c>
      <c r="AB18" s="11">
        <v>18</v>
      </c>
      <c r="AC18" s="11">
        <v>22</v>
      </c>
      <c r="AD18" s="11">
        <v>28</v>
      </c>
      <c r="AE18" s="11">
        <v>74</v>
      </c>
      <c r="AF18" s="12">
        <v>0.37840000000000001</v>
      </c>
      <c r="AG18" s="11">
        <v>20</v>
      </c>
      <c r="AH18" s="11">
        <v>44</v>
      </c>
      <c r="AI18" s="12">
        <v>0.45450000000000002</v>
      </c>
      <c r="AJ18" s="11">
        <v>8</v>
      </c>
      <c r="AK18" s="11">
        <v>30</v>
      </c>
      <c r="AL18" s="12">
        <v>0.26669999999999999</v>
      </c>
      <c r="AM18" s="11">
        <v>14</v>
      </c>
      <c r="AN18" s="11">
        <v>17</v>
      </c>
      <c r="AO18" s="12">
        <v>0.82350000000000001</v>
      </c>
      <c r="AP18" s="11">
        <v>22</v>
      </c>
      <c r="AQ18" s="11">
        <v>24</v>
      </c>
      <c r="AR18" s="11">
        <v>46</v>
      </c>
      <c r="AS18" s="11">
        <v>17</v>
      </c>
      <c r="AT18" s="11">
        <v>4</v>
      </c>
      <c r="AU18" s="11">
        <v>1</v>
      </c>
      <c r="AV18" s="11">
        <v>16</v>
      </c>
      <c r="AW18" s="11">
        <v>23</v>
      </c>
      <c r="AX18" s="12">
        <v>0.52890000000000004</v>
      </c>
      <c r="AY18" s="12">
        <v>0.49120000000000003</v>
      </c>
      <c r="AZ18" s="12">
        <v>0.2727</v>
      </c>
      <c r="BA18" s="12">
        <v>0.52170000000000005</v>
      </c>
      <c r="BB18" s="12">
        <v>0.41770000000000002</v>
      </c>
      <c r="BC18" s="4">
        <v>74.569999999999993</v>
      </c>
      <c r="BD18" s="12">
        <v>0.75</v>
      </c>
      <c r="BE18" s="12">
        <v>0.26319999999999999</v>
      </c>
      <c r="BF18" s="12">
        <v>0.21149999999999999</v>
      </c>
      <c r="BG18" s="4">
        <v>96.1</v>
      </c>
      <c r="BH18" s="4">
        <v>105.5</v>
      </c>
      <c r="BI18" s="4">
        <v>73.915000000000006</v>
      </c>
      <c r="BJ18" s="12">
        <v>0.47860000000000003</v>
      </c>
      <c r="BK18" s="12">
        <v>0.43240000000000001</v>
      </c>
      <c r="BL18" s="12">
        <v>0.4783</v>
      </c>
      <c r="BM18" s="12">
        <v>0.72729999999999995</v>
      </c>
      <c r="BN18" s="12">
        <v>0.58230000000000004</v>
      </c>
      <c r="BO18" s="4">
        <v>73.260000000000005</v>
      </c>
      <c r="BP18" s="12">
        <v>0.60709999999999997</v>
      </c>
      <c r="BQ18" s="12">
        <v>0.18920000000000001</v>
      </c>
      <c r="BR18" s="12">
        <v>0.1641</v>
      </c>
      <c r="BS18" s="4">
        <v>105.5</v>
      </c>
      <c r="BT18" s="4">
        <v>96.1</v>
      </c>
      <c r="BU18" s="11">
        <v>18</v>
      </c>
      <c r="BV18" s="11">
        <v>21</v>
      </c>
      <c r="BW18" s="11">
        <v>20</v>
      </c>
      <c r="BX18" s="11">
        <v>12</v>
      </c>
      <c r="BY18" s="11">
        <v>21</v>
      </c>
      <c r="BZ18" s="11">
        <v>22</v>
      </c>
      <c r="CA18" s="11">
        <v>15</v>
      </c>
      <c r="CB18" s="11">
        <v>20</v>
      </c>
      <c r="CC18" s="11">
        <v>39</v>
      </c>
      <c r="CD18" s="11">
        <v>32</v>
      </c>
      <c r="CE18" s="11">
        <v>43</v>
      </c>
      <c r="CF18" s="11">
        <v>35</v>
      </c>
      <c r="CG18" s="4">
        <v>2.6</v>
      </c>
      <c r="CH18" s="13">
        <v>1.53</v>
      </c>
      <c r="CI18" s="4">
        <v>4.5</v>
      </c>
      <c r="CJ18" s="4">
        <v>-4.5</v>
      </c>
      <c r="CK18" s="4">
        <v>167.5</v>
      </c>
      <c r="CL18" s="2" t="s">
        <v>468</v>
      </c>
      <c r="CM18" s="4" t="str">
        <f>VLOOKUP(nancy[[#This Row],[Away_team]],all[[Full name]:[Abbr]],3,FALSE)</f>
        <v>CHO</v>
      </c>
      <c r="CN18" s="4">
        <f>IF(OR(nancy[[#This Row],[Result]]="w",nancy[[#This Row],[Result]]="dw"),nancy[[#This Row],[win]]-1,-1)</f>
        <v>-1</v>
      </c>
      <c r="CO18" s="4">
        <f>IF(OR(nancy[[#This Row],[Result]]="L",nancy[[#This Row],[Result]]="dl"),nancy[[#This Row],[lose]]-1,-1)</f>
        <v>0.53</v>
      </c>
      <c r="CP18" s="4">
        <f>IF(OR((nancy[[#This Row],[Home_scored]]+nancy[[#This Row],[Away_scored]])&gt;nancy[[#This Row],[total]],OR(nancy[[#This Row],[Result]]="dw",nancy[[#This Row],[Result]]="dl")),1,0)</f>
        <v>0</v>
      </c>
      <c r="CQ18" s="4">
        <f>ABS((nancy[[#This Row],[Home_scored]]+nancy[[#This Row],[Away_scored]])-nancy[[#This Row],[total]])+0.5</f>
        <v>19</v>
      </c>
    </row>
    <row r="19" spans="1:95" x14ac:dyDescent="0.25">
      <c r="A19" s="2" t="s">
        <v>349</v>
      </c>
      <c r="B19" s="2" t="s">
        <v>333</v>
      </c>
      <c r="C19" s="3" t="s">
        <v>73</v>
      </c>
      <c r="D19" s="3">
        <v>45676</v>
      </c>
      <c r="E19" s="2" t="s">
        <v>140</v>
      </c>
      <c r="F19" s="2" t="s">
        <v>330</v>
      </c>
      <c r="G19" s="2" t="s">
        <v>139</v>
      </c>
      <c r="H19" s="11">
        <v>96</v>
      </c>
      <c r="I19" s="11">
        <v>117</v>
      </c>
      <c r="J19" s="11">
        <v>34</v>
      </c>
      <c r="K19" s="11">
        <v>60</v>
      </c>
      <c r="L19" s="12">
        <v>0.56669999999999998</v>
      </c>
      <c r="M19" s="11">
        <v>24</v>
      </c>
      <c r="N19" s="11">
        <v>40</v>
      </c>
      <c r="O19" s="12">
        <v>0.6</v>
      </c>
      <c r="P19" s="11">
        <v>10</v>
      </c>
      <c r="Q19" s="11">
        <v>20</v>
      </c>
      <c r="R19" s="12">
        <v>0.5</v>
      </c>
      <c r="S19" s="11">
        <v>18</v>
      </c>
      <c r="T19" s="11">
        <v>20</v>
      </c>
      <c r="U19" s="12">
        <v>0.9</v>
      </c>
      <c r="V19" s="11">
        <v>7</v>
      </c>
      <c r="W19" s="11">
        <v>18</v>
      </c>
      <c r="X19" s="11">
        <v>25</v>
      </c>
      <c r="Y19" s="11">
        <v>16</v>
      </c>
      <c r="Z19" s="11">
        <v>7</v>
      </c>
      <c r="AA19" s="11">
        <v>0</v>
      </c>
      <c r="AB19" s="11">
        <v>13</v>
      </c>
      <c r="AC19" s="11">
        <v>19</v>
      </c>
      <c r="AD19" s="11">
        <v>42</v>
      </c>
      <c r="AE19" s="11">
        <v>72</v>
      </c>
      <c r="AF19" s="12">
        <v>0.58330000000000004</v>
      </c>
      <c r="AG19" s="11">
        <v>21</v>
      </c>
      <c r="AH19" s="11">
        <v>33</v>
      </c>
      <c r="AI19" s="12">
        <v>0.63639999999999997</v>
      </c>
      <c r="AJ19" s="11">
        <v>21</v>
      </c>
      <c r="AK19" s="11">
        <v>39</v>
      </c>
      <c r="AL19" s="12">
        <v>0.53849999999999998</v>
      </c>
      <c r="AM19" s="11">
        <v>12</v>
      </c>
      <c r="AN19" s="11">
        <v>15</v>
      </c>
      <c r="AO19" s="12">
        <v>0.8</v>
      </c>
      <c r="AP19" s="11">
        <v>14</v>
      </c>
      <c r="AQ19" s="11">
        <v>20</v>
      </c>
      <c r="AR19" s="11">
        <v>34</v>
      </c>
      <c r="AS19" s="11">
        <v>28</v>
      </c>
      <c r="AT19" s="11">
        <v>4</v>
      </c>
      <c r="AU19" s="11">
        <v>2</v>
      </c>
      <c r="AV19" s="11">
        <v>10</v>
      </c>
      <c r="AW19" s="11">
        <v>21</v>
      </c>
      <c r="AX19" s="12">
        <v>0.69769999999999999</v>
      </c>
      <c r="AY19" s="12">
        <v>0.65</v>
      </c>
      <c r="AZ19" s="12">
        <v>0.25929999999999997</v>
      </c>
      <c r="BA19" s="12">
        <v>0.5625</v>
      </c>
      <c r="BB19" s="12">
        <v>0.42370000000000002</v>
      </c>
      <c r="BC19" s="4">
        <v>73.209999999999994</v>
      </c>
      <c r="BD19" s="12">
        <v>0.47060000000000002</v>
      </c>
      <c r="BE19" s="12">
        <v>0.3</v>
      </c>
      <c r="BF19" s="12">
        <v>0.15890000000000001</v>
      </c>
      <c r="BG19" s="4">
        <v>129.69999999999999</v>
      </c>
      <c r="BH19" s="4">
        <v>158.1</v>
      </c>
      <c r="BI19" s="4">
        <v>73.995999999999995</v>
      </c>
      <c r="BJ19" s="12">
        <v>0.74429999999999996</v>
      </c>
      <c r="BK19" s="12">
        <v>0.72919999999999996</v>
      </c>
      <c r="BL19" s="12">
        <v>0.4375</v>
      </c>
      <c r="BM19" s="12">
        <v>0.74070000000000003</v>
      </c>
      <c r="BN19" s="12">
        <v>0.57630000000000003</v>
      </c>
      <c r="BO19" s="4">
        <v>74.781999999999996</v>
      </c>
      <c r="BP19" s="12">
        <v>0.66669999999999996</v>
      </c>
      <c r="BQ19" s="12">
        <v>0.16669999999999999</v>
      </c>
      <c r="BR19" s="12">
        <v>0.1129</v>
      </c>
      <c r="BS19" s="4">
        <v>158.1</v>
      </c>
      <c r="BT19" s="4">
        <v>129.69999999999999</v>
      </c>
      <c r="BU19" s="11">
        <v>25</v>
      </c>
      <c r="BV19" s="11">
        <v>21</v>
      </c>
      <c r="BW19" s="11">
        <v>28</v>
      </c>
      <c r="BX19" s="11">
        <v>22</v>
      </c>
      <c r="BY19" s="11">
        <v>30</v>
      </c>
      <c r="BZ19" s="11">
        <v>28</v>
      </c>
      <c r="CA19" s="11">
        <v>30</v>
      </c>
      <c r="CB19" s="11">
        <v>29</v>
      </c>
      <c r="CC19" s="11">
        <v>46</v>
      </c>
      <c r="CD19" s="11">
        <v>50</v>
      </c>
      <c r="CE19" s="11">
        <v>58</v>
      </c>
      <c r="CF19" s="11">
        <v>59</v>
      </c>
      <c r="CG19" s="4">
        <v>6.75</v>
      </c>
      <c r="CH19" s="13">
        <v>1.1200000000000001</v>
      </c>
      <c r="CI19" s="4">
        <v>12.5</v>
      </c>
      <c r="CJ19" s="4">
        <v>-12.5</v>
      </c>
      <c r="CK19" s="4">
        <v>167.5</v>
      </c>
      <c r="CL19" s="2" t="s">
        <v>481</v>
      </c>
      <c r="CM19" s="4" t="str">
        <f>VLOOKUP(nancy[[#This Row],[Away_team]],all[[Full name]:[Abbr]],3,FALSE)</f>
        <v>MON</v>
      </c>
      <c r="CN19" s="4">
        <f>IF(OR(nancy[[#This Row],[Result]]="w",nancy[[#This Row],[Result]]="dw"),nancy[[#This Row],[win]]-1,-1)</f>
        <v>-1</v>
      </c>
      <c r="CO19" s="4">
        <f>IF(OR(nancy[[#This Row],[Result]]="L",nancy[[#This Row],[Result]]="dl"),nancy[[#This Row],[lose]]-1,-1)</f>
        <v>0.12000000000000011</v>
      </c>
      <c r="CP19" s="4">
        <f>IF(OR((nancy[[#This Row],[Home_scored]]+nancy[[#This Row],[Away_scored]])&gt;nancy[[#This Row],[total]],OR(nancy[[#This Row],[Result]]="dw",nancy[[#This Row],[Result]]="dl")),1,0)</f>
        <v>1</v>
      </c>
      <c r="CQ19" s="4">
        <f>ABS((nancy[[#This Row],[Home_scored]]+nancy[[#This Row],[Away_scored]])-nancy[[#This Row],[total]])+0.5</f>
        <v>46</v>
      </c>
    </row>
    <row r="20" spans="1:95" x14ac:dyDescent="0.25">
      <c r="A20" s="2" t="s">
        <v>349</v>
      </c>
      <c r="B20" s="2" t="s">
        <v>333</v>
      </c>
      <c r="C20" s="3" t="s">
        <v>73</v>
      </c>
      <c r="D20" s="3">
        <v>45682</v>
      </c>
      <c r="E20" s="2" t="s">
        <v>74</v>
      </c>
      <c r="F20" s="2" t="s">
        <v>311</v>
      </c>
      <c r="G20" s="2" t="s">
        <v>139</v>
      </c>
      <c r="H20" s="11">
        <v>85</v>
      </c>
      <c r="I20" s="11">
        <v>104</v>
      </c>
      <c r="J20" s="11">
        <v>29</v>
      </c>
      <c r="K20" s="11">
        <v>56</v>
      </c>
      <c r="L20" s="12">
        <v>0.51790000000000003</v>
      </c>
      <c r="M20" s="11">
        <v>20</v>
      </c>
      <c r="N20" s="11">
        <v>28</v>
      </c>
      <c r="O20" s="12">
        <v>0.71430000000000005</v>
      </c>
      <c r="P20" s="11">
        <v>9</v>
      </c>
      <c r="Q20" s="11">
        <v>28</v>
      </c>
      <c r="R20" s="12">
        <v>0.32140000000000002</v>
      </c>
      <c r="S20" s="11">
        <v>18</v>
      </c>
      <c r="T20" s="11">
        <v>30</v>
      </c>
      <c r="U20" s="12">
        <v>0.6</v>
      </c>
      <c r="V20" s="11">
        <v>9</v>
      </c>
      <c r="W20" s="11">
        <v>22</v>
      </c>
      <c r="X20" s="11">
        <v>31</v>
      </c>
      <c r="Y20" s="11">
        <v>17</v>
      </c>
      <c r="Z20" s="11">
        <v>5</v>
      </c>
      <c r="AA20" s="11">
        <v>4</v>
      </c>
      <c r="AB20" s="11">
        <v>16</v>
      </c>
      <c r="AC20" s="11">
        <v>20</v>
      </c>
      <c r="AD20" s="11">
        <v>37</v>
      </c>
      <c r="AE20" s="11">
        <v>69</v>
      </c>
      <c r="AF20" s="12">
        <v>0.53620000000000001</v>
      </c>
      <c r="AG20" s="11">
        <v>22</v>
      </c>
      <c r="AH20" s="11">
        <v>38</v>
      </c>
      <c r="AI20" s="12">
        <v>0.57889999999999997</v>
      </c>
      <c r="AJ20" s="11">
        <v>15</v>
      </c>
      <c r="AK20" s="11">
        <v>31</v>
      </c>
      <c r="AL20" s="12">
        <v>0.4839</v>
      </c>
      <c r="AM20" s="11">
        <v>15</v>
      </c>
      <c r="AN20" s="11">
        <v>18</v>
      </c>
      <c r="AO20" s="12">
        <v>0.83330000000000004</v>
      </c>
      <c r="AP20" s="11">
        <v>10</v>
      </c>
      <c r="AQ20" s="11">
        <v>22</v>
      </c>
      <c r="AR20" s="11">
        <v>32</v>
      </c>
      <c r="AS20" s="11">
        <v>28</v>
      </c>
      <c r="AT20" s="11">
        <v>2</v>
      </c>
      <c r="AU20" s="11">
        <v>1</v>
      </c>
      <c r="AV20" s="11">
        <v>11</v>
      </c>
      <c r="AW20" s="11">
        <v>24</v>
      </c>
      <c r="AX20" s="12">
        <v>0.61419999999999997</v>
      </c>
      <c r="AY20" s="12">
        <v>0.59819999999999995</v>
      </c>
      <c r="AZ20" s="12">
        <v>0.2903</v>
      </c>
      <c r="BA20" s="12">
        <v>0.6875</v>
      </c>
      <c r="BB20" s="12">
        <v>0.49209999999999998</v>
      </c>
      <c r="BC20" s="4">
        <v>75.613</v>
      </c>
      <c r="BD20" s="12">
        <v>0.58620000000000005</v>
      </c>
      <c r="BE20" s="12">
        <v>0.32140000000000002</v>
      </c>
      <c r="BF20" s="12">
        <v>0.18779999999999999</v>
      </c>
      <c r="BG20" s="4">
        <v>111.8</v>
      </c>
      <c r="BH20" s="4">
        <v>136.69999999999999</v>
      </c>
      <c r="BI20" s="4">
        <v>76.0565</v>
      </c>
      <c r="BJ20" s="12">
        <v>0.67600000000000005</v>
      </c>
      <c r="BK20" s="12">
        <v>0.64490000000000003</v>
      </c>
      <c r="BL20" s="12">
        <v>0.3125</v>
      </c>
      <c r="BM20" s="12">
        <v>0.7097</v>
      </c>
      <c r="BN20" s="12">
        <v>0.50790000000000002</v>
      </c>
      <c r="BO20" s="4">
        <v>76.5</v>
      </c>
      <c r="BP20" s="12">
        <v>0.75680000000000003</v>
      </c>
      <c r="BQ20" s="12">
        <v>0.21740000000000001</v>
      </c>
      <c r="BR20" s="12">
        <v>0.12509999999999999</v>
      </c>
      <c r="BS20" s="4">
        <v>136.69999999999999</v>
      </c>
      <c r="BT20" s="4">
        <v>111.8</v>
      </c>
      <c r="BU20" s="11">
        <v>19</v>
      </c>
      <c r="BV20" s="11">
        <v>16</v>
      </c>
      <c r="BW20" s="11">
        <v>20</v>
      </c>
      <c r="BX20" s="11">
        <v>30</v>
      </c>
      <c r="BY20" s="11">
        <v>19</v>
      </c>
      <c r="BZ20" s="11">
        <v>29</v>
      </c>
      <c r="CA20" s="11">
        <v>28</v>
      </c>
      <c r="CB20" s="11">
        <v>28</v>
      </c>
      <c r="CC20" s="11">
        <v>35</v>
      </c>
      <c r="CD20" s="11">
        <v>50</v>
      </c>
      <c r="CE20" s="11">
        <v>48</v>
      </c>
      <c r="CF20" s="11">
        <v>56</v>
      </c>
      <c r="CG20" s="4">
        <v>1.8</v>
      </c>
      <c r="CH20" s="13">
        <v>2.0499999999999998</v>
      </c>
      <c r="CI20" s="4">
        <v>-1.5</v>
      </c>
      <c r="CJ20" s="4">
        <v>1.5</v>
      </c>
      <c r="CK20" s="4">
        <v>169.5</v>
      </c>
      <c r="CL20" s="2" t="s">
        <v>487</v>
      </c>
      <c r="CM20" s="4" t="str">
        <f>VLOOKUP(nancy[[#This Row],[Away_team]],all[[Full name]:[Abbr]],3,FALSE)</f>
        <v>DIJ</v>
      </c>
      <c r="CN20" s="4">
        <f>IF(OR(nancy[[#This Row],[Result]]="w",nancy[[#This Row],[Result]]="dw"),nancy[[#This Row],[win]]-1,-1)</f>
        <v>-1</v>
      </c>
      <c r="CO20" s="4">
        <f>IF(OR(nancy[[#This Row],[Result]]="L",nancy[[#This Row],[Result]]="dl"),nancy[[#This Row],[lose]]-1,-1)</f>
        <v>1.0499999999999998</v>
      </c>
      <c r="CP20" s="4">
        <f>IF(OR((nancy[[#This Row],[Home_scored]]+nancy[[#This Row],[Away_scored]])&gt;nancy[[#This Row],[total]],OR(nancy[[#This Row],[Result]]="dw",nancy[[#This Row],[Result]]="dl")),1,0)</f>
        <v>1</v>
      </c>
      <c r="CQ20" s="4">
        <f>ABS((nancy[[#This Row],[Home_scored]]+nancy[[#This Row],[Away_scored]])-nancy[[#This Row],[total]])+0.5</f>
        <v>20</v>
      </c>
    </row>
    <row r="21" spans="1:95" x14ac:dyDescent="0.25">
      <c r="A21" s="2" t="s">
        <v>349</v>
      </c>
      <c r="B21" s="2" t="s">
        <v>333</v>
      </c>
      <c r="C21" s="3" t="s">
        <v>73</v>
      </c>
      <c r="D21" s="3">
        <v>45689</v>
      </c>
      <c r="E21" s="2" t="s">
        <v>74</v>
      </c>
      <c r="F21" s="2" t="s">
        <v>342</v>
      </c>
      <c r="G21" s="2" t="s">
        <v>75</v>
      </c>
      <c r="H21" s="11">
        <v>83</v>
      </c>
      <c r="I21" s="11">
        <v>74</v>
      </c>
      <c r="J21" s="11">
        <v>30</v>
      </c>
      <c r="K21" s="11">
        <v>61</v>
      </c>
      <c r="L21" s="12">
        <v>0.49180000000000001</v>
      </c>
      <c r="M21" s="11">
        <v>15</v>
      </c>
      <c r="N21" s="11">
        <v>32</v>
      </c>
      <c r="O21" s="12">
        <v>0.46879999999999999</v>
      </c>
      <c r="P21" s="11">
        <v>15</v>
      </c>
      <c r="Q21" s="11">
        <v>29</v>
      </c>
      <c r="R21" s="12">
        <v>0.51719999999999999</v>
      </c>
      <c r="S21" s="11">
        <v>8</v>
      </c>
      <c r="T21" s="11">
        <v>15</v>
      </c>
      <c r="U21" s="12">
        <v>0.5333</v>
      </c>
      <c r="V21" s="11">
        <v>12</v>
      </c>
      <c r="W21" s="11">
        <v>23</v>
      </c>
      <c r="X21" s="11">
        <v>35</v>
      </c>
      <c r="Y21" s="11">
        <v>23</v>
      </c>
      <c r="Z21" s="11">
        <v>8</v>
      </c>
      <c r="AA21" s="11">
        <v>1</v>
      </c>
      <c r="AB21" s="11">
        <v>15</v>
      </c>
      <c r="AC21" s="11">
        <v>17</v>
      </c>
      <c r="AD21" s="11">
        <v>29</v>
      </c>
      <c r="AE21" s="11">
        <v>63</v>
      </c>
      <c r="AF21" s="12">
        <v>0.46029999999999999</v>
      </c>
      <c r="AG21" s="11">
        <v>20</v>
      </c>
      <c r="AH21" s="11">
        <v>35</v>
      </c>
      <c r="AI21" s="12">
        <v>0.57140000000000002</v>
      </c>
      <c r="AJ21" s="11">
        <v>9</v>
      </c>
      <c r="AK21" s="11">
        <v>28</v>
      </c>
      <c r="AL21" s="12">
        <v>0.32140000000000002</v>
      </c>
      <c r="AM21" s="11">
        <v>7</v>
      </c>
      <c r="AN21" s="11">
        <v>15</v>
      </c>
      <c r="AO21" s="12">
        <v>0.4667</v>
      </c>
      <c r="AP21" s="11">
        <v>13</v>
      </c>
      <c r="AQ21" s="11">
        <v>23</v>
      </c>
      <c r="AR21" s="11">
        <v>36</v>
      </c>
      <c r="AS21" s="11">
        <v>14</v>
      </c>
      <c r="AT21" s="11">
        <v>10</v>
      </c>
      <c r="AU21" s="11">
        <v>3</v>
      </c>
      <c r="AV21" s="11">
        <v>15</v>
      </c>
      <c r="AW21" s="11">
        <v>18</v>
      </c>
      <c r="AX21" s="12">
        <v>0.6139</v>
      </c>
      <c r="AY21" s="12">
        <v>0.61480000000000001</v>
      </c>
      <c r="AZ21" s="12">
        <v>0.34289999999999998</v>
      </c>
      <c r="BA21" s="12">
        <v>0.63890000000000002</v>
      </c>
      <c r="BB21" s="12">
        <v>0.49299999999999999</v>
      </c>
      <c r="BC21" s="4">
        <v>70.626999999999995</v>
      </c>
      <c r="BD21" s="12">
        <v>0.76670000000000005</v>
      </c>
      <c r="BE21" s="12">
        <v>0.13109999999999999</v>
      </c>
      <c r="BF21" s="12">
        <v>0.18160000000000001</v>
      </c>
      <c r="BG21" s="4">
        <v>117.3</v>
      </c>
      <c r="BH21" s="4">
        <v>104.6</v>
      </c>
      <c r="BI21" s="4">
        <v>70.745000000000005</v>
      </c>
      <c r="BJ21" s="12">
        <v>0.53159999999999996</v>
      </c>
      <c r="BK21" s="12">
        <v>0.53169999999999995</v>
      </c>
      <c r="BL21" s="12">
        <v>0.36109999999999998</v>
      </c>
      <c r="BM21" s="12">
        <v>0.65710000000000002</v>
      </c>
      <c r="BN21" s="12">
        <v>0.50700000000000001</v>
      </c>
      <c r="BO21" s="4">
        <v>70.863</v>
      </c>
      <c r="BP21" s="12">
        <v>0.48280000000000001</v>
      </c>
      <c r="BQ21" s="12">
        <v>0.1111</v>
      </c>
      <c r="BR21" s="12">
        <v>0.17730000000000001</v>
      </c>
      <c r="BS21" s="4">
        <v>104.6</v>
      </c>
      <c r="BT21" s="4">
        <v>117.3</v>
      </c>
      <c r="BU21" s="11">
        <v>19</v>
      </c>
      <c r="BV21" s="11">
        <v>16</v>
      </c>
      <c r="BW21" s="11">
        <v>29</v>
      </c>
      <c r="BX21" s="11">
        <v>19</v>
      </c>
      <c r="BY21" s="11">
        <v>15</v>
      </c>
      <c r="BZ21" s="11">
        <v>23</v>
      </c>
      <c r="CA21" s="11">
        <v>11</v>
      </c>
      <c r="CB21" s="11">
        <v>25</v>
      </c>
      <c r="CC21" s="11">
        <v>35</v>
      </c>
      <c r="CD21" s="11">
        <v>48</v>
      </c>
      <c r="CE21" s="11">
        <v>38</v>
      </c>
      <c r="CF21" s="11">
        <v>36</v>
      </c>
      <c r="CG21" s="4">
        <v>1.87</v>
      </c>
      <c r="CH21" s="13">
        <v>1.95</v>
      </c>
      <c r="CI21" s="4">
        <v>-1</v>
      </c>
      <c r="CJ21" s="4">
        <v>-1</v>
      </c>
      <c r="CK21" s="4">
        <v>164.5</v>
      </c>
      <c r="CL21" s="2" t="s">
        <v>493</v>
      </c>
      <c r="CM21" s="4" t="str">
        <f>VLOOKUP(nancy[[#This Row],[Away_team]],all[[Full name]:[Abbr]],3,FALSE)</f>
        <v>SQU</v>
      </c>
      <c r="CN21" s="4">
        <f>IF(OR(nancy[[#This Row],[Result]]="w",nancy[[#This Row],[Result]]="dw"),nancy[[#This Row],[win]]-1,-1)</f>
        <v>0.87000000000000011</v>
      </c>
      <c r="CO21" s="4">
        <f>IF(OR(nancy[[#This Row],[Result]]="L",nancy[[#This Row],[Result]]="dl"),nancy[[#This Row],[lose]]-1,-1)</f>
        <v>-1</v>
      </c>
      <c r="CP21" s="4">
        <f>IF(OR((nancy[[#This Row],[Home_scored]]+nancy[[#This Row],[Away_scored]])&gt;nancy[[#This Row],[total]],OR(nancy[[#This Row],[Result]]="dw",nancy[[#This Row],[Result]]="dl")),1,0)</f>
        <v>0</v>
      </c>
      <c r="CQ21" s="4">
        <f>ABS((nancy[[#This Row],[Home_scored]]+nancy[[#This Row],[Away_scored]])-nancy[[#This Row],[total]])+0.5</f>
        <v>8</v>
      </c>
    </row>
    <row r="22" spans="1:95" x14ac:dyDescent="0.25">
      <c r="A22" s="2" t="s">
        <v>349</v>
      </c>
      <c r="B22" s="2" t="s">
        <v>333</v>
      </c>
      <c r="C22" s="3" t="s">
        <v>73</v>
      </c>
      <c r="D22" s="3">
        <v>45697</v>
      </c>
      <c r="E22" s="2" t="s">
        <v>140</v>
      </c>
      <c r="F22" s="2" t="s">
        <v>324</v>
      </c>
      <c r="G22" s="2" t="s">
        <v>139</v>
      </c>
      <c r="H22" s="11">
        <v>89</v>
      </c>
      <c r="I22" s="11">
        <v>97</v>
      </c>
      <c r="J22" s="11">
        <v>30</v>
      </c>
      <c r="K22" s="11">
        <v>61</v>
      </c>
      <c r="L22" s="12">
        <v>0.49180000000000001</v>
      </c>
      <c r="M22" s="11">
        <v>19</v>
      </c>
      <c r="N22" s="11">
        <v>35</v>
      </c>
      <c r="O22" s="12">
        <v>0.54290000000000005</v>
      </c>
      <c r="P22" s="11">
        <v>11</v>
      </c>
      <c r="Q22" s="11">
        <v>26</v>
      </c>
      <c r="R22" s="12">
        <v>0.42309999999999998</v>
      </c>
      <c r="S22" s="11">
        <v>18</v>
      </c>
      <c r="T22" s="11">
        <v>26</v>
      </c>
      <c r="U22" s="12">
        <v>0.69230000000000003</v>
      </c>
      <c r="V22" s="11">
        <v>10</v>
      </c>
      <c r="W22" s="11">
        <v>20</v>
      </c>
      <c r="X22" s="11">
        <v>30</v>
      </c>
      <c r="Y22" s="11">
        <v>20</v>
      </c>
      <c r="Z22" s="11">
        <v>5</v>
      </c>
      <c r="AA22" s="11">
        <v>2</v>
      </c>
      <c r="AB22" s="11">
        <v>10</v>
      </c>
      <c r="AC22" s="11">
        <v>16</v>
      </c>
      <c r="AD22" s="11">
        <v>35</v>
      </c>
      <c r="AE22" s="11">
        <v>68</v>
      </c>
      <c r="AF22" s="12">
        <v>0.51470000000000005</v>
      </c>
      <c r="AG22" s="11">
        <v>21</v>
      </c>
      <c r="AH22" s="11">
        <v>42</v>
      </c>
      <c r="AI22" s="12">
        <v>0.5</v>
      </c>
      <c r="AJ22" s="11">
        <v>14</v>
      </c>
      <c r="AK22" s="11">
        <v>26</v>
      </c>
      <c r="AL22" s="12">
        <v>0.53849999999999998</v>
      </c>
      <c r="AM22" s="11">
        <v>13</v>
      </c>
      <c r="AN22" s="11">
        <v>15</v>
      </c>
      <c r="AO22" s="12">
        <v>0.86670000000000003</v>
      </c>
      <c r="AP22" s="11">
        <v>14</v>
      </c>
      <c r="AQ22" s="11">
        <v>23</v>
      </c>
      <c r="AR22" s="11">
        <v>37</v>
      </c>
      <c r="AS22" s="11">
        <v>23</v>
      </c>
      <c r="AT22" s="11">
        <v>6</v>
      </c>
      <c r="AU22" s="11">
        <v>4</v>
      </c>
      <c r="AV22" s="11">
        <v>11</v>
      </c>
      <c r="AW22" s="11">
        <v>19</v>
      </c>
      <c r="AX22" s="12">
        <v>0.61429999999999996</v>
      </c>
      <c r="AY22" s="12">
        <v>0.58199999999999996</v>
      </c>
      <c r="AZ22" s="12">
        <v>0.30299999999999999</v>
      </c>
      <c r="BA22" s="12">
        <v>0.58819999999999995</v>
      </c>
      <c r="BB22" s="12">
        <v>0.44779999999999998</v>
      </c>
      <c r="BC22" s="4">
        <v>70.343000000000004</v>
      </c>
      <c r="BD22" s="12">
        <v>0.66669999999999996</v>
      </c>
      <c r="BE22" s="12">
        <v>0.29509999999999997</v>
      </c>
      <c r="BF22" s="12">
        <v>0.12130000000000001</v>
      </c>
      <c r="BG22" s="4">
        <v>125.4</v>
      </c>
      <c r="BH22" s="4">
        <v>136.6</v>
      </c>
      <c r="BI22" s="4">
        <v>70.991</v>
      </c>
      <c r="BJ22" s="12">
        <v>0.65010000000000001</v>
      </c>
      <c r="BK22" s="12">
        <v>0.61760000000000004</v>
      </c>
      <c r="BL22" s="12">
        <v>0.4118</v>
      </c>
      <c r="BM22" s="12">
        <v>0.69699999999999995</v>
      </c>
      <c r="BN22" s="12">
        <v>0.55220000000000002</v>
      </c>
      <c r="BO22" s="4">
        <v>71.638999999999996</v>
      </c>
      <c r="BP22" s="12">
        <v>0.65710000000000002</v>
      </c>
      <c r="BQ22" s="12">
        <v>0.19120000000000001</v>
      </c>
      <c r="BR22" s="12">
        <v>0.1285</v>
      </c>
      <c r="BS22" s="4">
        <v>136.6</v>
      </c>
      <c r="BT22" s="4">
        <v>125.4</v>
      </c>
      <c r="BU22" s="11">
        <v>19</v>
      </c>
      <c r="BV22" s="11">
        <v>14</v>
      </c>
      <c r="BW22" s="11">
        <v>37</v>
      </c>
      <c r="BX22" s="11">
        <v>19</v>
      </c>
      <c r="BY22" s="11">
        <v>23</v>
      </c>
      <c r="BZ22" s="11">
        <v>29</v>
      </c>
      <c r="CA22" s="11">
        <v>19</v>
      </c>
      <c r="CB22" s="11">
        <v>26</v>
      </c>
      <c r="CC22" s="11">
        <v>33</v>
      </c>
      <c r="CD22" s="11">
        <v>56</v>
      </c>
      <c r="CE22" s="11">
        <v>52</v>
      </c>
      <c r="CF22" s="11">
        <v>45</v>
      </c>
      <c r="CG22" s="4">
        <v>2.2000000000000002</v>
      </c>
      <c r="CH22" s="13">
        <v>1.71</v>
      </c>
      <c r="CI22" s="4">
        <v>2.5</v>
      </c>
      <c r="CJ22" s="4">
        <v>-2.5</v>
      </c>
      <c r="CK22" s="4">
        <v>168.5</v>
      </c>
      <c r="CL22" s="2" t="s">
        <v>504</v>
      </c>
      <c r="CM22" s="4" t="str">
        <f>VLOOKUP(nancy[[#This Row],[Away_team]],all[[Full name]:[Abbr]],3,FALSE)</f>
        <v>LIM</v>
      </c>
      <c r="CN22" s="4">
        <f>IF(OR(nancy[[#This Row],[Result]]="w",nancy[[#This Row],[Result]]="dw"),nancy[[#This Row],[win]]-1,-1)</f>
        <v>-1</v>
      </c>
      <c r="CO22" s="4">
        <f>IF(OR(nancy[[#This Row],[Result]]="L",nancy[[#This Row],[Result]]="dl"),nancy[[#This Row],[lose]]-1,-1)</f>
        <v>0.71</v>
      </c>
      <c r="CP22" s="4">
        <f>IF(OR((nancy[[#This Row],[Home_scored]]+nancy[[#This Row],[Away_scored]])&gt;nancy[[#This Row],[total]],OR(nancy[[#This Row],[Result]]="dw",nancy[[#This Row],[Result]]="dl")),1,0)</f>
        <v>1</v>
      </c>
      <c r="CQ22" s="4">
        <f>ABS((nancy[[#This Row],[Home_scored]]+nancy[[#This Row],[Away_scored]])-nancy[[#This Row],[total]])+0.5</f>
        <v>18</v>
      </c>
    </row>
    <row r="23" spans="1:95" x14ac:dyDescent="0.25">
      <c r="A23" s="2" t="s">
        <v>349</v>
      </c>
      <c r="B23" s="2" t="s">
        <v>333</v>
      </c>
      <c r="C23" s="3" t="s">
        <v>73</v>
      </c>
      <c r="D23" s="3">
        <v>45717</v>
      </c>
      <c r="E23" s="2" t="s">
        <v>140</v>
      </c>
      <c r="F23" s="2" t="s">
        <v>302</v>
      </c>
      <c r="G23" s="2" t="s">
        <v>75</v>
      </c>
      <c r="H23" s="11">
        <v>93</v>
      </c>
      <c r="I23" s="11">
        <v>81</v>
      </c>
      <c r="J23" s="11">
        <v>34</v>
      </c>
      <c r="K23" s="11">
        <v>58</v>
      </c>
      <c r="L23" s="12">
        <v>0.58620000000000005</v>
      </c>
      <c r="M23" s="11">
        <v>23</v>
      </c>
      <c r="N23" s="11">
        <v>38</v>
      </c>
      <c r="O23" s="12">
        <v>0.60529999999999995</v>
      </c>
      <c r="P23" s="11">
        <v>11</v>
      </c>
      <c r="Q23" s="11">
        <v>20</v>
      </c>
      <c r="R23" s="12">
        <v>0.55000000000000004</v>
      </c>
      <c r="S23" s="11">
        <v>14</v>
      </c>
      <c r="T23" s="11">
        <v>22</v>
      </c>
      <c r="U23" s="12">
        <v>0.63639999999999997</v>
      </c>
      <c r="V23" s="11">
        <v>8</v>
      </c>
      <c r="W23" s="11">
        <v>29</v>
      </c>
      <c r="X23" s="11">
        <v>37</v>
      </c>
      <c r="Y23" s="11">
        <v>20</v>
      </c>
      <c r="Z23" s="11">
        <v>7</v>
      </c>
      <c r="AA23" s="11">
        <v>1</v>
      </c>
      <c r="AB23" s="11">
        <v>18</v>
      </c>
      <c r="AC23" s="11">
        <v>24</v>
      </c>
      <c r="AD23" s="11">
        <v>23</v>
      </c>
      <c r="AE23" s="11">
        <v>64</v>
      </c>
      <c r="AF23" s="12">
        <v>0.3594</v>
      </c>
      <c r="AG23" s="11">
        <v>16</v>
      </c>
      <c r="AH23" s="11">
        <v>35</v>
      </c>
      <c r="AI23" s="12">
        <v>0.45710000000000001</v>
      </c>
      <c r="AJ23" s="11">
        <v>7</v>
      </c>
      <c r="AK23" s="11">
        <v>29</v>
      </c>
      <c r="AL23" s="12">
        <v>0.2414</v>
      </c>
      <c r="AM23" s="11">
        <v>28</v>
      </c>
      <c r="AN23" s="11">
        <v>35</v>
      </c>
      <c r="AO23" s="12">
        <v>0.8</v>
      </c>
      <c r="AP23" s="11">
        <v>16</v>
      </c>
      <c r="AQ23" s="11">
        <v>19</v>
      </c>
      <c r="AR23" s="11">
        <v>35</v>
      </c>
      <c r="AS23" s="11">
        <v>12</v>
      </c>
      <c r="AT23" s="11">
        <v>10</v>
      </c>
      <c r="AU23" s="11">
        <v>4</v>
      </c>
      <c r="AV23" s="11">
        <v>13</v>
      </c>
      <c r="AW23" s="11">
        <v>20</v>
      </c>
      <c r="AX23" s="12">
        <v>0.68710000000000004</v>
      </c>
      <c r="AY23" s="12">
        <v>0.68100000000000005</v>
      </c>
      <c r="AZ23" s="12">
        <v>0.29630000000000001</v>
      </c>
      <c r="BA23" s="12">
        <v>0.64439999999999997</v>
      </c>
      <c r="BB23" s="12">
        <v>0.51390000000000002</v>
      </c>
      <c r="BC23" s="4">
        <v>79.248000000000005</v>
      </c>
      <c r="BD23" s="12">
        <v>0.58819999999999995</v>
      </c>
      <c r="BE23" s="12">
        <v>0.2414</v>
      </c>
      <c r="BF23" s="12">
        <v>0.21010000000000001</v>
      </c>
      <c r="BG23" s="4">
        <v>123.8</v>
      </c>
      <c r="BH23" s="4">
        <v>107.9</v>
      </c>
      <c r="BI23" s="4">
        <v>75.096500000000006</v>
      </c>
      <c r="BJ23" s="12">
        <v>0.5101</v>
      </c>
      <c r="BK23" s="12">
        <v>0.41410000000000002</v>
      </c>
      <c r="BL23" s="12">
        <v>0.35560000000000003</v>
      </c>
      <c r="BM23" s="12">
        <v>0.70369999999999999</v>
      </c>
      <c r="BN23" s="12">
        <v>0.48609999999999998</v>
      </c>
      <c r="BO23" s="4">
        <v>70.944999999999993</v>
      </c>
      <c r="BP23" s="12">
        <v>0.52170000000000005</v>
      </c>
      <c r="BQ23" s="12">
        <v>0.4375</v>
      </c>
      <c r="BR23" s="12">
        <v>0.14069999999999999</v>
      </c>
      <c r="BS23" s="4">
        <v>107.9</v>
      </c>
      <c r="BT23" s="4">
        <v>123.8</v>
      </c>
      <c r="BU23" s="11">
        <v>20</v>
      </c>
      <c r="BV23" s="11">
        <v>23</v>
      </c>
      <c r="BW23" s="11">
        <v>29</v>
      </c>
      <c r="BX23" s="11">
        <v>21</v>
      </c>
      <c r="BY23" s="11">
        <v>27</v>
      </c>
      <c r="BZ23" s="11">
        <v>18</v>
      </c>
      <c r="CA23" s="11">
        <v>11</v>
      </c>
      <c r="CB23" s="11">
        <v>25</v>
      </c>
      <c r="CC23" s="11">
        <v>43</v>
      </c>
      <c r="CD23" s="11">
        <v>50</v>
      </c>
      <c r="CE23" s="11">
        <v>45</v>
      </c>
      <c r="CF23" s="11">
        <v>36</v>
      </c>
      <c r="CG23" s="4">
        <v>4.2</v>
      </c>
      <c r="CH23" s="13">
        <v>1.25</v>
      </c>
      <c r="CI23" s="4">
        <v>-9</v>
      </c>
      <c r="CJ23" s="4">
        <v>-9</v>
      </c>
      <c r="CK23" s="4">
        <v>174.5</v>
      </c>
      <c r="CL23" s="2" t="s">
        <v>509</v>
      </c>
      <c r="CM23" s="4" t="str">
        <f>VLOOKUP(nancy[[#This Row],[Away_team]],all[[Full name]:[Abbr]],3,FALSE)</f>
        <v>BUR</v>
      </c>
      <c r="CN23" s="4">
        <f>IF(OR(nancy[[#This Row],[Result]]="w",nancy[[#This Row],[Result]]="dw"),nancy[[#This Row],[win]]-1,-1)</f>
        <v>3.2</v>
      </c>
      <c r="CO23" s="4">
        <f>IF(OR(nancy[[#This Row],[Result]]="L",nancy[[#This Row],[Result]]="dl"),nancy[[#This Row],[lose]]-1,-1)</f>
        <v>-1</v>
      </c>
      <c r="CP23" s="4">
        <f>IF(OR((nancy[[#This Row],[Home_scored]]+nancy[[#This Row],[Away_scored]])&gt;nancy[[#This Row],[total]],OR(nancy[[#This Row],[Result]]="dw",nancy[[#This Row],[Result]]="dl")),1,0)</f>
        <v>0</v>
      </c>
      <c r="CQ23" s="4">
        <f>ABS((nancy[[#This Row],[Home_scored]]+nancy[[#This Row],[Away_scored]])-nancy[[#This Row],[total]])+0.5</f>
        <v>1</v>
      </c>
    </row>
    <row r="24" spans="1:95" x14ac:dyDescent="0.25">
      <c r="A24" s="2" t="s">
        <v>349</v>
      </c>
      <c r="B24" s="2" t="s">
        <v>333</v>
      </c>
      <c r="C24" s="3" t="s">
        <v>73</v>
      </c>
      <c r="D24" s="3">
        <v>45723</v>
      </c>
      <c r="E24" s="2" t="s">
        <v>74</v>
      </c>
      <c r="F24" s="2" t="s">
        <v>317</v>
      </c>
      <c r="G24" s="2" t="s">
        <v>75</v>
      </c>
      <c r="H24" s="11">
        <v>97</v>
      </c>
      <c r="I24" s="11">
        <v>89</v>
      </c>
      <c r="J24" s="11">
        <v>31</v>
      </c>
      <c r="K24" s="11">
        <v>57</v>
      </c>
      <c r="L24" s="12">
        <v>0.54390000000000005</v>
      </c>
      <c r="M24" s="11">
        <v>18</v>
      </c>
      <c r="N24" s="11">
        <v>31</v>
      </c>
      <c r="O24" s="12">
        <v>0.5806</v>
      </c>
      <c r="P24" s="11">
        <v>13</v>
      </c>
      <c r="Q24" s="11">
        <v>26</v>
      </c>
      <c r="R24" s="12">
        <v>0.5</v>
      </c>
      <c r="S24" s="11">
        <v>22</v>
      </c>
      <c r="T24" s="11">
        <v>30</v>
      </c>
      <c r="U24" s="12">
        <v>0.73329999999999995</v>
      </c>
      <c r="V24" s="11">
        <v>9</v>
      </c>
      <c r="W24" s="11">
        <v>21</v>
      </c>
      <c r="X24" s="11">
        <v>30</v>
      </c>
      <c r="Y24" s="11">
        <v>21</v>
      </c>
      <c r="Z24" s="11">
        <v>5</v>
      </c>
      <c r="AA24" s="11">
        <v>4</v>
      </c>
      <c r="AB24" s="11">
        <v>12</v>
      </c>
      <c r="AC24" s="11">
        <v>16</v>
      </c>
      <c r="AD24" s="11">
        <v>37</v>
      </c>
      <c r="AE24" s="11">
        <v>72</v>
      </c>
      <c r="AF24" s="12">
        <v>0.51390000000000002</v>
      </c>
      <c r="AG24" s="11">
        <v>28</v>
      </c>
      <c r="AH24" s="11">
        <v>44</v>
      </c>
      <c r="AI24" s="12">
        <v>0.63639999999999997</v>
      </c>
      <c r="AJ24" s="11">
        <v>9</v>
      </c>
      <c r="AK24" s="11">
        <v>28</v>
      </c>
      <c r="AL24" s="12">
        <v>0.32140000000000002</v>
      </c>
      <c r="AM24" s="11">
        <v>6</v>
      </c>
      <c r="AN24" s="11">
        <v>7</v>
      </c>
      <c r="AO24" s="12">
        <v>0.85709999999999997</v>
      </c>
      <c r="AP24" s="11">
        <v>14</v>
      </c>
      <c r="AQ24" s="11">
        <v>20</v>
      </c>
      <c r="AR24" s="11">
        <v>34</v>
      </c>
      <c r="AS24" s="11">
        <v>23</v>
      </c>
      <c r="AT24" s="11">
        <v>4</v>
      </c>
      <c r="AU24" s="11">
        <v>1</v>
      </c>
      <c r="AV24" s="11">
        <v>11</v>
      </c>
      <c r="AW24" s="11">
        <v>24</v>
      </c>
      <c r="AX24" s="12">
        <v>0.69089999999999996</v>
      </c>
      <c r="AY24" s="12">
        <v>0.65790000000000004</v>
      </c>
      <c r="AZ24" s="12">
        <v>0.31030000000000002</v>
      </c>
      <c r="BA24" s="12">
        <v>0.6</v>
      </c>
      <c r="BB24" s="12">
        <v>0.46879999999999999</v>
      </c>
      <c r="BC24" s="4">
        <v>72.653999999999996</v>
      </c>
      <c r="BD24" s="12">
        <v>0.6774</v>
      </c>
      <c r="BE24" s="12">
        <v>0.38600000000000001</v>
      </c>
      <c r="BF24" s="12">
        <v>0.14599999999999999</v>
      </c>
      <c r="BG24" s="4">
        <v>135.6</v>
      </c>
      <c r="BH24" s="4">
        <v>124.4</v>
      </c>
      <c r="BI24" s="4">
        <v>71.516499999999994</v>
      </c>
      <c r="BJ24" s="12">
        <v>0.5927</v>
      </c>
      <c r="BK24" s="12">
        <v>0.57640000000000002</v>
      </c>
      <c r="BL24" s="12">
        <v>0.4</v>
      </c>
      <c r="BM24" s="12">
        <v>0.68969999999999998</v>
      </c>
      <c r="BN24" s="12">
        <v>0.53129999999999999</v>
      </c>
      <c r="BO24" s="4">
        <v>70.379000000000005</v>
      </c>
      <c r="BP24" s="12">
        <v>0.62160000000000004</v>
      </c>
      <c r="BQ24" s="12">
        <v>8.3299999999999999E-2</v>
      </c>
      <c r="BR24" s="12">
        <v>0.1278</v>
      </c>
      <c r="BS24" s="4">
        <v>124.4</v>
      </c>
      <c r="BT24" s="4">
        <v>135.6</v>
      </c>
      <c r="BU24" s="11">
        <v>29</v>
      </c>
      <c r="BV24" s="11">
        <v>19</v>
      </c>
      <c r="BW24" s="11">
        <v>19</v>
      </c>
      <c r="BX24" s="11">
        <v>30</v>
      </c>
      <c r="BY24" s="11">
        <v>19</v>
      </c>
      <c r="BZ24" s="11">
        <v>21</v>
      </c>
      <c r="CA24" s="11">
        <v>22</v>
      </c>
      <c r="CB24" s="11">
        <v>27</v>
      </c>
      <c r="CC24" s="11">
        <v>48</v>
      </c>
      <c r="CD24" s="11">
        <v>49</v>
      </c>
      <c r="CE24" s="11">
        <v>40</v>
      </c>
      <c r="CF24" s="11">
        <v>49</v>
      </c>
      <c r="CG24" s="4">
        <v>1.8</v>
      </c>
      <c r="CH24" s="13">
        <v>2.0499999999999998</v>
      </c>
      <c r="CI24" s="4">
        <v>-1.5</v>
      </c>
      <c r="CJ24" s="4">
        <v>1.5</v>
      </c>
      <c r="CK24" s="4">
        <v>173.5</v>
      </c>
      <c r="CL24" s="2" t="s">
        <v>515</v>
      </c>
      <c r="CM24" s="4" t="str">
        <f>VLOOKUP(nancy[[#This Row],[Away_team]],all[[Full name]:[Abbr]],3,FALSE)</f>
        <v>LEM</v>
      </c>
      <c r="CN24" s="4">
        <f>IF(OR(nancy[[#This Row],[Result]]="w",nancy[[#This Row],[Result]]="dw"),nancy[[#This Row],[win]]-1,-1)</f>
        <v>0.8</v>
      </c>
      <c r="CO24" s="4">
        <f>IF(OR(nancy[[#This Row],[Result]]="L",nancy[[#This Row],[Result]]="dl"),nancy[[#This Row],[lose]]-1,-1)</f>
        <v>-1</v>
      </c>
      <c r="CP24" s="4">
        <f>IF(OR((nancy[[#This Row],[Home_scored]]+nancy[[#This Row],[Away_scored]])&gt;nancy[[#This Row],[total]],OR(nancy[[#This Row],[Result]]="dw",nancy[[#This Row],[Result]]="dl")),1,0)</f>
        <v>1</v>
      </c>
      <c r="CQ24" s="4">
        <f>ABS((nancy[[#This Row],[Home_scored]]+nancy[[#This Row],[Away_scored]])-nancy[[#This Row],[total]])+0.5</f>
        <v>13</v>
      </c>
    </row>
    <row r="25" spans="1:95" x14ac:dyDescent="0.25">
      <c r="A25" s="2" t="s">
        <v>349</v>
      </c>
      <c r="B25" s="2" t="s">
        <v>333</v>
      </c>
      <c r="C25" s="3" t="s">
        <v>73</v>
      </c>
      <c r="D25" s="3">
        <v>45739</v>
      </c>
      <c r="E25" s="2" t="s">
        <v>140</v>
      </c>
      <c r="F25" s="2" t="s">
        <v>314</v>
      </c>
      <c r="G25" s="2" t="s">
        <v>75</v>
      </c>
      <c r="H25" s="11">
        <v>87</v>
      </c>
      <c r="I25" s="11">
        <v>84</v>
      </c>
      <c r="J25" s="11">
        <v>36</v>
      </c>
      <c r="K25" s="11">
        <v>65</v>
      </c>
      <c r="L25" s="12">
        <v>0.55379999999999996</v>
      </c>
      <c r="M25" s="11">
        <v>28</v>
      </c>
      <c r="N25" s="11">
        <v>42</v>
      </c>
      <c r="O25" s="12">
        <v>0.66669999999999996</v>
      </c>
      <c r="P25" s="11">
        <v>8</v>
      </c>
      <c r="Q25" s="11">
        <v>23</v>
      </c>
      <c r="R25" s="12">
        <v>0.3478</v>
      </c>
      <c r="S25" s="11">
        <v>7</v>
      </c>
      <c r="T25" s="11">
        <v>13</v>
      </c>
      <c r="U25" s="12">
        <v>0.53849999999999998</v>
      </c>
      <c r="V25" s="11">
        <v>5</v>
      </c>
      <c r="W25" s="11">
        <v>26</v>
      </c>
      <c r="X25" s="11">
        <v>31</v>
      </c>
      <c r="Y25" s="11">
        <v>22</v>
      </c>
      <c r="Z25" s="11">
        <v>7</v>
      </c>
      <c r="AA25" s="11">
        <v>5</v>
      </c>
      <c r="AB25" s="11">
        <v>9</v>
      </c>
      <c r="AC25" s="11">
        <v>20</v>
      </c>
      <c r="AD25" s="11">
        <v>27</v>
      </c>
      <c r="AE25" s="11">
        <v>64</v>
      </c>
      <c r="AF25" s="12">
        <v>0.4219</v>
      </c>
      <c r="AG25" s="11">
        <v>16</v>
      </c>
      <c r="AH25" s="11">
        <v>33</v>
      </c>
      <c r="AI25" s="12">
        <v>0.48480000000000001</v>
      </c>
      <c r="AJ25" s="11">
        <v>11</v>
      </c>
      <c r="AK25" s="11">
        <v>31</v>
      </c>
      <c r="AL25" s="12">
        <v>0.3548</v>
      </c>
      <c r="AM25" s="11">
        <v>19</v>
      </c>
      <c r="AN25" s="11">
        <v>23</v>
      </c>
      <c r="AO25" s="12">
        <v>0.82609999999999995</v>
      </c>
      <c r="AP25" s="11">
        <v>12</v>
      </c>
      <c r="AQ25" s="11">
        <v>26</v>
      </c>
      <c r="AR25" s="11">
        <v>38</v>
      </c>
      <c r="AS25" s="11">
        <v>23</v>
      </c>
      <c r="AT25" s="11">
        <v>2</v>
      </c>
      <c r="AU25" s="11">
        <v>2</v>
      </c>
      <c r="AV25" s="11">
        <v>12</v>
      </c>
      <c r="AW25" s="11">
        <v>17</v>
      </c>
      <c r="AX25" s="12">
        <v>0.61509999999999998</v>
      </c>
      <c r="AY25" s="12">
        <v>0.61539999999999995</v>
      </c>
      <c r="AZ25" s="12">
        <v>0.1613</v>
      </c>
      <c r="BA25" s="12">
        <v>0.68420000000000003</v>
      </c>
      <c r="BB25" s="12">
        <v>0.44929999999999998</v>
      </c>
      <c r="BC25" s="4">
        <v>74.194999999999993</v>
      </c>
      <c r="BD25" s="12">
        <v>0.61109999999999998</v>
      </c>
      <c r="BE25" s="12">
        <v>0.1077</v>
      </c>
      <c r="BF25" s="12">
        <v>0.1129</v>
      </c>
      <c r="BG25" s="4">
        <v>118.5</v>
      </c>
      <c r="BH25" s="4">
        <v>114.4</v>
      </c>
      <c r="BI25" s="4">
        <v>73.4465</v>
      </c>
      <c r="BJ25" s="12">
        <v>0.56659999999999999</v>
      </c>
      <c r="BK25" s="12">
        <v>0.50780000000000003</v>
      </c>
      <c r="BL25" s="12">
        <v>0.31580000000000003</v>
      </c>
      <c r="BM25" s="12">
        <v>0.8387</v>
      </c>
      <c r="BN25" s="12">
        <v>0.55069999999999997</v>
      </c>
      <c r="BO25" s="4">
        <v>72.697999999999993</v>
      </c>
      <c r="BP25" s="12">
        <v>0.85189999999999999</v>
      </c>
      <c r="BQ25" s="12">
        <v>0.2969</v>
      </c>
      <c r="BR25" s="12">
        <v>0.13930000000000001</v>
      </c>
      <c r="BS25" s="4">
        <v>114.4</v>
      </c>
      <c r="BT25" s="4">
        <v>118.5</v>
      </c>
      <c r="BU25" s="11">
        <v>24</v>
      </c>
      <c r="BV25" s="11">
        <v>18</v>
      </c>
      <c r="BW25" s="11">
        <v>26</v>
      </c>
      <c r="BX25" s="11">
        <v>19</v>
      </c>
      <c r="BY25" s="11">
        <v>19</v>
      </c>
      <c r="BZ25" s="11">
        <v>21</v>
      </c>
      <c r="CA25" s="11">
        <v>21</v>
      </c>
      <c r="CB25" s="11">
        <v>23</v>
      </c>
      <c r="CC25" s="11">
        <v>42</v>
      </c>
      <c r="CD25" s="11">
        <v>45</v>
      </c>
      <c r="CE25" s="11">
        <v>40</v>
      </c>
      <c r="CF25" s="11">
        <v>44</v>
      </c>
      <c r="CG25" s="4">
        <v>2.1</v>
      </c>
      <c r="CH25" s="13">
        <v>1.76</v>
      </c>
      <c r="CI25" s="4">
        <v>-2</v>
      </c>
      <c r="CJ25" s="4">
        <v>-2</v>
      </c>
      <c r="CK25" s="4">
        <v>165.5</v>
      </c>
      <c r="CL25" s="2" t="s">
        <v>527</v>
      </c>
      <c r="CM25" s="4" t="str">
        <f>VLOOKUP(nancy[[#This Row],[Away_team]],all[[Full name]:[Abbr]],3,FALSE)</f>
        <v>DUN</v>
      </c>
      <c r="CN25" s="4">
        <f>IF(OR(nancy[[#This Row],[Result]]="w",nancy[[#This Row],[Result]]="dw"),nancy[[#This Row],[win]]-1,-1)</f>
        <v>1.1000000000000001</v>
      </c>
      <c r="CO25" s="4">
        <f>IF(OR(nancy[[#This Row],[Result]]="L",nancy[[#This Row],[Result]]="dl"),nancy[[#This Row],[lose]]-1,-1)</f>
        <v>-1</v>
      </c>
      <c r="CP25" s="4">
        <f>IF(OR((nancy[[#This Row],[Home_scored]]+nancy[[#This Row],[Away_scored]])&gt;nancy[[#This Row],[total]],OR(nancy[[#This Row],[Result]]="dw",nancy[[#This Row],[Result]]="dl")),1,0)</f>
        <v>1</v>
      </c>
      <c r="CQ25" s="4">
        <f>ABS((nancy[[#This Row],[Home_scored]]+nancy[[#This Row],[Away_scored]])-nancy[[#This Row],[total]])+0.5</f>
        <v>6</v>
      </c>
    </row>
    <row r="26" spans="1:95" x14ac:dyDescent="0.25">
      <c r="A26" s="2" t="s">
        <v>349</v>
      </c>
      <c r="B26" s="2" t="s">
        <v>333</v>
      </c>
      <c r="C26" s="3" t="s">
        <v>73</v>
      </c>
      <c r="D26" s="3">
        <v>45745</v>
      </c>
      <c r="E26" s="2" t="s">
        <v>74</v>
      </c>
      <c r="F26" s="2" t="s">
        <v>345</v>
      </c>
      <c r="G26" s="2" t="s">
        <v>139</v>
      </c>
      <c r="H26" s="11">
        <v>74</v>
      </c>
      <c r="I26" s="11">
        <v>80</v>
      </c>
      <c r="J26" s="11">
        <v>26</v>
      </c>
      <c r="K26" s="11">
        <v>55</v>
      </c>
      <c r="L26" s="12">
        <v>0.47270000000000001</v>
      </c>
      <c r="M26" s="11">
        <v>18</v>
      </c>
      <c r="N26" s="11">
        <v>29</v>
      </c>
      <c r="O26" s="12">
        <v>0.62070000000000003</v>
      </c>
      <c r="P26" s="11">
        <v>8</v>
      </c>
      <c r="Q26" s="11">
        <v>26</v>
      </c>
      <c r="R26" s="12">
        <v>0.30769999999999997</v>
      </c>
      <c r="S26" s="11">
        <v>14</v>
      </c>
      <c r="T26" s="11">
        <v>22</v>
      </c>
      <c r="U26" s="12">
        <v>0.63639999999999997</v>
      </c>
      <c r="V26" s="11">
        <v>10</v>
      </c>
      <c r="W26" s="11">
        <v>23</v>
      </c>
      <c r="X26" s="11">
        <v>33</v>
      </c>
      <c r="Y26" s="11">
        <v>14</v>
      </c>
      <c r="Z26" s="11">
        <v>1</v>
      </c>
      <c r="AA26" s="11">
        <v>2</v>
      </c>
      <c r="AB26" s="11">
        <v>7</v>
      </c>
      <c r="AC26" s="11">
        <v>21</v>
      </c>
      <c r="AD26" s="11">
        <v>29</v>
      </c>
      <c r="AE26" s="11">
        <v>65</v>
      </c>
      <c r="AF26" s="12">
        <v>0.44619999999999999</v>
      </c>
      <c r="AG26" s="11">
        <v>19</v>
      </c>
      <c r="AH26" s="11">
        <v>37</v>
      </c>
      <c r="AI26" s="12">
        <v>0.51349999999999996</v>
      </c>
      <c r="AJ26" s="11">
        <v>10</v>
      </c>
      <c r="AK26" s="11">
        <v>28</v>
      </c>
      <c r="AL26" s="12">
        <v>0.35709999999999997</v>
      </c>
      <c r="AM26" s="11">
        <v>12</v>
      </c>
      <c r="AN26" s="11">
        <v>16</v>
      </c>
      <c r="AO26" s="12">
        <v>0.75</v>
      </c>
      <c r="AP26" s="11">
        <v>15</v>
      </c>
      <c r="AQ26" s="11">
        <v>22</v>
      </c>
      <c r="AR26" s="11">
        <v>37</v>
      </c>
      <c r="AS26" s="11">
        <v>16</v>
      </c>
      <c r="AT26" s="11">
        <v>2</v>
      </c>
      <c r="AU26" s="11">
        <v>2</v>
      </c>
      <c r="AV26" s="11">
        <v>8</v>
      </c>
      <c r="AW26" s="11">
        <v>22</v>
      </c>
      <c r="AX26" s="12">
        <v>0.57199999999999995</v>
      </c>
      <c r="AY26" s="12">
        <v>0.54549999999999998</v>
      </c>
      <c r="AZ26" s="12">
        <v>0.3125</v>
      </c>
      <c r="BA26" s="12">
        <v>0.60529999999999995</v>
      </c>
      <c r="BB26" s="12">
        <v>0.47139999999999999</v>
      </c>
      <c r="BC26" s="4">
        <v>61.396999999999998</v>
      </c>
      <c r="BD26" s="12">
        <v>0.53849999999999998</v>
      </c>
      <c r="BE26" s="12">
        <v>0.2545</v>
      </c>
      <c r="BF26" s="12">
        <v>9.7699999999999995E-2</v>
      </c>
      <c r="BG26" s="4">
        <v>118.2</v>
      </c>
      <c r="BH26" s="4">
        <v>127.8</v>
      </c>
      <c r="BI26" s="4">
        <v>62.590499999999999</v>
      </c>
      <c r="BJ26" s="12">
        <v>0.55520000000000003</v>
      </c>
      <c r="BK26" s="12">
        <v>0.52310000000000001</v>
      </c>
      <c r="BL26" s="12">
        <v>0.3947</v>
      </c>
      <c r="BM26" s="12">
        <v>0.6875</v>
      </c>
      <c r="BN26" s="12">
        <v>0.52859999999999996</v>
      </c>
      <c r="BO26" s="4">
        <v>63.783999999999999</v>
      </c>
      <c r="BP26" s="12">
        <v>0.55169999999999997</v>
      </c>
      <c r="BQ26" s="12">
        <v>0.18459999999999999</v>
      </c>
      <c r="BR26" s="12">
        <v>0.1</v>
      </c>
      <c r="BS26" s="4">
        <v>127.8</v>
      </c>
      <c r="BT26" s="4">
        <v>118.2</v>
      </c>
      <c r="BU26" s="11">
        <v>15</v>
      </c>
      <c r="BV26" s="11">
        <v>16</v>
      </c>
      <c r="BW26" s="11">
        <v>23</v>
      </c>
      <c r="BX26" s="11">
        <v>20</v>
      </c>
      <c r="BY26" s="11">
        <v>19</v>
      </c>
      <c r="BZ26" s="11">
        <v>24</v>
      </c>
      <c r="CA26" s="11">
        <v>21</v>
      </c>
      <c r="CB26" s="11">
        <v>16</v>
      </c>
      <c r="CC26" s="11">
        <v>31</v>
      </c>
      <c r="CD26" s="11">
        <v>43</v>
      </c>
      <c r="CE26" s="11">
        <v>43</v>
      </c>
      <c r="CF26" s="11">
        <v>37</v>
      </c>
      <c r="CG26" s="4">
        <v>1.52</v>
      </c>
      <c r="CH26" s="13">
        <v>2.6</v>
      </c>
      <c r="CI26" s="4">
        <v>-4.5</v>
      </c>
      <c r="CJ26" s="4">
        <v>4.5</v>
      </c>
      <c r="CK26" s="4">
        <v>166.5</v>
      </c>
      <c r="CL26" s="2" t="s">
        <v>532</v>
      </c>
      <c r="CM26" s="4" t="str">
        <f>VLOOKUP(nancy[[#This Row],[Away_team]],all[[Full name]:[Abbr]],3,FALSE)</f>
        <v>STR</v>
      </c>
      <c r="CN26" s="4">
        <f>IF(OR(nancy[[#This Row],[Result]]="w",nancy[[#This Row],[Result]]="dw"),nancy[[#This Row],[win]]-1,-1)</f>
        <v>-1</v>
      </c>
      <c r="CO26" s="4">
        <f>IF(OR(nancy[[#This Row],[Result]]="L",nancy[[#This Row],[Result]]="dl"),nancy[[#This Row],[lose]]-1,-1)</f>
        <v>1.6</v>
      </c>
      <c r="CP26" s="4">
        <f>IF(OR((nancy[[#This Row],[Home_scored]]+nancy[[#This Row],[Away_scored]])&gt;nancy[[#This Row],[total]],OR(nancy[[#This Row],[Result]]="dw",nancy[[#This Row],[Result]]="dl")),1,0)</f>
        <v>0</v>
      </c>
      <c r="CQ26" s="4">
        <f>ABS((nancy[[#This Row],[Home_scored]]+nancy[[#This Row],[Away_scored]])-nancy[[#This Row],[total]])+0.5</f>
        <v>13</v>
      </c>
    </row>
    <row r="27" spans="1:95" x14ac:dyDescent="0.25">
      <c r="A27" s="2" t="s">
        <v>349</v>
      </c>
      <c r="B27" s="2" t="s">
        <v>333</v>
      </c>
      <c r="C27" s="3" t="s">
        <v>73</v>
      </c>
      <c r="D27" s="3">
        <v>45751</v>
      </c>
      <c r="E27" s="2" t="s">
        <v>140</v>
      </c>
      <c r="F27" s="2" t="s">
        <v>323</v>
      </c>
      <c r="G27" s="2" t="s">
        <v>75</v>
      </c>
      <c r="H27" s="11">
        <v>88</v>
      </c>
      <c r="I27" s="11">
        <v>79</v>
      </c>
      <c r="J27" s="11">
        <v>32</v>
      </c>
      <c r="K27" s="11">
        <v>60</v>
      </c>
      <c r="L27" s="12">
        <v>0.5333</v>
      </c>
      <c r="M27" s="11">
        <v>20</v>
      </c>
      <c r="N27" s="11">
        <v>32</v>
      </c>
      <c r="O27" s="12">
        <v>0.625</v>
      </c>
      <c r="P27" s="11">
        <v>12</v>
      </c>
      <c r="Q27" s="11">
        <v>28</v>
      </c>
      <c r="R27" s="12">
        <v>0.42859999999999998</v>
      </c>
      <c r="S27" s="11">
        <v>12</v>
      </c>
      <c r="T27" s="11">
        <v>15</v>
      </c>
      <c r="U27" s="12">
        <v>0.8</v>
      </c>
      <c r="V27" s="11">
        <v>4</v>
      </c>
      <c r="W27" s="11">
        <v>28</v>
      </c>
      <c r="X27" s="11">
        <v>32</v>
      </c>
      <c r="Y27" s="11">
        <v>23</v>
      </c>
      <c r="Z27" s="11">
        <v>7</v>
      </c>
      <c r="AA27" s="11">
        <v>3</v>
      </c>
      <c r="AB27" s="11">
        <v>13</v>
      </c>
      <c r="AC27" s="11">
        <v>22</v>
      </c>
      <c r="AD27" s="11">
        <v>29</v>
      </c>
      <c r="AE27" s="11">
        <v>64</v>
      </c>
      <c r="AF27" s="12">
        <v>0.4531</v>
      </c>
      <c r="AG27" s="11">
        <v>22</v>
      </c>
      <c r="AH27" s="11">
        <v>38</v>
      </c>
      <c r="AI27" s="12">
        <v>0.57889999999999997</v>
      </c>
      <c r="AJ27" s="11">
        <v>7</v>
      </c>
      <c r="AK27" s="11">
        <v>26</v>
      </c>
      <c r="AL27" s="12">
        <v>0.26919999999999999</v>
      </c>
      <c r="AM27" s="11">
        <v>14</v>
      </c>
      <c r="AN27" s="11">
        <v>16</v>
      </c>
      <c r="AO27" s="12">
        <v>0.875</v>
      </c>
      <c r="AP27" s="11">
        <v>8</v>
      </c>
      <c r="AQ27" s="11">
        <v>26</v>
      </c>
      <c r="AR27" s="11">
        <v>34</v>
      </c>
      <c r="AS27" s="11">
        <v>22</v>
      </c>
      <c r="AT27" s="11">
        <v>4</v>
      </c>
      <c r="AU27" s="11">
        <v>0</v>
      </c>
      <c r="AV27" s="11">
        <v>12</v>
      </c>
      <c r="AW27" s="11">
        <v>17</v>
      </c>
      <c r="AX27" s="12">
        <v>0.66069999999999995</v>
      </c>
      <c r="AY27" s="12">
        <v>0.63329999999999997</v>
      </c>
      <c r="AZ27" s="12">
        <v>0.1333</v>
      </c>
      <c r="BA27" s="12">
        <v>0.77780000000000005</v>
      </c>
      <c r="BB27" s="12">
        <v>0.48480000000000001</v>
      </c>
      <c r="BC27" s="4">
        <v>75.254999999999995</v>
      </c>
      <c r="BD27" s="12">
        <v>0.71879999999999999</v>
      </c>
      <c r="BE27" s="12">
        <v>0.2</v>
      </c>
      <c r="BF27" s="12">
        <v>0.1633</v>
      </c>
      <c r="BG27" s="4">
        <v>118.2</v>
      </c>
      <c r="BH27" s="4">
        <v>106.2</v>
      </c>
      <c r="BI27" s="4">
        <v>74.421499999999995</v>
      </c>
      <c r="BJ27" s="12">
        <v>0.55600000000000005</v>
      </c>
      <c r="BK27" s="12">
        <v>0.50780000000000003</v>
      </c>
      <c r="BL27" s="12">
        <v>0.22220000000000001</v>
      </c>
      <c r="BM27" s="12">
        <v>0.86670000000000003</v>
      </c>
      <c r="BN27" s="12">
        <v>0.51519999999999999</v>
      </c>
      <c r="BO27" s="4">
        <v>73.587999999999994</v>
      </c>
      <c r="BP27" s="12">
        <v>0.75860000000000005</v>
      </c>
      <c r="BQ27" s="12">
        <v>0.21879999999999999</v>
      </c>
      <c r="BR27" s="12">
        <v>0.14449999999999999</v>
      </c>
      <c r="BS27" s="4">
        <v>106.2</v>
      </c>
      <c r="BT27" s="4">
        <v>118.2</v>
      </c>
      <c r="BU27" s="11">
        <v>24</v>
      </c>
      <c r="BV27" s="11">
        <v>15</v>
      </c>
      <c r="BW27" s="11">
        <v>23</v>
      </c>
      <c r="BX27" s="11">
        <v>26</v>
      </c>
      <c r="BY27" s="11">
        <v>29</v>
      </c>
      <c r="BZ27" s="11">
        <v>19</v>
      </c>
      <c r="CA27" s="11">
        <v>17</v>
      </c>
      <c r="CB27" s="11">
        <v>14</v>
      </c>
      <c r="CC27" s="11">
        <v>39</v>
      </c>
      <c r="CD27" s="11">
        <v>49</v>
      </c>
      <c r="CE27" s="11">
        <v>48</v>
      </c>
      <c r="CF27" s="11">
        <v>31</v>
      </c>
      <c r="CG27" s="4">
        <v>1.52</v>
      </c>
      <c r="CH27" s="13">
        <v>2.6</v>
      </c>
      <c r="CI27" s="4">
        <v>-4.5</v>
      </c>
      <c r="CJ27" s="4">
        <v>4.5</v>
      </c>
      <c r="CK27" s="4">
        <v>161.5</v>
      </c>
      <c r="CL27" s="2" t="s">
        <v>538</v>
      </c>
      <c r="CM27" s="4" t="e">
        <f>VLOOKUP(nancy[[#This Row],[Away_team]],all[[Full name]:[Abbr]],3,FALSE)</f>
        <v>#N/A</v>
      </c>
      <c r="CN27" s="4">
        <f>IF(OR(nancy[[#This Row],[Result]]="w",nancy[[#This Row],[Result]]="dw"),nancy[[#This Row],[win]]-1,-1)</f>
        <v>0.52</v>
      </c>
      <c r="CO27" s="4">
        <f>IF(OR(nancy[[#This Row],[Result]]="L",nancy[[#This Row],[Result]]="dl"),nancy[[#This Row],[lose]]-1,-1)</f>
        <v>-1</v>
      </c>
      <c r="CP27" s="4">
        <f>IF(OR((nancy[[#This Row],[Home_scored]]+nancy[[#This Row],[Away_scored]])&gt;nancy[[#This Row],[total]],OR(nancy[[#This Row],[Result]]="dw",nancy[[#This Row],[Result]]="dl")),1,0)</f>
        <v>1</v>
      </c>
      <c r="CQ27" s="4">
        <f>ABS((nancy[[#This Row],[Home_scored]]+nancy[[#This Row],[Away_scored]])-nancy[[#This Row],[total]])+0.5</f>
        <v>6</v>
      </c>
    </row>
    <row r="28" spans="1:95" x14ac:dyDescent="0.25">
      <c r="A28" s="2" t="s">
        <v>349</v>
      </c>
      <c r="B28" s="2" t="s">
        <v>333</v>
      </c>
      <c r="C28" s="3" t="s">
        <v>73</v>
      </c>
      <c r="D28" s="3">
        <v>45759</v>
      </c>
      <c r="E28" s="2" t="s">
        <v>140</v>
      </c>
      <c r="F28" s="2" t="s">
        <v>305</v>
      </c>
      <c r="G28" s="2" t="s">
        <v>139</v>
      </c>
      <c r="H28" s="11">
        <v>73</v>
      </c>
      <c r="I28" s="11">
        <v>103</v>
      </c>
      <c r="J28" s="11">
        <v>27</v>
      </c>
      <c r="K28" s="11">
        <v>60</v>
      </c>
      <c r="L28" s="12">
        <v>0.45</v>
      </c>
      <c r="M28" s="11">
        <v>19</v>
      </c>
      <c r="N28" s="11">
        <v>36</v>
      </c>
      <c r="O28" s="12">
        <v>0.52780000000000005</v>
      </c>
      <c r="P28" s="11">
        <v>8</v>
      </c>
      <c r="Q28" s="11">
        <v>24</v>
      </c>
      <c r="R28" s="12">
        <v>0.33329999999999999</v>
      </c>
      <c r="S28" s="11">
        <v>11</v>
      </c>
      <c r="T28" s="11">
        <v>16</v>
      </c>
      <c r="U28" s="12">
        <v>0.6875</v>
      </c>
      <c r="V28" s="11">
        <v>5</v>
      </c>
      <c r="W28" s="11">
        <v>20</v>
      </c>
      <c r="X28" s="11">
        <v>25</v>
      </c>
      <c r="Y28" s="11">
        <v>13</v>
      </c>
      <c r="Z28" s="11">
        <v>4</v>
      </c>
      <c r="AA28" s="11">
        <v>1</v>
      </c>
      <c r="AB28" s="11">
        <v>9</v>
      </c>
      <c r="AC28" s="11">
        <v>12</v>
      </c>
      <c r="AD28" s="11">
        <v>39</v>
      </c>
      <c r="AE28" s="11">
        <v>70</v>
      </c>
      <c r="AF28" s="12">
        <v>0.55710000000000004</v>
      </c>
      <c r="AG28" s="11">
        <v>27</v>
      </c>
      <c r="AH28" s="11">
        <v>39</v>
      </c>
      <c r="AI28" s="12">
        <v>0.69230000000000003</v>
      </c>
      <c r="AJ28" s="11">
        <v>12</v>
      </c>
      <c r="AK28" s="11">
        <v>31</v>
      </c>
      <c r="AL28" s="12">
        <v>0.3871</v>
      </c>
      <c r="AM28" s="11">
        <v>13</v>
      </c>
      <c r="AN28" s="11">
        <v>17</v>
      </c>
      <c r="AO28" s="12">
        <v>0.76470000000000005</v>
      </c>
      <c r="AP28" s="11">
        <v>10</v>
      </c>
      <c r="AQ28" s="11">
        <v>22</v>
      </c>
      <c r="AR28" s="11">
        <v>32</v>
      </c>
      <c r="AS28" s="11">
        <v>15</v>
      </c>
      <c r="AT28" s="11">
        <v>2</v>
      </c>
      <c r="AU28" s="11">
        <v>2</v>
      </c>
      <c r="AV28" s="11">
        <v>8</v>
      </c>
      <c r="AW28" s="11">
        <v>13</v>
      </c>
      <c r="AX28" s="12">
        <v>0.54449999999999998</v>
      </c>
      <c r="AY28" s="12">
        <v>0.51670000000000005</v>
      </c>
      <c r="AZ28" s="12">
        <v>0.1852</v>
      </c>
      <c r="BA28" s="12">
        <v>0.66669999999999996</v>
      </c>
      <c r="BB28" s="12">
        <v>0.43859999999999999</v>
      </c>
      <c r="BC28" s="4">
        <v>68.337999999999994</v>
      </c>
      <c r="BD28" s="12">
        <v>0.48149999999999998</v>
      </c>
      <c r="BE28" s="12">
        <v>0.18329999999999999</v>
      </c>
      <c r="BF28" s="12">
        <v>0.11840000000000001</v>
      </c>
      <c r="BG28" s="4">
        <v>102.3</v>
      </c>
      <c r="BH28" s="4">
        <v>144.30000000000001</v>
      </c>
      <c r="BI28" s="4">
        <v>71.385999999999996</v>
      </c>
      <c r="BJ28" s="12">
        <v>0.66469999999999996</v>
      </c>
      <c r="BK28" s="12">
        <v>0.64290000000000003</v>
      </c>
      <c r="BL28" s="12">
        <v>0.33329999999999999</v>
      </c>
      <c r="BM28" s="12">
        <v>0.81479999999999997</v>
      </c>
      <c r="BN28" s="12">
        <v>0.56140000000000001</v>
      </c>
      <c r="BO28" s="4">
        <v>74.433999999999997</v>
      </c>
      <c r="BP28" s="12">
        <v>0.3846</v>
      </c>
      <c r="BQ28" s="12">
        <v>0.1857</v>
      </c>
      <c r="BR28" s="12">
        <v>9.3600000000000003E-2</v>
      </c>
      <c r="BS28" s="4">
        <v>144.30000000000001</v>
      </c>
      <c r="BT28" s="4">
        <v>102.3</v>
      </c>
      <c r="BU28" s="11">
        <v>15</v>
      </c>
      <c r="BV28" s="11">
        <v>18</v>
      </c>
      <c r="BW28" s="11">
        <v>23</v>
      </c>
      <c r="BX28" s="11">
        <v>17</v>
      </c>
      <c r="BY28" s="11">
        <v>26</v>
      </c>
      <c r="BZ28" s="11">
        <v>25</v>
      </c>
      <c r="CA28" s="11">
        <v>18</v>
      </c>
      <c r="CB28" s="11">
        <v>34</v>
      </c>
      <c r="CC28" s="11">
        <v>33</v>
      </c>
      <c r="CD28" s="11">
        <v>40</v>
      </c>
      <c r="CE28" s="11">
        <v>51</v>
      </c>
      <c r="CF28" s="11">
        <v>52</v>
      </c>
      <c r="CG28" s="4">
        <v>2.2000000000000002</v>
      </c>
      <c r="CH28" s="13">
        <v>1.71</v>
      </c>
      <c r="CI28" s="4">
        <v>2.5</v>
      </c>
      <c r="CJ28" s="4">
        <v>-2.5</v>
      </c>
      <c r="CK28" s="4">
        <v>170.5</v>
      </c>
      <c r="CL28" s="2" t="s">
        <v>550</v>
      </c>
      <c r="CM28" s="4" t="str">
        <f>VLOOKUP(nancy[[#This Row],[Away_team]],all[[Full name]:[Abbr]],3,FALSE)</f>
        <v>CHA</v>
      </c>
      <c r="CN28" s="4">
        <f>IF(OR(nancy[[#This Row],[Result]]="w",nancy[[#This Row],[Result]]="dw"),nancy[[#This Row],[win]]-1,-1)</f>
        <v>-1</v>
      </c>
      <c r="CO28" s="4">
        <f>IF(OR(nancy[[#This Row],[Result]]="L",nancy[[#This Row],[Result]]="dl"),nancy[[#This Row],[lose]]-1,-1)</f>
        <v>0.71</v>
      </c>
      <c r="CP28" s="4">
        <f>IF(OR((nancy[[#This Row],[Home_scored]]+nancy[[#This Row],[Away_scored]])&gt;nancy[[#This Row],[total]],OR(nancy[[#This Row],[Result]]="dw",nancy[[#This Row],[Result]]="dl")),1,0)</f>
        <v>1</v>
      </c>
      <c r="CQ28" s="4">
        <f>ABS((nancy[[#This Row],[Home_scored]]+nancy[[#This Row],[Away_scored]])-nancy[[#This Row],[total]])+0.5</f>
        <v>6</v>
      </c>
    </row>
    <row r="29" spans="1:95" x14ac:dyDescent="0.25">
      <c r="A29" s="2" t="s">
        <v>349</v>
      </c>
      <c r="B29" s="2" t="s">
        <v>333</v>
      </c>
      <c r="C29" s="3" t="s">
        <v>73</v>
      </c>
      <c r="D29" s="3">
        <v>45766</v>
      </c>
      <c r="E29" s="2" t="s">
        <v>74</v>
      </c>
      <c r="F29" s="2" t="s">
        <v>320</v>
      </c>
      <c r="G29" s="2" t="s">
        <v>75</v>
      </c>
      <c r="H29" s="11">
        <v>85</v>
      </c>
      <c r="I29" s="11">
        <v>78</v>
      </c>
      <c r="J29" s="11">
        <v>29</v>
      </c>
      <c r="K29" s="11">
        <v>58</v>
      </c>
      <c r="L29" s="12">
        <v>0.5</v>
      </c>
      <c r="M29" s="11">
        <v>23</v>
      </c>
      <c r="N29" s="11">
        <v>37</v>
      </c>
      <c r="O29" s="12">
        <v>0.62160000000000004</v>
      </c>
      <c r="P29" s="11">
        <v>6</v>
      </c>
      <c r="Q29" s="11">
        <v>21</v>
      </c>
      <c r="R29" s="12">
        <v>0.28570000000000001</v>
      </c>
      <c r="S29" s="11">
        <v>21</v>
      </c>
      <c r="T29" s="11">
        <v>25</v>
      </c>
      <c r="U29" s="12">
        <v>0.84</v>
      </c>
      <c r="V29" s="11">
        <v>10</v>
      </c>
      <c r="W29" s="11">
        <v>24</v>
      </c>
      <c r="X29" s="11">
        <v>34</v>
      </c>
      <c r="Y29" s="11">
        <v>16</v>
      </c>
      <c r="Z29" s="11">
        <v>7</v>
      </c>
      <c r="AA29" s="11">
        <v>3</v>
      </c>
      <c r="AB29" s="11">
        <v>14</v>
      </c>
      <c r="AC29" s="11">
        <v>18</v>
      </c>
      <c r="AD29" s="11">
        <v>25</v>
      </c>
      <c r="AE29" s="11">
        <v>58</v>
      </c>
      <c r="AF29" s="12">
        <v>0.43099999999999999</v>
      </c>
      <c r="AG29" s="11">
        <v>15</v>
      </c>
      <c r="AH29" s="11">
        <v>29</v>
      </c>
      <c r="AI29" s="12">
        <v>0.51719999999999999</v>
      </c>
      <c r="AJ29" s="11">
        <v>10</v>
      </c>
      <c r="AK29" s="11">
        <v>29</v>
      </c>
      <c r="AL29" s="12">
        <v>0.3448</v>
      </c>
      <c r="AM29" s="11">
        <v>18</v>
      </c>
      <c r="AN29" s="11">
        <v>24</v>
      </c>
      <c r="AO29" s="12">
        <v>0.75</v>
      </c>
      <c r="AP29" s="11">
        <v>12</v>
      </c>
      <c r="AQ29" s="11">
        <v>19</v>
      </c>
      <c r="AR29" s="11">
        <v>31</v>
      </c>
      <c r="AS29" s="11">
        <v>19</v>
      </c>
      <c r="AT29" s="11">
        <v>7</v>
      </c>
      <c r="AU29" s="11">
        <v>4</v>
      </c>
      <c r="AV29" s="11">
        <v>19</v>
      </c>
      <c r="AW29" s="11">
        <v>26</v>
      </c>
      <c r="AX29" s="12">
        <v>0.6159</v>
      </c>
      <c r="AY29" s="12">
        <v>0.55169999999999997</v>
      </c>
      <c r="AZ29" s="12">
        <v>0.3448</v>
      </c>
      <c r="BA29" s="12">
        <v>0.66669999999999996</v>
      </c>
      <c r="BB29" s="12">
        <v>0.52310000000000001</v>
      </c>
      <c r="BC29" s="4">
        <v>72.873999999999995</v>
      </c>
      <c r="BD29" s="12">
        <v>0.55169999999999997</v>
      </c>
      <c r="BE29" s="12">
        <v>0.36209999999999998</v>
      </c>
      <c r="BF29" s="12">
        <v>0.16869999999999999</v>
      </c>
      <c r="BG29" s="4">
        <v>116.6</v>
      </c>
      <c r="BH29" s="4">
        <v>107</v>
      </c>
      <c r="BI29" s="4">
        <v>72.903000000000006</v>
      </c>
      <c r="BJ29" s="12">
        <v>0.56879999999999997</v>
      </c>
      <c r="BK29" s="12">
        <v>0.51719999999999999</v>
      </c>
      <c r="BL29" s="12">
        <v>0.33329999999999999</v>
      </c>
      <c r="BM29" s="12">
        <v>0.6552</v>
      </c>
      <c r="BN29" s="12">
        <v>0.47689999999999999</v>
      </c>
      <c r="BO29" s="4">
        <v>72.932000000000002</v>
      </c>
      <c r="BP29" s="12">
        <v>0.76</v>
      </c>
      <c r="BQ29" s="12">
        <v>0.31030000000000002</v>
      </c>
      <c r="BR29" s="12">
        <v>0.217</v>
      </c>
      <c r="BS29" s="4">
        <v>107</v>
      </c>
      <c r="BT29" s="4">
        <v>116.6</v>
      </c>
      <c r="BU29" s="11">
        <v>21</v>
      </c>
      <c r="BV29" s="11">
        <v>19</v>
      </c>
      <c r="BW29" s="11">
        <v>24</v>
      </c>
      <c r="BX29" s="11">
        <v>21</v>
      </c>
      <c r="BY29" s="11">
        <v>16</v>
      </c>
      <c r="BZ29" s="11">
        <v>21</v>
      </c>
      <c r="CA29" s="11">
        <v>18</v>
      </c>
      <c r="CB29" s="11">
        <v>23</v>
      </c>
      <c r="CC29" s="11">
        <v>40</v>
      </c>
      <c r="CD29" s="11">
        <v>45</v>
      </c>
      <c r="CE29" s="11">
        <v>37</v>
      </c>
      <c r="CF29" s="11">
        <v>41</v>
      </c>
      <c r="CG29" s="4">
        <v>1.26</v>
      </c>
      <c r="CH29" s="13">
        <v>4</v>
      </c>
      <c r="CI29" s="4">
        <v>-8.5</v>
      </c>
      <c r="CJ29" s="4">
        <v>8.5</v>
      </c>
      <c r="CK29" s="4">
        <v>163.5</v>
      </c>
      <c r="CL29" s="2" t="s">
        <v>557</v>
      </c>
      <c r="CM29" s="4" t="str">
        <f>VLOOKUP(nancy[[#This Row],[Away_team]],all[[Full name]:[Abbr]],3,FALSE)</f>
        <v>POR</v>
      </c>
      <c r="CN29" s="4">
        <f>IF(OR(nancy[[#This Row],[Result]]="w",nancy[[#This Row],[Result]]="dw"),nancy[[#This Row],[win]]-1,-1)</f>
        <v>0.26</v>
      </c>
      <c r="CO29" s="4">
        <f>IF(OR(nancy[[#This Row],[Result]]="L",nancy[[#This Row],[Result]]="dl"),nancy[[#This Row],[lose]]-1,-1)</f>
        <v>-1</v>
      </c>
      <c r="CP29" s="4">
        <f>IF(OR((nancy[[#This Row],[Home_scored]]+nancy[[#This Row],[Away_scored]])&gt;nancy[[#This Row],[total]],OR(nancy[[#This Row],[Result]]="dw",nancy[[#This Row],[Result]]="dl")),1,0)</f>
        <v>0</v>
      </c>
      <c r="CQ29" s="4">
        <f>ABS((nancy[[#This Row],[Home_scored]]+nancy[[#This Row],[Away_scored]])-nancy[[#This Row],[total]])+0.5</f>
        <v>1</v>
      </c>
    </row>
    <row r="30" spans="1:95" x14ac:dyDescent="0.25">
      <c r="A30" s="2" t="s">
        <v>349</v>
      </c>
      <c r="B30" s="2" t="s">
        <v>333</v>
      </c>
      <c r="C30" s="3" t="s">
        <v>73</v>
      </c>
      <c r="D30" s="3">
        <v>45772</v>
      </c>
      <c r="E30" s="2" t="s">
        <v>140</v>
      </c>
      <c r="F30" s="2" t="s">
        <v>327</v>
      </c>
      <c r="G30" s="2" t="s">
        <v>139</v>
      </c>
      <c r="H30" s="11">
        <v>82</v>
      </c>
      <c r="I30" s="11">
        <v>92</v>
      </c>
      <c r="J30" s="11">
        <v>27</v>
      </c>
      <c r="K30" s="11">
        <v>61</v>
      </c>
      <c r="L30" s="12">
        <v>0.44259999999999999</v>
      </c>
      <c r="M30" s="11">
        <v>19</v>
      </c>
      <c r="N30" s="11">
        <v>39</v>
      </c>
      <c r="O30" s="12">
        <v>0.48720000000000002</v>
      </c>
      <c r="P30" s="11">
        <v>8</v>
      </c>
      <c r="Q30" s="11">
        <v>22</v>
      </c>
      <c r="R30" s="12">
        <v>0.36359999999999998</v>
      </c>
      <c r="S30" s="11">
        <v>20</v>
      </c>
      <c r="T30" s="11">
        <v>27</v>
      </c>
      <c r="U30" s="12">
        <v>0.74070000000000003</v>
      </c>
      <c r="V30" s="11">
        <v>10</v>
      </c>
      <c r="W30" s="11">
        <v>21</v>
      </c>
      <c r="X30" s="11">
        <v>31</v>
      </c>
      <c r="Y30" s="11">
        <v>21</v>
      </c>
      <c r="Z30" s="11">
        <v>3</v>
      </c>
      <c r="AA30" s="11">
        <v>1</v>
      </c>
      <c r="AB30" s="11">
        <v>12</v>
      </c>
      <c r="AC30" s="11">
        <v>23</v>
      </c>
      <c r="AD30" s="11">
        <v>34</v>
      </c>
      <c r="AE30" s="11">
        <v>70</v>
      </c>
      <c r="AF30" s="12">
        <v>0.48570000000000002</v>
      </c>
      <c r="AG30" s="11">
        <v>26</v>
      </c>
      <c r="AH30" s="11">
        <v>37</v>
      </c>
      <c r="AI30" s="12">
        <v>0.70269999999999999</v>
      </c>
      <c r="AJ30" s="11">
        <v>8</v>
      </c>
      <c r="AK30" s="11">
        <v>33</v>
      </c>
      <c r="AL30" s="12">
        <v>0.2424</v>
      </c>
      <c r="AM30" s="11">
        <v>16</v>
      </c>
      <c r="AN30" s="11">
        <v>25</v>
      </c>
      <c r="AO30" s="12">
        <v>0.64</v>
      </c>
      <c r="AP30" s="11">
        <v>18</v>
      </c>
      <c r="AQ30" s="11">
        <v>25</v>
      </c>
      <c r="AR30" s="11">
        <v>43</v>
      </c>
      <c r="AS30" s="11">
        <v>26</v>
      </c>
      <c r="AT30" s="11">
        <v>6</v>
      </c>
      <c r="AU30" s="11">
        <v>3</v>
      </c>
      <c r="AV30" s="11">
        <v>12</v>
      </c>
      <c r="AW30" s="11">
        <v>21</v>
      </c>
      <c r="AX30" s="12">
        <v>0.56259999999999999</v>
      </c>
      <c r="AY30" s="12">
        <v>0.50819999999999999</v>
      </c>
      <c r="AZ30" s="12">
        <v>0.28570000000000001</v>
      </c>
      <c r="BA30" s="12">
        <v>0.53849999999999998</v>
      </c>
      <c r="BB30" s="12">
        <v>0.41889999999999999</v>
      </c>
      <c r="BC30" s="4">
        <v>72.064999999999998</v>
      </c>
      <c r="BD30" s="12">
        <v>0.77780000000000005</v>
      </c>
      <c r="BE30" s="12">
        <v>0.32790000000000002</v>
      </c>
      <c r="BF30" s="12">
        <v>0.1414</v>
      </c>
      <c r="BG30" s="4">
        <v>110.9</v>
      </c>
      <c r="BH30" s="4">
        <v>124.4</v>
      </c>
      <c r="BI30" s="4">
        <v>73.97</v>
      </c>
      <c r="BJ30" s="12">
        <v>0.56789999999999996</v>
      </c>
      <c r="BK30" s="12">
        <v>0.54290000000000005</v>
      </c>
      <c r="BL30" s="12">
        <v>0.46150000000000002</v>
      </c>
      <c r="BM30" s="12">
        <v>0.71430000000000005</v>
      </c>
      <c r="BN30" s="12">
        <v>0.58109999999999995</v>
      </c>
      <c r="BO30" s="4">
        <v>75.875</v>
      </c>
      <c r="BP30" s="12">
        <v>0.76470000000000005</v>
      </c>
      <c r="BQ30" s="12">
        <v>0.2286</v>
      </c>
      <c r="BR30" s="12">
        <v>0.129</v>
      </c>
      <c r="BS30" s="4">
        <v>124.4</v>
      </c>
      <c r="BT30" s="4">
        <v>110.9</v>
      </c>
      <c r="BU30" s="11">
        <v>13</v>
      </c>
      <c r="BV30" s="11">
        <v>25</v>
      </c>
      <c r="BW30" s="11">
        <v>19</v>
      </c>
      <c r="BX30" s="11">
        <v>25</v>
      </c>
      <c r="BY30" s="11">
        <v>25</v>
      </c>
      <c r="BZ30" s="11">
        <v>31</v>
      </c>
      <c r="CA30" s="11">
        <v>19</v>
      </c>
      <c r="CB30" s="11">
        <v>17</v>
      </c>
      <c r="CC30" s="11">
        <v>38</v>
      </c>
      <c r="CD30" s="11">
        <v>44</v>
      </c>
      <c r="CE30" s="11">
        <v>56</v>
      </c>
      <c r="CF30" s="11">
        <v>36</v>
      </c>
      <c r="CG30" s="4">
        <v>6.25</v>
      </c>
      <c r="CH30" s="13">
        <v>1.1299999999999999</v>
      </c>
      <c r="CI30" s="4">
        <v>-12</v>
      </c>
      <c r="CJ30" s="4">
        <v>-12</v>
      </c>
      <c r="CK30" s="4">
        <v>172.5</v>
      </c>
      <c r="CL30" s="2" t="s">
        <v>562</v>
      </c>
      <c r="CM30" s="4" t="str">
        <f>VLOOKUP(nancy[[#This Row],[Away_team]],all[[Full name]:[Abbr]],3,FALSE)</f>
        <v>LYO</v>
      </c>
      <c r="CN30" s="4">
        <f>IF(OR(nancy[[#This Row],[Result]]="w",nancy[[#This Row],[Result]]="dw"),nancy[[#This Row],[win]]-1,-1)</f>
        <v>-1</v>
      </c>
      <c r="CO30" s="4">
        <f>IF(OR(nancy[[#This Row],[Result]]="L",nancy[[#This Row],[Result]]="dl"),nancy[[#This Row],[lose]]-1,-1)</f>
        <v>0.12999999999999989</v>
      </c>
      <c r="CP30" s="4">
        <f>IF(OR((nancy[[#This Row],[Home_scored]]+nancy[[#This Row],[Away_scored]])&gt;nancy[[#This Row],[total]],OR(nancy[[#This Row],[Result]]="dw",nancy[[#This Row],[Result]]="dl")),1,0)</f>
        <v>1</v>
      </c>
      <c r="CQ30" s="4">
        <f>ABS((nancy[[#This Row],[Home_scored]]+nancy[[#This Row],[Away_scored]])-nancy[[#This Row],[total]])+0.5</f>
        <v>2</v>
      </c>
    </row>
    <row r="31" spans="1:95" x14ac:dyDescent="0.25">
      <c r="A31" s="2" t="s">
        <v>349</v>
      </c>
      <c r="B31" s="2" t="s">
        <v>333</v>
      </c>
      <c r="C31" s="3" t="s">
        <v>73</v>
      </c>
      <c r="D31" s="3">
        <v>45779</v>
      </c>
      <c r="E31" s="2" t="s">
        <v>74</v>
      </c>
      <c r="F31" s="2" t="s">
        <v>336</v>
      </c>
      <c r="G31" s="2" t="s">
        <v>75</v>
      </c>
      <c r="H31" s="11">
        <v>96</v>
      </c>
      <c r="I31" s="11">
        <v>81</v>
      </c>
      <c r="J31" s="11">
        <v>35</v>
      </c>
      <c r="K31" s="11">
        <v>63</v>
      </c>
      <c r="L31" s="12">
        <v>0.55559999999999998</v>
      </c>
      <c r="M31" s="11">
        <v>24</v>
      </c>
      <c r="N31" s="11">
        <v>35</v>
      </c>
      <c r="O31" s="12">
        <v>0.68569999999999998</v>
      </c>
      <c r="P31" s="11">
        <v>11</v>
      </c>
      <c r="Q31" s="11">
        <v>28</v>
      </c>
      <c r="R31" s="12">
        <v>0.39290000000000003</v>
      </c>
      <c r="S31" s="11">
        <v>15</v>
      </c>
      <c r="T31" s="11">
        <v>26</v>
      </c>
      <c r="U31" s="12">
        <v>0.57689999999999997</v>
      </c>
      <c r="V31" s="11">
        <v>8</v>
      </c>
      <c r="W31" s="11">
        <v>26</v>
      </c>
      <c r="X31" s="11">
        <v>34</v>
      </c>
      <c r="Y31" s="11">
        <v>21</v>
      </c>
      <c r="Z31" s="11">
        <v>12</v>
      </c>
      <c r="AA31" s="11">
        <v>4</v>
      </c>
      <c r="AB31" s="11">
        <v>13</v>
      </c>
      <c r="AC31" s="11">
        <v>17</v>
      </c>
      <c r="AD31" s="11">
        <v>31</v>
      </c>
      <c r="AE31" s="11">
        <v>71</v>
      </c>
      <c r="AF31" s="12">
        <v>0.43659999999999999</v>
      </c>
      <c r="AG31" s="11">
        <v>25</v>
      </c>
      <c r="AH31" s="11">
        <v>45</v>
      </c>
      <c r="AI31" s="12">
        <v>0.55559999999999998</v>
      </c>
      <c r="AJ31" s="11">
        <v>6</v>
      </c>
      <c r="AK31" s="11">
        <v>26</v>
      </c>
      <c r="AL31" s="12">
        <v>0.23080000000000001</v>
      </c>
      <c r="AM31" s="11">
        <v>13</v>
      </c>
      <c r="AN31" s="11">
        <v>17</v>
      </c>
      <c r="AO31" s="12">
        <v>0.76470000000000005</v>
      </c>
      <c r="AP31" s="11">
        <v>15</v>
      </c>
      <c r="AQ31" s="11">
        <v>23</v>
      </c>
      <c r="AR31" s="11">
        <v>38</v>
      </c>
      <c r="AS31" s="11">
        <v>24</v>
      </c>
      <c r="AT31" s="11">
        <v>7</v>
      </c>
      <c r="AU31" s="11">
        <v>1</v>
      </c>
      <c r="AV31" s="11">
        <v>15</v>
      </c>
      <c r="AW31" s="11">
        <v>20</v>
      </c>
      <c r="AX31" s="12">
        <v>0.64480000000000004</v>
      </c>
      <c r="AY31" s="12">
        <v>0.64290000000000003</v>
      </c>
      <c r="AZ31" s="12">
        <v>0.2581</v>
      </c>
      <c r="BA31" s="12">
        <v>0.6341</v>
      </c>
      <c r="BB31" s="12">
        <v>0.47220000000000001</v>
      </c>
      <c r="BC31" s="4">
        <v>79.350999999999999</v>
      </c>
      <c r="BD31" s="12">
        <v>0.6</v>
      </c>
      <c r="BE31" s="12">
        <v>0.23810000000000001</v>
      </c>
      <c r="BF31" s="12">
        <v>0.1487</v>
      </c>
      <c r="BG31" s="4">
        <v>123.7</v>
      </c>
      <c r="BH31" s="4">
        <v>104.3</v>
      </c>
      <c r="BI31" s="4">
        <v>77.628</v>
      </c>
      <c r="BJ31" s="12">
        <v>0.5161</v>
      </c>
      <c r="BK31" s="12">
        <v>0.47889999999999999</v>
      </c>
      <c r="BL31" s="12">
        <v>0.3659</v>
      </c>
      <c r="BM31" s="12">
        <v>0.7419</v>
      </c>
      <c r="BN31" s="12">
        <v>0.52780000000000005</v>
      </c>
      <c r="BO31" s="4">
        <v>75.905000000000001</v>
      </c>
      <c r="BP31" s="12">
        <v>0.7742</v>
      </c>
      <c r="BQ31" s="12">
        <v>0.18310000000000001</v>
      </c>
      <c r="BR31" s="12">
        <v>0.1605</v>
      </c>
      <c r="BS31" s="4">
        <v>104.3</v>
      </c>
      <c r="BT31" s="4">
        <v>123.7</v>
      </c>
      <c r="BU31" s="11">
        <v>28</v>
      </c>
      <c r="BV31" s="11">
        <v>26</v>
      </c>
      <c r="BW31" s="11">
        <v>25</v>
      </c>
      <c r="BX31" s="11">
        <v>17</v>
      </c>
      <c r="BY31" s="11">
        <v>27</v>
      </c>
      <c r="BZ31" s="11">
        <v>20</v>
      </c>
      <c r="CA31" s="11">
        <v>22</v>
      </c>
      <c r="CB31" s="11">
        <v>12</v>
      </c>
      <c r="CC31" s="11">
        <v>54</v>
      </c>
      <c r="CD31" s="11">
        <v>42</v>
      </c>
      <c r="CE31" s="11">
        <v>47</v>
      </c>
      <c r="CF31" s="11">
        <v>34</v>
      </c>
      <c r="CG31" s="4">
        <v>1.41</v>
      </c>
      <c r="CH31" s="13">
        <v>2.95</v>
      </c>
      <c r="CI31" s="4">
        <v>-6</v>
      </c>
      <c r="CJ31" s="4">
        <v>-6</v>
      </c>
      <c r="CK31" s="4">
        <v>170.5</v>
      </c>
      <c r="CL31" s="2" t="s">
        <v>569</v>
      </c>
      <c r="CM31" s="4" t="str">
        <f>VLOOKUP(nancy[[#This Row],[Away_team]],all[[Full name]:[Abbr]],3,FALSE)</f>
        <v>NAN</v>
      </c>
      <c r="CN31" s="4">
        <f>IF(OR(nancy[[#This Row],[Result]]="w",nancy[[#This Row],[Result]]="dw"),nancy[[#This Row],[win]]-1,-1)</f>
        <v>0.40999999999999992</v>
      </c>
      <c r="CO31" s="4">
        <f>IF(OR(nancy[[#This Row],[Result]]="L",nancy[[#This Row],[Result]]="dl"),nancy[[#This Row],[lose]]-1,-1)</f>
        <v>-1</v>
      </c>
      <c r="CP31" s="4">
        <f>IF(OR((nancy[[#This Row],[Home_scored]]+nancy[[#This Row],[Away_scored]])&gt;nancy[[#This Row],[total]],OR(nancy[[#This Row],[Result]]="dw",nancy[[#This Row],[Result]]="dl")),1,0)</f>
        <v>1</v>
      </c>
      <c r="CQ31" s="4">
        <f>ABS((nancy[[#This Row],[Home_scored]]+nancy[[#This Row],[Away_scored]])-nancy[[#This Row],[total]])+0.5</f>
        <v>7</v>
      </c>
    </row>
    <row r="32" spans="1:95" x14ac:dyDescent="0.25">
      <c r="A32" s="2" t="s">
        <v>349</v>
      </c>
      <c r="B32" s="2" t="s">
        <v>333</v>
      </c>
      <c r="C32" s="28" t="s">
        <v>73</v>
      </c>
      <c r="D32" s="28">
        <v>45787</v>
      </c>
      <c r="E32" s="2" t="s">
        <v>140</v>
      </c>
      <c r="F32" s="2" t="s">
        <v>308</v>
      </c>
      <c r="G32" s="2" t="s">
        <v>139</v>
      </c>
      <c r="H32" s="11">
        <v>74</v>
      </c>
      <c r="I32" s="11">
        <v>95</v>
      </c>
      <c r="J32" s="11">
        <v>30</v>
      </c>
      <c r="K32" s="11">
        <v>65</v>
      </c>
      <c r="L32" s="12">
        <v>0.46150000000000002</v>
      </c>
      <c r="M32" s="11">
        <v>25</v>
      </c>
      <c r="N32" s="11">
        <v>43</v>
      </c>
      <c r="O32" s="12">
        <v>0.58140000000000003</v>
      </c>
      <c r="P32" s="11">
        <v>5</v>
      </c>
      <c r="Q32" s="11">
        <v>22</v>
      </c>
      <c r="R32" s="12">
        <v>0.2273</v>
      </c>
      <c r="S32" s="11">
        <v>9</v>
      </c>
      <c r="T32" s="11">
        <v>22</v>
      </c>
      <c r="U32" s="12">
        <v>0.40910000000000002</v>
      </c>
      <c r="V32" s="11">
        <v>12</v>
      </c>
      <c r="W32" s="11">
        <v>23</v>
      </c>
      <c r="X32" s="11">
        <v>35</v>
      </c>
      <c r="Y32" s="11">
        <v>19</v>
      </c>
      <c r="Z32" s="11">
        <v>7</v>
      </c>
      <c r="AA32" s="11">
        <v>0</v>
      </c>
      <c r="AB32" s="11">
        <v>17</v>
      </c>
      <c r="AC32" s="11">
        <v>18</v>
      </c>
      <c r="AD32" s="11">
        <v>38</v>
      </c>
      <c r="AE32" s="11">
        <v>73</v>
      </c>
      <c r="AF32" s="12">
        <v>0.52049999999999996</v>
      </c>
      <c r="AG32" s="11">
        <v>26</v>
      </c>
      <c r="AH32" s="11">
        <v>40</v>
      </c>
      <c r="AI32" s="12">
        <v>0.65</v>
      </c>
      <c r="AJ32" s="11">
        <v>12</v>
      </c>
      <c r="AK32" s="11">
        <v>33</v>
      </c>
      <c r="AL32" s="12">
        <v>0.36359999999999998</v>
      </c>
      <c r="AM32" s="11">
        <v>7</v>
      </c>
      <c r="AN32" s="11">
        <v>12</v>
      </c>
      <c r="AO32" s="12">
        <v>0.58330000000000004</v>
      </c>
      <c r="AP32" s="11">
        <v>14</v>
      </c>
      <c r="AQ32" s="11">
        <v>32</v>
      </c>
      <c r="AR32" s="11">
        <v>46</v>
      </c>
      <c r="AS32" s="11">
        <v>29</v>
      </c>
      <c r="AT32" s="11">
        <v>8</v>
      </c>
      <c r="AU32" s="11">
        <v>2</v>
      </c>
      <c r="AV32" s="11">
        <v>15</v>
      </c>
      <c r="AW32" s="11">
        <v>24</v>
      </c>
      <c r="AX32" s="12">
        <v>0.49540000000000001</v>
      </c>
      <c r="AY32" s="12">
        <v>0.5</v>
      </c>
      <c r="AZ32" s="12">
        <v>0.2727</v>
      </c>
      <c r="BA32" s="12">
        <v>0.62160000000000004</v>
      </c>
      <c r="BB32" s="12">
        <v>0.43209999999999998</v>
      </c>
      <c r="BC32" s="4">
        <v>77.959999999999994</v>
      </c>
      <c r="BD32" s="12">
        <v>0.63329999999999997</v>
      </c>
      <c r="BE32" s="12">
        <v>0.13850000000000001</v>
      </c>
      <c r="BF32" s="12">
        <v>0.18540000000000001</v>
      </c>
      <c r="BG32" s="4">
        <v>92.9</v>
      </c>
      <c r="BH32" s="4">
        <v>119.2</v>
      </c>
      <c r="BI32" s="4">
        <v>79.680999999999997</v>
      </c>
      <c r="BJ32" s="12">
        <v>0.60680000000000001</v>
      </c>
      <c r="BK32" s="12">
        <v>0.60270000000000001</v>
      </c>
      <c r="BL32" s="12">
        <v>0.37840000000000001</v>
      </c>
      <c r="BM32" s="12">
        <v>0.72729999999999995</v>
      </c>
      <c r="BN32" s="12">
        <v>0.56789999999999996</v>
      </c>
      <c r="BO32" s="4">
        <v>81.402000000000001</v>
      </c>
      <c r="BP32" s="12">
        <v>0.76319999999999999</v>
      </c>
      <c r="BQ32" s="12">
        <v>9.5899999999999999E-2</v>
      </c>
      <c r="BR32" s="12">
        <v>0.1608</v>
      </c>
      <c r="BS32" s="4">
        <v>119.2</v>
      </c>
      <c r="BT32" s="4">
        <v>92.9</v>
      </c>
      <c r="BU32" s="11">
        <v>29</v>
      </c>
      <c r="BV32" s="11">
        <v>17</v>
      </c>
      <c r="BW32" s="11">
        <v>16</v>
      </c>
      <c r="BX32" s="11">
        <v>12</v>
      </c>
      <c r="BY32" s="11">
        <v>28</v>
      </c>
      <c r="BZ32" s="11">
        <v>16</v>
      </c>
      <c r="CA32" s="11">
        <v>23</v>
      </c>
      <c r="CB32" s="11">
        <v>28</v>
      </c>
      <c r="CC32" s="11">
        <v>46</v>
      </c>
      <c r="CD32" s="11">
        <v>28</v>
      </c>
      <c r="CE32" s="11">
        <v>44</v>
      </c>
      <c r="CF32" s="11">
        <v>51</v>
      </c>
      <c r="CG32" s="4">
        <v>2.95</v>
      </c>
      <c r="CH32" s="13">
        <v>1.41</v>
      </c>
      <c r="CI32" s="4">
        <v>-6</v>
      </c>
      <c r="CJ32" s="4">
        <v>-6</v>
      </c>
      <c r="CK32" s="4">
        <v>168.5</v>
      </c>
      <c r="CL32" s="2" t="s">
        <v>577</v>
      </c>
      <c r="CM32" s="4" t="str">
        <f>VLOOKUP(nancy[[#This Row],[Away_team]],all[[Full name]:[Abbr]],3,FALSE)</f>
        <v>CHO</v>
      </c>
      <c r="CN32" s="4">
        <f>IF(OR(nancy[[#This Row],[Result]]="w",nancy[[#This Row],[Result]]="dw"),nancy[[#This Row],[win]]-1,-1)</f>
        <v>-1</v>
      </c>
      <c r="CO32" s="4">
        <f>IF(OR(nancy[[#This Row],[Result]]="L",nancy[[#This Row],[Result]]="dl"),nancy[[#This Row],[lose]]-1,-1)</f>
        <v>0.40999999999999992</v>
      </c>
      <c r="CP32" s="4">
        <f>IF(OR((nancy[[#This Row],[Home_scored]]+nancy[[#This Row],[Away_scored]])&gt;nancy[[#This Row],[total]],OR(nancy[[#This Row],[Result]]="dw",nancy[[#This Row],[Result]]="dl")),1,0)</f>
        <v>1</v>
      </c>
      <c r="CQ32" s="4">
        <f>ABS((nancy[[#This Row],[Home_scored]]+nancy[[#This Row],[Away_scored]])-nancy[[#This Row],[total]])+0.5</f>
        <v>1</v>
      </c>
    </row>
    <row r="33" spans="1:95" x14ac:dyDescent="0.25">
      <c r="A33" s="2" t="s">
        <v>349</v>
      </c>
      <c r="B33" s="2" t="s">
        <v>333</v>
      </c>
      <c r="C33" s="28" t="s">
        <v>73</v>
      </c>
      <c r="D33" s="28">
        <v>45794</v>
      </c>
      <c r="E33" s="2" t="s">
        <v>74</v>
      </c>
      <c r="F33" s="2" t="s">
        <v>339</v>
      </c>
      <c r="G33" s="2" t="s">
        <v>139</v>
      </c>
      <c r="H33" s="11">
        <v>86</v>
      </c>
      <c r="I33" s="11">
        <v>105</v>
      </c>
      <c r="J33" s="11">
        <v>31</v>
      </c>
      <c r="K33" s="11">
        <v>66</v>
      </c>
      <c r="L33" s="12">
        <v>0.46970000000000001</v>
      </c>
      <c r="M33" s="11">
        <v>22</v>
      </c>
      <c r="N33" s="11">
        <v>35</v>
      </c>
      <c r="O33" s="12">
        <v>0.62860000000000005</v>
      </c>
      <c r="P33" s="11">
        <v>9</v>
      </c>
      <c r="Q33" s="11">
        <v>31</v>
      </c>
      <c r="R33" s="12">
        <v>0.2903</v>
      </c>
      <c r="S33" s="11">
        <v>15</v>
      </c>
      <c r="T33" s="11">
        <v>22</v>
      </c>
      <c r="U33" s="12">
        <v>0.68179999999999996</v>
      </c>
      <c r="V33" s="11">
        <v>11</v>
      </c>
      <c r="W33" s="11">
        <v>26</v>
      </c>
      <c r="X33" s="11">
        <v>37</v>
      </c>
      <c r="Y33" s="11">
        <v>16</v>
      </c>
      <c r="Z33" s="11">
        <v>5</v>
      </c>
      <c r="AA33" s="11">
        <v>1</v>
      </c>
      <c r="AB33" s="11">
        <v>15</v>
      </c>
      <c r="AC33" s="11">
        <v>21</v>
      </c>
      <c r="AD33" s="11">
        <v>37</v>
      </c>
      <c r="AE33" s="11">
        <v>72</v>
      </c>
      <c r="AF33" s="12">
        <v>0.51390000000000002</v>
      </c>
      <c r="AG33" s="11">
        <v>24</v>
      </c>
      <c r="AH33" s="11">
        <v>36</v>
      </c>
      <c r="AI33" s="12">
        <v>0.66669999999999996</v>
      </c>
      <c r="AJ33" s="11">
        <v>13</v>
      </c>
      <c r="AK33" s="11">
        <v>36</v>
      </c>
      <c r="AL33" s="12">
        <v>0.36109999999999998</v>
      </c>
      <c r="AM33" s="11">
        <v>18</v>
      </c>
      <c r="AN33" s="11">
        <v>21</v>
      </c>
      <c r="AO33" s="12">
        <v>0.85709999999999997</v>
      </c>
      <c r="AP33" s="11">
        <v>10</v>
      </c>
      <c r="AQ33" s="11">
        <v>29</v>
      </c>
      <c r="AR33" s="11">
        <v>39</v>
      </c>
      <c r="AS33" s="11">
        <v>21</v>
      </c>
      <c r="AT33" s="11">
        <v>7</v>
      </c>
      <c r="AU33" s="11">
        <v>3</v>
      </c>
      <c r="AV33" s="11">
        <v>10</v>
      </c>
      <c r="AW33" s="11">
        <v>21</v>
      </c>
      <c r="AX33" s="12">
        <v>0.56820000000000004</v>
      </c>
      <c r="AY33" s="12">
        <v>0.53790000000000004</v>
      </c>
      <c r="AZ33" s="12">
        <v>0.27500000000000002</v>
      </c>
      <c r="BA33" s="12">
        <v>0.72219999999999995</v>
      </c>
      <c r="BB33" s="12">
        <v>0.48680000000000001</v>
      </c>
      <c r="BC33" s="4">
        <v>78.665999999999997</v>
      </c>
      <c r="BD33" s="12">
        <v>0.5161</v>
      </c>
      <c r="BE33" s="12">
        <v>0.2273</v>
      </c>
      <c r="BF33" s="12">
        <v>0.16539999999999999</v>
      </c>
      <c r="BG33" s="4">
        <v>107.9</v>
      </c>
      <c r="BH33" s="4">
        <v>131.69999999999999</v>
      </c>
      <c r="BI33" s="4">
        <v>79.731499999999997</v>
      </c>
      <c r="BJ33" s="12">
        <v>0.6462</v>
      </c>
      <c r="BK33" s="12">
        <v>0.60419999999999996</v>
      </c>
      <c r="BL33" s="12">
        <v>0.27779999999999999</v>
      </c>
      <c r="BM33" s="12">
        <v>0.72499999999999998</v>
      </c>
      <c r="BN33" s="12">
        <v>0.51319999999999999</v>
      </c>
      <c r="BO33" s="4">
        <v>80.796999999999997</v>
      </c>
      <c r="BP33" s="12">
        <v>0.56759999999999999</v>
      </c>
      <c r="BQ33" s="12">
        <v>0.25</v>
      </c>
      <c r="BR33" s="12">
        <v>0.1096</v>
      </c>
      <c r="BS33" s="4">
        <v>131.69999999999999</v>
      </c>
      <c r="BT33" s="4">
        <v>107.9</v>
      </c>
      <c r="BU33" s="11">
        <v>17</v>
      </c>
      <c r="BV33" s="11">
        <v>28</v>
      </c>
      <c r="BW33" s="11">
        <v>24</v>
      </c>
      <c r="BX33" s="11">
        <v>17</v>
      </c>
      <c r="BY33" s="11">
        <v>24</v>
      </c>
      <c r="BZ33" s="11">
        <v>38</v>
      </c>
      <c r="CA33" s="11">
        <v>25</v>
      </c>
      <c r="CB33" s="11">
        <v>18</v>
      </c>
      <c r="CC33" s="11">
        <v>45</v>
      </c>
      <c r="CD33" s="11">
        <v>41</v>
      </c>
      <c r="CE33" s="11">
        <v>62</v>
      </c>
      <c r="CF33" s="11">
        <v>43</v>
      </c>
      <c r="CG33" s="4">
        <v>3.1</v>
      </c>
      <c r="CH33" s="13">
        <v>1.38</v>
      </c>
      <c r="CI33" s="4">
        <v>6.5</v>
      </c>
      <c r="CJ33" s="4">
        <v>-6.5</v>
      </c>
      <c r="CK33" s="4">
        <v>177.5</v>
      </c>
      <c r="CL33" s="2" t="s">
        <v>592</v>
      </c>
      <c r="CM33" s="4" t="str">
        <f>VLOOKUP(nancy[[#This Row],[Away_team]],all[[Full name]:[Abbr]],3,FALSE)</f>
        <v>PAR</v>
      </c>
      <c r="CN33" s="4">
        <f>IF(OR(nancy[[#This Row],[Result]]="w",nancy[[#This Row],[Result]]="dw"),nancy[[#This Row],[win]]-1,-1)</f>
        <v>-1</v>
      </c>
      <c r="CO33" s="4">
        <f>IF(OR(nancy[[#This Row],[Result]]="L",nancy[[#This Row],[Result]]="dl"),nancy[[#This Row],[lose]]-1,-1)</f>
        <v>0.37999999999999989</v>
      </c>
      <c r="CP33" s="4">
        <f>IF(OR((nancy[[#This Row],[Home_scored]]+nancy[[#This Row],[Away_scored]])&gt;nancy[[#This Row],[total]],OR(nancy[[#This Row],[Result]]="dw",nancy[[#This Row],[Result]]="dl")),1,0)</f>
        <v>1</v>
      </c>
      <c r="CQ33" s="4">
        <f>ABS((nancy[[#This Row],[Home_scored]]+nancy[[#This Row],[Away_scored]])-nancy[[#This Row],[total]])+0.5</f>
        <v>14</v>
      </c>
    </row>
    <row r="34" spans="1:95" x14ac:dyDescent="0.25">
      <c r="A34" s="2" t="s">
        <v>349</v>
      </c>
      <c r="B34" s="2" t="s">
        <v>333</v>
      </c>
      <c r="C34" s="28" t="s">
        <v>594</v>
      </c>
      <c r="D34" s="28">
        <v>45797</v>
      </c>
      <c r="E34" s="2" t="s">
        <v>74</v>
      </c>
      <c r="F34" s="2" t="s">
        <v>342</v>
      </c>
      <c r="G34" s="2" t="s">
        <v>139</v>
      </c>
      <c r="H34" s="11">
        <v>81</v>
      </c>
      <c r="I34" s="11">
        <v>88</v>
      </c>
      <c r="J34" s="11">
        <v>31</v>
      </c>
      <c r="K34" s="11">
        <v>63</v>
      </c>
      <c r="L34" s="12">
        <v>0.49209999999999998</v>
      </c>
      <c r="M34" s="11">
        <v>22</v>
      </c>
      <c r="N34" s="11">
        <v>42</v>
      </c>
      <c r="O34" s="12">
        <v>0.52380000000000004</v>
      </c>
      <c r="P34" s="11">
        <v>9</v>
      </c>
      <c r="Q34" s="11">
        <v>21</v>
      </c>
      <c r="R34" s="12">
        <v>0.42859999999999998</v>
      </c>
      <c r="S34" s="11">
        <v>10</v>
      </c>
      <c r="T34" s="11">
        <v>20</v>
      </c>
      <c r="U34" s="12">
        <v>0.5</v>
      </c>
      <c r="V34" s="11">
        <v>11</v>
      </c>
      <c r="W34" s="11">
        <v>27</v>
      </c>
      <c r="X34" s="11">
        <v>38</v>
      </c>
      <c r="Y34" s="11">
        <v>18</v>
      </c>
      <c r="Z34" s="11">
        <v>3</v>
      </c>
      <c r="AA34" s="11">
        <v>9</v>
      </c>
      <c r="AB34" s="11">
        <v>3</v>
      </c>
      <c r="AC34" s="11">
        <v>19</v>
      </c>
      <c r="AD34" s="11">
        <v>30</v>
      </c>
      <c r="AE34" s="11">
        <v>73</v>
      </c>
      <c r="AF34" s="12">
        <v>0.41099999999999998</v>
      </c>
      <c r="AG34" s="11">
        <v>17</v>
      </c>
      <c r="AH34" s="11">
        <v>37</v>
      </c>
      <c r="AI34" s="12">
        <v>0.45950000000000002</v>
      </c>
      <c r="AJ34" s="11">
        <v>13</v>
      </c>
      <c r="AK34" s="11">
        <v>36</v>
      </c>
      <c r="AL34" s="12">
        <v>0.36109999999999998</v>
      </c>
      <c r="AM34" s="11">
        <v>15</v>
      </c>
      <c r="AN34" s="11">
        <v>22</v>
      </c>
      <c r="AO34" s="12">
        <v>0.68179999999999996</v>
      </c>
      <c r="AP34" s="11">
        <v>19</v>
      </c>
      <c r="AQ34" s="11">
        <v>27</v>
      </c>
      <c r="AR34" s="11">
        <v>46</v>
      </c>
      <c r="AS34" s="11">
        <v>20</v>
      </c>
      <c r="AT34" s="11">
        <v>2</v>
      </c>
      <c r="AU34" s="11">
        <v>8</v>
      </c>
      <c r="AV34" s="11">
        <v>6</v>
      </c>
      <c r="AW34" s="11">
        <v>21</v>
      </c>
      <c r="AX34" s="12">
        <v>0.56410000000000005</v>
      </c>
      <c r="AY34" s="12">
        <v>0.5635</v>
      </c>
      <c r="AZ34" s="12">
        <v>0.28949999999999998</v>
      </c>
      <c r="BA34" s="12">
        <v>0.58699999999999997</v>
      </c>
      <c r="BB34" s="12">
        <v>0.45240000000000002</v>
      </c>
      <c r="BC34" s="4">
        <v>64.087999999999994</v>
      </c>
      <c r="BD34" s="12">
        <v>0.5806</v>
      </c>
      <c r="BE34" s="12">
        <v>0.15870000000000001</v>
      </c>
      <c r="BF34" s="12">
        <v>4.0099999999999997E-2</v>
      </c>
      <c r="BG34" s="4">
        <v>121.9</v>
      </c>
      <c r="BH34" s="4">
        <v>132.4</v>
      </c>
      <c r="BI34" s="4">
        <v>66.441999999999993</v>
      </c>
      <c r="BJ34" s="12">
        <v>0.53220000000000001</v>
      </c>
      <c r="BK34" s="12">
        <v>0.5</v>
      </c>
      <c r="BL34" s="12">
        <v>0.41299999999999998</v>
      </c>
      <c r="BM34" s="12">
        <v>0.71050000000000002</v>
      </c>
      <c r="BN34" s="12">
        <v>0.54759999999999998</v>
      </c>
      <c r="BO34" s="4">
        <v>68.796000000000006</v>
      </c>
      <c r="BP34" s="12">
        <v>0.66669999999999996</v>
      </c>
      <c r="BQ34" s="12">
        <v>0.20549999999999999</v>
      </c>
      <c r="BR34" s="12">
        <v>6.7699999999999996E-2</v>
      </c>
      <c r="BS34" s="4">
        <v>132.4</v>
      </c>
      <c r="BT34" s="4">
        <v>121.9</v>
      </c>
      <c r="BU34" s="11">
        <v>23</v>
      </c>
      <c r="BV34" s="11">
        <v>22</v>
      </c>
      <c r="BW34" s="11">
        <v>16</v>
      </c>
      <c r="BX34" s="11">
        <v>20</v>
      </c>
      <c r="BY34" s="11">
        <v>31</v>
      </c>
      <c r="BZ34" s="11">
        <v>20</v>
      </c>
      <c r="CA34" s="11">
        <v>20</v>
      </c>
      <c r="CB34" s="11">
        <v>17</v>
      </c>
      <c r="CC34" s="11">
        <v>45</v>
      </c>
      <c r="CD34" s="11">
        <v>36</v>
      </c>
      <c r="CE34" s="11">
        <v>51</v>
      </c>
      <c r="CF34" s="11">
        <v>37</v>
      </c>
      <c r="CG34" s="4">
        <v>1.74</v>
      </c>
      <c r="CH34" s="13">
        <v>2.15</v>
      </c>
      <c r="CI34" s="4">
        <v>-2</v>
      </c>
      <c r="CJ34" s="4">
        <v>-2</v>
      </c>
      <c r="CK34" s="4">
        <v>162.5</v>
      </c>
      <c r="CL34" s="2" t="s">
        <v>596</v>
      </c>
      <c r="CM34" s="4" t="str">
        <f>VLOOKUP(nancy[[#This Row],[Away_team]],all[[Full name]:[Abbr]],3,FALSE)</f>
        <v>SQU</v>
      </c>
      <c r="CN34" s="4">
        <f>IF(OR(nancy[[#This Row],[Result]]="w",nancy[[#This Row],[Result]]="dw"),nancy[[#This Row],[win]]-1,-1)</f>
        <v>-1</v>
      </c>
      <c r="CO34" s="4">
        <f>IF(OR(nancy[[#This Row],[Result]]="L",nancy[[#This Row],[Result]]="dl"),nancy[[#This Row],[lose]]-1,-1)</f>
        <v>1.1499999999999999</v>
      </c>
      <c r="CP34" s="4">
        <f>IF(OR((nancy[[#This Row],[Home_scored]]+nancy[[#This Row],[Away_scored]])&gt;nancy[[#This Row],[total]],OR(nancy[[#This Row],[Result]]="dw",nancy[[#This Row],[Result]]="dl")),1,0)</f>
        <v>1</v>
      </c>
      <c r="CQ34" s="4">
        <f>ABS((nancy[[#This Row],[Home_scored]]+nancy[[#This Row],[Away_scored]])-nancy[[#This Row],[total]])+0.5</f>
        <v>7</v>
      </c>
    </row>
  </sheetData>
  <conditionalFormatting sqref="A4:A34">
    <cfRule type="expression" dxfId="348" priority="1">
      <formula>SUMPRODUCT(--ISERROR(B4:CL4))&gt;0</formula>
    </cfRule>
  </conditionalFormatting>
  <conditionalFormatting sqref="B4:B34">
    <cfRule type="uniqueValues" dxfId="347" priority="485"/>
  </conditionalFormatting>
  <conditionalFormatting sqref="D4:D34">
    <cfRule type="duplicateValues" dxfId="346" priority="486"/>
  </conditionalFormatting>
  <conditionalFormatting sqref="H4:H34">
    <cfRule type="expression" dxfId="345" priority="3">
      <formula>H4=BU4+BV4+BW4+BX4</formula>
    </cfRule>
  </conditionalFormatting>
  <conditionalFormatting sqref="I4:I34">
    <cfRule type="expression" dxfId="344" priority="2">
      <formula>I4=BY4+BZ4+CA4+CB4</formula>
    </cfRule>
  </conditionalFormatting>
  <hyperlinks>
    <hyperlink ref="A1" location="all_data!A1" display="ratings" xr:uid="{7B014959-0A43-4879-8060-A5332D216E88}"/>
  </hyperlink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A31C-0069-4F0B-90D5-9EDCE70B97A8}">
  <sheetPr codeName="Sheet16"/>
  <dimension ref="A1:CQ33"/>
  <sheetViews>
    <sheetView zoomScale="80" zoomScaleNormal="80" workbookViewId="0">
      <selection activeCell="A34" sqref="A34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349</v>
      </c>
      <c r="B4" s="2" t="s">
        <v>336</v>
      </c>
      <c r="C4" s="3" t="s">
        <v>73</v>
      </c>
      <c r="D4" s="3">
        <v>45557</v>
      </c>
      <c r="E4" s="2" t="s">
        <v>140</v>
      </c>
      <c r="F4" s="2" t="s">
        <v>324</v>
      </c>
      <c r="G4" s="2" t="s">
        <v>139</v>
      </c>
      <c r="H4" s="2">
        <v>87</v>
      </c>
      <c r="I4" s="2">
        <v>90</v>
      </c>
      <c r="J4" s="2">
        <v>33</v>
      </c>
      <c r="K4" s="2">
        <v>58</v>
      </c>
      <c r="L4" s="2">
        <v>0.56899999999999995</v>
      </c>
      <c r="M4" s="2">
        <v>27</v>
      </c>
      <c r="N4" s="2">
        <v>39</v>
      </c>
      <c r="O4" s="2">
        <v>0.69230000000000003</v>
      </c>
      <c r="P4" s="2">
        <v>6</v>
      </c>
      <c r="Q4" s="2">
        <v>19</v>
      </c>
      <c r="R4" s="2">
        <v>0.31580000000000003</v>
      </c>
      <c r="S4" s="2">
        <v>15</v>
      </c>
      <c r="T4" s="2">
        <v>20</v>
      </c>
      <c r="U4" s="2">
        <v>0.75</v>
      </c>
      <c r="V4" s="2">
        <v>7</v>
      </c>
      <c r="W4" s="2">
        <v>19</v>
      </c>
      <c r="X4" s="2">
        <v>26</v>
      </c>
      <c r="Y4" s="2">
        <v>26</v>
      </c>
      <c r="Z4" s="2">
        <v>11</v>
      </c>
      <c r="AA4" s="2">
        <v>1</v>
      </c>
      <c r="AB4" s="2">
        <v>12</v>
      </c>
      <c r="AC4" s="2">
        <v>26</v>
      </c>
      <c r="AD4" s="2">
        <v>28</v>
      </c>
      <c r="AE4" s="2">
        <v>53</v>
      </c>
      <c r="AF4" s="2">
        <v>0.52829999999999999</v>
      </c>
      <c r="AG4" s="2">
        <v>18</v>
      </c>
      <c r="AH4" s="2">
        <v>35</v>
      </c>
      <c r="AI4" s="2">
        <v>0.51429999999999998</v>
      </c>
      <c r="AJ4" s="2">
        <v>10</v>
      </c>
      <c r="AK4" s="2">
        <v>18</v>
      </c>
      <c r="AL4" s="2">
        <v>0.55559999999999998</v>
      </c>
      <c r="AM4" s="2">
        <v>24</v>
      </c>
      <c r="AN4" s="2">
        <v>31</v>
      </c>
      <c r="AO4" s="2">
        <v>0.7742</v>
      </c>
      <c r="AP4" s="2">
        <v>9</v>
      </c>
      <c r="AQ4" s="2">
        <v>19</v>
      </c>
      <c r="AR4" s="2">
        <v>28</v>
      </c>
      <c r="AS4" s="2">
        <v>17</v>
      </c>
      <c r="AT4" s="2">
        <v>6</v>
      </c>
      <c r="AU4" s="2">
        <v>0</v>
      </c>
      <c r="AV4" s="2">
        <v>19</v>
      </c>
      <c r="AW4" s="2">
        <v>17</v>
      </c>
      <c r="AX4" s="2">
        <v>0.6512</v>
      </c>
      <c r="AY4" s="2">
        <v>0.62070000000000003</v>
      </c>
      <c r="AZ4" s="2">
        <v>0.26919999999999999</v>
      </c>
      <c r="BA4" s="2">
        <v>0.67859999999999998</v>
      </c>
      <c r="BB4" s="2">
        <v>0.48149999999999998</v>
      </c>
      <c r="BC4" s="4">
        <v>70.798000000000002</v>
      </c>
      <c r="BD4" s="2">
        <v>0.78790000000000004</v>
      </c>
      <c r="BE4" s="2">
        <v>0.2586</v>
      </c>
      <c r="BF4" s="2">
        <v>0.15229999999999999</v>
      </c>
      <c r="BG4" s="2">
        <v>118.7</v>
      </c>
      <c r="BH4" s="2">
        <v>122.8</v>
      </c>
      <c r="BI4" s="2">
        <v>73.3</v>
      </c>
      <c r="BJ4" s="2">
        <v>0.67530000000000001</v>
      </c>
      <c r="BK4" s="2">
        <v>0.62260000000000004</v>
      </c>
      <c r="BL4" s="2">
        <v>0.32140000000000002</v>
      </c>
      <c r="BM4" s="2">
        <v>0.73080000000000001</v>
      </c>
      <c r="BN4" s="2">
        <v>0.51849999999999996</v>
      </c>
      <c r="BO4" s="4">
        <v>75.802000000000007</v>
      </c>
      <c r="BP4" s="2">
        <v>0.60709999999999997</v>
      </c>
      <c r="BQ4" s="2">
        <v>0.45279999999999998</v>
      </c>
      <c r="BR4" s="2">
        <v>0.22189999999999999</v>
      </c>
      <c r="BS4" s="2">
        <v>122.8</v>
      </c>
      <c r="BT4" s="2">
        <v>118.7</v>
      </c>
      <c r="BU4" s="2">
        <v>26</v>
      </c>
      <c r="BV4" s="2">
        <v>19</v>
      </c>
      <c r="BW4" s="2">
        <v>18</v>
      </c>
      <c r="BX4" s="2">
        <v>24</v>
      </c>
      <c r="BY4" s="2">
        <v>18</v>
      </c>
      <c r="BZ4" s="2">
        <v>21</v>
      </c>
      <c r="CA4" s="2">
        <v>22</v>
      </c>
      <c r="CB4" s="2">
        <v>29</v>
      </c>
      <c r="CC4" s="2">
        <v>45</v>
      </c>
      <c r="CD4" s="2">
        <v>42</v>
      </c>
      <c r="CE4" s="2">
        <v>39</v>
      </c>
      <c r="CF4" s="2">
        <v>51</v>
      </c>
      <c r="CG4" s="2">
        <v>2.4</v>
      </c>
      <c r="CH4" s="2">
        <v>1.61</v>
      </c>
      <c r="CI4" s="2">
        <v>3.5</v>
      </c>
      <c r="CJ4" s="2">
        <v>-3.5</v>
      </c>
      <c r="CK4" s="2">
        <v>160.5</v>
      </c>
      <c r="CL4" s="2" t="s">
        <v>414</v>
      </c>
      <c r="CM4" s="4" t="str">
        <f>VLOOKUP(nantere[[#This Row],[Away_team]],all[[Full name]:[Abbr]],3,FALSE)</f>
        <v>LIM</v>
      </c>
      <c r="CN4" s="4">
        <f>IF(OR(nantere[[#This Row],[Result]]="w",nantere[[#This Row],[Result]]="dw"),nantere[[#This Row],[win]]-1,-1)</f>
        <v>-1</v>
      </c>
      <c r="CO4" s="4">
        <f>IF(OR(nantere[[#This Row],[Result]]="L",nantere[[#This Row],[Result]]="dl"),nantere[[#This Row],[lose]]-1,-1)</f>
        <v>0.6100000000000001</v>
      </c>
      <c r="CP4" s="4">
        <f>IF(OR((nantere[[#This Row],[Home_scored]]+nantere[[#This Row],[Away_scored]])&gt;nantere[[#This Row],[total]],OR(nantere[[#This Row],[Result]]="dw",nantere[[#This Row],[Result]]="dl")),1,0)</f>
        <v>1</v>
      </c>
      <c r="CQ4" s="4">
        <f>ABS((nantere[[#This Row],[Home_scored]]+nantere[[#This Row],[Away_scored]])-nantere[[#This Row],[total]])+0.5</f>
        <v>17</v>
      </c>
    </row>
    <row r="5" spans="1:95" x14ac:dyDescent="0.25">
      <c r="A5" s="2" t="s">
        <v>349</v>
      </c>
      <c r="B5" s="2" t="s">
        <v>336</v>
      </c>
      <c r="C5" s="3" t="s">
        <v>73</v>
      </c>
      <c r="D5" s="3">
        <v>45563</v>
      </c>
      <c r="E5" s="2" t="s">
        <v>74</v>
      </c>
      <c r="F5" s="2" t="s">
        <v>320</v>
      </c>
      <c r="G5" s="2" t="s">
        <v>75</v>
      </c>
      <c r="H5" s="11">
        <v>74</v>
      </c>
      <c r="I5" s="11">
        <v>65</v>
      </c>
      <c r="J5" s="11">
        <v>34</v>
      </c>
      <c r="K5" s="11">
        <v>74</v>
      </c>
      <c r="L5" s="12">
        <v>0.45950000000000002</v>
      </c>
      <c r="M5" s="11">
        <v>30</v>
      </c>
      <c r="N5" s="11">
        <v>59</v>
      </c>
      <c r="O5" s="12">
        <v>0.50849999999999995</v>
      </c>
      <c r="P5" s="11">
        <v>4</v>
      </c>
      <c r="Q5" s="11">
        <v>15</v>
      </c>
      <c r="R5" s="12">
        <v>0.26669999999999999</v>
      </c>
      <c r="S5" s="11">
        <v>2</v>
      </c>
      <c r="T5" s="11">
        <v>7</v>
      </c>
      <c r="U5" s="12">
        <v>0.28570000000000001</v>
      </c>
      <c r="V5" s="11">
        <v>16</v>
      </c>
      <c r="W5" s="11">
        <v>23</v>
      </c>
      <c r="X5" s="11">
        <v>39</v>
      </c>
      <c r="Y5" s="11">
        <v>17</v>
      </c>
      <c r="Z5" s="11">
        <v>13</v>
      </c>
      <c r="AA5" s="11">
        <v>3</v>
      </c>
      <c r="AB5" s="11">
        <v>11</v>
      </c>
      <c r="AC5" s="11">
        <v>18</v>
      </c>
      <c r="AD5" s="11">
        <v>21</v>
      </c>
      <c r="AE5" s="11">
        <v>52</v>
      </c>
      <c r="AF5" s="12">
        <v>0.40379999999999999</v>
      </c>
      <c r="AG5" s="11">
        <v>13</v>
      </c>
      <c r="AH5" s="11">
        <v>26</v>
      </c>
      <c r="AI5" s="12">
        <v>0.5</v>
      </c>
      <c r="AJ5" s="11">
        <v>8</v>
      </c>
      <c r="AK5" s="11">
        <v>26</v>
      </c>
      <c r="AL5" s="12">
        <v>0.30769999999999997</v>
      </c>
      <c r="AM5" s="11">
        <v>15</v>
      </c>
      <c r="AN5" s="11">
        <v>20</v>
      </c>
      <c r="AO5" s="12">
        <v>0.75</v>
      </c>
      <c r="AP5" s="11">
        <v>7</v>
      </c>
      <c r="AQ5" s="11">
        <v>27</v>
      </c>
      <c r="AR5" s="11">
        <v>34</v>
      </c>
      <c r="AS5" s="11">
        <v>18</v>
      </c>
      <c r="AT5" s="11">
        <v>5</v>
      </c>
      <c r="AU5" s="11">
        <v>2</v>
      </c>
      <c r="AV5" s="11">
        <v>17</v>
      </c>
      <c r="AW5" s="11">
        <v>12</v>
      </c>
      <c r="AX5" s="12">
        <v>0.48</v>
      </c>
      <c r="AY5" s="12">
        <v>0.48649999999999999</v>
      </c>
      <c r="AZ5" s="12">
        <v>0.37209999999999999</v>
      </c>
      <c r="BA5" s="12">
        <v>0.76670000000000005</v>
      </c>
      <c r="BB5" s="12">
        <v>0.53420000000000001</v>
      </c>
      <c r="BC5" s="4">
        <v>70.241</v>
      </c>
      <c r="BD5" s="12">
        <v>0.5</v>
      </c>
      <c r="BE5" s="12">
        <v>2.7E-2</v>
      </c>
      <c r="BF5" s="12">
        <v>0.1249</v>
      </c>
      <c r="BG5" s="4">
        <v>105.4</v>
      </c>
      <c r="BH5" s="4">
        <v>92.6</v>
      </c>
      <c r="BI5" s="4">
        <v>70.206000000000003</v>
      </c>
      <c r="BJ5" s="12">
        <v>0.53449999999999998</v>
      </c>
      <c r="BK5" s="12">
        <v>0.48080000000000001</v>
      </c>
      <c r="BL5" s="12">
        <v>0.23330000000000001</v>
      </c>
      <c r="BM5" s="12">
        <v>0.62790000000000001</v>
      </c>
      <c r="BN5" s="12">
        <v>0.46579999999999999</v>
      </c>
      <c r="BO5" s="4">
        <v>70.171000000000006</v>
      </c>
      <c r="BP5" s="12">
        <v>0.85709999999999997</v>
      </c>
      <c r="BQ5" s="12">
        <v>0.28849999999999998</v>
      </c>
      <c r="BR5" s="12">
        <v>0.2185</v>
      </c>
      <c r="BS5" s="4">
        <v>92.6</v>
      </c>
      <c r="BT5" s="4">
        <v>105.4</v>
      </c>
      <c r="BU5" s="11">
        <v>19</v>
      </c>
      <c r="BV5" s="11">
        <v>24</v>
      </c>
      <c r="BW5" s="11">
        <v>16</v>
      </c>
      <c r="BX5" s="11">
        <v>15</v>
      </c>
      <c r="BY5" s="11">
        <v>19</v>
      </c>
      <c r="BZ5" s="11">
        <v>21</v>
      </c>
      <c r="CA5" s="11">
        <v>12</v>
      </c>
      <c r="CB5" s="11">
        <v>13</v>
      </c>
      <c r="CC5" s="11">
        <v>43</v>
      </c>
      <c r="CD5" s="11">
        <v>31</v>
      </c>
      <c r="CE5" s="11">
        <v>40</v>
      </c>
      <c r="CF5" s="11">
        <v>25</v>
      </c>
      <c r="CG5" s="4">
        <v>1.38</v>
      </c>
      <c r="CH5" s="13">
        <v>3.1</v>
      </c>
      <c r="CI5" s="4">
        <v>-6.5</v>
      </c>
      <c r="CJ5" s="4">
        <v>6.5</v>
      </c>
      <c r="CK5" s="4">
        <v>159.5</v>
      </c>
      <c r="CL5" s="2" t="s">
        <v>403</v>
      </c>
      <c r="CM5" s="4" t="str">
        <f>VLOOKUP(nantere[[#This Row],[Away_team]],all[[Full name]:[Abbr]],3,FALSE)</f>
        <v>POR</v>
      </c>
      <c r="CN5" s="4">
        <f>IF(OR(nantere[[#This Row],[Result]]="w",nantere[[#This Row],[Result]]="dw"),nantere[[#This Row],[win]]-1,-1)</f>
        <v>0.37999999999999989</v>
      </c>
      <c r="CO5" s="4">
        <f>IF(OR(nantere[[#This Row],[Result]]="L",nantere[[#This Row],[Result]]="dl"),nantere[[#This Row],[lose]]-1,-1)</f>
        <v>-1</v>
      </c>
      <c r="CP5" s="4">
        <f>IF(OR((nantere[[#This Row],[Home_scored]]+nantere[[#This Row],[Away_scored]])&gt;nantere[[#This Row],[total]],OR(nantere[[#This Row],[Result]]="dw",nantere[[#This Row],[Result]]="dl")),1,0)</f>
        <v>0</v>
      </c>
      <c r="CQ5" s="4">
        <f>ABS((nantere[[#This Row],[Home_scored]]+nantere[[#This Row],[Away_scored]])-nantere[[#This Row],[total]])+0.5</f>
        <v>21</v>
      </c>
    </row>
    <row r="6" spans="1:95" x14ac:dyDescent="0.25">
      <c r="A6" s="2" t="s">
        <v>349</v>
      </c>
      <c r="B6" s="2" t="s">
        <v>336</v>
      </c>
      <c r="C6" s="3" t="s">
        <v>73</v>
      </c>
      <c r="D6" s="3">
        <v>45570</v>
      </c>
      <c r="E6" s="2" t="s">
        <v>74</v>
      </c>
      <c r="F6" s="2" t="s">
        <v>302</v>
      </c>
      <c r="G6" s="2" t="s">
        <v>139</v>
      </c>
      <c r="H6" s="11">
        <v>61</v>
      </c>
      <c r="I6" s="11">
        <v>86</v>
      </c>
      <c r="J6" s="11">
        <v>25</v>
      </c>
      <c r="K6" s="11">
        <v>72</v>
      </c>
      <c r="L6" s="12">
        <v>0.34720000000000001</v>
      </c>
      <c r="M6" s="11">
        <v>20</v>
      </c>
      <c r="N6" s="11">
        <v>48</v>
      </c>
      <c r="O6" s="12">
        <v>0.41670000000000001</v>
      </c>
      <c r="P6" s="11">
        <v>5</v>
      </c>
      <c r="Q6" s="11">
        <v>24</v>
      </c>
      <c r="R6" s="12">
        <v>0.20830000000000001</v>
      </c>
      <c r="S6" s="11">
        <v>6</v>
      </c>
      <c r="T6" s="11">
        <v>9</v>
      </c>
      <c r="U6" s="12">
        <v>0.66669999999999996</v>
      </c>
      <c r="V6" s="11">
        <v>18</v>
      </c>
      <c r="W6" s="11">
        <v>19</v>
      </c>
      <c r="X6" s="11">
        <v>37</v>
      </c>
      <c r="Y6" s="11">
        <v>14</v>
      </c>
      <c r="Z6" s="11">
        <v>5</v>
      </c>
      <c r="AA6" s="11">
        <v>1</v>
      </c>
      <c r="AB6" s="11">
        <v>17</v>
      </c>
      <c r="AC6" s="11">
        <v>26</v>
      </c>
      <c r="AD6" s="11">
        <v>27</v>
      </c>
      <c r="AE6" s="11">
        <v>52</v>
      </c>
      <c r="AF6" s="12">
        <v>0.51919999999999999</v>
      </c>
      <c r="AG6" s="11">
        <v>22</v>
      </c>
      <c r="AH6" s="11">
        <v>34</v>
      </c>
      <c r="AI6" s="12">
        <v>0.64710000000000001</v>
      </c>
      <c r="AJ6" s="11">
        <v>5</v>
      </c>
      <c r="AK6" s="11">
        <v>18</v>
      </c>
      <c r="AL6" s="12">
        <v>0.27779999999999999</v>
      </c>
      <c r="AM6" s="11">
        <v>27</v>
      </c>
      <c r="AN6" s="11">
        <v>36</v>
      </c>
      <c r="AO6" s="12">
        <v>0.75</v>
      </c>
      <c r="AP6" s="11">
        <v>9</v>
      </c>
      <c r="AQ6" s="11">
        <v>30</v>
      </c>
      <c r="AR6" s="11">
        <v>39</v>
      </c>
      <c r="AS6" s="11">
        <v>21</v>
      </c>
      <c r="AT6" s="11">
        <v>10</v>
      </c>
      <c r="AU6" s="11">
        <v>3</v>
      </c>
      <c r="AV6" s="11">
        <v>15</v>
      </c>
      <c r="AW6" s="11">
        <v>22</v>
      </c>
      <c r="AX6" s="12">
        <v>0.40150000000000002</v>
      </c>
      <c r="AY6" s="12">
        <v>0.38190000000000002</v>
      </c>
      <c r="AZ6" s="12">
        <v>0.375</v>
      </c>
      <c r="BA6" s="12">
        <v>0.67859999999999998</v>
      </c>
      <c r="BB6" s="12">
        <v>0.48680000000000001</v>
      </c>
      <c r="BC6" s="4">
        <v>68.135000000000005</v>
      </c>
      <c r="BD6" s="12">
        <v>0.56000000000000005</v>
      </c>
      <c r="BE6" s="12">
        <v>8.3299999999999999E-2</v>
      </c>
      <c r="BF6" s="12">
        <v>0.18290000000000001</v>
      </c>
      <c r="BG6" s="4">
        <v>85.1</v>
      </c>
      <c r="BH6" s="4">
        <v>120</v>
      </c>
      <c r="BI6" s="4">
        <v>71.680999999999997</v>
      </c>
      <c r="BJ6" s="12">
        <v>0.63380000000000003</v>
      </c>
      <c r="BK6" s="12">
        <v>0.56730000000000003</v>
      </c>
      <c r="BL6" s="12">
        <v>0.32140000000000002</v>
      </c>
      <c r="BM6" s="12">
        <v>0.625</v>
      </c>
      <c r="BN6" s="12">
        <v>0.51319999999999999</v>
      </c>
      <c r="BO6" s="4">
        <v>75.227000000000004</v>
      </c>
      <c r="BP6" s="12">
        <v>0.77780000000000005</v>
      </c>
      <c r="BQ6" s="12">
        <v>0.51919999999999999</v>
      </c>
      <c r="BR6" s="12">
        <v>0.18110000000000001</v>
      </c>
      <c r="BS6" s="4">
        <v>120</v>
      </c>
      <c r="BT6" s="4">
        <v>85.1</v>
      </c>
      <c r="BU6" s="11">
        <v>16</v>
      </c>
      <c r="BV6" s="11">
        <v>19</v>
      </c>
      <c r="BW6" s="11">
        <v>18</v>
      </c>
      <c r="BX6" s="11">
        <v>8</v>
      </c>
      <c r="BY6" s="11">
        <v>23</v>
      </c>
      <c r="BZ6" s="11">
        <v>23</v>
      </c>
      <c r="CA6" s="11">
        <v>17</v>
      </c>
      <c r="CB6" s="11">
        <v>23</v>
      </c>
      <c r="CC6" s="11">
        <v>35</v>
      </c>
      <c r="CD6" s="11">
        <v>26</v>
      </c>
      <c r="CE6" s="11">
        <v>46</v>
      </c>
      <c r="CF6" s="11">
        <v>40</v>
      </c>
      <c r="CG6" s="4">
        <v>2.6</v>
      </c>
      <c r="CH6" s="13">
        <v>1.53</v>
      </c>
      <c r="CI6" s="4">
        <v>4.5</v>
      </c>
      <c r="CJ6" s="4">
        <v>-4.5</v>
      </c>
      <c r="CK6" s="4">
        <v>165.5</v>
      </c>
      <c r="CL6" s="2" t="s">
        <v>352</v>
      </c>
      <c r="CM6" s="4" t="str">
        <f>VLOOKUP(nantere[[#This Row],[Away_team]],all[[Full name]:[Abbr]],3,FALSE)</f>
        <v>BUR</v>
      </c>
      <c r="CN6" s="4">
        <f>IF(OR(nantere[[#This Row],[Result]]="w",nantere[[#This Row],[Result]]="dw"),nantere[[#This Row],[win]]-1,-1)</f>
        <v>-1</v>
      </c>
      <c r="CO6" s="4">
        <f>IF(OR(nantere[[#This Row],[Result]]="L",nantere[[#This Row],[Result]]="dl"),nantere[[#This Row],[lose]]-1,-1)</f>
        <v>0.53</v>
      </c>
      <c r="CP6" s="4">
        <f>IF(OR((nantere[[#This Row],[Home_scored]]+nantere[[#This Row],[Away_scored]])&gt;nantere[[#This Row],[total]],OR(nantere[[#This Row],[Result]]="dw",nantere[[#This Row],[Result]]="dl")),1,0)</f>
        <v>0</v>
      </c>
      <c r="CQ6" s="4">
        <f>ABS((nantere[[#This Row],[Home_scored]]+nantere[[#This Row],[Away_scored]])-nantere[[#This Row],[total]])+0.5</f>
        <v>19</v>
      </c>
    </row>
    <row r="7" spans="1:95" x14ac:dyDescent="0.25">
      <c r="A7" s="2" t="s">
        <v>349</v>
      </c>
      <c r="B7" s="2" t="s">
        <v>336</v>
      </c>
      <c r="C7" s="3" t="s">
        <v>73</v>
      </c>
      <c r="D7" s="3">
        <v>45577</v>
      </c>
      <c r="E7" s="2" t="s">
        <v>140</v>
      </c>
      <c r="F7" s="2" t="s">
        <v>317</v>
      </c>
      <c r="G7" s="2" t="s">
        <v>139</v>
      </c>
      <c r="H7" s="11">
        <v>87</v>
      </c>
      <c r="I7" s="11">
        <v>94</v>
      </c>
      <c r="J7" s="11">
        <v>33</v>
      </c>
      <c r="K7" s="11">
        <v>72</v>
      </c>
      <c r="L7" s="12">
        <v>0.45829999999999999</v>
      </c>
      <c r="M7" s="11">
        <v>27</v>
      </c>
      <c r="N7" s="11">
        <v>53</v>
      </c>
      <c r="O7" s="12">
        <v>0.50939999999999996</v>
      </c>
      <c r="P7" s="11">
        <v>6</v>
      </c>
      <c r="Q7" s="11">
        <v>19</v>
      </c>
      <c r="R7" s="12">
        <v>0.31580000000000003</v>
      </c>
      <c r="S7" s="11">
        <v>15</v>
      </c>
      <c r="T7" s="11">
        <v>17</v>
      </c>
      <c r="U7" s="12">
        <v>0.88239999999999996</v>
      </c>
      <c r="V7" s="11">
        <v>14</v>
      </c>
      <c r="W7" s="11">
        <v>18</v>
      </c>
      <c r="X7" s="11">
        <v>32</v>
      </c>
      <c r="Y7" s="11">
        <v>18</v>
      </c>
      <c r="Z7" s="11">
        <v>9</v>
      </c>
      <c r="AA7" s="11">
        <v>2</v>
      </c>
      <c r="AB7" s="11">
        <v>13</v>
      </c>
      <c r="AC7" s="11">
        <v>21</v>
      </c>
      <c r="AD7" s="11">
        <v>36</v>
      </c>
      <c r="AE7" s="11">
        <v>67</v>
      </c>
      <c r="AF7" s="12">
        <v>0.5373</v>
      </c>
      <c r="AG7" s="11">
        <v>25</v>
      </c>
      <c r="AH7" s="11">
        <v>44</v>
      </c>
      <c r="AI7" s="12">
        <v>0.56820000000000004</v>
      </c>
      <c r="AJ7" s="11">
        <v>11</v>
      </c>
      <c r="AK7" s="11">
        <v>23</v>
      </c>
      <c r="AL7" s="12">
        <v>0.4783</v>
      </c>
      <c r="AM7" s="11">
        <v>11</v>
      </c>
      <c r="AN7" s="11">
        <v>17</v>
      </c>
      <c r="AO7" s="12">
        <v>0.64710000000000001</v>
      </c>
      <c r="AP7" s="11">
        <v>13</v>
      </c>
      <c r="AQ7" s="11">
        <v>26</v>
      </c>
      <c r="AR7" s="11">
        <v>39</v>
      </c>
      <c r="AS7" s="11">
        <v>26</v>
      </c>
      <c r="AT7" s="11">
        <v>7</v>
      </c>
      <c r="AU7" s="11">
        <v>7</v>
      </c>
      <c r="AV7" s="11">
        <v>16</v>
      </c>
      <c r="AW7" s="11">
        <v>23</v>
      </c>
      <c r="AX7" s="12">
        <v>0.54730000000000001</v>
      </c>
      <c r="AY7" s="12">
        <v>0.5</v>
      </c>
      <c r="AZ7" s="12">
        <v>0.35</v>
      </c>
      <c r="BA7" s="12">
        <v>0.5806</v>
      </c>
      <c r="BB7" s="12">
        <v>0.45069999999999999</v>
      </c>
      <c r="BC7" s="4">
        <v>73.543000000000006</v>
      </c>
      <c r="BD7" s="12">
        <v>0.54549999999999998</v>
      </c>
      <c r="BE7" s="12">
        <v>0.20830000000000001</v>
      </c>
      <c r="BF7" s="12">
        <v>0.1406</v>
      </c>
      <c r="BG7" s="4">
        <v>114.3</v>
      </c>
      <c r="BH7" s="4">
        <v>123.5</v>
      </c>
      <c r="BI7" s="4">
        <v>76.143000000000001</v>
      </c>
      <c r="BJ7" s="12">
        <v>0.63100000000000001</v>
      </c>
      <c r="BK7" s="12">
        <v>0.61939999999999995</v>
      </c>
      <c r="BL7" s="12">
        <v>0.4194</v>
      </c>
      <c r="BM7" s="12">
        <v>0.65</v>
      </c>
      <c r="BN7" s="12">
        <v>0.54930000000000001</v>
      </c>
      <c r="BO7" s="4">
        <v>78.742999999999995</v>
      </c>
      <c r="BP7" s="12">
        <v>0.72219999999999995</v>
      </c>
      <c r="BQ7" s="12">
        <v>0.16420000000000001</v>
      </c>
      <c r="BR7" s="12">
        <v>0.17680000000000001</v>
      </c>
      <c r="BS7" s="4">
        <v>123.5</v>
      </c>
      <c r="BT7" s="4">
        <v>114.3</v>
      </c>
      <c r="BU7" s="11">
        <v>28</v>
      </c>
      <c r="BV7" s="11">
        <v>9</v>
      </c>
      <c r="BW7" s="11">
        <v>18</v>
      </c>
      <c r="BX7" s="11">
        <v>32</v>
      </c>
      <c r="BY7" s="11">
        <v>18</v>
      </c>
      <c r="BZ7" s="11">
        <v>21</v>
      </c>
      <c r="CA7" s="11">
        <v>28</v>
      </c>
      <c r="CB7" s="11">
        <v>27</v>
      </c>
      <c r="CC7" s="11">
        <v>37</v>
      </c>
      <c r="CD7" s="11">
        <v>50</v>
      </c>
      <c r="CE7" s="11">
        <v>39</v>
      </c>
      <c r="CF7" s="11">
        <v>55</v>
      </c>
      <c r="CG7" s="4">
        <v>2.5</v>
      </c>
      <c r="CH7" s="13">
        <v>1.56</v>
      </c>
      <c r="CI7" s="4">
        <v>-4</v>
      </c>
      <c r="CJ7" s="4">
        <v>-4</v>
      </c>
      <c r="CK7" s="4">
        <v>160.5</v>
      </c>
      <c r="CL7" s="2" t="s">
        <v>397</v>
      </c>
      <c r="CM7" s="4" t="str">
        <f>VLOOKUP(nantere[[#This Row],[Away_team]],all[[Full name]:[Abbr]],3,FALSE)</f>
        <v>LEM</v>
      </c>
      <c r="CN7" s="4">
        <f>IF(OR(nantere[[#This Row],[Result]]="w",nantere[[#This Row],[Result]]="dw"),nantere[[#This Row],[win]]-1,-1)</f>
        <v>-1</v>
      </c>
      <c r="CO7" s="4">
        <f>IF(OR(nantere[[#This Row],[Result]]="L",nantere[[#This Row],[Result]]="dl"),nantere[[#This Row],[lose]]-1,-1)</f>
        <v>0.56000000000000005</v>
      </c>
      <c r="CP7" s="4">
        <f>IF(OR((nantere[[#This Row],[Home_scored]]+nantere[[#This Row],[Away_scored]])&gt;nantere[[#This Row],[total]],OR(nantere[[#This Row],[Result]]="dw",nantere[[#This Row],[Result]]="dl")),1,0)</f>
        <v>1</v>
      </c>
      <c r="CQ7" s="4">
        <f>ABS((nantere[[#This Row],[Home_scored]]+nantere[[#This Row],[Away_scored]])-nantere[[#This Row],[total]])+0.5</f>
        <v>21</v>
      </c>
    </row>
    <row r="8" spans="1:95" x14ac:dyDescent="0.25">
      <c r="A8" s="2" t="s">
        <v>349</v>
      </c>
      <c r="B8" s="2" t="s">
        <v>336</v>
      </c>
      <c r="C8" s="3" t="s">
        <v>73</v>
      </c>
      <c r="D8" s="3">
        <v>45585</v>
      </c>
      <c r="E8" s="2" t="s">
        <v>140</v>
      </c>
      <c r="F8" s="2" t="s">
        <v>339</v>
      </c>
      <c r="G8" s="2" t="s">
        <v>139</v>
      </c>
      <c r="H8" s="11">
        <v>86</v>
      </c>
      <c r="I8" s="11">
        <v>102</v>
      </c>
      <c r="J8" s="11">
        <v>30</v>
      </c>
      <c r="K8" s="11">
        <v>63</v>
      </c>
      <c r="L8" s="12">
        <v>0.47620000000000001</v>
      </c>
      <c r="M8" s="11">
        <v>26</v>
      </c>
      <c r="N8" s="11">
        <v>47</v>
      </c>
      <c r="O8" s="12">
        <v>0.55320000000000003</v>
      </c>
      <c r="P8" s="11">
        <v>4</v>
      </c>
      <c r="Q8" s="11">
        <v>16</v>
      </c>
      <c r="R8" s="12">
        <v>0.25</v>
      </c>
      <c r="S8" s="11">
        <v>22</v>
      </c>
      <c r="T8" s="11">
        <v>31</v>
      </c>
      <c r="U8" s="12">
        <v>0.7097</v>
      </c>
      <c r="V8" s="11">
        <v>14</v>
      </c>
      <c r="W8" s="11">
        <v>18</v>
      </c>
      <c r="X8" s="11">
        <v>32</v>
      </c>
      <c r="Y8" s="11">
        <v>18</v>
      </c>
      <c r="Z8" s="11">
        <v>6</v>
      </c>
      <c r="AA8" s="11">
        <v>3</v>
      </c>
      <c r="AB8" s="11">
        <v>13</v>
      </c>
      <c r="AC8" s="11">
        <v>22</v>
      </c>
      <c r="AD8" s="11">
        <v>34</v>
      </c>
      <c r="AE8" s="11">
        <v>65</v>
      </c>
      <c r="AF8" s="12">
        <v>0.52310000000000001</v>
      </c>
      <c r="AG8" s="11">
        <v>21</v>
      </c>
      <c r="AH8" s="11">
        <v>35</v>
      </c>
      <c r="AI8" s="12">
        <v>0.6</v>
      </c>
      <c r="AJ8" s="11">
        <v>13</v>
      </c>
      <c r="AK8" s="11">
        <v>30</v>
      </c>
      <c r="AL8" s="12">
        <v>0.43330000000000002</v>
      </c>
      <c r="AM8" s="11">
        <v>21</v>
      </c>
      <c r="AN8" s="11">
        <v>29</v>
      </c>
      <c r="AO8" s="12">
        <v>0.72409999999999997</v>
      </c>
      <c r="AP8" s="11">
        <v>16</v>
      </c>
      <c r="AQ8" s="11">
        <v>22</v>
      </c>
      <c r="AR8" s="11">
        <v>38</v>
      </c>
      <c r="AS8" s="11">
        <v>24</v>
      </c>
      <c r="AT8" s="11">
        <v>6</v>
      </c>
      <c r="AU8" s="11">
        <v>3</v>
      </c>
      <c r="AV8" s="11">
        <v>12</v>
      </c>
      <c r="AW8" s="11">
        <v>27</v>
      </c>
      <c r="AX8" s="12">
        <v>0.56110000000000004</v>
      </c>
      <c r="AY8" s="12">
        <v>0.50790000000000002</v>
      </c>
      <c r="AZ8" s="12">
        <v>0.38890000000000002</v>
      </c>
      <c r="BA8" s="12">
        <v>0.52939999999999998</v>
      </c>
      <c r="BB8" s="12">
        <v>0.45710000000000001</v>
      </c>
      <c r="BC8" s="4">
        <v>72.951999999999998</v>
      </c>
      <c r="BD8" s="12">
        <v>0.6</v>
      </c>
      <c r="BE8" s="12">
        <v>0.34920000000000001</v>
      </c>
      <c r="BF8" s="12">
        <v>0.14499999999999999</v>
      </c>
      <c r="BG8" s="4">
        <v>116.5</v>
      </c>
      <c r="BH8" s="4">
        <v>138.19999999999999</v>
      </c>
      <c r="BI8" s="4">
        <v>73.793000000000006</v>
      </c>
      <c r="BJ8" s="12">
        <v>0.65590000000000004</v>
      </c>
      <c r="BK8" s="12">
        <v>0.62309999999999999</v>
      </c>
      <c r="BL8" s="12">
        <v>0.47060000000000002</v>
      </c>
      <c r="BM8" s="12">
        <v>0.61109999999999998</v>
      </c>
      <c r="BN8" s="12">
        <v>0.54290000000000005</v>
      </c>
      <c r="BO8" s="4">
        <v>74.634</v>
      </c>
      <c r="BP8" s="12">
        <v>0.70589999999999997</v>
      </c>
      <c r="BQ8" s="12">
        <v>0.3231</v>
      </c>
      <c r="BR8" s="12">
        <v>0.13370000000000001</v>
      </c>
      <c r="BS8" s="4">
        <v>138.19999999999999</v>
      </c>
      <c r="BT8" s="4">
        <v>116.5</v>
      </c>
      <c r="BU8" s="11">
        <v>19</v>
      </c>
      <c r="BV8" s="11">
        <v>15</v>
      </c>
      <c r="BW8" s="11">
        <v>21</v>
      </c>
      <c r="BX8" s="11">
        <v>31</v>
      </c>
      <c r="BY8" s="11">
        <v>30</v>
      </c>
      <c r="BZ8" s="11">
        <v>22</v>
      </c>
      <c r="CA8" s="11">
        <v>27</v>
      </c>
      <c r="CB8" s="11">
        <v>23</v>
      </c>
      <c r="CC8" s="11">
        <v>34</v>
      </c>
      <c r="CD8" s="11">
        <v>52</v>
      </c>
      <c r="CE8" s="11">
        <v>52</v>
      </c>
      <c r="CF8" s="11">
        <v>50</v>
      </c>
      <c r="CG8" s="4">
        <v>4.5</v>
      </c>
      <c r="CH8" s="13">
        <v>1.22</v>
      </c>
      <c r="CI8" s="4">
        <v>9.5</v>
      </c>
      <c r="CJ8" s="4">
        <v>-9.5</v>
      </c>
      <c r="CK8" s="4">
        <v>167.5</v>
      </c>
      <c r="CL8" s="2" t="s">
        <v>428</v>
      </c>
      <c r="CM8" s="4" t="str">
        <f>VLOOKUP(nantere[[#This Row],[Away_team]],all[[Full name]:[Abbr]],3,FALSE)</f>
        <v>PAR</v>
      </c>
      <c r="CN8" s="4">
        <f>IF(OR(nantere[[#This Row],[Result]]="w",nantere[[#This Row],[Result]]="dw"),nantere[[#This Row],[win]]-1,-1)</f>
        <v>-1</v>
      </c>
      <c r="CO8" s="4">
        <f>IF(OR(nantere[[#This Row],[Result]]="L",nantere[[#This Row],[Result]]="dl"),nantere[[#This Row],[lose]]-1,-1)</f>
        <v>0.21999999999999997</v>
      </c>
      <c r="CP8" s="4">
        <f>IF(OR((nantere[[#This Row],[Home_scored]]+nantere[[#This Row],[Away_scored]])&gt;nantere[[#This Row],[total]],OR(nantere[[#This Row],[Result]]="dw",nantere[[#This Row],[Result]]="dl")),1,0)</f>
        <v>1</v>
      </c>
      <c r="CQ8" s="4">
        <f>ABS((nantere[[#This Row],[Home_scored]]+nantere[[#This Row],[Away_scored]])-nantere[[#This Row],[total]])+0.5</f>
        <v>21</v>
      </c>
    </row>
    <row r="9" spans="1:95" x14ac:dyDescent="0.25">
      <c r="A9" s="2" t="s">
        <v>349</v>
      </c>
      <c r="B9" s="2" t="s">
        <v>336</v>
      </c>
      <c r="C9" s="3" t="s">
        <v>73</v>
      </c>
      <c r="D9" s="3">
        <v>45592</v>
      </c>
      <c r="E9" s="2" t="s">
        <v>74</v>
      </c>
      <c r="F9" s="2" t="s">
        <v>305</v>
      </c>
      <c r="G9" s="2" t="s">
        <v>75</v>
      </c>
      <c r="H9" s="11">
        <v>91</v>
      </c>
      <c r="I9" s="11">
        <v>70</v>
      </c>
      <c r="J9" s="11">
        <v>33</v>
      </c>
      <c r="K9" s="11">
        <v>73</v>
      </c>
      <c r="L9" s="12">
        <v>0.4521</v>
      </c>
      <c r="M9" s="11">
        <v>27</v>
      </c>
      <c r="N9" s="11">
        <v>44</v>
      </c>
      <c r="O9" s="12">
        <v>0.61360000000000003</v>
      </c>
      <c r="P9" s="11">
        <v>6</v>
      </c>
      <c r="Q9" s="11">
        <v>29</v>
      </c>
      <c r="R9" s="12">
        <v>0.2069</v>
      </c>
      <c r="S9" s="11">
        <v>19</v>
      </c>
      <c r="T9" s="11">
        <v>21</v>
      </c>
      <c r="U9" s="12">
        <v>0.90480000000000005</v>
      </c>
      <c r="V9" s="11">
        <v>13</v>
      </c>
      <c r="W9" s="11">
        <v>26</v>
      </c>
      <c r="X9" s="11">
        <v>39</v>
      </c>
      <c r="Y9" s="11">
        <v>20</v>
      </c>
      <c r="Z9" s="11">
        <v>8</v>
      </c>
      <c r="AA9" s="11">
        <v>3</v>
      </c>
      <c r="AB9" s="11">
        <v>9</v>
      </c>
      <c r="AC9" s="11">
        <v>20</v>
      </c>
      <c r="AD9" s="11">
        <v>26</v>
      </c>
      <c r="AE9" s="11">
        <v>61</v>
      </c>
      <c r="AF9" s="12">
        <v>0.42620000000000002</v>
      </c>
      <c r="AG9" s="11">
        <v>20</v>
      </c>
      <c r="AH9" s="11">
        <v>41</v>
      </c>
      <c r="AI9" s="12">
        <v>0.48780000000000001</v>
      </c>
      <c r="AJ9" s="11">
        <v>6</v>
      </c>
      <c r="AK9" s="11">
        <v>20</v>
      </c>
      <c r="AL9" s="12">
        <v>0.3</v>
      </c>
      <c r="AM9" s="11">
        <v>12</v>
      </c>
      <c r="AN9" s="11">
        <v>14</v>
      </c>
      <c r="AO9" s="12">
        <v>0.85709999999999997</v>
      </c>
      <c r="AP9" s="11">
        <v>9</v>
      </c>
      <c r="AQ9" s="11">
        <v>27</v>
      </c>
      <c r="AR9" s="11">
        <v>36</v>
      </c>
      <c r="AS9" s="11">
        <v>21</v>
      </c>
      <c r="AT9" s="11">
        <v>6</v>
      </c>
      <c r="AU9" s="11">
        <v>1</v>
      </c>
      <c r="AV9" s="11">
        <v>18</v>
      </c>
      <c r="AW9" s="11">
        <v>25</v>
      </c>
      <c r="AX9" s="12">
        <v>0.55330000000000001</v>
      </c>
      <c r="AY9" s="12">
        <v>0.49320000000000003</v>
      </c>
      <c r="AZ9" s="12">
        <v>0.32500000000000001</v>
      </c>
      <c r="BA9" s="12">
        <v>0.7429</v>
      </c>
      <c r="BB9" s="12">
        <v>0.52</v>
      </c>
      <c r="BC9" s="4">
        <v>76.132999999999996</v>
      </c>
      <c r="BD9" s="12">
        <v>0.60609999999999997</v>
      </c>
      <c r="BE9" s="12">
        <v>0.26029999999999998</v>
      </c>
      <c r="BF9" s="12">
        <v>9.8599999999999993E-2</v>
      </c>
      <c r="BG9" s="4">
        <v>120.2</v>
      </c>
      <c r="BH9" s="4">
        <v>92.5</v>
      </c>
      <c r="BI9" s="4">
        <v>75.685500000000005</v>
      </c>
      <c r="BJ9" s="12">
        <v>0.52110000000000001</v>
      </c>
      <c r="BK9" s="12">
        <v>0.47539999999999999</v>
      </c>
      <c r="BL9" s="12">
        <v>0.2571</v>
      </c>
      <c r="BM9" s="12">
        <v>0.67500000000000004</v>
      </c>
      <c r="BN9" s="12">
        <v>0.48</v>
      </c>
      <c r="BO9" s="4">
        <v>75.238</v>
      </c>
      <c r="BP9" s="12">
        <v>0.80769999999999997</v>
      </c>
      <c r="BQ9" s="12">
        <v>0.19670000000000001</v>
      </c>
      <c r="BR9" s="12">
        <v>0.2114</v>
      </c>
      <c r="BS9" s="4">
        <v>92.5</v>
      </c>
      <c r="BT9" s="4">
        <v>120.2</v>
      </c>
      <c r="BU9" s="11">
        <v>20</v>
      </c>
      <c r="BV9" s="11">
        <v>21</v>
      </c>
      <c r="BW9" s="11">
        <v>30</v>
      </c>
      <c r="BX9" s="11">
        <v>20</v>
      </c>
      <c r="BY9" s="11">
        <v>24</v>
      </c>
      <c r="BZ9" s="11">
        <v>17</v>
      </c>
      <c r="CA9" s="11">
        <v>16</v>
      </c>
      <c r="CB9" s="11">
        <v>13</v>
      </c>
      <c r="CC9" s="11">
        <v>41</v>
      </c>
      <c r="CD9" s="11">
        <v>50</v>
      </c>
      <c r="CE9" s="11">
        <v>41</v>
      </c>
      <c r="CF9" s="11">
        <v>29</v>
      </c>
      <c r="CG9" s="4">
        <v>1.45</v>
      </c>
      <c r="CH9" s="13">
        <v>2.8</v>
      </c>
      <c r="CI9" s="4">
        <v>-5.5</v>
      </c>
      <c r="CJ9" s="4">
        <v>5.5</v>
      </c>
      <c r="CK9" s="4">
        <v>165.5</v>
      </c>
      <c r="CL9" s="2" t="s">
        <v>366</v>
      </c>
      <c r="CM9" s="4" t="str">
        <f>VLOOKUP(nantere[[#This Row],[Away_team]],all[[Full name]:[Abbr]],3,FALSE)</f>
        <v>CHA</v>
      </c>
      <c r="CN9" s="4">
        <f>IF(OR(nantere[[#This Row],[Result]]="w",nantere[[#This Row],[Result]]="dw"),nantere[[#This Row],[win]]-1,-1)</f>
        <v>0.44999999999999996</v>
      </c>
      <c r="CO9" s="4">
        <f>IF(OR(nantere[[#This Row],[Result]]="L",nantere[[#This Row],[Result]]="dl"),nantere[[#This Row],[lose]]-1,-1)</f>
        <v>-1</v>
      </c>
      <c r="CP9" s="4">
        <f>IF(OR((nantere[[#This Row],[Home_scored]]+nantere[[#This Row],[Away_scored]])&gt;nantere[[#This Row],[total]],OR(nantere[[#This Row],[Result]]="dw",nantere[[#This Row],[Result]]="dl")),1,0)</f>
        <v>0</v>
      </c>
      <c r="CQ9" s="4">
        <f>ABS((nantere[[#This Row],[Home_scored]]+nantere[[#This Row],[Away_scored]])-nantere[[#This Row],[total]])+0.5</f>
        <v>5</v>
      </c>
    </row>
    <row r="10" spans="1:95" x14ac:dyDescent="0.25">
      <c r="A10" s="2" t="s">
        <v>349</v>
      </c>
      <c r="B10" s="2" t="s">
        <v>336</v>
      </c>
      <c r="C10" s="3" t="s">
        <v>73</v>
      </c>
      <c r="D10" s="3">
        <v>45598</v>
      </c>
      <c r="E10" s="2" t="s">
        <v>74</v>
      </c>
      <c r="F10" s="2" t="s">
        <v>342</v>
      </c>
      <c r="G10" s="2" t="s">
        <v>143</v>
      </c>
      <c r="H10" s="11">
        <v>86</v>
      </c>
      <c r="I10" s="11">
        <v>86</v>
      </c>
      <c r="J10" s="11">
        <v>31</v>
      </c>
      <c r="K10" s="11">
        <v>52</v>
      </c>
      <c r="L10" s="12">
        <v>0.59619999999999995</v>
      </c>
      <c r="M10" s="11">
        <v>19</v>
      </c>
      <c r="N10" s="11">
        <v>33</v>
      </c>
      <c r="O10" s="12">
        <v>0.57579999999999998</v>
      </c>
      <c r="P10" s="11">
        <v>12</v>
      </c>
      <c r="Q10" s="11">
        <v>19</v>
      </c>
      <c r="R10" s="12">
        <v>0.63160000000000005</v>
      </c>
      <c r="S10" s="11">
        <v>12</v>
      </c>
      <c r="T10" s="11">
        <v>16</v>
      </c>
      <c r="U10" s="12">
        <v>0.75</v>
      </c>
      <c r="V10" s="11">
        <v>5</v>
      </c>
      <c r="W10" s="11">
        <v>20</v>
      </c>
      <c r="X10" s="11">
        <v>25</v>
      </c>
      <c r="Y10" s="11">
        <v>27</v>
      </c>
      <c r="Z10" s="11">
        <v>10</v>
      </c>
      <c r="AA10" s="11">
        <v>0</v>
      </c>
      <c r="AB10" s="11">
        <v>16</v>
      </c>
      <c r="AC10" s="11">
        <v>21</v>
      </c>
      <c r="AD10" s="11">
        <v>29</v>
      </c>
      <c r="AE10" s="11">
        <v>63</v>
      </c>
      <c r="AF10" s="12">
        <v>0.46029999999999999</v>
      </c>
      <c r="AG10" s="11">
        <v>16</v>
      </c>
      <c r="AH10" s="11">
        <v>30</v>
      </c>
      <c r="AI10" s="12">
        <v>0.5333</v>
      </c>
      <c r="AJ10" s="11">
        <v>13</v>
      </c>
      <c r="AK10" s="11">
        <v>33</v>
      </c>
      <c r="AL10" s="12">
        <v>0.39389999999999997</v>
      </c>
      <c r="AM10" s="11">
        <v>15</v>
      </c>
      <c r="AN10" s="11">
        <v>16</v>
      </c>
      <c r="AO10" s="12">
        <v>0.9375</v>
      </c>
      <c r="AP10" s="11">
        <v>14</v>
      </c>
      <c r="AQ10" s="11">
        <v>15</v>
      </c>
      <c r="AR10" s="11">
        <v>29</v>
      </c>
      <c r="AS10" s="11">
        <v>15</v>
      </c>
      <c r="AT10" s="11">
        <v>8</v>
      </c>
      <c r="AU10" s="11">
        <v>3</v>
      </c>
      <c r="AV10" s="11">
        <v>14</v>
      </c>
      <c r="AW10" s="11">
        <v>19</v>
      </c>
      <c r="AX10" s="12">
        <v>0.72829999999999995</v>
      </c>
      <c r="AY10" s="12">
        <v>0.71150000000000002</v>
      </c>
      <c r="AZ10" s="12">
        <v>0.25</v>
      </c>
      <c r="BA10" s="12">
        <v>0.58819999999999995</v>
      </c>
      <c r="BB10" s="12">
        <v>0.46300000000000002</v>
      </c>
      <c r="BC10" s="4">
        <v>69.906000000000006</v>
      </c>
      <c r="BD10" s="12">
        <v>0.871</v>
      </c>
      <c r="BE10" s="12">
        <v>0.23080000000000001</v>
      </c>
      <c r="BF10" s="12">
        <v>0.2132</v>
      </c>
      <c r="BG10" s="4">
        <v>126.7</v>
      </c>
      <c r="BH10" s="4">
        <v>126.7</v>
      </c>
      <c r="BI10" s="4">
        <v>67.871499999999997</v>
      </c>
      <c r="BJ10" s="12">
        <v>0.6139</v>
      </c>
      <c r="BK10" s="12">
        <v>0.5635</v>
      </c>
      <c r="BL10" s="12">
        <v>0.4118</v>
      </c>
      <c r="BM10" s="12">
        <v>0.75</v>
      </c>
      <c r="BN10" s="12">
        <v>0.53700000000000003</v>
      </c>
      <c r="BO10" s="4">
        <v>65.837000000000003</v>
      </c>
      <c r="BP10" s="12">
        <v>0.51719999999999999</v>
      </c>
      <c r="BQ10" s="12">
        <v>0.23810000000000001</v>
      </c>
      <c r="BR10" s="12">
        <v>0.1666</v>
      </c>
      <c r="BS10" s="4">
        <v>126.7</v>
      </c>
      <c r="BT10" s="4">
        <v>126.7</v>
      </c>
      <c r="BU10" s="11">
        <v>24</v>
      </c>
      <c r="BV10" s="11">
        <v>25</v>
      </c>
      <c r="BW10" s="11">
        <v>21</v>
      </c>
      <c r="BX10" s="11">
        <v>16</v>
      </c>
      <c r="BY10" s="11">
        <v>15</v>
      </c>
      <c r="BZ10" s="11">
        <v>25</v>
      </c>
      <c r="CA10" s="11">
        <v>20</v>
      </c>
      <c r="CB10" s="11">
        <v>26</v>
      </c>
      <c r="CC10" s="11">
        <v>49</v>
      </c>
      <c r="CD10" s="11">
        <v>37</v>
      </c>
      <c r="CE10" s="11">
        <v>40</v>
      </c>
      <c r="CF10" s="11">
        <v>46</v>
      </c>
      <c r="CG10" s="4">
        <v>1.8</v>
      </c>
      <c r="CH10" s="13">
        <v>2.0499999999999998</v>
      </c>
      <c r="CI10" s="4">
        <v>-1.5</v>
      </c>
      <c r="CJ10" s="4">
        <v>1.5</v>
      </c>
      <c r="CK10" s="4">
        <v>157.5</v>
      </c>
      <c r="CL10" s="2" t="s">
        <v>429</v>
      </c>
      <c r="CM10" s="4" t="str">
        <f>VLOOKUP(nantere[[#This Row],[Away_team]],all[[Full name]:[Abbr]],3,FALSE)</f>
        <v>SQU</v>
      </c>
      <c r="CN10" s="4">
        <f>IF(OR(nantere[[#This Row],[Result]]="w",nantere[[#This Row],[Result]]="dw"),nantere[[#This Row],[win]]-1,-1)</f>
        <v>-1</v>
      </c>
      <c r="CO10" s="4">
        <f>IF(OR(nantere[[#This Row],[Result]]="L",nantere[[#This Row],[Result]]="dl"),nantere[[#This Row],[lose]]-1,-1)</f>
        <v>1.0499999999999998</v>
      </c>
      <c r="CP10" s="4">
        <f>IF(OR((nantere[[#This Row],[Home_scored]]+nantere[[#This Row],[Away_scored]])&gt;nantere[[#This Row],[total]],OR(nantere[[#This Row],[Result]]="dw",nantere[[#This Row],[Result]]="dl")),1,0)</f>
        <v>1</v>
      </c>
      <c r="CQ10" s="4">
        <f>ABS((nantere[[#This Row],[Home_scored]]+nantere[[#This Row],[Away_scored]])-nantere[[#This Row],[total]])+0.5</f>
        <v>15</v>
      </c>
    </row>
    <row r="11" spans="1:95" x14ac:dyDescent="0.25">
      <c r="A11" s="2" t="s">
        <v>349</v>
      </c>
      <c r="B11" s="2" t="s">
        <v>336</v>
      </c>
      <c r="C11" s="3" t="s">
        <v>73</v>
      </c>
      <c r="D11" s="3">
        <v>45606</v>
      </c>
      <c r="E11" s="2" t="s">
        <v>140</v>
      </c>
      <c r="F11" s="2" t="s">
        <v>327</v>
      </c>
      <c r="G11" s="2" t="s">
        <v>139</v>
      </c>
      <c r="H11" s="11">
        <v>103</v>
      </c>
      <c r="I11" s="11">
        <v>109</v>
      </c>
      <c r="J11" s="11">
        <v>35</v>
      </c>
      <c r="K11" s="11">
        <v>71</v>
      </c>
      <c r="L11" s="12">
        <v>0.49299999999999999</v>
      </c>
      <c r="M11" s="11">
        <v>23</v>
      </c>
      <c r="N11" s="11">
        <v>43</v>
      </c>
      <c r="O11" s="12">
        <v>0.53490000000000004</v>
      </c>
      <c r="P11" s="11">
        <v>12</v>
      </c>
      <c r="Q11" s="11">
        <v>28</v>
      </c>
      <c r="R11" s="12">
        <v>0.42859999999999998</v>
      </c>
      <c r="S11" s="11">
        <v>21</v>
      </c>
      <c r="T11" s="11">
        <v>23</v>
      </c>
      <c r="U11" s="12">
        <v>0.91300000000000003</v>
      </c>
      <c r="V11" s="11">
        <v>10</v>
      </c>
      <c r="W11" s="11">
        <v>18</v>
      </c>
      <c r="X11" s="11">
        <v>28</v>
      </c>
      <c r="Y11" s="11">
        <v>23</v>
      </c>
      <c r="Z11" s="11">
        <v>8</v>
      </c>
      <c r="AA11" s="11">
        <v>2</v>
      </c>
      <c r="AB11" s="11">
        <v>12</v>
      </c>
      <c r="AC11" s="11">
        <v>34</v>
      </c>
      <c r="AD11" s="11">
        <v>37</v>
      </c>
      <c r="AE11" s="11">
        <v>58</v>
      </c>
      <c r="AF11" s="12">
        <v>0.63790000000000002</v>
      </c>
      <c r="AG11" s="11">
        <v>30</v>
      </c>
      <c r="AH11" s="11">
        <v>44</v>
      </c>
      <c r="AI11" s="12">
        <v>0.68179999999999996</v>
      </c>
      <c r="AJ11" s="11">
        <v>7</v>
      </c>
      <c r="AK11" s="11">
        <v>14</v>
      </c>
      <c r="AL11" s="12">
        <v>0.5</v>
      </c>
      <c r="AM11" s="11">
        <v>28</v>
      </c>
      <c r="AN11" s="11">
        <v>38</v>
      </c>
      <c r="AO11" s="12">
        <v>0.73680000000000001</v>
      </c>
      <c r="AP11" s="11">
        <v>7</v>
      </c>
      <c r="AQ11" s="11">
        <v>24</v>
      </c>
      <c r="AR11" s="11">
        <v>31</v>
      </c>
      <c r="AS11" s="11">
        <v>36</v>
      </c>
      <c r="AT11" s="11">
        <v>4</v>
      </c>
      <c r="AU11" s="11">
        <v>4</v>
      </c>
      <c r="AV11" s="11">
        <v>15</v>
      </c>
      <c r="AW11" s="11">
        <v>21</v>
      </c>
      <c r="AX11" s="12">
        <v>0.63490000000000002</v>
      </c>
      <c r="AY11" s="12">
        <v>0.57750000000000001</v>
      </c>
      <c r="AZ11" s="12">
        <v>0.29409999999999997</v>
      </c>
      <c r="BA11" s="12">
        <v>0.72</v>
      </c>
      <c r="BB11" s="12">
        <v>0.47460000000000002</v>
      </c>
      <c r="BC11" s="4">
        <v>78.442999999999998</v>
      </c>
      <c r="BD11" s="12">
        <v>0.65710000000000002</v>
      </c>
      <c r="BE11" s="12">
        <v>0.29580000000000001</v>
      </c>
      <c r="BF11" s="12">
        <v>0.12889999999999999</v>
      </c>
      <c r="BG11" s="4">
        <v>127.5</v>
      </c>
      <c r="BH11" s="4">
        <v>134.9</v>
      </c>
      <c r="BI11" s="4">
        <v>80.784499999999994</v>
      </c>
      <c r="BJ11" s="12">
        <v>0.72940000000000005</v>
      </c>
      <c r="BK11" s="12">
        <v>0.69830000000000003</v>
      </c>
      <c r="BL11" s="12">
        <v>0.28000000000000003</v>
      </c>
      <c r="BM11" s="12">
        <v>0.70589999999999997</v>
      </c>
      <c r="BN11" s="12">
        <v>0.52539999999999998</v>
      </c>
      <c r="BO11" s="4">
        <v>83.126000000000005</v>
      </c>
      <c r="BP11" s="12">
        <v>0.97299999999999998</v>
      </c>
      <c r="BQ11" s="12">
        <v>0.48280000000000001</v>
      </c>
      <c r="BR11" s="12">
        <v>0.16719999999999999</v>
      </c>
      <c r="BS11" s="4">
        <v>134.9</v>
      </c>
      <c r="BT11" s="4">
        <v>127.5</v>
      </c>
      <c r="BU11" s="11">
        <v>13</v>
      </c>
      <c r="BV11" s="11">
        <v>22</v>
      </c>
      <c r="BW11" s="11">
        <v>35</v>
      </c>
      <c r="BX11" s="11">
        <v>33</v>
      </c>
      <c r="BY11" s="11">
        <v>37</v>
      </c>
      <c r="BZ11" s="11">
        <v>15</v>
      </c>
      <c r="CA11" s="11">
        <v>24</v>
      </c>
      <c r="CB11" s="11">
        <v>33</v>
      </c>
      <c r="CC11" s="11">
        <v>35</v>
      </c>
      <c r="CD11" s="11">
        <v>68</v>
      </c>
      <c r="CE11" s="11">
        <v>52</v>
      </c>
      <c r="CF11" s="11">
        <v>57</v>
      </c>
      <c r="CG11" s="4">
        <v>5</v>
      </c>
      <c r="CH11" s="13">
        <v>1.18</v>
      </c>
      <c r="CI11" s="4">
        <v>10.5</v>
      </c>
      <c r="CJ11" s="4">
        <v>-10.5</v>
      </c>
      <c r="CK11" s="4">
        <v>164.5</v>
      </c>
      <c r="CL11" s="2" t="s">
        <v>420</v>
      </c>
      <c r="CM11" s="4" t="str">
        <f>VLOOKUP(nantere[[#This Row],[Away_team]],all[[Full name]:[Abbr]],3,FALSE)</f>
        <v>LYO</v>
      </c>
      <c r="CN11" s="4">
        <f>IF(OR(nantere[[#This Row],[Result]]="w",nantere[[#This Row],[Result]]="dw"),nantere[[#This Row],[win]]-1,-1)</f>
        <v>-1</v>
      </c>
      <c r="CO11" s="4">
        <f>IF(OR(nantere[[#This Row],[Result]]="L",nantere[[#This Row],[Result]]="dl"),nantere[[#This Row],[lose]]-1,-1)</f>
        <v>0.17999999999999994</v>
      </c>
      <c r="CP11" s="4">
        <f>IF(OR((nantere[[#This Row],[Home_scored]]+nantere[[#This Row],[Away_scored]])&gt;nantere[[#This Row],[total]],OR(nantere[[#This Row],[Result]]="dw",nantere[[#This Row],[Result]]="dl")),1,0)</f>
        <v>1</v>
      </c>
      <c r="CQ11" s="4">
        <f>ABS((nantere[[#This Row],[Home_scored]]+nantere[[#This Row],[Away_scored]])-nantere[[#This Row],[total]])+0.5</f>
        <v>48</v>
      </c>
    </row>
    <row r="12" spans="1:95" x14ac:dyDescent="0.25">
      <c r="A12" s="2" t="s">
        <v>349</v>
      </c>
      <c r="B12" s="2" t="s">
        <v>336</v>
      </c>
      <c r="C12" s="3" t="s">
        <v>73</v>
      </c>
      <c r="D12" s="3">
        <v>45611</v>
      </c>
      <c r="E12" s="2" t="s">
        <v>140</v>
      </c>
      <c r="F12" s="2" t="s">
        <v>323</v>
      </c>
      <c r="G12" s="2" t="s">
        <v>75</v>
      </c>
      <c r="H12" s="11">
        <v>98</v>
      </c>
      <c r="I12" s="11">
        <v>77</v>
      </c>
      <c r="J12" s="11">
        <v>32</v>
      </c>
      <c r="K12" s="11">
        <v>65</v>
      </c>
      <c r="L12" s="12">
        <v>0.49230000000000002</v>
      </c>
      <c r="M12" s="11">
        <v>18</v>
      </c>
      <c r="N12" s="11">
        <v>36</v>
      </c>
      <c r="O12" s="12">
        <v>0.5</v>
      </c>
      <c r="P12" s="11">
        <v>14</v>
      </c>
      <c r="Q12" s="11">
        <v>29</v>
      </c>
      <c r="R12" s="12">
        <v>0.48280000000000001</v>
      </c>
      <c r="S12" s="11">
        <v>20</v>
      </c>
      <c r="T12" s="11">
        <v>22</v>
      </c>
      <c r="U12" s="12">
        <v>0.90910000000000002</v>
      </c>
      <c r="V12" s="11">
        <v>11</v>
      </c>
      <c r="W12" s="11">
        <v>19</v>
      </c>
      <c r="X12" s="11">
        <v>30</v>
      </c>
      <c r="Y12" s="11">
        <v>21</v>
      </c>
      <c r="Z12" s="11">
        <v>8</v>
      </c>
      <c r="AA12" s="11">
        <v>3</v>
      </c>
      <c r="AB12" s="11">
        <v>10</v>
      </c>
      <c r="AC12" s="11">
        <v>26</v>
      </c>
      <c r="AD12" s="11">
        <v>24</v>
      </c>
      <c r="AE12" s="11">
        <v>48</v>
      </c>
      <c r="AF12" s="12">
        <v>0.5</v>
      </c>
      <c r="AG12" s="11">
        <v>15</v>
      </c>
      <c r="AH12" s="11">
        <v>24</v>
      </c>
      <c r="AI12" s="12">
        <v>0.625</v>
      </c>
      <c r="AJ12" s="11">
        <v>9</v>
      </c>
      <c r="AK12" s="11">
        <v>24</v>
      </c>
      <c r="AL12" s="12">
        <v>0.375</v>
      </c>
      <c r="AM12" s="11">
        <v>20</v>
      </c>
      <c r="AN12" s="11">
        <v>24</v>
      </c>
      <c r="AO12" s="12">
        <v>0.83330000000000004</v>
      </c>
      <c r="AP12" s="11">
        <v>6</v>
      </c>
      <c r="AQ12" s="11">
        <v>21</v>
      </c>
      <c r="AR12" s="11">
        <v>27</v>
      </c>
      <c r="AS12" s="11">
        <v>22</v>
      </c>
      <c r="AT12" s="11">
        <v>6</v>
      </c>
      <c r="AU12" s="11">
        <v>0</v>
      </c>
      <c r="AV12" s="11">
        <v>21</v>
      </c>
      <c r="AW12" s="11">
        <v>22</v>
      </c>
      <c r="AX12" s="12">
        <v>0.65610000000000002</v>
      </c>
      <c r="AY12" s="12">
        <v>0.6</v>
      </c>
      <c r="AZ12" s="12">
        <v>0.34379999999999999</v>
      </c>
      <c r="BA12" s="12">
        <v>0.76</v>
      </c>
      <c r="BB12" s="12">
        <v>0.52629999999999999</v>
      </c>
      <c r="BC12" s="4">
        <v>70.852999999999994</v>
      </c>
      <c r="BD12" s="12">
        <v>0.65629999999999999</v>
      </c>
      <c r="BE12" s="12">
        <v>0.30769999999999997</v>
      </c>
      <c r="BF12" s="12">
        <v>0.1181</v>
      </c>
      <c r="BG12" s="4">
        <v>136.4</v>
      </c>
      <c r="BH12" s="4">
        <v>107.1</v>
      </c>
      <c r="BI12" s="4">
        <v>71.873000000000005</v>
      </c>
      <c r="BJ12" s="12">
        <v>0.65739999999999998</v>
      </c>
      <c r="BK12" s="12">
        <v>0.59379999999999999</v>
      </c>
      <c r="BL12" s="12">
        <v>0.24</v>
      </c>
      <c r="BM12" s="12">
        <v>0.65629999999999999</v>
      </c>
      <c r="BN12" s="12">
        <v>0.47370000000000001</v>
      </c>
      <c r="BO12" s="4">
        <v>72.893000000000001</v>
      </c>
      <c r="BP12" s="12">
        <v>0.91669999999999996</v>
      </c>
      <c r="BQ12" s="12">
        <v>0.41670000000000001</v>
      </c>
      <c r="BR12" s="12">
        <v>0.26400000000000001</v>
      </c>
      <c r="BS12" s="4">
        <v>107.1</v>
      </c>
      <c r="BT12" s="4">
        <v>136.4</v>
      </c>
      <c r="BU12" s="11">
        <v>22</v>
      </c>
      <c r="BV12" s="11">
        <v>19</v>
      </c>
      <c r="BW12" s="11">
        <v>29</v>
      </c>
      <c r="BX12" s="11">
        <v>28</v>
      </c>
      <c r="BY12" s="11">
        <v>17</v>
      </c>
      <c r="BZ12" s="11">
        <v>25</v>
      </c>
      <c r="CA12" s="11">
        <v>20</v>
      </c>
      <c r="CB12" s="11">
        <v>15</v>
      </c>
      <c r="CC12" s="11">
        <v>41</v>
      </c>
      <c r="CD12" s="11">
        <v>57</v>
      </c>
      <c r="CE12" s="11">
        <v>42</v>
      </c>
      <c r="CF12" s="11">
        <v>35</v>
      </c>
      <c r="CG12" s="4">
        <v>1.45</v>
      </c>
      <c r="CH12" s="13">
        <v>2.8</v>
      </c>
      <c r="CI12" s="4">
        <v>-5.5</v>
      </c>
      <c r="CJ12" s="4">
        <v>5.5</v>
      </c>
      <c r="CK12" s="4">
        <v>158.5</v>
      </c>
      <c r="CL12" s="2" t="s">
        <v>412</v>
      </c>
      <c r="CM12" s="4" t="e">
        <f>VLOOKUP(nantere[[#This Row],[Away_team]],all[[Full name]:[Abbr]],3,FALSE)</f>
        <v>#N/A</v>
      </c>
      <c r="CN12" s="4">
        <f>IF(OR(nantere[[#This Row],[Result]]="w",nantere[[#This Row],[Result]]="dw"),nantere[[#This Row],[win]]-1,-1)</f>
        <v>0.44999999999999996</v>
      </c>
      <c r="CO12" s="4">
        <f>IF(OR(nantere[[#This Row],[Result]]="L",nantere[[#This Row],[Result]]="dl"),nantere[[#This Row],[lose]]-1,-1)</f>
        <v>-1</v>
      </c>
      <c r="CP12" s="4">
        <f>IF(OR((nantere[[#This Row],[Home_scored]]+nantere[[#This Row],[Away_scored]])&gt;nantere[[#This Row],[total]],OR(nantere[[#This Row],[Result]]="dw",nantere[[#This Row],[Result]]="dl")),1,0)</f>
        <v>1</v>
      </c>
      <c r="CQ12" s="4">
        <f>ABS((nantere[[#This Row],[Home_scored]]+nantere[[#This Row],[Away_scored]])-nantere[[#This Row],[total]])+0.5</f>
        <v>17</v>
      </c>
    </row>
    <row r="13" spans="1:95" x14ac:dyDescent="0.25">
      <c r="A13" s="2" t="s">
        <v>349</v>
      </c>
      <c r="B13" s="2" t="s">
        <v>336</v>
      </c>
      <c r="C13" s="3" t="s">
        <v>73</v>
      </c>
      <c r="D13" s="3">
        <v>45626</v>
      </c>
      <c r="E13" s="2" t="s">
        <v>74</v>
      </c>
      <c r="F13" s="2" t="s">
        <v>311</v>
      </c>
      <c r="G13" s="2" t="s">
        <v>139</v>
      </c>
      <c r="H13" s="11">
        <v>72</v>
      </c>
      <c r="I13" s="11">
        <v>77</v>
      </c>
      <c r="J13" s="11">
        <v>27</v>
      </c>
      <c r="K13" s="11">
        <v>59</v>
      </c>
      <c r="L13" s="12">
        <v>0.45760000000000001</v>
      </c>
      <c r="M13" s="11">
        <v>20</v>
      </c>
      <c r="N13" s="11">
        <v>37</v>
      </c>
      <c r="O13" s="12">
        <v>0.54049999999999998</v>
      </c>
      <c r="P13" s="11">
        <v>7</v>
      </c>
      <c r="Q13" s="11">
        <v>22</v>
      </c>
      <c r="R13" s="12">
        <v>0.31819999999999998</v>
      </c>
      <c r="S13" s="11">
        <v>11</v>
      </c>
      <c r="T13" s="11">
        <v>17</v>
      </c>
      <c r="U13" s="12">
        <v>0.64710000000000001</v>
      </c>
      <c r="V13" s="11">
        <v>9</v>
      </c>
      <c r="W13" s="11">
        <v>21</v>
      </c>
      <c r="X13" s="11">
        <v>30</v>
      </c>
      <c r="Y13" s="11">
        <v>20</v>
      </c>
      <c r="Z13" s="11">
        <v>11</v>
      </c>
      <c r="AA13" s="11">
        <v>1</v>
      </c>
      <c r="AB13" s="11">
        <v>18</v>
      </c>
      <c r="AC13" s="11">
        <v>17</v>
      </c>
      <c r="AD13" s="11">
        <v>26</v>
      </c>
      <c r="AE13" s="11">
        <v>54</v>
      </c>
      <c r="AF13" s="12">
        <v>0.48149999999999998</v>
      </c>
      <c r="AG13" s="11">
        <v>20</v>
      </c>
      <c r="AH13" s="11">
        <v>32</v>
      </c>
      <c r="AI13" s="12">
        <v>0.625</v>
      </c>
      <c r="AJ13" s="11">
        <v>6</v>
      </c>
      <c r="AK13" s="11">
        <v>22</v>
      </c>
      <c r="AL13" s="12">
        <v>0.2727</v>
      </c>
      <c r="AM13" s="11">
        <v>19</v>
      </c>
      <c r="AN13" s="11">
        <v>21</v>
      </c>
      <c r="AO13" s="12">
        <v>0.90480000000000005</v>
      </c>
      <c r="AP13" s="11">
        <v>7</v>
      </c>
      <c r="AQ13" s="11">
        <v>27</v>
      </c>
      <c r="AR13" s="11">
        <v>34</v>
      </c>
      <c r="AS13" s="11">
        <v>21</v>
      </c>
      <c r="AT13" s="11">
        <v>7</v>
      </c>
      <c r="AU13" s="11">
        <v>2</v>
      </c>
      <c r="AV13" s="11">
        <v>18</v>
      </c>
      <c r="AW13" s="11">
        <v>20</v>
      </c>
      <c r="AX13" s="12">
        <v>0.54149999999999998</v>
      </c>
      <c r="AY13" s="12">
        <v>0.51690000000000003</v>
      </c>
      <c r="AZ13" s="12">
        <v>0.25</v>
      </c>
      <c r="BA13" s="12">
        <v>0.75</v>
      </c>
      <c r="BB13" s="12">
        <v>0.46879999999999999</v>
      </c>
      <c r="BC13" s="4">
        <v>73.528000000000006</v>
      </c>
      <c r="BD13" s="12">
        <v>0.74070000000000003</v>
      </c>
      <c r="BE13" s="12">
        <v>0.18640000000000001</v>
      </c>
      <c r="BF13" s="12">
        <v>0.21310000000000001</v>
      </c>
      <c r="BG13" s="4">
        <v>97.5</v>
      </c>
      <c r="BH13" s="4">
        <v>104.2</v>
      </c>
      <c r="BI13" s="4">
        <v>73.88</v>
      </c>
      <c r="BJ13" s="12">
        <v>0.60880000000000001</v>
      </c>
      <c r="BK13" s="12">
        <v>0.53700000000000003</v>
      </c>
      <c r="BL13" s="12">
        <v>0.25</v>
      </c>
      <c r="BM13" s="12">
        <v>0.75</v>
      </c>
      <c r="BN13" s="12">
        <v>0.53129999999999999</v>
      </c>
      <c r="BO13" s="4">
        <v>74.231999999999999</v>
      </c>
      <c r="BP13" s="12">
        <v>0.80769999999999997</v>
      </c>
      <c r="BQ13" s="12">
        <v>0.35189999999999999</v>
      </c>
      <c r="BR13" s="12">
        <v>0.22159999999999999</v>
      </c>
      <c r="BS13" s="4">
        <v>104.2</v>
      </c>
      <c r="BT13" s="4">
        <v>97.5</v>
      </c>
      <c r="BU13" s="11">
        <v>16</v>
      </c>
      <c r="BV13" s="11">
        <v>16</v>
      </c>
      <c r="BW13" s="11">
        <v>19</v>
      </c>
      <c r="BX13" s="11">
        <v>21</v>
      </c>
      <c r="BY13" s="11">
        <v>16</v>
      </c>
      <c r="BZ13" s="11">
        <v>18</v>
      </c>
      <c r="CA13" s="11">
        <v>25</v>
      </c>
      <c r="CB13" s="11">
        <v>18</v>
      </c>
      <c r="CC13" s="11">
        <v>32</v>
      </c>
      <c r="CD13" s="11">
        <v>40</v>
      </c>
      <c r="CE13" s="11">
        <v>34</v>
      </c>
      <c r="CF13" s="11">
        <v>43</v>
      </c>
      <c r="CG13" s="4">
        <v>1.61</v>
      </c>
      <c r="CH13" s="13">
        <v>2.4</v>
      </c>
      <c r="CI13" s="4">
        <v>-3.5</v>
      </c>
      <c r="CJ13" s="4">
        <v>3.5</v>
      </c>
      <c r="CK13" s="4">
        <v>168.5</v>
      </c>
      <c r="CL13" s="2" t="s">
        <v>383</v>
      </c>
      <c r="CM13" s="4" t="str">
        <f>VLOOKUP(nantere[[#This Row],[Away_team]],all[[Full name]:[Abbr]],3,FALSE)</f>
        <v>DIJ</v>
      </c>
      <c r="CN13" s="4">
        <f>IF(OR(nantere[[#This Row],[Result]]="w",nantere[[#This Row],[Result]]="dw"),nantere[[#This Row],[win]]-1,-1)</f>
        <v>-1</v>
      </c>
      <c r="CO13" s="4">
        <f>IF(OR(nantere[[#This Row],[Result]]="L",nantere[[#This Row],[Result]]="dl"),nantere[[#This Row],[lose]]-1,-1)</f>
        <v>1.4</v>
      </c>
      <c r="CP13" s="4">
        <f>IF(OR((nantere[[#This Row],[Home_scored]]+nantere[[#This Row],[Away_scored]])&gt;nantere[[#This Row],[total]],OR(nantere[[#This Row],[Result]]="dw",nantere[[#This Row],[Result]]="dl")),1,0)</f>
        <v>0</v>
      </c>
      <c r="CQ13" s="4">
        <f>ABS((nantere[[#This Row],[Home_scored]]+nantere[[#This Row],[Away_scored]])-nantere[[#This Row],[total]])+0.5</f>
        <v>20</v>
      </c>
    </row>
    <row r="14" spans="1:95" x14ac:dyDescent="0.25">
      <c r="A14" s="2" t="s">
        <v>349</v>
      </c>
      <c r="B14" s="2" t="s">
        <v>336</v>
      </c>
      <c r="C14" s="3" t="s">
        <v>73</v>
      </c>
      <c r="D14" s="3">
        <v>45633</v>
      </c>
      <c r="E14" s="2" t="s">
        <v>74</v>
      </c>
      <c r="F14" s="2" t="s">
        <v>333</v>
      </c>
      <c r="G14" s="2" t="s">
        <v>75</v>
      </c>
      <c r="H14" s="11">
        <v>97</v>
      </c>
      <c r="I14" s="11">
        <v>75</v>
      </c>
      <c r="J14" s="11">
        <v>39</v>
      </c>
      <c r="K14" s="11">
        <v>71</v>
      </c>
      <c r="L14" s="12">
        <v>0.54930000000000001</v>
      </c>
      <c r="M14" s="11">
        <v>31</v>
      </c>
      <c r="N14" s="11">
        <v>48</v>
      </c>
      <c r="O14" s="12">
        <v>0.64580000000000004</v>
      </c>
      <c r="P14" s="11">
        <v>8</v>
      </c>
      <c r="Q14" s="11">
        <v>23</v>
      </c>
      <c r="R14" s="12">
        <v>0.3478</v>
      </c>
      <c r="S14" s="11">
        <v>11</v>
      </c>
      <c r="T14" s="11">
        <v>12</v>
      </c>
      <c r="U14" s="12">
        <v>0.91669999999999996</v>
      </c>
      <c r="V14" s="11">
        <v>10</v>
      </c>
      <c r="W14" s="11">
        <v>25</v>
      </c>
      <c r="X14" s="11">
        <v>35</v>
      </c>
      <c r="Y14" s="11">
        <v>24</v>
      </c>
      <c r="Z14" s="11">
        <v>15</v>
      </c>
      <c r="AA14" s="11">
        <v>1</v>
      </c>
      <c r="AB14" s="11">
        <v>13</v>
      </c>
      <c r="AC14" s="11">
        <v>25</v>
      </c>
      <c r="AD14" s="11">
        <v>27</v>
      </c>
      <c r="AE14" s="11">
        <v>51</v>
      </c>
      <c r="AF14" s="12">
        <v>0.52939999999999998</v>
      </c>
      <c r="AG14" s="11">
        <v>19</v>
      </c>
      <c r="AH14" s="11">
        <v>26</v>
      </c>
      <c r="AI14" s="12">
        <v>0.73080000000000001</v>
      </c>
      <c r="AJ14" s="11">
        <v>8</v>
      </c>
      <c r="AK14" s="11">
        <v>25</v>
      </c>
      <c r="AL14" s="12">
        <v>0.32</v>
      </c>
      <c r="AM14" s="11">
        <v>13</v>
      </c>
      <c r="AN14" s="11">
        <v>23</v>
      </c>
      <c r="AO14" s="12">
        <v>0.56520000000000004</v>
      </c>
      <c r="AP14" s="11">
        <v>6</v>
      </c>
      <c r="AQ14" s="11">
        <v>22</v>
      </c>
      <c r="AR14" s="11">
        <v>28</v>
      </c>
      <c r="AS14" s="11">
        <v>11</v>
      </c>
      <c r="AT14" s="11">
        <v>8</v>
      </c>
      <c r="AU14" s="11">
        <v>4</v>
      </c>
      <c r="AV14" s="11">
        <v>25</v>
      </c>
      <c r="AW14" s="11">
        <v>17</v>
      </c>
      <c r="AX14" s="12">
        <v>0.63580000000000003</v>
      </c>
      <c r="AY14" s="12">
        <v>0.60560000000000003</v>
      </c>
      <c r="AZ14" s="12">
        <v>0.3125</v>
      </c>
      <c r="BA14" s="12">
        <v>0.80649999999999999</v>
      </c>
      <c r="BB14" s="12">
        <v>0.55559999999999998</v>
      </c>
      <c r="BC14" s="4">
        <v>79.016999999999996</v>
      </c>
      <c r="BD14" s="12">
        <v>0.61539999999999995</v>
      </c>
      <c r="BE14" s="12">
        <v>0.15490000000000001</v>
      </c>
      <c r="BF14" s="12">
        <v>0.14560000000000001</v>
      </c>
      <c r="BG14" s="4">
        <v>122.2</v>
      </c>
      <c r="BH14" s="4">
        <v>94.5</v>
      </c>
      <c r="BI14" s="4">
        <v>79.356999999999999</v>
      </c>
      <c r="BJ14" s="12">
        <v>0.61350000000000005</v>
      </c>
      <c r="BK14" s="12">
        <v>0.60780000000000001</v>
      </c>
      <c r="BL14" s="12">
        <v>0.19350000000000001</v>
      </c>
      <c r="BM14" s="12">
        <v>0.6875</v>
      </c>
      <c r="BN14" s="12">
        <v>0.44440000000000002</v>
      </c>
      <c r="BO14" s="4">
        <v>79.697000000000003</v>
      </c>
      <c r="BP14" s="12">
        <v>0.40739999999999998</v>
      </c>
      <c r="BQ14" s="12">
        <v>0.25490000000000002</v>
      </c>
      <c r="BR14" s="12">
        <v>0.2903</v>
      </c>
      <c r="BS14" s="4">
        <v>94.5</v>
      </c>
      <c r="BT14" s="4">
        <v>122.2</v>
      </c>
      <c r="BU14" s="11">
        <v>28</v>
      </c>
      <c r="BV14" s="11">
        <v>25</v>
      </c>
      <c r="BW14" s="11">
        <v>20</v>
      </c>
      <c r="BX14" s="11">
        <v>24</v>
      </c>
      <c r="BY14" s="11">
        <v>18</v>
      </c>
      <c r="BZ14" s="11">
        <v>24</v>
      </c>
      <c r="CA14" s="11">
        <v>18</v>
      </c>
      <c r="CB14" s="11">
        <v>15</v>
      </c>
      <c r="CC14" s="11">
        <v>53</v>
      </c>
      <c r="CD14" s="11">
        <v>44</v>
      </c>
      <c r="CE14" s="11">
        <v>42</v>
      </c>
      <c r="CF14" s="11">
        <v>33</v>
      </c>
      <c r="CG14" s="4">
        <v>1.53</v>
      </c>
      <c r="CH14" s="13">
        <v>2.6</v>
      </c>
      <c r="CI14" s="4">
        <v>-4.5</v>
      </c>
      <c r="CJ14" s="4">
        <v>4.5</v>
      </c>
      <c r="CK14" s="4">
        <v>170.5</v>
      </c>
      <c r="CL14" s="2" t="s">
        <v>434</v>
      </c>
      <c r="CM14" s="4" t="str">
        <f>VLOOKUP(nantere[[#This Row],[Away_team]],all[[Full name]:[Abbr]],3,FALSE)</f>
        <v>NCY</v>
      </c>
      <c r="CN14" s="4">
        <f>IF(OR(nantere[[#This Row],[Result]]="w",nantere[[#This Row],[Result]]="dw"),nantere[[#This Row],[win]]-1,-1)</f>
        <v>0.53</v>
      </c>
      <c r="CO14" s="4">
        <f>IF(OR(nantere[[#This Row],[Result]]="L",nantere[[#This Row],[Result]]="dl"),nantere[[#This Row],[lose]]-1,-1)</f>
        <v>-1</v>
      </c>
      <c r="CP14" s="4">
        <f>IF(OR((nantere[[#This Row],[Home_scored]]+nantere[[#This Row],[Away_scored]])&gt;nantere[[#This Row],[total]],OR(nantere[[#This Row],[Result]]="dw",nantere[[#This Row],[Result]]="dl")),1,0)</f>
        <v>1</v>
      </c>
      <c r="CQ14" s="4">
        <f>ABS((nantere[[#This Row],[Home_scored]]+nantere[[#This Row],[Away_scored]])-nantere[[#This Row],[total]])+0.5</f>
        <v>2</v>
      </c>
    </row>
    <row r="15" spans="1:95" x14ac:dyDescent="0.25">
      <c r="A15" s="2" t="s">
        <v>349</v>
      </c>
      <c r="B15" s="2" t="s">
        <v>336</v>
      </c>
      <c r="C15" s="3" t="s">
        <v>73</v>
      </c>
      <c r="D15" s="3">
        <v>45641</v>
      </c>
      <c r="E15" s="2" t="s">
        <v>140</v>
      </c>
      <c r="F15" s="2" t="s">
        <v>314</v>
      </c>
      <c r="G15" s="2" t="s">
        <v>146</v>
      </c>
      <c r="H15" s="11">
        <v>73</v>
      </c>
      <c r="I15" s="11">
        <v>73</v>
      </c>
      <c r="J15" s="11">
        <v>29</v>
      </c>
      <c r="K15" s="11">
        <v>68</v>
      </c>
      <c r="L15" s="12">
        <v>0.42649999999999999</v>
      </c>
      <c r="M15" s="11">
        <v>21</v>
      </c>
      <c r="N15" s="11">
        <v>41</v>
      </c>
      <c r="O15" s="12">
        <v>0.51219999999999999</v>
      </c>
      <c r="P15" s="11">
        <v>8</v>
      </c>
      <c r="Q15" s="11">
        <v>27</v>
      </c>
      <c r="R15" s="12">
        <v>0.29630000000000001</v>
      </c>
      <c r="S15" s="11">
        <v>7</v>
      </c>
      <c r="T15" s="11">
        <v>13</v>
      </c>
      <c r="U15" s="12">
        <v>0.53849999999999998</v>
      </c>
      <c r="V15" s="11">
        <v>11</v>
      </c>
      <c r="W15" s="11">
        <v>18</v>
      </c>
      <c r="X15" s="11">
        <v>29</v>
      </c>
      <c r="Y15" s="11">
        <v>15</v>
      </c>
      <c r="Z15" s="11">
        <v>9</v>
      </c>
      <c r="AA15" s="11">
        <v>2</v>
      </c>
      <c r="AB15" s="11">
        <v>9</v>
      </c>
      <c r="AC15" s="11">
        <v>27</v>
      </c>
      <c r="AD15" s="11">
        <v>20</v>
      </c>
      <c r="AE15" s="11">
        <v>47</v>
      </c>
      <c r="AF15" s="12">
        <v>0.42549999999999999</v>
      </c>
      <c r="AG15" s="11">
        <v>16</v>
      </c>
      <c r="AH15" s="11">
        <v>27</v>
      </c>
      <c r="AI15" s="12">
        <v>0.59260000000000002</v>
      </c>
      <c r="AJ15" s="11">
        <v>4</v>
      </c>
      <c r="AK15" s="11">
        <v>20</v>
      </c>
      <c r="AL15" s="12">
        <v>0.2</v>
      </c>
      <c r="AM15" s="11">
        <v>29</v>
      </c>
      <c r="AN15" s="11">
        <v>32</v>
      </c>
      <c r="AO15" s="12">
        <v>0.90629999999999999</v>
      </c>
      <c r="AP15" s="11">
        <v>11</v>
      </c>
      <c r="AQ15" s="11">
        <v>30</v>
      </c>
      <c r="AR15" s="11">
        <v>41</v>
      </c>
      <c r="AS15" s="11">
        <v>14</v>
      </c>
      <c r="AT15" s="11">
        <v>2</v>
      </c>
      <c r="AU15" s="11">
        <v>2</v>
      </c>
      <c r="AV15" s="11">
        <v>20</v>
      </c>
      <c r="AW15" s="11">
        <v>20</v>
      </c>
      <c r="AX15" s="12">
        <v>0.49509999999999998</v>
      </c>
      <c r="AY15" s="12">
        <v>0.48530000000000001</v>
      </c>
      <c r="AZ15" s="12">
        <v>0.26829999999999998</v>
      </c>
      <c r="BA15" s="12">
        <v>0.62070000000000003</v>
      </c>
      <c r="BB15" s="12">
        <v>0.4143</v>
      </c>
      <c r="BC15" s="4">
        <v>66.370999999999995</v>
      </c>
      <c r="BD15" s="12">
        <v>0.51719999999999999</v>
      </c>
      <c r="BE15" s="12">
        <v>0.10290000000000001</v>
      </c>
      <c r="BF15" s="12">
        <v>0.10879999999999999</v>
      </c>
      <c r="BG15" s="4">
        <v>105.5</v>
      </c>
      <c r="BH15" s="4">
        <v>105.5</v>
      </c>
      <c r="BI15" s="4">
        <v>69.209999999999994</v>
      </c>
      <c r="BJ15" s="12">
        <v>0.59760000000000002</v>
      </c>
      <c r="BK15" s="12">
        <v>0.46810000000000002</v>
      </c>
      <c r="BL15" s="12">
        <v>0.37930000000000003</v>
      </c>
      <c r="BM15" s="12">
        <v>0.73170000000000002</v>
      </c>
      <c r="BN15" s="12">
        <v>0.5857</v>
      </c>
      <c r="BO15" s="4">
        <v>72.049000000000007</v>
      </c>
      <c r="BP15" s="12">
        <v>0.7</v>
      </c>
      <c r="BQ15" s="12">
        <v>0.61699999999999999</v>
      </c>
      <c r="BR15" s="12">
        <v>0.2467</v>
      </c>
      <c r="BS15" s="4">
        <v>105.5</v>
      </c>
      <c r="BT15" s="4">
        <v>105.5</v>
      </c>
      <c r="BU15" s="11">
        <v>18</v>
      </c>
      <c r="BV15" s="11">
        <v>18</v>
      </c>
      <c r="BW15" s="11">
        <v>22</v>
      </c>
      <c r="BX15" s="11">
        <v>15</v>
      </c>
      <c r="BY15" s="11">
        <v>15</v>
      </c>
      <c r="BZ15" s="11">
        <v>23</v>
      </c>
      <c r="CA15" s="11">
        <v>16</v>
      </c>
      <c r="CB15" s="11">
        <v>19</v>
      </c>
      <c r="CC15" s="11">
        <v>36</v>
      </c>
      <c r="CD15" s="11">
        <v>37</v>
      </c>
      <c r="CE15" s="11">
        <v>38</v>
      </c>
      <c r="CF15" s="11">
        <v>35</v>
      </c>
      <c r="CG15" s="4">
        <v>2.2000000000000002</v>
      </c>
      <c r="CH15" s="13">
        <v>1.71</v>
      </c>
      <c r="CI15" s="4">
        <v>2.5</v>
      </c>
      <c r="CJ15" s="4">
        <v>-2.5</v>
      </c>
      <c r="CK15" s="4">
        <v>162.5</v>
      </c>
      <c r="CL15" s="2" t="s">
        <v>446</v>
      </c>
      <c r="CM15" s="4" t="str">
        <f>VLOOKUP(nantere[[#This Row],[Away_team]],all[[Full name]:[Abbr]],3,FALSE)</f>
        <v>DUN</v>
      </c>
      <c r="CN15" s="4">
        <f>IF(OR(nantere[[#This Row],[Result]]="w",nantere[[#This Row],[Result]]="dw"),nantere[[#This Row],[win]]-1,-1)</f>
        <v>1.2000000000000002</v>
      </c>
      <c r="CO15" s="4">
        <f>IF(OR(nantere[[#This Row],[Result]]="L",nantere[[#This Row],[Result]]="dl"),nantere[[#This Row],[lose]]-1,-1)</f>
        <v>-1</v>
      </c>
      <c r="CP15" s="4">
        <f>IF(OR((nantere[[#This Row],[Home_scored]]+nantere[[#This Row],[Away_scored]])&gt;nantere[[#This Row],[total]],OR(nantere[[#This Row],[Result]]="dw",nantere[[#This Row],[Result]]="dl")),1,0)</f>
        <v>1</v>
      </c>
      <c r="CQ15" s="4">
        <f>ABS((nantere[[#This Row],[Home_scored]]+nantere[[#This Row],[Away_scored]])-nantere[[#This Row],[total]])+0.5</f>
        <v>17</v>
      </c>
    </row>
    <row r="16" spans="1:95" x14ac:dyDescent="0.25">
      <c r="A16" s="2" t="s">
        <v>349</v>
      </c>
      <c r="B16" s="2" t="s">
        <v>336</v>
      </c>
      <c r="C16" s="3" t="s">
        <v>73</v>
      </c>
      <c r="D16" s="3">
        <v>45647</v>
      </c>
      <c r="E16" s="2" t="s">
        <v>74</v>
      </c>
      <c r="F16" s="2" t="s">
        <v>308</v>
      </c>
      <c r="G16" s="2" t="s">
        <v>139</v>
      </c>
      <c r="H16" s="11">
        <v>97</v>
      </c>
      <c r="I16" s="11">
        <v>104</v>
      </c>
      <c r="J16" s="11">
        <v>32</v>
      </c>
      <c r="K16" s="11">
        <v>63</v>
      </c>
      <c r="L16" s="12">
        <v>0.50790000000000002</v>
      </c>
      <c r="M16" s="11">
        <v>23</v>
      </c>
      <c r="N16" s="11">
        <v>43</v>
      </c>
      <c r="O16" s="12">
        <v>0.53490000000000004</v>
      </c>
      <c r="P16" s="11">
        <v>9</v>
      </c>
      <c r="Q16" s="11">
        <v>20</v>
      </c>
      <c r="R16" s="12">
        <v>0.45</v>
      </c>
      <c r="S16" s="11">
        <v>24</v>
      </c>
      <c r="T16" s="11">
        <v>30</v>
      </c>
      <c r="U16" s="12">
        <v>0.8</v>
      </c>
      <c r="V16" s="11">
        <v>10</v>
      </c>
      <c r="W16" s="11">
        <v>26</v>
      </c>
      <c r="X16" s="11">
        <v>36</v>
      </c>
      <c r="Y16" s="11">
        <v>19</v>
      </c>
      <c r="Z16" s="11">
        <v>3</v>
      </c>
      <c r="AA16" s="11">
        <v>2</v>
      </c>
      <c r="AB16" s="11">
        <v>9</v>
      </c>
      <c r="AC16" s="11">
        <v>28</v>
      </c>
      <c r="AD16" s="11">
        <v>32</v>
      </c>
      <c r="AE16" s="11">
        <v>63</v>
      </c>
      <c r="AF16" s="12">
        <v>0.50790000000000002</v>
      </c>
      <c r="AG16" s="11">
        <v>22</v>
      </c>
      <c r="AH16" s="11">
        <v>33</v>
      </c>
      <c r="AI16" s="12">
        <v>0.66669999999999996</v>
      </c>
      <c r="AJ16" s="11">
        <v>10</v>
      </c>
      <c r="AK16" s="11">
        <v>30</v>
      </c>
      <c r="AL16" s="12">
        <v>0.33329999999999999</v>
      </c>
      <c r="AM16" s="11">
        <v>30</v>
      </c>
      <c r="AN16" s="11">
        <v>40</v>
      </c>
      <c r="AO16" s="12">
        <v>0.75</v>
      </c>
      <c r="AP16" s="11">
        <v>10</v>
      </c>
      <c r="AQ16" s="11">
        <v>23</v>
      </c>
      <c r="AR16" s="11">
        <v>33</v>
      </c>
      <c r="AS16" s="11">
        <v>25</v>
      </c>
      <c r="AT16" s="11">
        <v>3</v>
      </c>
      <c r="AU16" s="11">
        <v>2</v>
      </c>
      <c r="AV16" s="11">
        <v>8</v>
      </c>
      <c r="AW16" s="11">
        <v>25</v>
      </c>
      <c r="AX16" s="12">
        <v>0.63649999999999995</v>
      </c>
      <c r="AY16" s="12">
        <v>0.57940000000000003</v>
      </c>
      <c r="AZ16" s="12">
        <v>0.30299999999999999</v>
      </c>
      <c r="BA16" s="12">
        <v>0.72219999999999995</v>
      </c>
      <c r="BB16" s="12">
        <v>0.52170000000000005</v>
      </c>
      <c r="BC16" s="4">
        <v>74.786000000000001</v>
      </c>
      <c r="BD16" s="12">
        <v>0.59379999999999999</v>
      </c>
      <c r="BE16" s="12">
        <v>0.38100000000000001</v>
      </c>
      <c r="BF16" s="12">
        <v>0.1056</v>
      </c>
      <c r="BG16" s="4">
        <v>127.9</v>
      </c>
      <c r="BH16" s="4">
        <v>137.1</v>
      </c>
      <c r="BI16" s="4">
        <v>75.867000000000004</v>
      </c>
      <c r="BJ16" s="12">
        <v>0.6452</v>
      </c>
      <c r="BK16" s="12">
        <v>0.58730000000000004</v>
      </c>
      <c r="BL16" s="12">
        <v>0.27779999999999999</v>
      </c>
      <c r="BM16" s="12">
        <v>0.69699999999999995</v>
      </c>
      <c r="BN16" s="12">
        <v>0.4783</v>
      </c>
      <c r="BO16" s="4">
        <v>76.947999999999993</v>
      </c>
      <c r="BP16" s="12">
        <v>0.78129999999999999</v>
      </c>
      <c r="BQ16" s="12">
        <v>0.47620000000000001</v>
      </c>
      <c r="BR16" s="12">
        <v>9.0300000000000005E-2</v>
      </c>
      <c r="BS16" s="4">
        <v>137.1</v>
      </c>
      <c r="BT16" s="4">
        <v>127.9</v>
      </c>
      <c r="BU16" s="11">
        <v>27</v>
      </c>
      <c r="BV16" s="11">
        <v>23</v>
      </c>
      <c r="BW16" s="11">
        <v>22</v>
      </c>
      <c r="BX16" s="11">
        <v>25</v>
      </c>
      <c r="BY16" s="11">
        <v>21</v>
      </c>
      <c r="BZ16" s="11">
        <v>29</v>
      </c>
      <c r="CA16" s="11">
        <v>26</v>
      </c>
      <c r="CB16" s="11">
        <v>28</v>
      </c>
      <c r="CC16" s="11">
        <v>50</v>
      </c>
      <c r="CD16" s="11">
        <v>47</v>
      </c>
      <c r="CE16" s="11">
        <v>50</v>
      </c>
      <c r="CF16" s="11">
        <v>54</v>
      </c>
      <c r="CG16" s="4">
        <v>2.0499999999999998</v>
      </c>
      <c r="CH16" s="13">
        <v>1.8</v>
      </c>
      <c r="CI16" s="4">
        <v>1.5</v>
      </c>
      <c r="CJ16" s="4">
        <v>-1.5</v>
      </c>
      <c r="CK16" s="4">
        <v>165.5</v>
      </c>
      <c r="CL16" s="2" t="s">
        <v>451</v>
      </c>
      <c r="CM16" s="4" t="str">
        <f>VLOOKUP(nantere[[#This Row],[Away_team]],all[[Full name]:[Abbr]],3,FALSE)</f>
        <v>CHO</v>
      </c>
      <c r="CN16" s="4">
        <f>IF(OR(nantere[[#This Row],[Result]]="w",nantere[[#This Row],[Result]]="dw"),nantere[[#This Row],[win]]-1,-1)</f>
        <v>-1</v>
      </c>
      <c r="CO16" s="4">
        <f>IF(OR(nantere[[#This Row],[Result]]="L",nantere[[#This Row],[Result]]="dl"),nantere[[#This Row],[lose]]-1,-1)</f>
        <v>0.8</v>
      </c>
      <c r="CP16" s="4">
        <f>IF(OR((nantere[[#This Row],[Home_scored]]+nantere[[#This Row],[Away_scored]])&gt;nantere[[#This Row],[total]],OR(nantere[[#This Row],[Result]]="dw",nantere[[#This Row],[Result]]="dl")),1,0)</f>
        <v>1</v>
      </c>
      <c r="CQ16" s="4">
        <f>ABS((nantere[[#This Row],[Home_scored]]+nantere[[#This Row],[Away_scored]])-nantere[[#This Row],[total]])+0.5</f>
        <v>36</v>
      </c>
    </row>
    <row r="17" spans="1:95" x14ac:dyDescent="0.25">
      <c r="A17" s="2" t="s">
        <v>349</v>
      </c>
      <c r="B17" s="2" t="s">
        <v>336</v>
      </c>
      <c r="C17" s="3" t="s">
        <v>73</v>
      </c>
      <c r="D17" s="3">
        <v>45652</v>
      </c>
      <c r="E17" s="2" t="s">
        <v>140</v>
      </c>
      <c r="F17" s="2" t="s">
        <v>345</v>
      </c>
      <c r="G17" s="2" t="s">
        <v>75</v>
      </c>
      <c r="H17" s="11">
        <v>95</v>
      </c>
      <c r="I17" s="11">
        <v>88</v>
      </c>
      <c r="J17" s="11">
        <v>36</v>
      </c>
      <c r="K17" s="11">
        <v>68</v>
      </c>
      <c r="L17" s="12">
        <v>0.52939999999999998</v>
      </c>
      <c r="M17" s="11">
        <v>27</v>
      </c>
      <c r="N17" s="11">
        <v>45</v>
      </c>
      <c r="O17" s="12">
        <v>0.6</v>
      </c>
      <c r="P17" s="11">
        <v>9</v>
      </c>
      <c r="Q17" s="11">
        <v>23</v>
      </c>
      <c r="R17" s="12">
        <v>0.39129999999999998</v>
      </c>
      <c r="S17" s="11">
        <v>14</v>
      </c>
      <c r="T17" s="11">
        <v>19</v>
      </c>
      <c r="U17" s="12">
        <v>0.73680000000000001</v>
      </c>
      <c r="V17" s="11">
        <v>9</v>
      </c>
      <c r="W17" s="11">
        <v>25</v>
      </c>
      <c r="X17" s="11">
        <v>34</v>
      </c>
      <c r="Y17" s="11">
        <v>25</v>
      </c>
      <c r="Z17" s="11">
        <v>9</v>
      </c>
      <c r="AA17" s="11">
        <v>3</v>
      </c>
      <c r="AB17" s="11">
        <v>11</v>
      </c>
      <c r="AC17" s="11">
        <v>21</v>
      </c>
      <c r="AD17" s="11">
        <v>33</v>
      </c>
      <c r="AE17" s="11">
        <v>65</v>
      </c>
      <c r="AF17" s="12">
        <v>0.50770000000000004</v>
      </c>
      <c r="AG17" s="11">
        <v>22</v>
      </c>
      <c r="AH17" s="11">
        <v>35</v>
      </c>
      <c r="AI17" s="12">
        <v>0.62860000000000005</v>
      </c>
      <c r="AJ17" s="11">
        <v>11</v>
      </c>
      <c r="AK17" s="11">
        <v>30</v>
      </c>
      <c r="AL17" s="12">
        <v>0.36670000000000003</v>
      </c>
      <c r="AM17" s="11">
        <v>11</v>
      </c>
      <c r="AN17" s="11">
        <v>15</v>
      </c>
      <c r="AO17" s="12">
        <v>0.73329999999999995</v>
      </c>
      <c r="AP17" s="11">
        <v>9</v>
      </c>
      <c r="AQ17" s="11">
        <v>25</v>
      </c>
      <c r="AR17" s="11">
        <v>34</v>
      </c>
      <c r="AS17" s="11">
        <v>19</v>
      </c>
      <c r="AT17" s="11">
        <v>8</v>
      </c>
      <c r="AU17" s="11">
        <v>1</v>
      </c>
      <c r="AV17" s="11">
        <v>17</v>
      </c>
      <c r="AW17" s="11">
        <v>21</v>
      </c>
      <c r="AX17" s="12">
        <v>0.62209999999999999</v>
      </c>
      <c r="AY17" s="12">
        <v>0.59560000000000002</v>
      </c>
      <c r="AZ17" s="12">
        <v>0.26469999999999999</v>
      </c>
      <c r="BA17" s="12">
        <v>0.73529999999999995</v>
      </c>
      <c r="BB17" s="12">
        <v>0.5</v>
      </c>
      <c r="BC17" s="4">
        <v>77.536000000000001</v>
      </c>
      <c r="BD17" s="12">
        <v>0.69440000000000002</v>
      </c>
      <c r="BE17" s="12">
        <v>0.2059</v>
      </c>
      <c r="BF17" s="12">
        <v>0.12590000000000001</v>
      </c>
      <c r="BG17" s="4">
        <v>121.4</v>
      </c>
      <c r="BH17" s="4">
        <v>112.5</v>
      </c>
      <c r="BI17" s="4">
        <v>78.236000000000004</v>
      </c>
      <c r="BJ17" s="12">
        <v>0.61450000000000005</v>
      </c>
      <c r="BK17" s="12">
        <v>0.59230000000000005</v>
      </c>
      <c r="BL17" s="12">
        <v>0.26469999999999999</v>
      </c>
      <c r="BM17" s="12">
        <v>0.73529999999999995</v>
      </c>
      <c r="BN17" s="12">
        <v>0.5</v>
      </c>
      <c r="BO17" s="4">
        <v>78.936000000000007</v>
      </c>
      <c r="BP17" s="12">
        <v>0.57579999999999998</v>
      </c>
      <c r="BQ17" s="12">
        <v>0.16919999999999999</v>
      </c>
      <c r="BR17" s="12">
        <v>0.19189999999999999</v>
      </c>
      <c r="BS17" s="4">
        <v>112.5</v>
      </c>
      <c r="BT17" s="4">
        <v>121.4</v>
      </c>
      <c r="BU17" s="11">
        <v>21</v>
      </c>
      <c r="BV17" s="11">
        <v>28</v>
      </c>
      <c r="BW17" s="11">
        <v>28</v>
      </c>
      <c r="BX17" s="11">
        <v>18</v>
      </c>
      <c r="BY17" s="11">
        <v>20</v>
      </c>
      <c r="BZ17" s="11">
        <v>23</v>
      </c>
      <c r="CA17" s="11">
        <v>21</v>
      </c>
      <c r="CB17" s="11">
        <v>24</v>
      </c>
      <c r="CC17" s="11">
        <v>49</v>
      </c>
      <c r="CD17" s="11">
        <v>46</v>
      </c>
      <c r="CE17" s="11">
        <v>43</v>
      </c>
      <c r="CF17" s="11">
        <v>45</v>
      </c>
      <c r="CG17" s="4">
        <v>2.7</v>
      </c>
      <c r="CH17" s="13">
        <v>1.49</v>
      </c>
      <c r="CI17" s="4">
        <v>-5</v>
      </c>
      <c r="CJ17" s="4">
        <v>-5</v>
      </c>
      <c r="CK17" s="4">
        <v>169.5</v>
      </c>
      <c r="CL17" s="2" t="s">
        <v>459</v>
      </c>
      <c r="CM17" s="4" t="str">
        <f>VLOOKUP(nantere[[#This Row],[Away_team]],all[[Full name]:[Abbr]],3,FALSE)</f>
        <v>STR</v>
      </c>
      <c r="CN17" s="4">
        <f>IF(OR(nantere[[#This Row],[Result]]="w",nantere[[#This Row],[Result]]="dw"),nantere[[#This Row],[win]]-1,-1)</f>
        <v>1.7000000000000002</v>
      </c>
      <c r="CO17" s="4">
        <f>IF(OR(nantere[[#This Row],[Result]]="L",nantere[[#This Row],[Result]]="dl"),nantere[[#This Row],[lose]]-1,-1)</f>
        <v>-1</v>
      </c>
      <c r="CP17" s="4">
        <f>IF(OR((nantere[[#This Row],[Home_scored]]+nantere[[#This Row],[Away_scored]])&gt;nantere[[#This Row],[total]],OR(nantere[[#This Row],[Result]]="dw",nantere[[#This Row],[Result]]="dl")),1,0)</f>
        <v>1</v>
      </c>
      <c r="CQ17" s="4">
        <f>ABS((nantere[[#This Row],[Home_scored]]+nantere[[#This Row],[Away_scored]])-nantere[[#This Row],[total]])+0.5</f>
        <v>14</v>
      </c>
    </row>
    <row r="18" spans="1:95" x14ac:dyDescent="0.25">
      <c r="A18" s="2" t="s">
        <v>349</v>
      </c>
      <c r="B18" s="2" t="s">
        <v>336</v>
      </c>
      <c r="C18" s="3" t="s">
        <v>73</v>
      </c>
      <c r="D18" s="3">
        <v>45668</v>
      </c>
      <c r="E18" s="2" t="s">
        <v>74</v>
      </c>
      <c r="F18" s="2" t="s">
        <v>330</v>
      </c>
      <c r="G18" s="2" t="s">
        <v>139</v>
      </c>
      <c r="H18" s="11">
        <v>73</v>
      </c>
      <c r="I18" s="11">
        <v>81</v>
      </c>
      <c r="J18" s="11">
        <v>24</v>
      </c>
      <c r="K18" s="11">
        <v>65</v>
      </c>
      <c r="L18" s="12">
        <v>0.36919999999999997</v>
      </c>
      <c r="M18" s="11">
        <v>17</v>
      </c>
      <c r="N18" s="11">
        <v>42</v>
      </c>
      <c r="O18" s="12">
        <v>0.40479999999999999</v>
      </c>
      <c r="P18" s="11">
        <v>7</v>
      </c>
      <c r="Q18" s="11">
        <v>23</v>
      </c>
      <c r="R18" s="12">
        <v>0.30430000000000001</v>
      </c>
      <c r="S18" s="11">
        <v>18</v>
      </c>
      <c r="T18" s="11">
        <v>25</v>
      </c>
      <c r="U18" s="12">
        <v>0.72</v>
      </c>
      <c r="V18" s="11">
        <v>15</v>
      </c>
      <c r="W18" s="11">
        <v>17</v>
      </c>
      <c r="X18" s="11">
        <v>32</v>
      </c>
      <c r="Y18" s="11">
        <v>13</v>
      </c>
      <c r="Z18" s="11">
        <v>12</v>
      </c>
      <c r="AA18" s="11">
        <v>0</v>
      </c>
      <c r="AB18" s="11">
        <v>13</v>
      </c>
      <c r="AC18" s="11">
        <v>27</v>
      </c>
      <c r="AD18" s="11">
        <v>26</v>
      </c>
      <c r="AE18" s="11">
        <v>48</v>
      </c>
      <c r="AF18" s="12">
        <v>0.54169999999999996</v>
      </c>
      <c r="AG18" s="11">
        <v>18</v>
      </c>
      <c r="AH18" s="11">
        <v>29</v>
      </c>
      <c r="AI18" s="12">
        <v>0.62070000000000003</v>
      </c>
      <c r="AJ18" s="11">
        <v>8</v>
      </c>
      <c r="AK18" s="11">
        <v>19</v>
      </c>
      <c r="AL18" s="12">
        <v>0.42109999999999997</v>
      </c>
      <c r="AM18" s="11">
        <v>21</v>
      </c>
      <c r="AN18" s="11">
        <v>28</v>
      </c>
      <c r="AO18" s="12">
        <v>0.75</v>
      </c>
      <c r="AP18" s="11">
        <v>9</v>
      </c>
      <c r="AQ18" s="11">
        <v>26</v>
      </c>
      <c r="AR18" s="11">
        <v>35</v>
      </c>
      <c r="AS18" s="11">
        <v>21</v>
      </c>
      <c r="AT18" s="11">
        <v>4</v>
      </c>
      <c r="AU18" s="11">
        <v>2</v>
      </c>
      <c r="AV18" s="11">
        <v>19</v>
      </c>
      <c r="AW18" s="11">
        <v>24</v>
      </c>
      <c r="AX18" s="12">
        <v>0.4803</v>
      </c>
      <c r="AY18" s="12">
        <v>0.42309999999999998</v>
      </c>
      <c r="AZ18" s="12">
        <v>0.3659</v>
      </c>
      <c r="BA18" s="12">
        <v>0.65380000000000005</v>
      </c>
      <c r="BB18" s="12">
        <v>0.47760000000000002</v>
      </c>
      <c r="BC18" s="4">
        <v>67.436000000000007</v>
      </c>
      <c r="BD18" s="12">
        <v>0.54169999999999996</v>
      </c>
      <c r="BE18" s="12">
        <v>0.27689999999999998</v>
      </c>
      <c r="BF18" s="12">
        <v>0.14610000000000001</v>
      </c>
      <c r="BG18" s="4">
        <v>104.6</v>
      </c>
      <c r="BH18" s="4">
        <v>116.1</v>
      </c>
      <c r="BI18" s="4">
        <v>69.791499999999999</v>
      </c>
      <c r="BJ18" s="12">
        <v>0.6714</v>
      </c>
      <c r="BK18" s="12">
        <v>0.625</v>
      </c>
      <c r="BL18" s="12">
        <v>0.34620000000000001</v>
      </c>
      <c r="BM18" s="12">
        <v>0.6341</v>
      </c>
      <c r="BN18" s="12">
        <v>0.52239999999999998</v>
      </c>
      <c r="BO18" s="4">
        <v>72.147000000000006</v>
      </c>
      <c r="BP18" s="12">
        <v>0.80769999999999997</v>
      </c>
      <c r="BQ18" s="12">
        <v>0.4375</v>
      </c>
      <c r="BR18" s="12">
        <v>0.23949999999999999</v>
      </c>
      <c r="BS18" s="4">
        <v>116.1</v>
      </c>
      <c r="BT18" s="4">
        <v>104.6</v>
      </c>
      <c r="BU18" s="11">
        <v>18</v>
      </c>
      <c r="BV18" s="11">
        <v>22</v>
      </c>
      <c r="BW18" s="11">
        <v>15</v>
      </c>
      <c r="BX18" s="11">
        <v>18</v>
      </c>
      <c r="BY18" s="11">
        <v>18</v>
      </c>
      <c r="BZ18" s="11">
        <v>21</v>
      </c>
      <c r="CA18" s="11">
        <v>15</v>
      </c>
      <c r="CB18" s="11">
        <v>27</v>
      </c>
      <c r="CC18" s="11">
        <v>40</v>
      </c>
      <c r="CD18" s="11">
        <v>33</v>
      </c>
      <c r="CE18" s="11">
        <v>39</v>
      </c>
      <c r="CF18" s="11">
        <v>42</v>
      </c>
      <c r="CG18" s="4">
        <v>3.7</v>
      </c>
      <c r="CH18" s="13">
        <v>1.29</v>
      </c>
      <c r="CI18" s="4">
        <v>8</v>
      </c>
      <c r="CJ18" s="4">
        <v>-8</v>
      </c>
      <c r="CK18" s="4">
        <v>172.5</v>
      </c>
      <c r="CL18" s="2" t="s">
        <v>471</v>
      </c>
      <c r="CM18" s="4" t="str">
        <f>VLOOKUP(nantere[[#This Row],[Away_team]],all[[Full name]:[Abbr]],3,FALSE)</f>
        <v>MON</v>
      </c>
      <c r="CN18" s="4">
        <f>IF(OR(nantere[[#This Row],[Result]]="w",nantere[[#This Row],[Result]]="dw"),nantere[[#This Row],[win]]-1,-1)</f>
        <v>-1</v>
      </c>
      <c r="CO18" s="4">
        <f>IF(OR(nantere[[#This Row],[Result]]="L",nantere[[#This Row],[Result]]="dl"),nantere[[#This Row],[lose]]-1,-1)</f>
        <v>0.29000000000000004</v>
      </c>
      <c r="CP18" s="4">
        <f>IF(OR((nantere[[#This Row],[Home_scored]]+nantere[[#This Row],[Away_scored]])&gt;nantere[[#This Row],[total]],OR(nantere[[#This Row],[Result]]="dw",nantere[[#This Row],[Result]]="dl")),1,0)</f>
        <v>0</v>
      </c>
      <c r="CQ18" s="4">
        <f>ABS((nantere[[#This Row],[Home_scored]]+nantere[[#This Row],[Away_scored]])-nantere[[#This Row],[total]])+0.5</f>
        <v>19</v>
      </c>
    </row>
    <row r="19" spans="1:95" x14ac:dyDescent="0.25">
      <c r="A19" s="2" t="s">
        <v>349</v>
      </c>
      <c r="B19" s="2" t="s">
        <v>336</v>
      </c>
      <c r="C19" s="3" t="s">
        <v>73</v>
      </c>
      <c r="D19" s="3">
        <v>45675</v>
      </c>
      <c r="E19" s="2" t="s">
        <v>74</v>
      </c>
      <c r="F19" s="2" t="s">
        <v>317</v>
      </c>
      <c r="G19" s="2" t="s">
        <v>139</v>
      </c>
      <c r="H19" s="11">
        <v>67</v>
      </c>
      <c r="I19" s="11">
        <v>85</v>
      </c>
      <c r="J19" s="11">
        <v>25</v>
      </c>
      <c r="K19" s="11">
        <v>62</v>
      </c>
      <c r="L19" s="12">
        <v>0.4032</v>
      </c>
      <c r="M19" s="11">
        <v>19</v>
      </c>
      <c r="N19" s="11">
        <v>43</v>
      </c>
      <c r="O19" s="12">
        <v>0.44190000000000002</v>
      </c>
      <c r="P19" s="11">
        <v>6</v>
      </c>
      <c r="Q19" s="11">
        <v>19</v>
      </c>
      <c r="R19" s="12">
        <v>0.31580000000000003</v>
      </c>
      <c r="S19" s="11">
        <v>11</v>
      </c>
      <c r="T19" s="11">
        <v>15</v>
      </c>
      <c r="U19" s="12">
        <v>0.73329999999999995</v>
      </c>
      <c r="V19" s="11">
        <v>7</v>
      </c>
      <c r="W19" s="11">
        <v>19</v>
      </c>
      <c r="X19" s="11">
        <v>26</v>
      </c>
      <c r="Y19" s="11">
        <v>15</v>
      </c>
      <c r="Z19" s="11">
        <v>10</v>
      </c>
      <c r="AA19" s="11">
        <v>3</v>
      </c>
      <c r="AB19" s="11">
        <v>9</v>
      </c>
      <c r="AC19" s="11">
        <v>26</v>
      </c>
      <c r="AD19" s="11">
        <v>27</v>
      </c>
      <c r="AE19" s="11">
        <v>57</v>
      </c>
      <c r="AF19" s="12">
        <v>0.47370000000000001</v>
      </c>
      <c r="AG19" s="11">
        <v>17</v>
      </c>
      <c r="AH19" s="11">
        <v>31</v>
      </c>
      <c r="AI19" s="12">
        <v>0.5484</v>
      </c>
      <c r="AJ19" s="11">
        <v>10</v>
      </c>
      <c r="AK19" s="11">
        <v>26</v>
      </c>
      <c r="AL19" s="12">
        <v>0.3846</v>
      </c>
      <c r="AM19" s="11">
        <v>21</v>
      </c>
      <c r="AN19" s="11">
        <v>29</v>
      </c>
      <c r="AO19" s="12">
        <v>0.72409999999999997</v>
      </c>
      <c r="AP19" s="11">
        <v>14</v>
      </c>
      <c r="AQ19" s="11">
        <v>32</v>
      </c>
      <c r="AR19" s="11">
        <v>46</v>
      </c>
      <c r="AS19" s="11">
        <v>20</v>
      </c>
      <c r="AT19" s="11">
        <v>3</v>
      </c>
      <c r="AU19" s="11">
        <v>1</v>
      </c>
      <c r="AV19" s="11">
        <v>16</v>
      </c>
      <c r="AW19" s="11">
        <v>21</v>
      </c>
      <c r="AX19" s="12">
        <v>0.48830000000000001</v>
      </c>
      <c r="AY19" s="12">
        <v>0.4516</v>
      </c>
      <c r="AZ19" s="12">
        <v>0.17949999999999999</v>
      </c>
      <c r="BA19" s="12">
        <v>0.57579999999999998</v>
      </c>
      <c r="BB19" s="12">
        <v>0.36109999999999998</v>
      </c>
      <c r="BC19" s="4">
        <v>66.340999999999994</v>
      </c>
      <c r="BD19" s="12">
        <v>0.6</v>
      </c>
      <c r="BE19" s="12">
        <v>0.1774</v>
      </c>
      <c r="BF19" s="12">
        <v>0.11600000000000001</v>
      </c>
      <c r="BG19" s="4">
        <v>94.9</v>
      </c>
      <c r="BH19" s="4">
        <v>120.4</v>
      </c>
      <c r="BI19" s="4">
        <v>70.585499999999996</v>
      </c>
      <c r="BJ19" s="12">
        <v>0.60919999999999996</v>
      </c>
      <c r="BK19" s="12">
        <v>0.56140000000000001</v>
      </c>
      <c r="BL19" s="12">
        <v>0.42420000000000002</v>
      </c>
      <c r="BM19" s="12">
        <v>0.82050000000000001</v>
      </c>
      <c r="BN19" s="12">
        <v>0.63890000000000002</v>
      </c>
      <c r="BO19" s="4">
        <v>74.83</v>
      </c>
      <c r="BP19" s="12">
        <v>0.74070000000000003</v>
      </c>
      <c r="BQ19" s="12">
        <v>0.36840000000000001</v>
      </c>
      <c r="BR19" s="12">
        <v>0.18659999999999999</v>
      </c>
      <c r="BS19" s="4">
        <v>120.4</v>
      </c>
      <c r="BT19" s="4">
        <v>94.9</v>
      </c>
      <c r="BU19" s="11">
        <v>14</v>
      </c>
      <c r="BV19" s="11">
        <v>19</v>
      </c>
      <c r="BW19" s="11">
        <v>20</v>
      </c>
      <c r="BX19" s="11">
        <v>14</v>
      </c>
      <c r="BY19" s="11">
        <v>22</v>
      </c>
      <c r="BZ19" s="11">
        <v>27</v>
      </c>
      <c r="CA19" s="11">
        <v>16</v>
      </c>
      <c r="CB19" s="11">
        <v>20</v>
      </c>
      <c r="CC19" s="11">
        <v>33</v>
      </c>
      <c r="CD19" s="11">
        <v>34</v>
      </c>
      <c r="CE19" s="11">
        <v>49</v>
      </c>
      <c r="CF19" s="11">
        <v>36</v>
      </c>
      <c r="CG19" s="4">
        <v>1.71</v>
      </c>
      <c r="CH19" s="13">
        <v>2.2000000000000002</v>
      </c>
      <c r="CI19" s="4">
        <v>-2.5</v>
      </c>
      <c r="CJ19" s="4">
        <v>2.5</v>
      </c>
      <c r="CK19" s="4">
        <v>169.5</v>
      </c>
      <c r="CL19" s="2" t="s">
        <v>479</v>
      </c>
      <c r="CM19" s="4" t="str">
        <f>VLOOKUP(nantere[[#This Row],[Away_team]],all[[Full name]:[Abbr]],3,FALSE)</f>
        <v>LEM</v>
      </c>
      <c r="CN19" s="4">
        <f>IF(OR(nantere[[#This Row],[Result]]="w",nantere[[#This Row],[Result]]="dw"),nantere[[#This Row],[win]]-1,-1)</f>
        <v>-1</v>
      </c>
      <c r="CO19" s="4">
        <f>IF(OR(nantere[[#This Row],[Result]]="L",nantere[[#This Row],[Result]]="dl"),nantere[[#This Row],[lose]]-1,-1)</f>
        <v>1.2000000000000002</v>
      </c>
      <c r="CP19" s="4">
        <f>IF(OR((nantere[[#This Row],[Home_scored]]+nantere[[#This Row],[Away_scored]])&gt;nantere[[#This Row],[total]],OR(nantere[[#This Row],[Result]]="dw",nantere[[#This Row],[Result]]="dl")),1,0)</f>
        <v>0</v>
      </c>
      <c r="CQ19" s="4">
        <f>ABS((nantere[[#This Row],[Home_scored]]+nantere[[#This Row],[Away_scored]])-nantere[[#This Row],[total]])+0.5</f>
        <v>18</v>
      </c>
    </row>
    <row r="20" spans="1:95" x14ac:dyDescent="0.25">
      <c r="A20" s="2" t="s">
        <v>349</v>
      </c>
      <c r="B20" s="2" t="s">
        <v>336</v>
      </c>
      <c r="C20" s="3" t="s">
        <v>73</v>
      </c>
      <c r="D20" s="3">
        <v>45682</v>
      </c>
      <c r="E20" s="2" t="s">
        <v>140</v>
      </c>
      <c r="F20" s="2" t="s">
        <v>302</v>
      </c>
      <c r="G20" s="2" t="s">
        <v>139</v>
      </c>
      <c r="H20" s="11">
        <v>97</v>
      </c>
      <c r="I20" s="11">
        <v>100</v>
      </c>
      <c r="J20" s="11">
        <v>38</v>
      </c>
      <c r="K20" s="11">
        <v>68</v>
      </c>
      <c r="L20" s="12">
        <v>0.55879999999999996</v>
      </c>
      <c r="M20" s="11">
        <v>30</v>
      </c>
      <c r="N20" s="11">
        <v>45</v>
      </c>
      <c r="O20" s="12">
        <v>0.66669999999999996</v>
      </c>
      <c r="P20" s="11">
        <v>8</v>
      </c>
      <c r="Q20" s="11">
        <v>23</v>
      </c>
      <c r="R20" s="12">
        <v>0.3478</v>
      </c>
      <c r="S20" s="11">
        <v>13</v>
      </c>
      <c r="T20" s="11">
        <v>17</v>
      </c>
      <c r="U20" s="12">
        <v>0.76470000000000005</v>
      </c>
      <c r="V20" s="11">
        <v>5</v>
      </c>
      <c r="W20" s="11">
        <v>12</v>
      </c>
      <c r="X20" s="11">
        <v>17</v>
      </c>
      <c r="Y20" s="11">
        <v>23</v>
      </c>
      <c r="Z20" s="11">
        <v>12</v>
      </c>
      <c r="AA20" s="11">
        <v>0</v>
      </c>
      <c r="AB20" s="11">
        <v>7</v>
      </c>
      <c r="AC20" s="11">
        <v>22</v>
      </c>
      <c r="AD20" s="11">
        <v>34</v>
      </c>
      <c r="AE20" s="11">
        <v>53</v>
      </c>
      <c r="AF20" s="12">
        <v>0.64149999999999996</v>
      </c>
      <c r="AG20" s="11">
        <v>19</v>
      </c>
      <c r="AH20" s="11">
        <v>27</v>
      </c>
      <c r="AI20" s="12">
        <v>0.70369999999999999</v>
      </c>
      <c r="AJ20" s="11">
        <v>15</v>
      </c>
      <c r="AK20" s="11">
        <v>26</v>
      </c>
      <c r="AL20" s="12">
        <v>0.57689999999999997</v>
      </c>
      <c r="AM20" s="11">
        <v>17</v>
      </c>
      <c r="AN20" s="11">
        <v>23</v>
      </c>
      <c r="AO20" s="12">
        <v>0.73909999999999998</v>
      </c>
      <c r="AP20" s="11">
        <v>10</v>
      </c>
      <c r="AQ20" s="11">
        <v>27</v>
      </c>
      <c r="AR20" s="11">
        <v>37</v>
      </c>
      <c r="AS20" s="11">
        <v>25</v>
      </c>
      <c r="AT20" s="11">
        <v>2</v>
      </c>
      <c r="AU20" s="11">
        <v>2</v>
      </c>
      <c r="AV20" s="11">
        <v>19</v>
      </c>
      <c r="AW20" s="11">
        <v>19</v>
      </c>
      <c r="AX20" s="12">
        <v>0.64259999999999995</v>
      </c>
      <c r="AY20" s="12">
        <v>0.61760000000000004</v>
      </c>
      <c r="AZ20" s="12">
        <v>0.15629999999999999</v>
      </c>
      <c r="BA20" s="12">
        <v>0.54549999999999998</v>
      </c>
      <c r="BB20" s="12">
        <v>0.31480000000000002</v>
      </c>
      <c r="BC20" s="4">
        <v>72.358999999999995</v>
      </c>
      <c r="BD20" s="12">
        <v>0.60529999999999995</v>
      </c>
      <c r="BE20" s="12">
        <v>0.19120000000000001</v>
      </c>
      <c r="BF20" s="12">
        <v>8.4900000000000003E-2</v>
      </c>
      <c r="BG20" s="4">
        <v>131</v>
      </c>
      <c r="BH20" s="4">
        <v>135.1</v>
      </c>
      <c r="BI20" s="4">
        <v>74.031999999999996</v>
      </c>
      <c r="BJ20" s="12">
        <v>0.79210000000000003</v>
      </c>
      <c r="BK20" s="12">
        <v>0.78300000000000003</v>
      </c>
      <c r="BL20" s="12">
        <v>0.45450000000000002</v>
      </c>
      <c r="BM20" s="12">
        <v>0.84379999999999999</v>
      </c>
      <c r="BN20" s="12">
        <v>0.68520000000000003</v>
      </c>
      <c r="BO20" s="4">
        <v>75.704999999999998</v>
      </c>
      <c r="BP20" s="12">
        <v>0.73529999999999995</v>
      </c>
      <c r="BQ20" s="12">
        <v>0.32079999999999997</v>
      </c>
      <c r="BR20" s="12">
        <v>0.23139999999999999</v>
      </c>
      <c r="BS20" s="4">
        <v>135.1</v>
      </c>
      <c r="BT20" s="4">
        <v>131</v>
      </c>
      <c r="BU20" s="11">
        <v>30</v>
      </c>
      <c r="BV20" s="11">
        <v>19</v>
      </c>
      <c r="BW20" s="11">
        <v>18</v>
      </c>
      <c r="BX20" s="11">
        <v>30</v>
      </c>
      <c r="BY20" s="11">
        <v>26</v>
      </c>
      <c r="BZ20" s="11">
        <v>24</v>
      </c>
      <c r="CA20" s="11">
        <v>25</v>
      </c>
      <c r="CB20" s="11">
        <v>25</v>
      </c>
      <c r="CC20" s="11">
        <v>49</v>
      </c>
      <c r="CD20" s="11">
        <v>48</v>
      </c>
      <c r="CE20" s="11">
        <v>50</v>
      </c>
      <c r="CF20" s="11">
        <v>50</v>
      </c>
      <c r="CG20" s="4">
        <v>4</v>
      </c>
      <c r="CH20" s="13">
        <v>1.26</v>
      </c>
      <c r="CI20" s="4">
        <v>8.5</v>
      </c>
      <c r="CJ20" s="4">
        <v>-8.5</v>
      </c>
      <c r="CK20" s="4">
        <v>170.5</v>
      </c>
      <c r="CL20" s="2" t="s">
        <v>486</v>
      </c>
      <c r="CM20" s="4" t="str">
        <f>VLOOKUP(nantere[[#This Row],[Away_team]],all[[Full name]:[Abbr]],3,FALSE)</f>
        <v>BUR</v>
      </c>
      <c r="CN20" s="4">
        <f>IF(OR(nantere[[#This Row],[Result]]="w",nantere[[#This Row],[Result]]="dw"),nantere[[#This Row],[win]]-1,-1)</f>
        <v>-1</v>
      </c>
      <c r="CO20" s="4">
        <f>IF(OR(nantere[[#This Row],[Result]]="L",nantere[[#This Row],[Result]]="dl"),nantere[[#This Row],[lose]]-1,-1)</f>
        <v>0.26</v>
      </c>
      <c r="CP20" s="4">
        <f>IF(OR((nantere[[#This Row],[Home_scored]]+nantere[[#This Row],[Away_scored]])&gt;nantere[[#This Row],[total]],OR(nantere[[#This Row],[Result]]="dw",nantere[[#This Row],[Result]]="dl")),1,0)</f>
        <v>1</v>
      </c>
      <c r="CQ20" s="4">
        <f>ABS((nantere[[#This Row],[Home_scored]]+nantere[[#This Row],[Away_scored]])-nantere[[#This Row],[total]])+0.5</f>
        <v>27</v>
      </c>
    </row>
    <row r="21" spans="1:95" x14ac:dyDescent="0.25">
      <c r="A21" s="2" t="s">
        <v>349</v>
      </c>
      <c r="B21" s="2" t="s">
        <v>336</v>
      </c>
      <c r="C21" s="3" t="s">
        <v>73</v>
      </c>
      <c r="D21" s="3">
        <v>45689</v>
      </c>
      <c r="E21" s="2" t="s">
        <v>74</v>
      </c>
      <c r="F21" s="2" t="s">
        <v>339</v>
      </c>
      <c r="G21" s="2" t="s">
        <v>139</v>
      </c>
      <c r="H21" s="11">
        <v>78</v>
      </c>
      <c r="I21" s="11">
        <v>92</v>
      </c>
      <c r="J21" s="11">
        <v>30</v>
      </c>
      <c r="K21" s="11">
        <v>67</v>
      </c>
      <c r="L21" s="12">
        <v>0.44779999999999998</v>
      </c>
      <c r="M21" s="11">
        <v>27</v>
      </c>
      <c r="N21" s="11">
        <v>46</v>
      </c>
      <c r="O21" s="12">
        <v>0.58699999999999997</v>
      </c>
      <c r="P21" s="11">
        <v>3</v>
      </c>
      <c r="Q21" s="11">
        <v>21</v>
      </c>
      <c r="R21" s="12">
        <v>0.1429</v>
      </c>
      <c r="S21" s="11">
        <v>15</v>
      </c>
      <c r="T21" s="11">
        <v>16</v>
      </c>
      <c r="U21" s="12">
        <v>0.9375</v>
      </c>
      <c r="V21" s="11">
        <v>17</v>
      </c>
      <c r="W21" s="11">
        <v>15</v>
      </c>
      <c r="X21" s="11">
        <v>32</v>
      </c>
      <c r="Y21" s="11">
        <v>14</v>
      </c>
      <c r="Z21" s="11">
        <v>7</v>
      </c>
      <c r="AA21" s="11">
        <v>1</v>
      </c>
      <c r="AB21" s="11">
        <v>13</v>
      </c>
      <c r="AC21" s="11">
        <v>19</v>
      </c>
      <c r="AD21" s="11">
        <v>32</v>
      </c>
      <c r="AE21" s="11">
        <v>59</v>
      </c>
      <c r="AF21" s="12">
        <v>0.54239999999999999</v>
      </c>
      <c r="AG21" s="11">
        <v>19</v>
      </c>
      <c r="AH21" s="11">
        <v>30</v>
      </c>
      <c r="AI21" s="12">
        <v>0.63329999999999997</v>
      </c>
      <c r="AJ21" s="11">
        <v>13</v>
      </c>
      <c r="AK21" s="11">
        <v>29</v>
      </c>
      <c r="AL21" s="12">
        <v>0.44829999999999998</v>
      </c>
      <c r="AM21" s="11">
        <v>15</v>
      </c>
      <c r="AN21" s="11">
        <v>18</v>
      </c>
      <c r="AO21" s="12">
        <v>0.83330000000000004</v>
      </c>
      <c r="AP21" s="11">
        <v>13</v>
      </c>
      <c r="AQ21" s="11">
        <v>20</v>
      </c>
      <c r="AR21" s="11">
        <v>33</v>
      </c>
      <c r="AS21" s="11">
        <v>21</v>
      </c>
      <c r="AT21" s="11">
        <v>3</v>
      </c>
      <c r="AU21" s="11">
        <v>2</v>
      </c>
      <c r="AV21" s="11">
        <v>16</v>
      </c>
      <c r="AW21" s="11">
        <v>17</v>
      </c>
      <c r="AX21" s="12">
        <v>0.52669999999999995</v>
      </c>
      <c r="AY21" s="12">
        <v>0.47010000000000002</v>
      </c>
      <c r="AZ21" s="12">
        <v>0.45950000000000002</v>
      </c>
      <c r="BA21" s="12">
        <v>0.53569999999999995</v>
      </c>
      <c r="BB21" s="12">
        <v>0.49230000000000002</v>
      </c>
      <c r="BC21" s="4">
        <v>65.367999999999995</v>
      </c>
      <c r="BD21" s="12">
        <v>0.4667</v>
      </c>
      <c r="BE21" s="12">
        <v>0.22389999999999999</v>
      </c>
      <c r="BF21" s="12">
        <v>0.14940000000000001</v>
      </c>
      <c r="BG21" s="4">
        <v>114.5</v>
      </c>
      <c r="BH21" s="4">
        <v>135.1</v>
      </c>
      <c r="BI21" s="4">
        <v>68.093500000000006</v>
      </c>
      <c r="BJ21" s="12">
        <v>0.68740000000000001</v>
      </c>
      <c r="BK21" s="12">
        <v>0.65249999999999997</v>
      </c>
      <c r="BL21" s="12">
        <v>0.46429999999999999</v>
      </c>
      <c r="BM21" s="12">
        <v>0.54049999999999998</v>
      </c>
      <c r="BN21" s="12">
        <v>0.50770000000000004</v>
      </c>
      <c r="BO21" s="4">
        <v>70.819000000000003</v>
      </c>
      <c r="BP21" s="12">
        <v>0.65629999999999999</v>
      </c>
      <c r="BQ21" s="12">
        <v>0.25419999999999998</v>
      </c>
      <c r="BR21" s="12">
        <v>0.193</v>
      </c>
      <c r="BS21" s="4">
        <v>135.1</v>
      </c>
      <c r="BT21" s="4">
        <v>114.5</v>
      </c>
      <c r="BU21" s="11">
        <v>22</v>
      </c>
      <c r="BV21" s="11">
        <v>22</v>
      </c>
      <c r="BW21" s="11">
        <v>20</v>
      </c>
      <c r="BX21" s="11">
        <v>14</v>
      </c>
      <c r="BY21" s="11">
        <v>27</v>
      </c>
      <c r="BZ21" s="11">
        <v>24</v>
      </c>
      <c r="CA21" s="11">
        <v>19</v>
      </c>
      <c r="CB21" s="11">
        <v>22</v>
      </c>
      <c r="CC21" s="11">
        <v>44</v>
      </c>
      <c r="CD21" s="11">
        <v>34</v>
      </c>
      <c r="CE21" s="11">
        <v>51</v>
      </c>
      <c r="CF21" s="11">
        <v>41</v>
      </c>
      <c r="CG21" s="4">
        <v>3.3</v>
      </c>
      <c r="CH21" s="13">
        <v>1.36</v>
      </c>
      <c r="CI21" s="4">
        <v>7</v>
      </c>
      <c r="CJ21" s="4">
        <v>-7</v>
      </c>
      <c r="CK21" s="4">
        <v>175.5</v>
      </c>
      <c r="CL21" s="2" t="s">
        <v>495</v>
      </c>
      <c r="CM21" s="4" t="str">
        <f>VLOOKUP(nantere[[#This Row],[Away_team]],all[[Full name]:[Abbr]],3,FALSE)</f>
        <v>PAR</v>
      </c>
      <c r="CN21" s="4">
        <f>IF(OR(nantere[[#This Row],[Result]]="w",nantere[[#This Row],[Result]]="dw"),nantere[[#This Row],[win]]-1,-1)</f>
        <v>-1</v>
      </c>
      <c r="CO21" s="4">
        <f>IF(OR(nantere[[#This Row],[Result]]="L",nantere[[#This Row],[Result]]="dl"),nantere[[#This Row],[lose]]-1,-1)</f>
        <v>0.3600000000000001</v>
      </c>
      <c r="CP21" s="4">
        <f>IF(OR((nantere[[#This Row],[Home_scored]]+nantere[[#This Row],[Away_scored]])&gt;nantere[[#This Row],[total]],OR(nantere[[#This Row],[Result]]="dw",nantere[[#This Row],[Result]]="dl")),1,0)</f>
        <v>0</v>
      </c>
      <c r="CQ21" s="4">
        <f>ABS((nantere[[#This Row],[Home_scored]]+nantere[[#This Row],[Away_scored]])-nantere[[#This Row],[total]])+0.5</f>
        <v>6</v>
      </c>
    </row>
    <row r="22" spans="1:95" x14ac:dyDescent="0.25">
      <c r="A22" s="2" t="s">
        <v>349</v>
      </c>
      <c r="B22" s="2" t="s">
        <v>336</v>
      </c>
      <c r="C22" s="3" t="s">
        <v>73</v>
      </c>
      <c r="D22" s="3">
        <v>45696</v>
      </c>
      <c r="E22" s="2" t="s">
        <v>140</v>
      </c>
      <c r="F22" s="2" t="s">
        <v>311</v>
      </c>
      <c r="G22" s="2" t="s">
        <v>75</v>
      </c>
      <c r="H22" s="11">
        <v>66</v>
      </c>
      <c r="I22" s="11">
        <v>65</v>
      </c>
      <c r="J22" s="11">
        <v>28</v>
      </c>
      <c r="K22" s="11">
        <v>61</v>
      </c>
      <c r="L22" s="12">
        <v>0.45900000000000002</v>
      </c>
      <c r="M22" s="11">
        <v>21</v>
      </c>
      <c r="N22" s="11">
        <v>40</v>
      </c>
      <c r="O22" s="12">
        <v>0.52500000000000002</v>
      </c>
      <c r="P22" s="11">
        <v>7</v>
      </c>
      <c r="Q22" s="11">
        <v>21</v>
      </c>
      <c r="R22" s="12">
        <v>0.33329999999999999</v>
      </c>
      <c r="S22" s="11">
        <v>3</v>
      </c>
      <c r="T22" s="11">
        <v>6</v>
      </c>
      <c r="U22" s="12">
        <v>0.5</v>
      </c>
      <c r="V22" s="11">
        <v>10</v>
      </c>
      <c r="W22" s="11">
        <v>27</v>
      </c>
      <c r="X22" s="11">
        <v>37</v>
      </c>
      <c r="Y22" s="11">
        <v>17</v>
      </c>
      <c r="Z22" s="11">
        <v>9</v>
      </c>
      <c r="AA22" s="11">
        <v>2</v>
      </c>
      <c r="AB22" s="11">
        <v>15</v>
      </c>
      <c r="AC22" s="11">
        <v>15</v>
      </c>
      <c r="AD22" s="11">
        <v>24</v>
      </c>
      <c r="AE22" s="11">
        <v>59</v>
      </c>
      <c r="AF22" s="12">
        <v>0.40679999999999999</v>
      </c>
      <c r="AG22" s="11">
        <v>14</v>
      </c>
      <c r="AH22" s="11">
        <v>31</v>
      </c>
      <c r="AI22" s="12">
        <v>0.4516</v>
      </c>
      <c r="AJ22" s="11">
        <v>10</v>
      </c>
      <c r="AK22" s="11">
        <v>28</v>
      </c>
      <c r="AL22" s="12">
        <v>0.35709999999999997</v>
      </c>
      <c r="AM22" s="11">
        <v>7</v>
      </c>
      <c r="AN22" s="11">
        <v>10</v>
      </c>
      <c r="AO22" s="12">
        <v>0.7</v>
      </c>
      <c r="AP22" s="11">
        <v>10</v>
      </c>
      <c r="AQ22" s="11">
        <v>25</v>
      </c>
      <c r="AR22" s="11">
        <v>35</v>
      </c>
      <c r="AS22" s="11">
        <v>16</v>
      </c>
      <c r="AT22" s="11">
        <v>7</v>
      </c>
      <c r="AU22" s="11">
        <v>1</v>
      </c>
      <c r="AV22" s="11">
        <v>15</v>
      </c>
      <c r="AW22" s="11">
        <v>16</v>
      </c>
      <c r="AX22" s="12">
        <v>0.51849999999999996</v>
      </c>
      <c r="AY22" s="12">
        <v>0.51639999999999997</v>
      </c>
      <c r="AZ22" s="12">
        <v>0.28570000000000001</v>
      </c>
      <c r="BA22" s="12">
        <v>0.72970000000000002</v>
      </c>
      <c r="BB22" s="12">
        <v>0.51390000000000002</v>
      </c>
      <c r="BC22" s="4">
        <v>68.856999999999999</v>
      </c>
      <c r="BD22" s="12">
        <v>0.60709999999999997</v>
      </c>
      <c r="BE22" s="12">
        <v>4.9200000000000001E-2</v>
      </c>
      <c r="BF22" s="12">
        <v>0.19070000000000001</v>
      </c>
      <c r="BG22" s="4">
        <v>96.9</v>
      </c>
      <c r="BH22" s="4">
        <v>95.5</v>
      </c>
      <c r="BI22" s="4">
        <v>68.078500000000005</v>
      </c>
      <c r="BJ22" s="12">
        <v>0.51259999999999994</v>
      </c>
      <c r="BK22" s="12">
        <v>0.49149999999999999</v>
      </c>
      <c r="BL22" s="12">
        <v>0.27029999999999998</v>
      </c>
      <c r="BM22" s="12">
        <v>0.71430000000000005</v>
      </c>
      <c r="BN22" s="12">
        <v>0.48609999999999998</v>
      </c>
      <c r="BO22" s="4">
        <v>67.3</v>
      </c>
      <c r="BP22" s="12">
        <v>0.66669999999999996</v>
      </c>
      <c r="BQ22" s="12">
        <v>0.1186</v>
      </c>
      <c r="BR22" s="12">
        <v>0.1913</v>
      </c>
      <c r="BS22" s="4">
        <v>95.5</v>
      </c>
      <c r="BT22" s="4">
        <v>96.9</v>
      </c>
      <c r="BU22" s="11">
        <v>11</v>
      </c>
      <c r="BV22" s="11">
        <v>23</v>
      </c>
      <c r="BW22" s="11">
        <v>14</v>
      </c>
      <c r="BX22" s="11">
        <v>18</v>
      </c>
      <c r="BY22" s="11">
        <v>17</v>
      </c>
      <c r="BZ22" s="11">
        <v>21</v>
      </c>
      <c r="CA22" s="11">
        <v>10</v>
      </c>
      <c r="CB22" s="11">
        <v>17</v>
      </c>
      <c r="CC22" s="11">
        <v>34</v>
      </c>
      <c r="CD22" s="11">
        <v>32</v>
      </c>
      <c r="CE22" s="11">
        <v>38</v>
      </c>
      <c r="CF22" s="11">
        <v>27</v>
      </c>
      <c r="CG22" s="4">
        <v>3.1</v>
      </c>
      <c r="CH22" s="13">
        <v>1.38</v>
      </c>
      <c r="CI22" s="4">
        <v>6.5</v>
      </c>
      <c r="CJ22" s="4">
        <v>-6.5</v>
      </c>
      <c r="CK22" s="4">
        <v>173.5</v>
      </c>
      <c r="CL22" s="2" t="s">
        <v>502</v>
      </c>
      <c r="CM22" s="4" t="str">
        <f>VLOOKUP(nantere[[#This Row],[Away_team]],all[[Full name]:[Abbr]],3,FALSE)</f>
        <v>DIJ</v>
      </c>
      <c r="CN22" s="4">
        <f>IF(OR(nantere[[#This Row],[Result]]="w",nantere[[#This Row],[Result]]="dw"),nantere[[#This Row],[win]]-1,-1)</f>
        <v>2.1</v>
      </c>
      <c r="CO22" s="4">
        <f>IF(OR(nantere[[#This Row],[Result]]="L",nantere[[#This Row],[Result]]="dl"),nantere[[#This Row],[lose]]-1,-1)</f>
        <v>-1</v>
      </c>
      <c r="CP22" s="4">
        <f>IF(OR((nantere[[#This Row],[Home_scored]]+nantere[[#This Row],[Away_scored]])&gt;nantere[[#This Row],[total]],OR(nantere[[#This Row],[Result]]="dw",nantere[[#This Row],[Result]]="dl")),1,0)</f>
        <v>0</v>
      </c>
      <c r="CQ22" s="4">
        <f>ABS((nantere[[#This Row],[Home_scored]]+nantere[[#This Row],[Away_scored]])-nantere[[#This Row],[total]])+0.5</f>
        <v>43</v>
      </c>
    </row>
    <row r="23" spans="1:95" x14ac:dyDescent="0.25">
      <c r="A23" s="2" t="s">
        <v>349</v>
      </c>
      <c r="B23" s="2" t="s">
        <v>336</v>
      </c>
      <c r="C23" s="3" t="s">
        <v>73</v>
      </c>
      <c r="D23" s="3">
        <v>45716</v>
      </c>
      <c r="E23" s="2" t="s">
        <v>74</v>
      </c>
      <c r="F23" s="2" t="s">
        <v>314</v>
      </c>
      <c r="G23" s="2" t="s">
        <v>75</v>
      </c>
      <c r="H23" s="11">
        <v>93</v>
      </c>
      <c r="I23" s="11">
        <v>80</v>
      </c>
      <c r="J23" s="11">
        <v>30</v>
      </c>
      <c r="K23" s="11">
        <v>52</v>
      </c>
      <c r="L23" s="12">
        <v>0.57689999999999997</v>
      </c>
      <c r="M23" s="11">
        <v>17</v>
      </c>
      <c r="N23" s="11">
        <v>28</v>
      </c>
      <c r="O23" s="12">
        <v>0.60709999999999997</v>
      </c>
      <c r="P23" s="11">
        <v>13</v>
      </c>
      <c r="Q23" s="11">
        <v>24</v>
      </c>
      <c r="R23" s="12">
        <v>0.54169999999999996</v>
      </c>
      <c r="S23" s="11">
        <v>20</v>
      </c>
      <c r="T23" s="11">
        <v>27</v>
      </c>
      <c r="U23" s="12">
        <v>0.74070000000000003</v>
      </c>
      <c r="V23" s="11">
        <v>4</v>
      </c>
      <c r="W23" s="11">
        <v>24</v>
      </c>
      <c r="X23" s="11">
        <v>28</v>
      </c>
      <c r="Y23" s="11">
        <v>19</v>
      </c>
      <c r="Z23" s="11">
        <v>5</v>
      </c>
      <c r="AA23" s="11">
        <v>2</v>
      </c>
      <c r="AB23" s="11">
        <v>14</v>
      </c>
      <c r="AC23" s="11">
        <v>21</v>
      </c>
      <c r="AD23" s="11">
        <v>29</v>
      </c>
      <c r="AE23" s="11">
        <v>61</v>
      </c>
      <c r="AF23" s="12">
        <v>0.47539999999999999</v>
      </c>
      <c r="AG23" s="11">
        <v>17</v>
      </c>
      <c r="AH23" s="11">
        <v>28</v>
      </c>
      <c r="AI23" s="12">
        <v>0.60709999999999997</v>
      </c>
      <c r="AJ23" s="11">
        <v>12</v>
      </c>
      <c r="AK23" s="11">
        <v>33</v>
      </c>
      <c r="AL23" s="12">
        <v>0.36359999999999998</v>
      </c>
      <c r="AM23" s="11">
        <v>10</v>
      </c>
      <c r="AN23" s="11">
        <v>16</v>
      </c>
      <c r="AO23" s="12">
        <v>0.625</v>
      </c>
      <c r="AP23" s="11">
        <v>9</v>
      </c>
      <c r="AQ23" s="11">
        <v>22</v>
      </c>
      <c r="AR23" s="11">
        <v>31</v>
      </c>
      <c r="AS23" s="11">
        <v>15</v>
      </c>
      <c r="AT23" s="11">
        <v>6</v>
      </c>
      <c r="AU23" s="11">
        <v>0</v>
      </c>
      <c r="AV23" s="11">
        <v>12</v>
      </c>
      <c r="AW23" s="11">
        <v>24</v>
      </c>
      <c r="AX23" s="12">
        <v>0.72789999999999999</v>
      </c>
      <c r="AY23" s="12">
        <v>0.70189999999999997</v>
      </c>
      <c r="AZ23" s="12">
        <v>0.15379999999999999</v>
      </c>
      <c r="BA23" s="12">
        <v>0.72729999999999995</v>
      </c>
      <c r="BB23" s="12">
        <v>0.47460000000000002</v>
      </c>
      <c r="BC23" s="4">
        <v>73.436999999999998</v>
      </c>
      <c r="BD23" s="12">
        <v>0.63329999999999997</v>
      </c>
      <c r="BE23" s="12">
        <v>0.3846</v>
      </c>
      <c r="BF23" s="12">
        <v>0.17979999999999999</v>
      </c>
      <c r="BG23" s="4">
        <v>130.19999999999999</v>
      </c>
      <c r="BH23" s="4">
        <v>112</v>
      </c>
      <c r="BI23" s="4">
        <v>71.447999999999993</v>
      </c>
      <c r="BJ23" s="12">
        <v>0.58789999999999998</v>
      </c>
      <c r="BK23" s="12">
        <v>0.57379999999999998</v>
      </c>
      <c r="BL23" s="12">
        <v>0.2727</v>
      </c>
      <c r="BM23" s="12">
        <v>0.84619999999999995</v>
      </c>
      <c r="BN23" s="12">
        <v>0.52539999999999998</v>
      </c>
      <c r="BO23" s="4">
        <v>69.459000000000003</v>
      </c>
      <c r="BP23" s="12">
        <v>0.51719999999999999</v>
      </c>
      <c r="BQ23" s="12">
        <v>0.16389999999999999</v>
      </c>
      <c r="BR23" s="12">
        <v>0.14990000000000001</v>
      </c>
      <c r="BS23" s="4">
        <v>112</v>
      </c>
      <c r="BT23" s="4">
        <v>130.19999999999999</v>
      </c>
      <c r="BU23" s="11">
        <v>33</v>
      </c>
      <c r="BV23" s="11">
        <v>18</v>
      </c>
      <c r="BW23" s="11">
        <v>23</v>
      </c>
      <c r="BX23" s="11">
        <v>19</v>
      </c>
      <c r="BY23" s="11">
        <v>23</v>
      </c>
      <c r="BZ23" s="11">
        <v>23</v>
      </c>
      <c r="CA23" s="11">
        <v>24</v>
      </c>
      <c r="CB23" s="11">
        <v>10</v>
      </c>
      <c r="CC23" s="11">
        <v>51</v>
      </c>
      <c r="CD23" s="11">
        <v>42</v>
      </c>
      <c r="CE23" s="11">
        <v>46</v>
      </c>
      <c r="CF23" s="11">
        <v>34</v>
      </c>
      <c r="CG23" s="4">
        <v>1.52</v>
      </c>
      <c r="CH23" s="13">
        <v>2.6</v>
      </c>
      <c r="CI23" s="4">
        <v>-5.5</v>
      </c>
      <c r="CJ23" s="4">
        <v>5.5</v>
      </c>
      <c r="CK23" s="4">
        <v>165.5</v>
      </c>
      <c r="CL23" s="2" t="s">
        <v>508</v>
      </c>
      <c r="CM23" s="4" t="str">
        <f>VLOOKUP(nantere[[#This Row],[Away_team]],all[[Full name]:[Abbr]],3,FALSE)</f>
        <v>DUN</v>
      </c>
      <c r="CN23" s="4">
        <f>IF(OR(nantere[[#This Row],[Result]]="w",nantere[[#This Row],[Result]]="dw"),nantere[[#This Row],[win]]-1,-1)</f>
        <v>0.52</v>
      </c>
      <c r="CO23" s="4">
        <f>IF(OR(nantere[[#This Row],[Result]]="L",nantere[[#This Row],[Result]]="dl"),nantere[[#This Row],[lose]]-1,-1)</f>
        <v>-1</v>
      </c>
      <c r="CP23" s="4">
        <f>IF(OR((nantere[[#This Row],[Home_scored]]+nantere[[#This Row],[Away_scored]])&gt;nantere[[#This Row],[total]],OR(nantere[[#This Row],[Result]]="dw",nantere[[#This Row],[Result]]="dl")),1,0)</f>
        <v>1</v>
      </c>
      <c r="CQ23" s="4">
        <f>ABS((nantere[[#This Row],[Home_scored]]+nantere[[#This Row],[Away_scored]])-nantere[[#This Row],[total]])+0.5</f>
        <v>8</v>
      </c>
    </row>
    <row r="24" spans="1:95" x14ac:dyDescent="0.25">
      <c r="A24" s="2" t="s">
        <v>349</v>
      </c>
      <c r="B24" s="2" t="s">
        <v>336</v>
      </c>
      <c r="C24" s="3" t="s">
        <v>73</v>
      </c>
      <c r="D24" s="3">
        <v>45725</v>
      </c>
      <c r="E24" s="2" t="s">
        <v>74</v>
      </c>
      <c r="F24" s="2" t="s">
        <v>327</v>
      </c>
      <c r="G24" s="2" t="s">
        <v>139</v>
      </c>
      <c r="H24" s="11">
        <v>74</v>
      </c>
      <c r="I24" s="11">
        <v>88</v>
      </c>
      <c r="J24" s="11">
        <v>26</v>
      </c>
      <c r="K24" s="11">
        <v>53</v>
      </c>
      <c r="L24" s="12">
        <v>0.49059999999999998</v>
      </c>
      <c r="M24" s="11">
        <v>22</v>
      </c>
      <c r="N24" s="11">
        <v>34</v>
      </c>
      <c r="O24" s="12">
        <v>0.64710000000000001</v>
      </c>
      <c r="P24" s="11">
        <v>4</v>
      </c>
      <c r="Q24" s="11">
        <v>19</v>
      </c>
      <c r="R24" s="12">
        <v>0.21049999999999999</v>
      </c>
      <c r="S24" s="11">
        <v>18</v>
      </c>
      <c r="T24" s="11">
        <v>24</v>
      </c>
      <c r="U24" s="12">
        <v>0.75</v>
      </c>
      <c r="V24" s="11">
        <v>6</v>
      </c>
      <c r="W24" s="11">
        <v>20</v>
      </c>
      <c r="X24" s="11">
        <v>26</v>
      </c>
      <c r="Y24" s="11">
        <v>23</v>
      </c>
      <c r="Z24" s="11">
        <v>4</v>
      </c>
      <c r="AA24" s="11">
        <v>1</v>
      </c>
      <c r="AB24" s="11">
        <v>11</v>
      </c>
      <c r="AC24" s="11">
        <v>24</v>
      </c>
      <c r="AD24" s="11">
        <v>32</v>
      </c>
      <c r="AE24" s="11">
        <v>63</v>
      </c>
      <c r="AF24" s="12">
        <v>0.50790000000000002</v>
      </c>
      <c r="AG24" s="11">
        <v>22</v>
      </c>
      <c r="AH24" s="11">
        <v>35</v>
      </c>
      <c r="AI24" s="12">
        <v>0.62860000000000005</v>
      </c>
      <c r="AJ24" s="11">
        <v>10</v>
      </c>
      <c r="AK24" s="11">
        <v>28</v>
      </c>
      <c r="AL24" s="12">
        <v>0.35709999999999997</v>
      </c>
      <c r="AM24" s="11">
        <v>14</v>
      </c>
      <c r="AN24" s="11">
        <v>22</v>
      </c>
      <c r="AO24" s="12">
        <v>0.63639999999999997</v>
      </c>
      <c r="AP24" s="11">
        <v>11</v>
      </c>
      <c r="AQ24" s="11">
        <v>24</v>
      </c>
      <c r="AR24" s="11">
        <v>35</v>
      </c>
      <c r="AS24" s="11">
        <v>20</v>
      </c>
      <c r="AT24" s="11">
        <v>6</v>
      </c>
      <c r="AU24" s="11">
        <v>2</v>
      </c>
      <c r="AV24" s="11">
        <v>11</v>
      </c>
      <c r="AW24" s="11">
        <v>28</v>
      </c>
      <c r="AX24" s="12">
        <v>0.58209999999999995</v>
      </c>
      <c r="AY24" s="12">
        <v>0.52829999999999999</v>
      </c>
      <c r="AZ24" s="12">
        <v>0.2</v>
      </c>
      <c r="BA24" s="12">
        <v>0.6452</v>
      </c>
      <c r="BB24" s="12">
        <v>0.42620000000000002</v>
      </c>
      <c r="BC24" s="4">
        <v>66.933000000000007</v>
      </c>
      <c r="BD24" s="12">
        <v>0.88460000000000005</v>
      </c>
      <c r="BE24" s="12">
        <v>0.33960000000000001</v>
      </c>
      <c r="BF24" s="12">
        <v>0.14749999999999999</v>
      </c>
      <c r="BG24" s="4">
        <v>106.2</v>
      </c>
      <c r="BH24" s="4">
        <v>126.3</v>
      </c>
      <c r="BI24" s="4">
        <v>69.653999999999996</v>
      </c>
      <c r="BJ24" s="12">
        <v>0.60540000000000005</v>
      </c>
      <c r="BK24" s="12">
        <v>0.58730000000000004</v>
      </c>
      <c r="BL24" s="12">
        <v>0.3548</v>
      </c>
      <c r="BM24" s="12">
        <v>0.8</v>
      </c>
      <c r="BN24" s="12">
        <v>0.57379999999999998</v>
      </c>
      <c r="BO24" s="4">
        <v>72.375</v>
      </c>
      <c r="BP24" s="12">
        <v>0.625</v>
      </c>
      <c r="BQ24" s="12">
        <v>0.22220000000000001</v>
      </c>
      <c r="BR24" s="12">
        <v>0.13150000000000001</v>
      </c>
      <c r="BS24" s="4">
        <v>126.3</v>
      </c>
      <c r="BT24" s="4">
        <v>106.2</v>
      </c>
      <c r="BU24" s="11">
        <v>20</v>
      </c>
      <c r="BV24" s="11">
        <v>20</v>
      </c>
      <c r="BW24" s="11">
        <v>20</v>
      </c>
      <c r="BX24" s="11">
        <v>14</v>
      </c>
      <c r="BY24" s="11">
        <v>28</v>
      </c>
      <c r="BZ24" s="11">
        <v>16</v>
      </c>
      <c r="CA24" s="11">
        <v>23</v>
      </c>
      <c r="CB24" s="11">
        <v>21</v>
      </c>
      <c r="CC24" s="11">
        <v>40</v>
      </c>
      <c r="CD24" s="11">
        <v>34</v>
      </c>
      <c r="CE24" s="11">
        <v>44</v>
      </c>
      <c r="CF24" s="11">
        <v>44</v>
      </c>
      <c r="CG24" s="4">
        <v>2.8</v>
      </c>
      <c r="CH24" s="13">
        <v>1.45</v>
      </c>
      <c r="CI24" s="4">
        <v>5.5</v>
      </c>
      <c r="CJ24" s="4">
        <v>-5.5</v>
      </c>
      <c r="CK24" s="4">
        <v>170.5</v>
      </c>
      <c r="CL24" s="2" t="s">
        <v>521</v>
      </c>
      <c r="CM24" s="4" t="str">
        <f>VLOOKUP(nantere[[#This Row],[Away_team]],all[[Full name]:[Abbr]],3,FALSE)</f>
        <v>LYO</v>
      </c>
      <c r="CN24" s="4">
        <f>IF(OR(nantere[[#This Row],[Result]]="w",nantere[[#This Row],[Result]]="dw"),nantere[[#This Row],[win]]-1,-1)</f>
        <v>-1</v>
      </c>
      <c r="CO24" s="4">
        <f>IF(OR(nantere[[#This Row],[Result]]="L",nantere[[#This Row],[Result]]="dl"),nantere[[#This Row],[lose]]-1,-1)</f>
        <v>0.44999999999999996</v>
      </c>
      <c r="CP24" s="4">
        <f>IF(OR((nantere[[#This Row],[Home_scored]]+nantere[[#This Row],[Away_scored]])&gt;nantere[[#This Row],[total]],OR(nantere[[#This Row],[Result]]="dw",nantere[[#This Row],[Result]]="dl")),1,0)</f>
        <v>0</v>
      </c>
      <c r="CQ24" s="4">
        <f>ABS((nantere[[#This Row],[Home_scored]]+nantere[[#This Row],[Away_scored]])-nantere[[#This Row],[total]])+0.5</f>
        <v>9</v>
      </c>
    </row>
    <row r="25" spans="1:95" x14ac:dyDescent="0.25">
      <c r="A25" s="2" t="s">
        <v>349</v>
      </c>
      <c r="B25" s="2" t="s">
        <v>336</v>
      </c>
      <c r="C25" s="3" t="s">
        <v>73</v>
      </c>
      <c r="D25" s="3">
        <v>45739</v>
      </c>
      <c r="E25" s="2" t="s">
        <v>140</v>
      </c>
      <c r="F25" s="2" t="s">
        <v>342</v>
      </c>
      <c r="G25" s="2" t="s">
        <v>75</v>
      </c>
      <c r="H25" s="11">
        <v>76</v>
      </c>
      <c r="I25" s="11">
        <v>67</v>
      </c>
      <c r="J25" s="11">
        <v>25</v>
      </c>
      <c r="K25" s="11">
        <v>62</v>
      </c>
      <c r="L25" s="12">
        <v>0.4032</v>
      </c>
      <c r="M25" s="11">
        <v>17</v>
      </c>
      <c r="N25" s="11">
        <v>35</v>
      </c>
      <c r="O25" s="12">
        <v>0.48570000000000002</v>
      </c>
      <c r="P25" s="11">
        <v>8</v>
      </c>
      <c r="Q25" s="11">
        <v>27</v>
      </c>
      <c r="R25" s="12">
        <v>0.29630000000000001</v>
      </c>
      <c r="S25" s="11">
        <v>18</v>
      </c>
      <c r="T25" s="11">
        <v>27</v>
      </c>
      <c r="U25" s="12">
        <v>0.66669999999999996</v>
      </c>
      <c r="V25" s="11">
        <v>13</v>
      </c>
      <c r="W25" s="11">
        <v>28</v>
      </c>
      <c r="X25" s="11">
        <v>41</v>
      </c>
      <c r="Y25" s="11">
        <v>18</v>
      </c>
      <c r="Z25" s="11">
        <v>9</v>
      </c>
      <c r="AA25" s="11">
        <v>2</v>
      </c>
      <c r="AB25" s="11">
        <v>9</v>
      </c>
      <c r="AC25" s="11">
        <v>19</v>
      </c>
      <c r="AD25" s="11">
        <v>24</v>
      </c>
      <c r="AE25" s="11">
        <v>57</v>
      </c>
      <c r="AF25" s="12">
        <v>0.42109999999999997</v>
      </c>
      <c r="AG25" s="11">
        <v>16</v>
      </c>
      <c r="AH25" s="11">
        <v>29</v>
      </c>
      <c r="AI25" s="12">
        <v>0.55169999999999997</v>
      </c>
      <c r="AJ25" s="11">
        <v>8</v>
      </c>
      <c r="AK25" s="11">
        <v>28</v>
      </c>
      <c r="AL25" s="12">
        <v>0.28570000000000001</v>
      </c>
      <c r="AM25" s="11">
        <v>11</v>
      </c>
      <c r="AN25" s="11">
        <v>17</v>
      </c>
      <c r="AO25" s="12">
        <v>0.64710000000000001</v>
      </c>
      <c r="AP25" s="11">
        <v>11</v>
      </c>
      <c r="AQ25" s="11">
        <v>29</v>
      </c>
      <c r="AR25" s="11">
        <v>40</v>
      </c>
      <c r="AS25" s="11">
        <v>16</v>
      </c>
      <c r="AT25" s="11">
        <v>5</v>
      </c>
      <c r="AU25" s="11">
        <v>1</v>
      </c>
      <c r="AV25" s="11">
        <v>16</v>
      </c>
      <c r="AW25" s="11">
        <v>22</v>
      </c>
      <c r="AX25" s="12">
        <v>0.51429999999999998</v>
      </c>
      <c r="AY25" s="12">
        <v>0.4677</v>
      </c>
      <c r="AZ25" s="12">
        <v>0.3095</v>
      </c>
      <c r="BA25" s="12">
        <v>0.71789999999999998</v>
      </c>
      <c r="BB25" s="12">
        <v>0.50619999999999998</v>
      </c>
      <c r="BC25" s="4">
        <v>69.247</v>
      </c>
      <c r="BD25" s="12">
        <v>0.72</v>
      </c>
      <c r="BE25" s="12">
        <v>0.2903</v>
      </c>
      <c r="BF25" s="12">
        <v>0.1086</v>
      </c>
      <c r="BG25" s="4">
        <v>109.1</v>
      </c>
      <c r="BH25" s="4">
        <v>96.2</v>
      </c>
      <c r="BI25" s="4">
        <v>69.668499999999995</v>
      </c>
      <c r="BJ25" s="12">
        <v>0.51949999999999996</v>
      </c>
      <c r="BK25" s="12">
        <v>0.49120000000000003</v>
      </c>
      <c r="BL25" s="12">
        <v>0.28210000000000002</v>
      </c>
      <c r="BM25" s="12">
        <v>0.6905</v>
      </c>
      <c r="BN25" s="12">
        <v>0.49380000000000002</v>
      </c>
      <c r="BO25" s="4">
        <v>70.09</v>
      </c>
      <c r="BP25" s="12">
        <v>0.66669999999999996</v>
      </c>
      <c r="BQ25" s="12">
        <v>0.193</v>
      </c>
      <c r="BR25" s="12">
        <v>0.1988</v>
      </c>
      <c r="BS25" s="4">
        <v>96.2</v>
      </c>
      <c r="BT25" s="4">
        <v>109.1</v>
      </c>
      <c r="BU25" s="11">
        <v>20</v>
      </c>
      <c r="BV25" s="11">
        <v>14</v>
      </c>
      <c r="BW25" s="11">
        <v>26</v>
      </c>
      <c r="BX25" s="11">
        <v>16</v>
      </c>
      <c r="BY25" s="11">
        <v>17</v>
      </c>
      <c r="BZ25" s="11">
        <v>12</v>
      </c>
      <c r="CA25" s="11">
        <v>14</v>
      </c>
      <c r="CB25" s="11">
        <v>24</v>
      </c>
      <c r="CC25" s="11">
        <v>34</v>
      </c>
      <c r="CD25" s="11">
        <v>42</v>
      </c>
      <c r="CE25" s="11">
        <v>29</v>
      </c>
      <c r="CF25" s="11">
        <v>38</v>
      </c>
      <c r="CG25" s="4">
        <v>2.95</v>
      </c>
      <c r="CH25" s="13">
        <v>1.41</v>
      </c>
      <c r="CI25" s="4">
        <v>-6</v>
      </c>
      <c r="CJ25" s="4">
        <v>-6</v>
      </c>
      <c r="CK25" s="4">
        <v>163.5</v>
      </c>
      <c r="CL25" s="2" t="s">
        <v>528</v>
      </c>
      <c r="CM25" s="4" t="str">
        <f>VLOOKUP(nantere[[#This Row],[Away_team]],all[[Full name]:[Abbr]],3,FALSE)</f>
        <v>SQU</v>
      </c>
      <c r="CN25" s="4">
        <f>IF(OR(nantere[[#This Row],[Result]]="w",nantere[[#This Row],[Result]]="dw"),nantere[[#This Row],[win]]-1,-1)</f>
        <v>1.9500000000000002</v>
      </c>
      <c r="CO25" s="4">
        <f>IF(OR(nantere[[#This Row],[Result]]="L",nantere[[#This Row],[Result]]="dl"),nantere[[#This Row],[lose]]-1,-1)</f>
        <v>-1</v>
      </c>
      <c r="CP25" s="4">
        <f>IF(OR((nantere[[#This Row],[Home_scored]]+nantere[[#This Row],[Away_scored]])&gt;nantere[[#This Row],[total]],OR(nantere[[#This Row],[Result]]="dw",nantere[[#This Row],[Result]]="dl")),1,0)</f>
        <v>0</v>
      </c>
      <c r="CQ25" s="4">
        <f>ABS((nantere[[#This Row],[Home_scored]]+nantere[[#This Row],[Away_scored]])-nantere[[#This Row],[total]])+0.5</f>
        <v>21</v>
      </c>
    </row>
    <row r="26" spans="1:95" x14ac:dyDescent="0.25">
      <c r="A26" s="2" t="s">
        <v>349</v>
      </c>
      <c r="B26" s="2" t="s">
        <v>336</v>
      </c>
      <c r="C26" s="3" t="s">
        <v>73</v>
      </c>
      <c r="D26" s="3">
        <v>45744</v>
      </c>
      <c r="E26" s="2" t="s">
        <v>74</v>
      </c>
      <c r="F26" s="2" t="s">
        <v>324</v>
      </c>
      <c r="G26" s="2" t="s">
        <v>75</v>
      </c>
      <c r="H26" s="11">
        <v>96</v>
      </c>
      <c r="I26" s="11">
        <v>87</v>
      </c>
      <c r="J26" s="11">
        <v>39</v>
      </c>
      <c r="K26" s="11">
        <v>66</v>
      </c>
      <c r="L26" s="12">
        <v>0.59089999999999998</v>
      </c>
      <c r="M26" s="11">
        <v>31</v>
      </c>
      <c r="N26" s="11">
        <v>45</v>
      </c>
      <c r="O26" s="12">
        <v>0.68889999999999996</v>
      </c>
      <c r="P26" s="11">
        <v>8</v>
      </c>
      <c r="Q26" s="11">
        <v>21</v>
      </c>
      <c r="R26" s="12">
        <v>0.38100000000000001</v>
      </c>
      <c r="S26" s="11">
        <v>10</v>
      </c>
      <c r="T26" s="11">
        <v>12</v>
      </c>
      <c r="U26" s="12">
        <v>0.83330000000000004</v>
      </c>
      <c r="V26" s="11">
        <v>10</v>
      </c>
      <c r="W26" s="11">
        <v>23</v>
      </c>
      <c r="X26" s="11">
        <v>33</v>
      </c>
      <c r="Y26" s="11">
        <v>26</v>
      </c>
      <c r="Z26" s="11">
        <v>7</v>
      </c>
      <c r="AA26" s="11">
        <v>1</v>
      </c>
      <c r="AB26" s="11">
        <v>15</v>
      </c>
      <c r="AC26" s="11">
        <v>22</v>
      </c>
      <c r="AD26" s="11">
        <v>30</v>
      </c>
      <c r="AE26" s="11">
        <v>60</v>
      </c>
      <c r="AF26" s="12">
        <v>0.5</v>
      </c>
      <c r="AG26" s="11">
        <v>25</v>
      </c>
      <c r="AH26" s="11">
        <v>40</v>
      </c>
      <c r="AI26" s="12">
        <v>0.625</v>
      </c>
      <c r="AJ26" s="11">
        <v>5</v>
      </c>
      <c r="AK26" s="11">
        <v>20</v>
      </c>
      <c r="AL26" s="12">
        <v>0.25</v>
      </c>
      <c r="AM26" s="11">
        <v>22</v>
      </c>
      <c r="AN26" s="11">
        <v>26</v>
      </c>
      <c r="AO26" s="12">
        <v>0.84619999999999995</v>
      </c>
      <c r="AP26" s="11">
        <v>9</v>
      </c>
      <c r="AQ26" s="11">
        <v>17</v>
      </c>
      <c r="AR26" s="11">
        <v>26</v>
      </c>
      <c r="AS26" s="11">
        <v>20</v>
      </c>
      <c r="AT26" s="11">
        <v>11</v>
      </c>
      <c r="AU26" s="11">
        <v>3</v>
      </c>
      <c r="AV26" s="11">
        <v>12</v>
      </c>
      <c r="AW26" s="11">
        <v>16</v>
      </c>
      <c r="AX26" s="12">
        <v>0.6734</v>
      </c>
      <c r="AY26" s="12">
        <v>0.65149999999999997</v>
      </c>
      <c r="AZ26" s="12">
        <v>0.37040000000000001</v>
      </c>
      <c r="BA26" s="12">
        <v>0.71879999999999999</v>
      </c>
      <c r="BB26" s="12">
        <v>0.55930000000000002</v>
      </c>
      <c r="BC26" s="4">
        <v>77.045000000000002</v>
      </c>
      <c r="BD26" s="12">
        <v>0.66669999999999996</v>
      </c>
      <c r="BE26" s="12">
        <v>0.1515</v>
      </c>
      <c r="BF26" s="12">
        <v>0.1739</v>
      </c>
      <c r="BG26" s="4">
        <v>129.4</v>
      </c>
      <c r="BH26" s="4">
        <v>117.3</v>
      </c>
      <c r="BI26" s="4">
        <v>74.166499999999999</v>
      </c>
      <c r="BJ26" s="12">
        <v>0.6089</v>
      </c>
      <c r="BK26" s="12">
        <v>0.54169999999999996</v>
      </c>
      <c r="BL26" s="12">
        <v>0.28129999999999999</v>
      </c>
      <c r="BM26" s="12">
        <v>0.62960000000000005</v>
      </c>
      <c r="BN26" s="12">
        <v>0.44069999999999998</v>
      </c>
      <c r="BO26" s="4">
        <v>71.287999999999997</v>
      </c>
      <c r="BP26" s="12">
        <v>0.66669999999999996</v>
      </c>
      <c r="BQ26" s="12">
        <v>0.36670000000000003</v>
      </c>
      <c r="BR26" s="12">
        <v>0.14380000000000001</v>
      </c>
      <c r="BS26" s="4">
        <v>117.3</v>
      </c>
      <c r="BT26" s="4">
        <v>129.4</v>
      </c>
      <c r="BU26" s="11">
        <v>27</v>
      </c>
      <c r="BV26" s="11">
        <v>19</v>
      </c>
      <c r="BW26" s="11">
        <v>22</v>
      </c>
      <c r="BX26" s="11">
        <v>28</v>
      </c>
      <c r="BY26" s="11">
        <v>30</v>
      </c>
      <c r="BZ26" s="11">
        <v>18</v>
      </c>
      <c r="CA26" s="11">
        <v>18</v>
      </c>
      <c r="CB26" s="11">
        <v>21</v>
      </c>
      <c r="CC26" s="11">
        <v>46</v>
      </c>
      <c r="CD26" s="11">
        <v>50</v>
      </c>
      <c r="CE26" s="11">
        <v>48</v>
      </c>
      <c r="CF26" s="11">
        <v>39</v>
      </c>
      <c r="CG26" s="4">
        <v>1.52</v>
      </c>
      <c r="CH26" s="13">
        <v>2.6</v>
      </c>
      <c r="CI26" s="4">
        <v>-4.5</v>
      </c>
      <c r="CJ26" s="4">
        <v>4.5</v>
      </c>
      <c r="CK26" s="4">
        <v>166.5</v>
      </c>
      <c r="CL26" s="2" t="s">
        <v>530</v>
      </c>
      <c r="CM26" s="4" t="str">
        <f>VLOOKUP(nantere[[#This Row],[Away_team]],all[[Full name]:[Abbr]],3,FALSE)</f>
        <v>LIM</v>
      </c>
      <c r="CN26" s="4">
        <f>IF(OR(nantere[[#This Row],[Result]]="w",nantere[[#This Row],[Result]]="dw"),nantere[[#This Row],[win]]-1,-1)</f>
        <v>0.52</v>
      </c>
      <c r="CO26" s="4">
        <f>IF(OR(nantere[[#This Row],[Result]]="L",nantere[[#This Row],[Result]]="dl"),nantere[[#This Row],[lose]]-1,-1)</f>
        <v>-1</v>
      </c>
      <c r="CP26" s="4">
        <f>IF(OR((nantere[[#This Row],[Home_scored]]+nantere[[#This Row],[Away_scored]])&gt;nantere[[#This Row],[total]],OR(nantere[[#This Row],[Result]]="dw",nantere[[#This Row],[Result]]="dl")),1,0)</f>
        <v>1</v>
      </c>
      <c r="CQ26" s="4">
        <f>ABS((nantere[[#This Row],[Home_scored]]+nantere[[#This Row],[Away_scored]])-nantere[[#This Row],[total]])+0.5</f>
        <v>17</v>
      </c>
    </row>
    <row r="27" spans="1:95" x14ac:dyDescent="0.25">
      <c r="A27" s="2" t="s">
        <v>349</v>
      </c>
      <c r="B27" s="2" t="s">
        <v>336</v>
      </c>
      <c r="C27" s="3" t="s">
        <v>73</v>
      </c>
      <c r="D27" s="3">
        <v>45752</v>
      </c>
      <c r="E27" s="2" t="s">
        <v>140</v>
      </c>
      <c r="F27" s="2" t="s">
        <v>330</v>
      </c>
      <c r="G27" s="2" t="s">
        <v>139</v>
      </c>
      <c r="H27" s="11">
        <v>74</v>
      </c>
      <c r="I27" s="11">
        <v>89</v>
      </c>
      <c r="J27" s="11">
        <v>29</v>
      </c>
      <c r="K27" s="11">
        <v>60</v>
      </c>
      <c r="L27" s="12">
        <v>0.48330000000000001</v>
      </c>
      <c r="M27" s="11">
        <v>20</v>
      </c>
      <c r="N27" s="11">
        <v>36</v>
      </c>
      <c r="O27" s="12">
        <v>0.55559999999999998</v>
      </c>
      <c r="P27" s="11">
        <v>9</v>
      </c>
      <c r="Q27" s="11">
        <v>24</v>
      </c>
      <c r="R27" s="12">
        <v>0.375</v>
      </c>
      <c r="S27" s="11">
        <v>7</v>
      </c>
      <c r="T27" s="11">
        <v>15</v>
      </c>
      <c r="U27" s="12">
        <v>0.4667</v>
      </c>
      <c r="V27" s="11">
        <v>6</v>
      </c>
      <c r="W27" s="11">
        <v>25</v>
      </c>
      <c r="X27" s="11">
        <v>31</v>
      </c>
      <c r="Y27" s="11">
        <v>19</v>
      </c>
      <c r="Z27" s="11">
        <v>8</v>
      </c>
      <c r="AA27" s="11">
        <v>1</v>
      </c>
      <c r="AB27" s="11">
        <v>13</v>
      </c>
      <c r="AC27" s="11">
        <v>22</v>
      </c>
      <c r="AD27" s="11">
        <v>32</v>
      </c>
      <c r="AE27" s="11">
        <v>59</v>
      </c>
      <c r="AF27" s="12">
        <v>0.54239999999999999</v>
      </c>
      <c r="AG27" s="11">
        <v>22</v>
      </c>
      <c r="AH27" s="11">
        <v>30</v>
      </c>
      <c r="AI27" s="12">
        <v>0.73329999999999995</v>
      </c>
      <c r="AJ27" s="11">
        <v>10</v>
      </c>
      <c r="AK27" s="11">
        <v>29</v>
      </c>
      <c r="AL27" s="12">
        <v>0.3448</v>
      </c>
      <c r="AM27" s="11">
        <v>15</v>
      </c>
      <c r="AN27" s="11">
        <v>21</v>
      </c>
      <c r="AO27" s="12">
        <v>0.71430000000000005</v>
      </c>
      <c r="AP27" s="11">
        <v>5</v>
      </c>
      <c r="AQ27" s="11">
        <v>29</v>
      </c>
      <c r="AR27" s="11">
        <v>34</v>
      </c>
      <c r="AS27" s="11">
        <v>24</v>
      </c>
      <c r="AT27" s="11">
        <v>6</v>
      </c>
      <c r="AU27" s="11">
        <v>5</v>
      </c>
      <c r="AV27" s="11">
        <v>14</v>
      </c>
      <c r="AW27" s="11">
        <v>20</v>
      </c>
      <c r="AX27" s="12">
        <v>0.55559999999999998</v>
      </c>
      <c r="AY27" s="12">
        <v>0.55830000000000002</v>
      </c>
      <c r="AZ27" s="12">
        <v>0.1714</v>
      </c>
      <c r="BA27" s="12">
        <v>0.83330000000000004</v>
      </c>
      <c r="BB27" s="12">
        <v>0.47689999999999999</v>
      </c>
      <c r="BC27" s="4">
        <v>72.58</v>
      </c>
      <c r="BD27" s="12">
        <v>0.6552</v>
      </c>
      <c r="BE27" s="12">
        <v>0.1167</v>
      </c>
      <c r="BF27" s="12">
        <v>0.1633</v>
      </c>
      <c r="BG27" s="4">
        <v>98.8</v>
      </c>
      <c r="BH27" s="4">
        <v>118.9</v>
      </c>
      <c r="BI27" s="4">
        <v>74.865499999999997</v>
      </c>
      <c r="BJ27" s="12">
        <v>0.65210000000000001</v>
      </c>
      <c r="BK27" s="12">
        <v>0.62709999999999999</v>
      </c>
      <c r="BL27" s="12">
        <v>0.16669999999999999</v>
      </c>
      <c r="BM27" s="12">
        <v>0.8286</v>
      </c>
      <c r="BN27" s="12">
        <v>0.52310000000000001</v>
      </c>
      <c r="BO27" s="4">
        <v>77.150999999999996</v>
      </c>
      <c r="BP27" s="12">
        <v>0.75</v>
      </c>
      <c r="BQ27" s="12">
        <v>0.25419999999999998</v>
      </c>
      <c r="BR27" s="12">
        <v>0.17019999999999999</v>
      </c>
      <c r="BS27" s="4">
        <v>118.9</v>
      </c>
      <c r="BT27" s="4">
        <v>98.8</v>
      </c>
      <c r="BU27" s="11">
        <v>19</v>
      </c>
      <c r="BV27" s="11">
        <v>24</v>
      </c>
      <c r="BW27" s="11">
        <v>22</v>
      </c>
      <c r="BX27" s="11">
        <v>9</v>
      </c>
      <c r="BY27" s="11">
        <v>24</v>
      </c>
      <c r="BZ27" s="11">
        <v>23</v>
      </c>
      <c r="CA27" s="11">
        <v>19</v>
      </c>
      <c r="CB27" s="11">
        <v>23</v>
      </c>
      <c r="CC27" s="11">
        <v>43</v>
      </c>
      <c r="CD27" s="11">
        <v>31</v>
      </c>
      <c r="CE27" s="11">
        <v>47</v>
      </c>
      <c r="CF27" s="11">
        <v>42</v>
      </c>
      <c r="CG27" s="4">
        <v>6.75</v>
      </c>
      <c r="CH27" s="13">
        <v>1.1100000000000001</v>
      </c>
      <c r="CI27" s="4">
        <v>12.5</v>
      </c>
      <c r="CJ27" s="4">
        <v>-12.5</v>
      </c>
      <c r="CK27" s="4">
        <v>170.5</v>
      </c>
      <c r="CL27" s="2" t="s">
        <v>540</v>
      </c>
      <c r="CM27" s="4" t="str">
        <f>VLOOKUP(nantere[[#This Row],[Away_team]],all[[Full name]:[Abbr]],3,FALSE)</f>
        <v>MON</v>
      </c>
      <c r="CN27" s="4">
        <f>IF(OR(nantere[[#This Row],[Result]]="w",nantere[[#This Row],[Result]]="dw"),nantere[[#This Row],[win]]-1,-1)</f>
        <v>-1</v>
      </c>
      <c r="CO27" s="4">
        <f>IF(OR(nantere[[#This Row],[Result]]="L",nantere[[#This Row],[Result]]="dl"),nantere[[#This Row],[lose]]-1,-1)</f>
        <v>0.1100000000000001</v>
      </c>
      <c r="CP27" s="4">
        <f>IF(OR((nantere[[#This Row],[Home_scored]]+nantere[[#This Row],[Away_scored]])&gt;nantere[[#This Row],[total]],OR(nantere[[#This Row],[Result]]="dw",nantere[[#This Row],[Result]]="dl")),1,0)</f>
        <v>0</v>
      </c>
      <c r="CQ27" s="4">
        <f>ABS((nantere[[#This Row],[Home_scored]]+nantere[[#This Row],[Away_scored]])-nantere[[#This Row],[total]])+0.5</f>
        <v>8</v>
      </c>
    </row>
    <row r="28" spans="1:95" x14ac:dyDescent="0.25">
      <c r="A28" s="2" t="s">
        <v>349</v>
      </c>
      <c r="B28" s="2" t="s">
        <v>336</v>
      </c>
      <c r="C28" s="3" t="s">
        <v>73</v>
      </c>
      <c r="D28" s="3">
        <v>45759</v>
      </c>
      <c r="E28" s="2" t="s">
        <v>140</v>
      </c>
      <c r="F28" s="2" t="s">
        <v>308</v>
      </c>
      <c r="G28" s="2" t="s">
        <v>139</v>
      </c>
      <c r="H28" s="11">
        <v>78</v>
      </c>
      <c r="I28" s="11">
        <v>88</v>
      </c>
      <c r="J28" s="11">
        <v>24</v>
      </c>
      <c r="K28" s="11">
        <v>58</v>
      </c>
      <c r="L28" s="12">
        <v>0.4138</v>
      </c>
      <c r="M28" s="11">
        <v>17</v>
      </c>
      <c r="N28" s="11">
        <v>36</v>
      </c>
      <c r="O28" s="12">
        <v>0.47220000000000001</v>
      </c>
      <c r="P28" s="11">
        <v>7</v>
      </c>
      <c r="Q28" s="11">
        <v>22</v>
      </c>
      <c r="R28" s="12">
        <v>0.31819999999999998</v>
      </c>
      <c r="S28" s="11">
        <v>23</v>
      </c>
      <c r="T28" s="11">
        <v>33</v>
      </c>
      <c r="U28" s="12">
        <v>0.69699999999999995</v>
      </c>
      <c r="V28" s="11">
        <v>11</v>
      </c>
      <c r="W28" s="11">
        <v>21</v>
      </c>
      <c r="X28" s="11">
        <v>32</v>
      </c>
      <c r="Y28" s="11">
        <v>18</v>
      </c>
      <c r="Z28" s="11">
        <v>7</v>
      </c>
      <c r="AA28" s="11">
        <v>0</v>
      </c>
      <c r="AB28" s="11">
        <v>11</v>
      </c>
      <c r="AC28" s="11">
        <v>26</v>
      </c>
      <c r="AD28" s="11">
        <v>28</v>
      </c>
      <c r="AE28" s="11">
        <v>59</v>
      </c>
      <c r="AF28" s="12">
        <v>0.47460000000000002</v>
      </c>
      <c r="AG28" s="11">
        <v>19</v>
      </c>
      <c r="AH28" s="11">
        <v>31</v>
      </c>
      <c r="AI28" s="12">
        <v>0.6129</v>
      </c>
      <c r="AJ28" s="11">
        <v>9</v>
      </c>
      <c r="AK28" s="11">
        <v>28</v>
      </c>
      <c r="AL28" s="12">
        <v>0.32140000000000002</v>
      </c>
      <c r="AM28" s="11">
        <v>23</v>
      </c>
      <c r="AN28" s="11">
        <v>29</v>
      </c>
      <c r="AO28" s="12">
        <v>0.79310000000000003</v>
      </c>
      <c r="AP28" s="11">
        <v>11</v>
      </c>
      <c r="AQ28" s="11">
        <v>26</v>
      </c>
      <c r="AR28" s="11">
        <v>37</v>
      </c>
      <c r="AS28" s="11">
        <v>22</v>
      </c>
      <c r="AT28" s="11">
        <v>7</v>
      </c>
      <c r="AU28" s="11">
        <v>2</v>
      </c>
      <c r="AV28" s="11">
        <v>16</v>
      </c>
      <c r="AW28" s="11">
        <v>30</v>
      </c>
      <c r="AX28" s="12">
        <v>0.53779999999999994</v>
      </c>
      <c r="AY28" s="12">
        <v>0.47410000000000002</v>
      </c>
      <c r="AZ28" s="12">
        <v>0.29730000000000001</v>
      </c>
      <c r="BA28" s="12">
        <v>0.65629999999999999</v>
      </c>
      <c r="BB28" s="12">
        <v>0.46379999999999999</v>
      </c>
      <c r="BC28" s="4">
        <v>69.694000000000003</v>
      </c>
      <c r="BD28" s="12">
        <v>0.75</v>
      </c>
      <c r="BE28" s="12">
        <v>0.39660000000000001</v>
      </c>
      <c r="BF28" s="12">
        <v>0.13170000000000001</v>
      </c>
      <c r="BG28" s="4">
        <v>106.5</v>
      </c>
      <c r="BH28" s="4">
        <v>120.2</v>
      </c>
      <c r="BI28" s="4">
        <v>73.216499999999996</v>
      </c>
      <c r="BJ28" s="12">
        <v>0.61319999999999997</v>
      </c>
      <c r="BK28" s="12">
        <v>0.55079999999999996</v>
      </c>
      <c r="BL28" s="12">
        <v>0.34379999999999999</v>
      </c>
      <c r="BM28" s="12">
        <v>0.70269999999999999</v>
      </c>
      <c r="BN28" s="12">
        <v>0.53620000000000001</v>
      </c>
      <c r="BO28" s="4">
        <v>76.739000000000004</v>
      </c>
      <c r="BP28" s="12">
        <v>0.78569999999999995</v>
      </c>
      <c r="BQ28" s="12">
        <v>0.38979999999999998</v>
      </c>
      <c r="BR28" s="12">
        <v>0.18229999999999999</v>
      </c>
      <c r="BS28" s="4">
        <v>120.2</v>
      </c>
      <c r="BT28" s="4">
        <v>106.5</v>
      </c>
      <c r="BU28" s="11">
        <v>19</v>
      </c>
      <c r="BV28" s="11">
        <v>19</v>
      </c>
      <c r="BW28" s="11">
        <v>21</v>
      </c>
      <c r="BX28" s="11">
        <v>19</v>
      </c>
      <c r="BY28" s="11">
        <v>25</v>
      </c>
      <c r="BZ28" s="11">
        <v>23</v>
      </c>
      <c r="CA28" s="11">
        <v>28</v>
      </c>
      <c r="CB28" s="11">
        <v>12</v>
      </c>
      <c r="CC28" s="11">
        <v>38</v>
      </c>
      <c r="CD28" s="11">
        <v>40</v>
      </c>
      <c r="CE28" s="11">
        <v>48</v>
      </c>
      <c r="CF28" s="11">
        <v>40</v>
      </c>
      <c r="CG28" s="4">
        <v>3.1</v>
      </c>
      <c r="CH28" s="13">
        <v>1.38</v>
      </c>
      <c r="CI28" s="4">
        <v>6.5</v>
      </c>
      <c r="CJ28" s="4">
        <v>-6.5</v>
      </c>
      <c r="CK28" s="4">
        <v>169.5</v>
      </c>
      <c r="CL28" s="2" t="s">
        <v>551</v>
      </c>
      <c r="CM28" s="4" t="str">
        <f>VLOOKUP(nantere[[#This Row],[Away_team]],all[[Full name]:[Abbr]],3,FALSE)</f>
        <v>CHO</v>
      </c>
      <c r="CN28" s="4">
        <f>IF(OR(nantere[[#This Row],[Result]]="w",nantere[[#This Row],[Result]]="dw"),nantere[[#This Row],[win]]-1,-1)</f>
        <v>-1</v>
      </c>
      <c r="CO28" s="4">
        <f>IF(OR(nantere[[#This Row],[Result]]="L",nantere[[#This Row],[Result]]="dl"),nantere[[#This Row],[lose]]-1,-1)</f>
        <v>0.37999999999999989</v>
      </c>
      <c r="CP28" s="4">
        <f>IF(OR((nantere[[#This Row],[Home_scored]]+nantere[[#This Row],[Away_scored]])&gt;nantere[[#This Row],[total]],OR(nantere[[#This Row],[Result]]="dw",nantere[[#This Row],[Result]]="dl")),1,0)</f>
        <v>0</v>
      </c>
      <c r="CQ28" s="4">
        <f>ABS((nantere[[#This Row],[Home_scored]]+nantere[[#This Row],[Away_scored]])-nantere[[#This Row],[total]])+0.5</f>
        <v>4</v>
      </c>
    </row>
    <row r="29" spans="1:95" x14ac:dyDescent="0.25">
      <c r="A29" s="2" t="s">
        <v>349</v>
      </c>
      <c r="B29" s="2" t="s">
        <v>336</v>
      </c>
      <c r="C29" s="3" t="s">
        <v>73</v>
      </c>
      <c r="D29" s="3">
        <v>45766</v>
      </c>
      <c r="E29" s="2" t="s">
        <v>74</v>
      </c>
      <c r="F29" s="2" t="s">
        <v>323</v>
      </c>
      <c r="G29" s="2" t="s">
        <v>139</v>
      </c>
      <c r="H29" s="11">
        <v>63</v>
      </c>
      <c r="I29" s="11">
        <v>76</v>
      </c>
      <c r="J29" s="11">
        <v>24</v>
      </c>
      <c r="K29" s="11">
        <v>67</v>
      </c>
      <c r="L29" s="12">
        <v>0.35820000000000002</v>
      </c>
      <c r="M29" s="11">
        <v>15</v>
      </c>
      <c r="N29" s="11">
        <v>39</v>
      </c>
      <c r="O29" s="12">
        <v>0.3846</v>
      </c>
      <c r="P29" s="11">
        <v>9</v>
      </c>
      <c r="Q29" s="11">
        <v>28</v>
      </c>
      <c r="R29" s="12">
        <v>0.32140000000000002</v>
      </c>
      <c r="S29" s="11">
        <v>6</v>
      </c>
      <c r="T29" s="11">
        <v>8</v>
      </c>
      <c r="U29" s="12">
        <v>0.75</v>
      </c>
      <c r="V29" s="11">
        <v>20</v>
      </c>
      <c r="W29" s="11">
        <v>27</v>
      </c>
      <c r="X29" s="11">
        <v>47</v>
      </c>
      <c r="Y29" s="11">
        <v>18</v>
      </c>
      <c r="Z29" s="11">
        <v>9</v>
      </c>
      <c r="AA29" s="11">
        <v>3</v>
      </c>
      <c r="AB29" s="11">
        <v>20</v>
      </c>
      <c r="AC29" s="11">
        <v>24</v>
      </c>
      <c r="AD29" s="11">
        <v>24</v>
      </c>
      <c r="AE29" s="11">
        <v>54</v>
      </c>
      <c r="AF29" s="12">
        <v>0.44440000000000002</v>
      </c>
      <c r="AG29" s="11">
        <v>15</v>
      </c>
      <c r="AH29" s="11">
        <v>27</v>
      </c>
      <c r="AI29" s="12">
        <v>0.55559999999999998</v>
      </c>
      <c r="AJ29" s="11">
        <v>9</v>
      </c>
      <c r="AK29" s="11">
        <v>27</v>
      </c>
      <c r="AL29" s="12">
        <v>0.33329999999999999</v>
      </c>
      <c r="AM29" s="11">
        <v>19</v>
      </c>
      <c r="AN29" s="11">
        <v>26</v>
      </c>
      <c r="AO29" s="12">
        <v>0.73080000000000001</v>
      </c>
      <c r="AP29" s="11">
        <v>8</v>
      </c>
      <c r="AQ29" s="11">
        <v>23</v>
      </c>
      <c r="AR29" s="11">
        <v>31</v>
      </c>
      <c r="AS29" s="11">
        <v>19</v>
      </c>
      <c r="AT29" s="11">
        <v>9</v>
      </c>
      <c r="AU29" s="11">
        <v>5</v>
      </c>
      <c r="AV29" s="11">
        <v>13</v>
      </c>
      <c r="AW29" s="11">
        <v>17</v>
      </c>
      <c r="AX29" s="12">
        <v>0.44669999999999999</v>
      </c>
      <c r="AY29" s="12">
        <v>0.4254</v>
      </c>
      <c r="AZ29" s="12">
        <v>0.46510000000000001</v>
      </c>
      <c r="BA29" s="12">
        <v>0.77139999999999997</v>
      </c>
      <c r="BB29" s="12">
        <v>0.60260000000000002</v>
      </c>
      <c r="BC29" s="4">
        <v>70.620999999999995</v>
      </c>
      <c r="BD29" s="12">
        <v>0.75</v>
      </c>
      <c r="BE29" s="12">
        <v>8.9599999999999999E-2</v>
      </c>
      <c r="BF29" s="12">
        <v>0.22090000000000001</v>
      </c>
      <c r="BG29" s="4">
        <v>90.2</v>
      </c>
      <c r="BH29" s="4">
        <v>108.8</v>
      </c>
      <c r="BI29" s="4">
        <v>69.868499999999997</v>
      </c>
      <c r="BJ29" s="12">
        <v>0.58069999999999999</v>
      </c>
      <c r="BK29" s="12">
        <v>0.52780000000000005</v>
      </c>
      <c r="BL29" s="12">
        <v>0.2286</v>
      </c>
      <c r="BM29" s="12">
        <v>0.53490000000000004</v>
      </c>
      <c r="BN29" s="12">
        <v>0.39739999999999998</v>
      </c>
      <c r="BO29" s="4">
        <v>69.116</v>
      </c>
      <c r="BP29" s="12">
        <v>0.79169999999999996</v>
      </c>
      <c r="BQ29" s="12">
        <v>0.35189999999999999</v>
      </c>
      <c r="BR29" s="12">
        <v>0.16569999999999999</v>
      </c>
      <c r="BS29" s="4">
        <v>108.8</v>
      </c>
      <c r="BT29" s="4">
        <v>90.2</v>
      </c>
      <c r="BU29" s="11">
        <v>23</v>
      </c>
      <c r="BV29" s="11">
        <v>16</v>
      </c>
      <c r="BW29" s="11">
        <v>14</v>
      </c>
      <c r="BX29" s="11">
        <v>10</v>
      </c>
      <c r="BY29" s="11">
        <v>18</v>
      </c>
      <c r="BZ29" s="11">
        <v>14</v>
      </c>
      <c r="CA29" s="11">
        <v>23</v>
      </c>
      <c r="CB29" s="11">
        <v>21</v>
      </c>
      <c r="CC29" s="11">
        <v>39</v>
      </c>
      <c r="CD29" s="11">
        <v>24</v>
      </c>
      <c r="CE29" s="11">
        <v>32</v>
      </c>
      <c r="CF29" s="11">
        <v>44</v>
      </c>
      <c r="CG29" s="4">
        <v>1.2</v>
      </c>
      <c r="CH29" s="13">
        <v>4.75</v>
      </c>
      <c r="CI29" s="4">
        <v>-10</v>
      </c>
      <c r="CJ29" s="4">
        <v>-10</v>
      </c>
      <c r="CK29" s="4">
        <v>162.5</v>
      </c>
      <c r="CL29" s="2" t="s">
        <v>558</v>
      </c>
      <c r="CM29" s="4" t="e">
        <f>VLOOKUP(nantere[[#This Row],[Away_team]],all[[Full name]:[Abbr]],3,FALSE)</f>
        <v>#N/A</v>
      </c>
      <c r="CN29" s="4">
        <f>IF(OR(nantere[[#This Row],[Result]]="w",nantere[[#This Row],[Result]]="dw"),nantere[[#This Row],[win]]-1,-1)</f>
        <v>-1</v>
      </c>
      <c r="CO29" s="4">
        <f>IF(OR(nantere[[#This Row],[Result]]="L",nantere[[#This Row],[Result]]="dl"),nantere[[#This Row],[lose]]-1,-1)</f>
        <v>3.75</v>
      </c>
      <c r="CP29" s="4">
        <f>IF(OR((nantere[[#This Row],[Home_scored]]+nantere[[#This Row],[Away_scored]])&gt;nantere[[#This Row],[total]],OR(nantere[[#This Row],[Result]]="dw",nantere[[#This Row],[Result]]="dl")),1,0)</f>
        <v>0</v>
      </c>
      <c r="CQ29" s="4">
        <f>ABS((nantere[[#This Row],[Home_scored]]+nantere[[#This Row],[Away_scored]])-nantere[[#This Row],[total]])+0.5</f>
        <v>24</v>
      </c>
    </row>
    <row r="30" spans="1:95" x14ac:dyDescent="0.25">
      <c r="A30" s="2" t="s">
        <v>349</v>
      </c>
      <c r="B30" s="2" t="s">
        <v>336</v>
      </c>
      <c r="C30" s="3" t="s">
        <v>73</v>
      </c>
      <c r="D30" s="3">
        <v>45774</v>
      </c>
      <c r="E30" s="2" t="s">
        <v>140</v>
      </c>
      <c r="F30" s="2" t="s">
        <v>305</v>
      </c>
      <c r="G30" s="2" t="s">
        <v>139</v>
      </c>
      <c r="H30" s="11">
        <v>84</v>
      </c>
      <c r="I30" s="11">
        <v>107</v>
      </c>
      <c r="J30" s="11">
        <v>33</v>
      </c>
      <c r="K30" s="11">
        <v>74</v>
      </c>
      <c r="L30" s="12">
        <v>0.44590000000000002</v>
      </c>
      <c r="M30" s="11">
        <v>25</v>
      </c>
      <c r="N30" s="11">
        <v>45</v>
      </c>
      <c r="O30" s="12">
        <v>0.55559999999999998</v>
      </c>
      <c r="P30" s="11">
        <v>8</v>
      </c>
      <c r="Q30" s="11">
        <v>29</v>
      </c>
      <c r="R30" s="12">
        <v>0.27589999999999998</v>
      </c>
      <c r="S30" s="11">
        <v>10</v>
      </c>
      <c r="T30" s="11">
        <v>12</v>
      </c>
      <c r="U30" s="12">
        <v>0.83330000000000004</v>
      </c>
      <c r="V30" s="11">
        <v>14</v>
      </c>
      <c r="W30" s="11">
        <v>20</v>
      </c>
      <c r="X30" s="11">
        <v>34</v>
      </c>
      <c r="Y30" s="11">
        <v>17</v>
      </c>
      <c r="Z30" s="11">
        <v>6</v>
      </c>
      <c r="AA30" s="11">
        <v>1</v>
      </c>
      <c r="AB30" s="11">
        <v>10</v>
      </c>
      <c r="AC30" s="11">
        <v>26</v>
      </c>
      <c r="AD30" s="11">
        <v>36</v>
      </c>
      <c r="AE30" s="11">
        <v>60</v>
      </c>
      <c r="AF30" s="12">
        <v>0.6</v>
      </c>
      <c r="AG30" s="11">
        <v>22</v>
      </c>
      <c r="AH30" s="11">
        <v>31</v>
      </c>
      <c r="AI30" s="12">
        <v>0.7097</v>
      </c>
      <c r="AJ30" s="11">
        <v>14</v>
      </c>
      <c r="AK30" s="11">
        <v>29</v>
      </c>
      <c r="AL30" s="12">
        <v>0.48280000000000001</v>
      </c>
      <c r="AM30" s="11">
        <v>21</v>
      </c>
      <c r="AN30" s="11">
        <v>25</v>
      </c>
      <c r="AO30" s="12">
        <v>0.84</v>
      </c>
      <c r="AP30" s="11">
        <v>7</v>
      </c>
      <c r="AQ30" s="11">
        <v>27</v>
      </c>
      <c r="AR30" s="11">
        <v>34</v>
      </c>
      <c r="AS30" s="11">
        <v>29</v>
      </c>
      <c r="AT30" s="11">
        <v>5</v>
      </c>
      <c r="AU30" s="11">
        <v>2</v>
      </c>
      <c r="AV30" s="11">
        <v>12</v>
      </c>
      <c r="AW30" s="11">
        <v>22</v>
      </c>
      <c r="AX30" s="12">
        <v>0.52980000000000005</v>
      </c>
      <c r="AY30" s="12">
        <v>0.5</v>
      </c>
      <c r="AZ30" s="12">
        <v>0.34150000000000003</v>
      </c>
      <c r="BA30" s="12">
        <v>0.74070000000000003</v>
      </c>
      <c r="BB30" s="12">
        <v>0.5</v>
      </c>
      <c r="BC30" s="4">
        <v>70.736000000000004</v>
      </c>
      <c r="BD30" s="12">
        <v>0.51519999999999999</v>
      </c>
      <c r="BE30" s="12">
        <v>0.1351</v>
      </c>
      <c r="BF30" s="12">
        <v>0.112</v>
      </c>
      <c r="BG30" s="4">
        <v>113.9</v>
      </c>
      <c r="BH30" s="4">
        <v>145.1</v>
      </c>
      <c r="BI30" s="4">
        <v>73.724500000000006</v>
      </c>
      <c r="BJ30" s="12">
        <v>0.75349999999999995</v>
      </c>
      <c r="BK30" s="12">
        <v>0.7167</v>
      </c>
      <c r="BL30" s="12">
        <v>0.25929999999999997</v>
      </c>
      <c r="BM30" s="12">
        <v>0.65849999999999997</v>
      </c>
      <c r="BN30" s="12">
        <v>0.5</v>
      </c>
      <c r="BO30" s="4">
        <v>76.712999999999994</v>
      </c>
      <c r="BP30" s="12">
        <v>0.80559999999999998</v>
      </c>
      <c r="BQ30" s="12">
        <v>0.35</v>
      </c>
      <c r="BR30" s="12">
        <v>0.14460000000000001</v>
      </c>
      <c r="BS30" s="4">
        <v>145.1</v>
      </c>
      <c r="BT30" s="4">
        <v>113.9</v>
      </c>
      <c r="BU30" s="11">
        <v>23</v>
      </c>
      <c r="BV30" s="11">
        <v>21</v>
      </c>
      <c r="BW30" s="11">
        <v>18</v>
      </c>
      <c r="BX30" s="11">
        <v>22</v>
      </c>
      <c r="BY30" s="11">
        <v>24</v>
      </c>
      <c r="BZ30" s="11">
        <v>24</v>
      </c>
      <c r="CA30" s="11">
        <v>28</v>
      </c>
      <c r="CB30" s="11">
        <v>31</v>
      </c>
      <c r="CC30" s="11">
        <v>44</v>
      </c>
      <c r="CD30" s="11">
        <v>40</v>
      </c>
      <c r="CE30" s="11">
        <v>48</v>
      </c>
      <c r="CF30" s="11">
        <v>59</v>
      </c>
      <c r="CG30" s="4">
        <v>2.8</v>
      </c>
      <c r="CH30" s="13">
        <v>1.45</v>
      </c>
      <c r="CI30" s="4">
        <v>5.5</v>
      </c>
      <c r="CJ30" s="4">
        <v>-5.5</v>
      </c>
      <c r="CK30" s="4">
        <v>168.5</v>
      </c>
      <c r="CL30" s="2" t="s">
        <v>564</v>
      </c>
      <c r="CM30" s="4" t="str">
        <f>VLOOKUP(nantere[[#This Row],[Away_team]],all[[Full name]:[Abbr]],3,FALSE)</f>
        <v>CHA</v>
      </c>
      <c r="CN30" s="4">
        <f>IF(OR(nantere[[#This Row],[Result]]="w",nantere[[#This Row],[Result]]="dw"),nantere[[#This Row],[win]]-1,-1)</f>
        <v>-1</v>
      </c>
      <c r="CO30" s="4">
        <f>IF(OR(nantere[[#This Row],[Result]]="L",nantere[[#This Row],[Result]]="dl"),nantere[[#This Row],[lose]]-1,-1)</f>
        <v>0.44999999999999996</v>
      </c>
      <c r="CP30" s="4">
        <f>IF(OR((nantere[[#This Row],[Home_scored]]+nantere[[#This Row],[Away_scored]])&gt;nantere[[#This Row],[total]],OR(nantere[[#This Row],[Result]]="dw",nantere[[#This Row],[Result]]="dl")),1,0)</f>
        <v>1</v>
      </c>
      <c r="CQ30" s="4">
        <f>ABS((nantere[[#This Row],[Home_scored]]+nantere[[#This Row],[Away_scored]])-nantere[[#This Row],[total]])+0.5</f>
        <v>23</v>
      </c>
    </row>
    <row r="31" spans="1:95" x14ac:dyDescent="0.25">
      <c r="A31" s="2" t="s">
        <v>349</v>
      </c>
      <c r="B31" s="2" t="s">
        <v>336</v>
      </c>
      <c r="C31" s="3" t="s">
        <v>73</v>
      </c>
      <c r="D31" s="3">
        <v>45779</v>
      </c>
      <c r="E31" s="2" t="s">
        <v>140</v>
      </c>
      <c r="F31" s="2" t="s">
        <v>333</v>
      </c>
      <c r="G31" s="2" t="s">
        <v>139</v>
      </c>
      <c r="H31" s="11">
        <v>81</v>
      </c>
      <c r="I31" s="11">
        <v>96</v>
      </c>
      <c r="J31" s="11">
        <v>31</v>
      </c>
      <c r="K31" s="11">
        <v>71</v>
      </c>
      <c r="L31" s="12">
        <v>0.43659999999999999</v>
      </c>
      <c r="M31" s="11">
        <v>25</v>
      </c>
      <c r="N31" s="11">
        <v>45</v>
      </c>
      <c r="O31" s="12">
        <v>0.55559999999999998</v>
      </c>
      <c r="P31" s="11">
        <v>6</v>
      </c>
      <c r="Q31" s="11">
        <v>26</v>
      </c>
      <c r="R31" s="12">
        <v>0.23080000000000001</v>
      </c>
      <c r="S31" s="11">
        <v>13</v>
      </c>
      <c r="T31" s="11">
        <v>17</v>
      </c>
      <c r="U31" s="12">
        <v>0.76470000000000005</v>
      </c>
      <c r="V31" s="11">
        <v>15</v>
      </c>
      <c r="W31" s="11">
        <v>23</v>
      </c>
      <c r="X31" s="11">
        <v>38</v>
      </c>
      <c r="Y31" s="11">
        <v>24</v>
      </c>
      <c r="Z31" s="11">
        <v>7</v>
      </c>
      <c r="AA31" s="11">
        <v>1</v>
      </c>
      <c r="AB31" s="11">
        <v>15</v>
      </c>
      <c r="AC31" s="11">
        <v>20</v>
      </c>
      <c r="AD31" s="11">
        <v>35</v>
      </c>
      <c r="AE31" s="11">
        <v>63</v>
      </c>
      <c r="AF31" s="12">
        <v>0.55559999999999998</v>
      </c>
      <c r="AG31" s="11">
        <v>24</v>
      </c>
      <c r="AH31" s="11">
        <v>35</v>
      </c>
      <c r="AI31" s="12">
        <v>0.68569999999999998</v>
      </c>
      <c r="AJ31" s="11">
        <v>11</v>
      </c>
      <c r="AK31" s="11">
        <v>28</v>
      </c>
      <c r="AL31" s="12">
        <v>0.39290000000000003</v>
      </c>
      <c r="AM31" s="11">
        <v>15</v>
      </c>
      <c r="AN31" s="11">
        <v>26</v>
      </c>
      <c r="AO31" s="12">
        <v>0.57689999999999997</v>
      </c>
      <c r="AP31" s="11">
        <v>8</v>
      </c>
      <c r="AQ31" s="11">
        <v>26</v>
      </c>
      <c r="AR31" s="11">
        <v>34</v>
      </c>
      <c r="AS31" s="11">
        <v>21</v>
      </c>
      <c r="AT31" s="11">
        <v>12</v>
      </c>
      <c r="AU31" s="11">
        <v>4</v>
      </c>
      <c r="AV31" s="11">
        <v>13</v>
      </c>
      <c r="AW31" s="11">
        <v>17</v>
      </c>
      <c r="AX31" s="12">
        <v>0.5161</v>
      </c>
      <c r="AY31" s="12">
        <v>0.47889999999999999</v>
      </c>
      <c r="AZ31" s="12">
        <v>0.3659</v>
      </c>
      <c r="BA31" s="12">
        <v>0.7419</v>
      </c>
      <c r="BB31" s="12">
        <v>0.52780000000000005</v>
      </c>
      <c r="BC31" s="4">
        <v>75.905000000000001</v>
      </c>
      <c r="BD31" s="12">
        <v>0.7742</v>
      </c>
      <c r="BE31" s="12">
        <v>0.18310000000000001</v>
      </c>
      <c r="BF31" s="12">
        <v>0.1605</v>
      </c>
      <c r="BG31" s="4">
        <v>104.3</v>
      </c>
      <c r="BH31" s="4">
        <v>123.7</v>
      </c>
      <c r="BI31" s="4">
        <v>77.628</v>
      </c>
      <c r="BJ31" s="12">
        <v>0.64480000000000004</v>
      </c>
      <c r="BK31" s="12">
        <v>0.64290000000000003</v>
      </c>
      <c r="BL31" s="12">
        <v>0.2581</v>
      </c>
      <c r="BM31" s="12">
        <v>0.6341</v>
      </c>
      <c r="BN31" s="12">
        <v>0.47220000000000001</v>
      </c>
      <c r="BO31" s="4">
        <v>79.350999999999999</v>
      </c>
      <c r="BP31" s="12">
        <v>0.6</v>
      </c>
      <c r="BQ31" s="12">
        <v>0.23810000000000001</v>
      </c>
      <c r="BR31" s="12">
        <v>0.1487</v>
      </c>
      <c r="BS31" s="4">
        <v>123.7</v>
      </c>
      <c r="BT31" s="4">
        <v>104.3</v>
      </c>
      <c r="BU31" s="11">
        <v>27</v>
      </c>
      <c r="BV31" s="11">
        <v>20</v>
      </c>
      <c r="BW31" s="11">
        <v>22</v>
      </c>
      <c r="BX31" s="11">
        <v>12</v>
      </c>
      <c r="BY31" s="11">
        <v>28</v>
      </c>
      <c r="BZ31" s="11">
        <v>26</v>
      </c>
      <c r="CA31" s="11">
        <v>25</v>
      </c>
      <c r="CB31" s="11">
        <v>17</v>
      </c>
      <c r="CC31" s="11">
        <v>47</v>
      </c>
      <c r="CD31" s="11">
        <v>34</v>
      </c>
      <c r="CE31" s="11">
        <v>54</v>
      </c>
      <c r="CF31" s="11">
        <v>42</v>
      </c>
      <c r="CG31" s="4">
        <v>2.95</v>
      </c>
      <c r="CH31" s="13">
        <v>1.41</v>
      </c>
      <c r="CI31" s="4">
        <v>-6</v>
      </c>
      <c r="CJ31" s="4">
        <v>-6</v>
      </c>
      <c r="CK31" s="4">
        <v>170.5</v>
      </c>
      <c r="CL31" s="2" t="s">
        <v>569</v>
      </c>
      <c r="CM31" s="4" t="str">
        <f>VLOOKUP(nantere[[#This Row],[Away_team]],all[[Full name]:[Abbr]],3,FALSE)</f>
        <v>NCY</v>
      </c>
      <c r="CN31" s="4">
        <f>IF(OR(nantere[[#This Row],[Result]]="w",nantere[[#This Row],[Result]]="dw"),nantere[[#This Row],[win]]-1,-1)</f>
        <v>-1</v>
      </c>
      <c r="CO31" s="4">
        <f>IF(OR(nantere[[#This Row],[Result]]="L",nantere[[#This Row],[Result]]="dl"),nantere[[#This Row],[lose]]-1,-1)</f>
        <v>0.40999999999999992</v>
      </c>
      <c r="CP31" s="4">
        <f>IF(OR((nantere[[#This Row],[Home_scored]]+nantere[[#This Row],[Away_scored]])&gt;nantere[[#This Row],[total]],OR(nantere[[#This Row],[Result]]="dw",nantere[[#This Row],[Result]]="dl")),1,0)</f>
        <v>1</v>
      </c>
      <c r="CQ31" s="4">
        <f>ABS((nantere[[#This Row],[Home_scored]]+nantere[[#This Row],[Away_scored]])-nantere[[#This Row],[total]])+0.5</f>
        <v>7</v>
      </c>
    </row>
    <row r="32" spans="1:95" x14ac:dyDescent="0.25">
      <c r="A32" s="2" t="s">
        <v>349</v>
      </c>
      <c r="B32" s="2" t="s">
        <v>336</v>
      </c>
      <c r="C32" s="28" t="s">
        <v>73</v>
      </c>
      <c r="D32" s="28">
        <v>45788</v>
      </c>
      <c r="E32" s="2" t="s">
        <v>74</v>
      </c>
      <c r="F32" s="2" t="s">
        <v>345</v>
      </c>
      <c r="G32" s="2" t="s">
        <v>75</v>
      </c>
      <c r="H32" s="11">
        <v>76</v>
      </c>
      <c r="I32" s="11">
        <v>75</v>
      </c>
      <c r="J32" s="11">
        <v>28</v>
      </c>
      <c r="K32" s="11">
        <v>63</v>
      </c>
      <c r="L32" s="12">
        <v>0.44440000000000002</v>
      </c>
      <c r="M32" s="11">
        <v>22</v>
      </c>
      <c r="N32" s="11">
        <v>43</v>
      </c>
      <c r="O32" s="12">
        <v>0.51160000000000005</v>
      </c>
      <c r="P32" s="11">
        <v>6</v>
      </c>
      <c r="Q32" s="11">
        <v>20</v>
      </c>
      <c r="R32" s="12">
        <v>0.3</v>
      </c>
      <c r="S32" s="11">
        <v>14</v>
      </c>
      <c r="T32" s="11">
        <v>20</v>
      </c>
      <c r="U32" s="12">
        <v>0.7</v>
      </c>
      <c r="V32" s="11">
        <v>13</v>
      </c>
      <c r="W32" s="11">
        <v>13</v>
      </c>
      <c r="X32" s="11">
        <v>26</v>
      </c>
      <c r="Y32" s="11">
        <v>18</v>
      </c>
      <c r="Z32" s="11">
        <v>6</v>
      </c>
      <c r="AA32" s="11">
        <v>2</v>
      </c>
      <c r="AB32" s="11">
        <v>10</v>
      </c>
      <c r="AC32" s="11">
        <v>19</v>
      </c>
      <c r="AD32" s="11">
        <v>29</v>
      </c>
      <c r="AE32" s="11">
        <v>52</v>
      </c>
      <c r="AF32" s="12">
        <v>0.55769999999999997</v>
      </c>
      <c r="AG32" s="11">
        <v>20</v>
      </c>
      <c r="AH32" s="11">
        <v>28</v>
      </c>
      <c r="AI32" s="12">
        <v>0.71430000000000005</v>
      </c>
      <c r="AJ32" s="11">
        <v>9</v>
      </c>
      <c r="AK32" s="11">
        <v>24</v>
      </c>
      <c r="AL32" s="12">
        <v>0.375</v>
      </c>
      <c r="AM32" s="11">
        <v>8</v>
      </c>
      <c r="AN32" s="11">
        <v>14</v>
      </c>
      <c r="AO32" s="12">
        <v>0.57140000000000002</v>
      </c>
      <c r="AP32" s="11">
        <v>11</v>
      </c>
      <c r="AQ32" s="11">
        <v>24</v>
      </c>
      <c r="AR32" s="11">
        <v>35</v>
      </c>
      <c r="AS32" s="11">
        <v>26</v>
      </c>
      <c r="AT32" s="11">
        <v>5</v>
      </c>
      <c r="AU32" s="11">
        <v>3</v>
      </c>
      <c r="AV32" s="11">
        <v>19</v>
      </c>
      <c r="AW32" s="11">
        <v>19</v>
      </c>
      <c r="AX32" s="12">
        <v>0.5292</v>
      </c>
      <c r="AY32" s="12">
        <v>0.49209999999999998</v>
      </c>
      <c r="AZ32" s="12">
        <v>0.35139999999999999</v>
      </c>
      <c r="BA32" s="12">
        <v>0.54169999999999996</v>
      </c>
      <c r="BB32" s="12">
        <v>0.42620000000000002</v>
      </c>
      <c r="BC32" s="4">
        <v>62.274999999999999</v>
      </c>
      <c r="BD32" s="12">
        <v>0.64290000000000003</v>
      </c>
      <c r="BE32" s="12">
        <v>0.22220000000000001</v>
      </c>
      <c r="BF32" s="12">
        <v>0.1222</v>
      </c>
      <c r="BG32" s="4">
        <v>115.9</v>
      </c>
      <c r="BH32" s="4">
        <v>114.4</v>
      </c>
      <c r="BI32" s="4">
        <v>65.569999999999993</v>
      </c>
      <c r="BJ32" s="12">
        <v>0.64480000000000004</v>
      </c>
      <c r="BK32" s="12">
        <v>0.64419999999999999</v>
      </c>
      <c r="BL32" s="12">
        <v>0.45829999999999999</v>
      </c>
      <c r="BM32" s="12">
        <v>0.64859999999999995</v>
      </c>
      <c r="BN32" s="12">
        <v>0.57379999999999998</v>
      </c>
      <c r="BO32" s="4">
        <v>68.864999999999995</v>
      </c>
      <c r="BP32" s="12">
        <v>0.89659999999999995</v>
      </c>
      <c r="BQ32" s="12">
        <v>0.15379999999999999</v>
      </c>
      <c r="BR32" s="12">
        <v>0.2462</v>
      </c>
      <c r="BS32" s="4">
        <v>114.4</v>
      </c>
      <c r="BT32" s="4">
        <v>115.9</v>
      </c>
      <c r="BU32" s="11">
        <v>17</v>
      </c>
      <c r="BV32" s="11">
        <v>22</v>
      </c>
      <c r="BW32" s="11">
        <v>18</v>
      </c>
      <c r="BX32" s="11">
        <v>19</v>
      </c>
      <c r="BY32" s="11">
        <v>19</v>
      </c>
      <c r="BZ32" s="11">
        <v>25</v>
      </c>
      <c r="CA32" s="11">
        <v>21</v>
      </c>
      <c r="CB32" s="11">
        <v>10</v>
      </c>
      <c r="CC32" s="11">
        <v>39</v>
      </c>
      <c r="CD32" s="11">
        <v>37</v>
      </c>
      <c r="CE32" s="11">
        <v>44</v>
      </c>
      <c r="CF32" s="11">
        <v>31</v>
      </c>
      <c r="CG32" s="4">
        <v>1.71</v>
      </c>
      <c r="CH32" s="13">
        <v>2.2000000000000002</v>
      </c>
      <c r="CI32" s="4">
        <v>-2.5</v>
      </c>
      <c r="CJ32" s="4">
        <v>2.5</v>
      </c>
      <c r="CK32" s="4">
        <v>168.5</v>
      </c>
      <c r="CL32" s="2" t="s">
        <v>581</v>
      </c>
      <c r="CM32" s="4" t="str">
        <f>VLOOKUP(nantere[[#This Row],[Away_team]],all[[Full name]:[Abbr]],3,FALSE)</f>
        <v>STR</v>
      </c>
      <c r="CN32" s="4">
        <f>IF(OR(nantere[[#This Row],[Result]]="w",nantere[[#This Row],[Result]]="dw"),nantere[[#This Row],[win]]-1,-1)</f>
        <v>0.71</v>
      </c>
      <c r="CO32" s="4">
        <f>IF(OR(nantere[[#This Row],[Result]]="L",nantere[[#This Row],[Result]]="dl"),nantere[[#This Row],[lose]]-1,-1)</f>
        <v>-1</v>
      </c>
      <c r="CP32" s="4">
        <f>IF(OR((nantere[[#This Row],[Home_scored]]+nantere[[#This Row],[Away_scored]])&gt;nantere[[#This Row],[total]],OR(nantere[[#This Row],[Result]]="dw",nantere[[#This Row],[Result]]="dl")),1,0)</f>
        <v>0</v>
      </c>
      <c r="CQ32" s="4">
        <f>ABS((nantere[[#This Row],[Home_scored]]+nantere[[#This Row],[Away_scored]])-nantere[[#This Row],[total]])+0.5</f>
        <v>18</v>
      </c>
    </row>
    <row r="33" spans="1:95" x14ac:dyDescent="0.25">
      <c r="A33" s="2" t="s">
        <v>349</v>
      </c>
      <c r="B33" s="2" t="s">
        <v>336</v>
      </c>
      <c r="C33" s="28" t="s">
        <v>73</v>
      </c>
      <c r="D33" s="28">
        <v>45794</v>
      </c>
      <c r="E33" s="2" t="s">
        <v>140</v>
      </c>
      <c r="F33" s="2" t="s">
        <v>320</v>
      </c>
      <c r="G33" s="2" t="s">
        <v>139</v>
      </c>
      <c r="H33" s="11">
        <v>70</v>
      </c>
      <c r="I33" s="11">
        <v>90</v>
      </c>
      <c r="J33" s="11">
        <v>23</v>
      </c>
      <c r="K33" s="11">
        <v>52</v>
      </c>
      <c r="L33" s="12">
        <v>0.44230000000000003</v>
      </c>
      <c r="M33" s="11">
        <v>18</v>
      </c>
      <c r="N33" s="11">
        <v>33</v>
      </c>
      <c r="O33" s="12">
        <v>0.54549999999999998</v>
      </c>
      <c r="P33" s="11">
        <v>5</v>
      </c>
      <c r="Q33" s="11">
        <v>19</v>
      </c>
      <c r="R33" s="12">
        <v>0.26319999999999999</v>
      </c>
      <c r="S33" s="11">
        <v>19</v>
      </c>
      <c r="T33" s="11">
        <v>23</v>
      </c>
      <c r="U33" s="12">
        <v>0.82609999999999995</v>
      </c>
      <c r="V33" s="11">
        <v>7</v>
      </c>
      <c r="W33" s="11">
        <v>19</v>
      </c>
      <c r="X33" s="11">
        <v>26</v>
      </c>
      <c r="Y33" s="11">
        <v>15</v>
      </c>
      <c r="Z33" s="11">
        <v>6</v>
      </c>
      <c r="AA33" s="11">
        <v>2</v>
      </c>
      <c r="AB33" s="11">
        <v>15</v>
      </c>
      <c r="AC33" s="11">
        <v>19</v>
      </c>
      <c r="AD33" s="11">
        <v>30</v>
      </c>
      <c r="AE33" s="11">
        <v>61</v>
      </c>
      <c r="AF33" s="12">
        <v>0.49180000000000001</v>
      </c>
      <c r="AG33" s="11">
        <v>21</v>
      </c>
      <c r="AH33" s="11">
        <v>35</v>
      </c>
      <c r="AI33" s="12">
        <v>0.6</v>
      </c>
      <c r="AJ33" s="11">
        <v>9</v>
      </c>
      <c r="AK33" s="11">
        <v>26</v>
      </c>
      <c r="AL33" s="12">
        <v>0.34620000000000001</v>
      </c>
      <c r="AM33" s="11">
        <v>21</v>
      </c>
      <c r="AN33" s="11">
        <v>24</v>
      </c>
      <c r="AO33" s="12">
        <v>0.875</v>
      </c>
      <c r="AP33" s="11">
        <v>12</v>
      </c>
      <c r="AQ33" s="11">
        <v>23</v>
      </c>
      <c r="AR33" s="11">
        <v>35</v>
      </c>
      <c r="AS33" s="11">
        <v>22</v>
      </c>
      <c r="AT33" s="11">
        <v>10</v>
      </c>
      <c r="AU33" s="11">
        <v>2</v>
      </c>
      <c r="AV33" s="11">
        <v>9</v>
      </c>
      <c r="AW33" s="11">
        <v>22</v>
      </c>
      <c r="AX33" s="12">
        <v>0.56340000000000001</v>
      </c>
      <c r="AY33" s="12">
        <v>0.4904</v>
      </c>
      <c r="AZ33" s="12">
        <v>0.23330000000000001</v>
      </c>
      <c r="BA33" s="12">
        <v>0.6129</v>
      </c>
      <c r="BB33" s="12">
        <v>0.42620000000000002</v>
      </c>
      <c r="BC33" s="4">
        <v>67.846000000000004</v>
      </c>
      <c r="BD33" s="12">
        <v>0.6522</v>
      </c>
      <c r="BE33" s="12">
        <v>0.3654</v>
      </c>
      <c r="BF33" s="12">
        <v>0.19450000000000001</v>
      </c>
      <c r="BG33" s="4">
        <v>102.9</v>
      </c>
      <c r="BH33" s="4">
        <v>132.30000000000001</v>
      </c>
      <c r="BI33" s="4">
        <v>68.036500000000004</v>
      </c>
      <c r="BJ33" s="12">
        <v>0.62880000000000003</v>
      </c>
      <c r="BK33" s="12">
        <v>0.56559999999999999</v>
      </c>
      <c r="BL33" s="12">
        <v>0.3871</v>
      </c>
      <c r="BM33" s="12">
        <v>0.76670000000000005</v>
      </c>
      <c r="BN33" s="12">
        <v>0.57379999999999998</v>
      </c>
      <c r="BO33" s="4">
        <v>68.227000000000004</v>
      </c>
      <c r="BP33" s="12">
        <v>0.73329999999999995</v>
      </c>
      <c r="BQ33" s="12">
        <v>0.34429999999999999</v>
      </c>
      <c r="BR33" s="12">
        <v>0.11169999999999999</v>
      </c>
      <c r="BS33" s="4">
        <v>132.30000000000001</v>
      </c>
      <c r="BT33" s="4">
        <v>102.9</v>
      </c>
      <c r="BU33" s="11">
        <v>26</v>
      </c>
      <c r="BV33" s="11">
        <v>11</v>
      </c>
      <c r="BW33" s="11">
        <v>13</v>
      </c>
      <c r="BX33" s="11">
        <v>20</v>
      </c>
      <c r="BY33" s="11">
        <v>25</v>
      </c>
      <c r="BZ33" s="11">
        <v>27</v>
      </c>
      <c r="CA33" s="11">
        <v>18</v>
      </c>
      <c r="CB33" s="11">
        <v>20</v>
      </c>
      <c r="CC33" s="11">
        <v>37</v>
      </c>
      <c r="CD33" s="11">
        <v>33</v>
      </c>
      <c r="CE33" s="11">
        <v>52</v>
      </c>
      <c r="CF33" s="11">
        <v>38</v>
      </c>
      <c r="CG33" s="4">
        <v>1.8</v>
      </c>
      <c r="CH33" s="13">
        <v>2.0499999999999998</v>
      </c>
      <c r="CI33" s="4">
        <v>-1.5</v>
      </c>
      <c r="CJ33" s="4">
        <v>1.5</v>
      </c>
      <c r="CK33" s="4">
        <v>162.5</v>
      </c>
      <c r="CL33" s="2" t="s">
        <v>589</v>
      </c>
      <c r="CM33" s="4" t="str">
        <f>VLOOKUP(nantere[[#This Row],[Away_team]],all[[Full name]:[Abbr]],3,FALSE)</f>
        <v>POR</v>
      </c>
      <c r="CN33" s="4">
        <f>IF(OR(nantere[[#This Row],[Result]]="w",nantere[[#This Row],[Result]]="dw"),nantere[[#This Row],[win]]-1,-1)</f>
        <v>-1</v>
      </c>
      <c r="CO33" s="4">
        <f>IF(OR(nantere[[#This Row],[Result]]="L",nantere[[#This Row],[Result]]="dl"),nantere[[#This Row],[lose]]-1,-1)</f>
        <v>1.0499999999999998</v>
      </c>
      <c r="CP33" s="4">
        <f>IF(OR((nantere[[#This Row],[Home_scored]]+nantere[[#This Row],[Away_scored]])&gt;nantere[[#This Row],[total]],OR(nantere[[#This Row],[Result]]="dw",nantere[[#This Row],[Result]]="dl")),1,0)</f>
        <v>0</v>
      </c>
      <c r="CQ33" s="4">
        <f>ABS((nantere[[#This Row],[Home_scored]]+nantere[[#This Row],[Away_scored]])-nantere[[#This Row],[total]])+0.5</f>
        <v>3</v>
      </c>
    </row>
  </sheetData>
  <conditionalFormatting sqref="A4:A33">
    <cfRule type="expression" dxfId="343" priority="1">
      <formula>SUMPRODUCT(--ISERROR(B4:CL4))&gt;0</formula>
    </cfRule>
  </conditionalFormatting>
  <conditionalFormatting sqref="B4:B33">
    <cfRule type="uniqueValues" dxfId="342" priority="488"/>
  </conditionalFormatting>
  <conditionalFormatting sqref="D4:D33">
    <cfRule type="duplicateValues" dxfId="341" priority="489"/>
  </conditionalFormatting>
  <conditionalFormatting sqref="H4:H33">
    <cfRule type="expression" dxfId="340" priority="3">
      <formula>H4=BU4+BV4+BW4+BX4</formula>
    </cfRule>
  </conditionalFormatting>
  <conditionalFormatting sqref="I4:I33">
    <cfRule type="expression" dxfId="339" priority="2">
      <formula>I4=BY4+BZ4+CA4+CB4</formula>
    </cfRule>
  </conditionalFormatting>
  <hyperlinks>
    <hyperlink ref="A1" location="all_data!A1" display="ratings" xr:uid="{4B2F588B-6580-4DF2-A31B-E5B1840FC12B}"/>
  </hyperlink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24CBE-AA75-4A1B-B118-460B170B3D5F}">
  <sheetPr codeName="Sheet17"/>
  <dimension ref="A1:CQ44"/>
  <sheetViews>
    <sheetView topLeftCell="A13" zoomScale="80" zoomScaleNormal="80" workbookViewId="0">
      <selection activeCell="A45" sqref="A4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349</v>
      </c>
      <c r="B4" s="2" t="s">
        <v>339</v>
      </c>
      <c r="C4" s="3" t="s">
        <v>73</v>
      </c>
      <c r="D4" s="3">
        <v>45557</v>
      </c>
      <c r="E4" s="2" t="s">
        <v>140</v>
      </c>
      <c r="F4" s="2" t="s">
        <v>314</v>
      </c>
      <c r="G4" s="2" t="s">
        <v>139</v>
      </c>
      <c r="H4" s="2">
        <v>85</v>
      </c>
      <c r="I4" s="2">
        <v>89</v>
      </c>
      <c r="J4" s="2">
        <v>30</v>
      </c>
      <c r="K4" s="2">
        <v>66</v>
      </c>
      <c r="L4" s="2">
        <v>0.45450000000000002</v>
      </c>
      <c r="M4" s="2">
        <v>17</v>
      </c>
      <c r="N4" s="2">
        <v>33</v>
      </c>
      <c r="O4" s="2">
        <v>0.51519999999999999</v>
      </c>
      <c r="P4" s="2">
        <v>13</v>
      </c>
      <c r="Q4" s="2">
        <v>33</v>
      </c>
      <c r="R4" s="2">
        <v>0.39389999999999997</v>
      </c>
      <c r="S4" s="2">
        <v>12</v>
      </c>
      <c r="T4" s="2">
        <v>19</v>
      </c>
      <c r="U4" s="2">
        <v>0.63160000000000005</v>
      </c>
      <c r="V4" s="2">
        <v>9</v>
      </c>
      <c r="W4" s="2">
        <v>27</v>
      </c>
      <c r="X4" s="2">
        <v>36</v>
      </c>
      <c r="Y4" s="2">
        <v>14</v>
      </c>
      <c r="Z4" s="2">
        <v>3</v>
      </c>
      <c r="AA4" s="2">
        <v>3</v>
      </c>
      <c r="AB4" s="2">
        <v>16</v>
      </c>
      <c r="AC4" s="2">
        <v>25</v>
      </c>
      <c r="AD4" s="2">
        <v>27</v>
      </c>
      <c r="AE4" s="2">
        <v>65</v>
      </c>
      <c r="AF4" s="2">
        <v>0.41539999999999999</v>
      </c>
      <c r="AG4" s="2">
        <v>18</v>
      </c>
      <c r="AH4" s="2">
        <v>40</v>
      </c>
      <c r="AI4" s="2">
        <v>0.45</v>
      </c>
      <c r="AJ4" s="2">
        <v>9</v>
      </c>
      <c r="AK4" s="2">
        <v>25</v>
      </c>
      <c r="AL4" s="2">
        <v>0.36</v>
      </c>
      <c r="AM4" s="2">
        <v>26</v>
      </c>
      <c r="AN4" s="2">
        <v>29</v>
      </c>
      <c r="AO4" s="2">
        <v>0.89659999999999995</v>
      </c>
      <c r="AP4" s="2">
        <v>10</v>
      </c>
      <c r="AQ4" s="2">
        <v>30</v>
      </c>
      <c r="AR4" s="2">
        <v>40</v>
      </c>
      <c r="AS4" s="2">
        <v>18</v>
      </c>
      <c r="AT4" s="2">
        <v>7</v>
      </c>
      <c r="AU4" s="2">
        <v>1</v>
      </c>
      <c r="AV4" s="2">
        <v>10</v>
      </c>
      <c r="AW4" s="2">
        <v>20</v>
      </c>
      <c r="AX4" s="2">
        <v>0.57150000000000001</v>
      </c>
      <c r="AY4" s="2">
        <v>0.55300000000000005</v>
      </c>
      <c r="AZ4" s="2">
        <v>0.23080000000000001</v>
      </c>
      <c r="BA4" s="2">
        <v>0.72970000000000002</v>
      </c>
      <c r="BB4" s="2">
        <v>0.47370000000000001</v>
      </c>
      <c r="BC4" s="4">
        <v>79.97</v>
      </c>
      <c r="BD4" s="2">
        <v>0.4667</v>
      </c>
      <c r="BE4" s="2">
        <v>0.18179999999999999</v>
      </c>
      <c r="BF4" s="2">
        <v>0.17710000000000001</v>
      </c>
      <c r="BG4" s="2">
        <v>108.7</v>
      </c>
      <c r="BH4" s="2">
        <v>113.8</v>
      </c>
      <c r="BI4" s="2">
        <v>78.202500000000001</v>
      </c>
      <c r="BJ4" s="2">
        <v>0.57230000000000003</v>
      </c>
      <c r="BK4" s="2">
        <v>0.48459999999999998</v>
      </c>
      <c r="BL4" s="2">
        <v>0.27029999999999998</v>
      </c>
      <c r="BM4" s="2">
        <v>0.76919999999999999</v>
      </c>
      <c r="BN4" s="2">
        <v>0.52629999999999999</v>
      </c>
      <c r="BO4" s="4">
        <v>76.435000000000002</v>
      </c>
      <c r="BP4" s="2">
        <v>0.66669999999999996</v>
      </c>
      <c r="BQ4" s="2">
        <v>0.4</v>
      </c>
      <c r="BR4" s="2">
        <v>0.1139</v>
      </c>
      <c r="BS4" s="2">
        <v>113.8</v>
      </c>
      <c r="BT4" s="2">
        <v>108.7</v>
      </c>
      <c r="BU4" s="2">
        <v>22</v>
      </c>
      <c r="BV4" s="2">
        <v>24</v>
      </c>
      <c r="BW4" s="2">
        <v>23</v>
      </c>
      <c r="BX4" s="2">
        <v>16</v>
      </c>
      <c r="BY4" s="2">
        <v>24</v>
      </c>
      <c r="BZ4" s="2">
        <v>20</v>
      </c>
      <c r="CA4" s="2">
        <v>25</v>
      </c>
      <c r="CB4" s="2">
        <v>20</v>
      </c>
      <c r="CC4" s="2">
        <v>46</v>
      </c>
      <c r="CD4" s="2">
        <v>39</v>
      </c>
      <c r="CE4" s="2">
        <v>44</v>
      </c>
      <c r="CF4" s="2">
        <v>45</v>
      </c>
      <c r="CG4" s="2">
        <v>1.26</v>
      </c>
      <c r="CH4" s="2">
        <v>4</v>
      </c>
      <c r="CI4" s="2">
        <v>-8.5</v>
      </c>
      <c r="CJ4" s="2">
        <v>8.5</v>
      </c>
      <c r="CK4" s="2">
        <v>157.5</v>
      </c>
      <c r="CL4" s="2" t="s">
        <v>385</v>
      </c>
      <c r="CM4" s="4" t="str">
        <f>VLOOKUP(paris[[#This Row],[Away_team]],all[[Full name]:[Abbr]],3,FALSE)</f>
        <v>DUN</v>
      </c>
      <c r="CN4" s="4">
        <f>IF(OR(paris[[#This Row],[Result]]="w",paris[[#This Row],[Result]]="dw"),paris[[#This Row],[win]]-1,-1)</f>
        <v>-1</v>
      </c>
      <c r="CO4" s="4">
        <f>IF(OR(paris[[#This Row],[Result]]="L",paris[[#This Row],[Result]]="dl"),paris[[#This Row],[lose]]-1,-1)</f>
        <v>3</v>
      </c>
      <c r="CP4" s="4">
        <f>IF(OR((paris[[#This Row],[Home_scored]]+paris[[#This Row],[Away_scored]])&gt;paris[[#This Row],[total]],OR(paris[[#This Row],[Result]]="dw",paris[[#This Row],[Result]]="dl")),1,0)</f>
        <v>1</v>
      </c>
      <c r="CQ4" s="4">
        <f>ABS((paris[[#This Row],[Home_scored]]+paris[[#This Row],[Away_scored]])-paris[[#This Row],[total]])+0.5</f>
        <v>17</v>
      </c>
    </row>
    <row r="5" spans="1:95" x14ac:dyDescent="0.25">
      <c r="A5" s="2" t="s">
        <v>349</v>
      </c>
      <c r="B5" s="2" t="s">
        <v>339</v>
      </c>
      <c r="C5" s="3" t="s">
        <v>73</v>
      </c>
      <c r="D5" s="3">
        <v>45563</v>
      </c>
      <c r="E5" s="2" t="s">
        <v>140</v>
      </c>
      <c r="F5" s="2" t="s">
        <v>305</v>
      </c>
      <c r="G5" s="2" t="s">
        <v>75</v>
      </c>
      <c r="H5" s="11">
        <v>102</v>
      </c>
      <c r="I5" s="11">
        <v>87</v>
      </c>
      <c r="J5" s="11">
        <v>36</v>
      </c>
      <c r="K5" s="11">
        <v>63</v>
      </c>
      <c r="L5" s="12">
        <v>0.57140000000000002</v>
      </c>
      <c r="M5" s="11">
        <v>23</v>
      </c>
      <c r="N5" s="11">
        <v>33</v>
      </c>
      <c r="O5" s="12">
        <v>0.69699999999999995</v>
      </c>
      <c r="P5" s="11">
        <v>13</v>
      </c>
      <c r="Q5" s="11">
        <v>30</v>
      </c>
      <c r="R5" s="12">
        <v>0.43330000000000002</v>
      </c>
      <c r="S5" s="11">
        <v>17</v>
      </c>
      <c r="T5" s="11">
        <v>21</v>
      </c>
      <c r="U5" s="12">
        <v>0.8095</v>
      </c>
      <c r="V5" s="11">
        <v>10</v>
      </c>
      <c r="W5" s="11">
        <v>21</v>
      </c>
      <c r="X5" s="11">
        <v>31</v>
      </c>
      <c r="Y5" s="11">
        <v>16</v>
      </c>
      <c r="Z5" s="11">
        <v>8</v>
      </c>
      <c r="AA5" s="11">
        <v>2</v>
      </c>
      <c r="AB5" s="11">
        <v>16</v>
      </c>
      <c r="AC5" s="11">
        <v>12</v>
      </c>
      <c r="AD5" s="11">
        <v>32</v>
      </c>
      <c r="AE5" s="11">
        <v>57</v>
      </c>
      <c r="AF5" s="12">
        <v>0.56140000000000001</v>
      </c>
      <c r="AG5" s="11">
        <v>21</v>
      </c>
      <c r="AH5" s="11">
        <v>33</v>
      </c>
      <c r="AI5" s="12">
        <v>0.63639999999999997</v>
      </c>
      <c r="AJ5" s="11">
        <v>11</v>
      </c>
      <c r="AK5" s="11">
        <v>24</v>
      </c>
      <c r="AL5" s="12">
        <v>0.45829999999999999</v>
      </c>
      <c r="AM5" s="11">
        <v>12</v>
      </c>
      <c r="AN5" s="11">
        <v>18</v>
      </c>
      <c r="AO5" s="12">
        <v>0.66669999999999996</v>
      </c>
      <c r="AP5" s="11">
        <v>6</v>
      </c>
      <c r="AQ5" s="11">
        <v>17</v>
      </c>
      <c r="AR5" s="11">
        <v>23</v>
      </c>
      <c r="AS5" s="11">
        <v>16</v>
      </c>
      <c r="AT5" s="11">
        <v>7</v>
      </c>
      <c r="AU5" s="11">
        <v>0</v>
      </c>
      <c r="AV5" s="11">
        <v>17</v>
      </c>
      <c r="AW5" s="11">
        <v>18</v>
      </c>
      <c r="AX5" s="12">
        <v>0.70599999999999996</v>
      </c>
      <c r="AY5" s="12">
        <v>0.67459999999999998</v>
      </c>
      <c r="AZ5" s="12">
        <v>0.37040000000000001</v>
      </c>
      <c r="BA5" s="12">
        <v>0.77780000000000005</v>
      </c>
      <c r="BB5" s="12">
        <v>0.57410000000000005</v>
      </c>
      <c r="BC5" s="4">
        <v>78.081000000000003</v>
      </c>
      <c r="BD5" s="12">
        <v>0.44440000000000002</v>
      </c>
      <c r="BE5" s="12">
        <v>0.26979999999999998</v>
      </c>
      <c r="BF5" s="12">
        <v>0.18129999999999999</v>
      </c>
      <c r="BG5" s="4">
        <v>133.9</v>
      </c>
      <c r="BH5" s="4">
        <v>114.2</v>
      </c>
      <c r="BI5" s="4">
        <v>76.151499999999999</v>
      </c>
      <c r="BJ5" s="12">
        <v>0.67010000000000003</v>
      </c>
      <c r="BK5" s="12">
        <v>0.65790000000000004</v>
      </c>
      <c r="BL5" s="12">
        <v>0.22220000000000001</v>
      </c>
      <c r="BM5" s="12">
        <v>0.62960000000000005</v>
      </c>
      <c r="BN5" s="12">
        <v>0.4259</v>
      </c>
      <c r="BO5" s="4">
        <v>74.221999999999994</v>
      </c>
      <c r="BP5" s="12">
        <v>0.5</v>
      </c>
      <c r="BQ5" s="12">
        <v>0.21049999999999999</v>
      </c>
      <c r="BR5" s="12">
        <v>0.20749999999999999</v>
      </c>
      <c r="BS5" s="4">
        <v>114.2</v>
      </c>
      <c r="BT5" s="4">
        <v>133.9</v>
      </c>
      <c r="BU5" s="11">
        <v>27</v>
      </c>
      <c r="BV5" s="11">
        <v>26</v>
      </c>
      <c r="BW5" s="11">
        <v>27</v>
      </c>
      <c r="BX5" s="11">
        <v>22</v>
      </c>
      <c r="BY5" s="11">
        <v>23</v>
      </c>
      <c r="BZ5" s="11">
        <v>17</v>
      </c>
      <c r="CA5" s="11">
        <v>27</v>
      </c>
      <c r="CB5" s="11">
        <v>20</v>
      </c>
      <c r="CC5" s="11">
        <v>53</v>
      </c>
      <c r="CD5" s="11">
        <v>49</v>
      </c>
      <c r="CE5" s="11">
        <v>40</v>
      </c>
      <c r="CF5" s="11">
        <v>47</v>
      </c>
      <c r="CG5" s="4">
        <v>1.45</v>
      </c>
      <c r="CH5" s="13">
        <v>2.8</v>
      </c>
      <c r="CI5" s="4">
        <v>-5.5</v>
      </c>
      <c r="CJ5" s="4">
        <v>5.5</v>
      </c>
      <c r="CK5" s="4">
        <v>164.5</v>
      </c>
      <c r="CL5" s="2" t="s">
        <v>362</v>
      </c>
      <c r="CM5" s="4" t="str">
        <f>VLOOKUP(paris[[#This Row],[Away_team]],all[[Full name]:[Abbr]],3,FALSE)</f>
        <v>CHA</v>
      </c>
      <c r="CN5" s="4">
        <f>IF(OR(paris[[#This Row],[Result]]="w",paris[[#This Row],[Result]]="dw"),paris[[#This Row],[win]]-1,-1)</f>
        <v>0.44999999999999996</v>
      </c>
      <c r="CO5" s="4">
        <f>IF(OR(paris[[#This Row],[Result]]="L",paris[[#This Row],[Result]]="dl"),paris[[#This Row],[lose]]-1,-1)</f>
        <v>-1</v>
      </c>
      <c r="CP5" s="4">
        <f>IF(OR((paris[[#This Row],[Home_scored]]+paris[[#This Row],[Away_scored]])&gt;paris[[#This Row],[total]],OR(paris[[#This Row],[Result]]="dw",paris[[#This Row],[Result]]="dl")),1,0)</f>
        <v>1</v>
      </c>
      <c r="CQ5" s="4">
        <f>ABS((paris[[#This Row],[Home_scored]]+paris[[#This Row],[Away_scored]])-paris[[#This Row],[total]])+0.5</f>
        <v>25</v>
      </c>
    </row>
    <row r="6" spans="1:95" x14ac:dyDescent="0.25">
      <c r="A6" s="2" t="s">
        <v>349</v>
      </c>
      <c r="B6" s="2" t="s">
        <v>339</v>
      </c>
      <c r="C6" s="3" t="s">
        <v>73</v>
      </c>
      <c r="D6" s="3">
        <v>45571</v>
      </c>
      <c r="E6" s="2" t="s">
        <v>74</v>
      </c>
      <c r="F6" s="2" t="s">
        <v>323</v>
      </c>
      <c r="G6" s="2" t="s">
        <v>75</v>
      </c>
      <c r="H6" s="11">
        <v>84</v>
      </c>
      <c r="I6" s="11">
        <v>75</v>
      </c>
      <c r="J6" s="11">
        <v>30</v>
      </c>
      <c r="K6" s="11">
        <v>68</v>
      </c>
      <c r="L6" s="12">
        <v>0.44119999999999998</v>
      </c>
      <c r="M6" s="11">
        <v>16</v>
      </c>
      <c r="N6" s="11">
        <v>26</v>
      </c>
      <c r="O6" s="12">
        <v>0.61539999999999995</v>
      </c>
      <c r="P6" s="11">
        <v>14</v>
      </c>
      <c r="Q6" s="11">
        <v>42</v>
      </c>
      <c r="R6" s="12">
        <v>0.33329999999999999</v>
      </c>
      <c r="S6" s="11">
        <v>10</v>
      </c>
      <c r="T6" s="11">
        <v>16</v>
      </c>
      <c r="U6" s="12">
        <v>0.625</v>
      </c>
      <c r="V6" s="11">
        <v>16</v>
      </c>
      <c r="W6" s="11">
        <v>23</v>
      </c>
      <c r="X6" s="11">
        <v>39</v>
      </c>
      <c r="Y6" s="11">
        <v>19</v>
      </c>
      <c r="Z6" s="11">
        <v>4</v>
      </c>
      <c r="AA6" s="11">
        <v>4</v>
      </c>
      <c r="AB6" s="11">
        <v>11</v>
      </c>
      <c r="AC6" s="11">
        <v>15</v>
      </c>
      <c r="AD6" s="11">
        <v>28</v>
      </c>
      <c r="AE6" s="11">
        <v>56</v>
      </c>
      <c r="AF6" s="12">
        <v>0.5</v>
      </c>
      <c r="AG6" s="11">
        <v>20</v>
      </c>
      <c r="AH6" s="11">
        <v>33</v>
      </c>
      <c r="AI6" s="12">
        <v>0.60609999999999997</v>
      </c>
      <c r="AJ6" s="11">
        <v>8</v>
      </c>
      <c r="AK6" s="11">
        <v>23</v>
      </c>
      <c r="AL6" s="12">
        <v>0.3478</v>
      </c>
      <c r="AM6" s="11">
        <v>11</v>
      </c>
      <c r="AN6" s="11">
        <v>12</v>
      </c>
      <c r="AO6" s="12">
        <v>0.91669999999999996</v>
      </c>
      <c r="AP6" s="11">
        <v>5</v>
      </c>
      <c r="AQ6" s="11">
        <v>22</v>
      </c>
      <c r="AR6" s="11">
        <v>27</v>
      </c>
      <c r="AS6" s="11">
        <v>15</v>
      </c>
      <c r="AT6" s="11">
        <v>6</v>
      </c>
      <c r="AU6" s="11">
        <v>1</v>
      </c>
      <c r="AV6" s="11">
        <v>13</v>
      </c>
      <c r="AW6" s="11">
        <v>17</v>
      </c>
      <c r="AX6" s="12">
        <v>0.55969999999999998</v>
      </c>
      <c r="AY6" s="12">
        <v>0.54410000000000003</v>
      </c>
      <c r="AZ6" s="12">
        <v>0.42109999999999997</v>
      </c>
      <c r="BA6" s="12">
        <v>0.82140000000000002</v>
      </c>
      <c r="BB6" s="12">
        <v>0.59089999999999998</v>
      </c>
      <c r="BC6" s="4">
        <v>68.718999999999994</v>
      </c>
      <c r="BD6" s="12">
        <v>0.63329999999999997</v>
      </c>
      <c r="BE6" s="12">
        <v>0.14710000000000001</v>
      </c>
      <c r="BF6" s="12">
        <v>0.1278</v>
      </c>
      <c r="BG6" s="4">
        <v>122.7</v>
      </c>
      <c r="BH6" s="4">
        <v>109.5</v>
      </c>
      <c r="BI6" s="4">
        <v>68.485500000000002</v>
      </c>
      <c r="BJ6" s="12">
        <v>0.6119</v>
      </c>
      <c r="BK6" s="12">
        <v>0.57140000000000002</v>
      </c>
      <c r="BL6" s="12">
        <v>0.17860000000000001</v>
      </c>
      <c r="BM6" s="12">
        <v>0.57889999999999997</v>
      </c>
      <c r="BN6" s="12">
        <v>0.40910000000000002</v>
      </c>
      <c r="BO6" s="4">
        <v>68.251999999999995</v>
      </c>
      <c r="BP6" s="12">
        <v>0.53569999999999995</v>
      </c>
      <c r="BQ6" s="12">
        <v>0.19639999999999999</v>
      </c>
      <c r="BR6" s="12">
        <v>0.17499999999999999</v>
      </c>
      <c r="BS6" s="4">
        <v>109.5</v>
      </c>
      <c r="BT6" s="4">
        <v>122.7</v>
      </c>
      <c r="BU6" s="11">
        <v>23</v>
      </c>
      <c r="BV6" s="11">
        <v>23</v>
      </c>
      <c r="BW6" s="11">
        <v>17</v>
      </c>
      <c r="BX6" s="11">
        <v>21</v>
      </c>
      <c r="BY6" s="11">
        <v>21</v>
      </c>
      <c r="BZ6" s="11">
        <v>20</v>
      </c>
      <c r="CA6" s="11">
        <v>14</v>
      </c>
      <c r="CB6" s="11">
        <v>20</v>
      </c>
      <c r="CC6" s="11">
        <v>46</v>
      </c>
      <c r="CD6" s="11">
        <v>38</v>
      </c>
      <c r="CE6" s="11">
        <v>41</v>
      </c>
      <c r="CF6" s="11">
        <v>34</v>
      </c>
      <c r="CG6" s="4">
        <v>1.03</v>
      </c>
      <c r="CH6" s="13">
        <v>16</v>
      </c>
      <c r="CI6" s="4">
        <v>-18</v>
      </c>
      <c r="CJ6" s="4">
        <v>-18</v>
      </c>
      <c r="CK6" s="4">
        <v>156.5</v>
      </c>
      <c r="CL6" s="2" t="s">
        <v>409</v>
      </c>
      <c r="CM6" s="4" t="e">
        <f>VLOOKUP(paris[[#This Row],[Away_team]],all[[Full name]:[Abbr]],3,FALSE)</f>
        <v>#N/A</v>
      </c>
      <c r="CN6" s="4">
        <f>IF(OR(paris[[#This Row],[Result]]="w",paris[[#This Row],[Result]]="dw"),paris[[#This Row],[win]]-1,-1)</f>
        <v>3.0000000000000027E-2</v>
      </c>
      <c r="CO6" s="4">
        <f>IF(OR(paris[[#This Row],[Result]]="L",paris[[#This Row],[Result]]="dl"),paris[[#This Row],[lose]]-1,-1)</f>
        <v>-1</v>
      </c>
      <c r="CP6" s="4">
        <f>IF(OR((paris[[#This Row],[Home_scored]]+paris[[#This Row],[Away_scored]])&gt;paris[[#This Row],[total]],OR(paris[[#This Row],[Result]]="dw",paris[[#This Row],[Result]]="dl")),1,0)</f>
        <v>1</v>
      </c>
      <c r="CQ6" s="4">
        <f>ABS((paris[[#This Row],[Home_scored]]+paris[[#This Row],[Away_scored]])-paris[[#This Row],[total]])+0.5</f>
        <v>3</v>
      </c>
    </row>
    <row r="7" spans="1:95" x14ac:dyDescent="0.25">
      <c r="A7" s="2" t="s">
        <v>349</v>
      </c>
      <c r="B7" s="2" t="s">
        <v>339</v>
      </c>
      <c r="C7" s="3" t="s">
        <v>73</v>
      </c>
      <c r="D7" s="3">
        <v>45578</v>
      </c>
      <c r="E7" s="2" t="s">
        <v>140</v>
      </c>
      <c r="F7" s="2" t="s">
        <v>311</v>
      </c>
      <c r="G7" s="2" t="s">
        <v>75</v>
      </c>
      <c r="H7" s="11">
        <v>97</v>
      </c>
      <c r="I7" s="11">
        <v>83</v>
      </c>
      <c r="J7" s="11">
        <v>33</v>
      </c>
      <c r="K7" s="11">
        <v>68</v>
      </c>
      <c r="L7" s="12">
        <v>0.48530000000000001</v>
      </c>
      <c r="M7" s="11">
        <v>20</v>
      </c>
      <c r="N7" s="11">
        <v>31</v>
      </c>
      <c r="O7" s="12">
        <v>0.6452</v>
      </c>
      <c r="P7" s="11">
        <v>13</v>
      </c>
      <c r="Q7" s="11">
        <v>37</v>
      </c>
      <c r="R7" s="12">
        <v>0.35139999999999999</v>
      </c>
      <c r="S7" s="11">
        <v>18</v>
      </c>
      <c r="T7" s="11">
        <v>24</v>
      </c>
      <c r="U7" s="12">
        <v>0.75</v>
      </c>
      <c r="V7" s="11">
        <v>17</v>
      </c>
      <c r="W7" s="11">
        <v>26</v>
      </c>
      <c r="X7" s="11">
        <v>43</v>
      </c>
      <c r="Y7" s="11">
        <v>18</v>
      </c>
      <c r="Z7" s="11">
        <v>6</v>
      </c>
      <c r="AA7" s="11">
        <v>1</v>
      </c>
      <c r="AB7" s="11">
        <v>17</v>
      </c>
      <c r="AC7" s="11">
        <v>25</v>
      </c>
      <c r="AD7" s="11">
        <v>26</v>
      </c>
      <c r="AE7" s="11">
        <v>57</v>
      </c>
      <c r="AF7" s="12">
        <v>0.45610000000000001</v>
      </c>
      <c r="AG7" s="11">
        <v>17</v>
      </c>
      <c r="AH7" s="11">
        <v>31</v>
      </c>
      <c r="AI7" s="12">
        <v>0.5484</v>
      </c>
      <c r="AJ7" s="11">
        <v>9</v>
      </c>
      <c r="AK7" s="11">
        <v>26</v>
      </c>
      <c r="AL7" s="12">
        <v>0.34620000000000001</v>
      </c>
      <c r="AM7" s="11">
        <v>22</v>
      </c>
      <c r="AN7" s="11">
        <v>27</v>
      </c>
      <c r="AO7" s="12">
        <v>0.81479999999999997</v>
      </c>
      <c r="AP7" s="11">
        <v>6</v>
      </c>
      <c r="AQ7" s="11">
        <v>21</v>
      </c>
      <c r="AR7" s="11">
        <v>27</v>
      </c>
      <c r="AS7" s="11">
        <v>18</v>
      </c>
      <c r="AT7" s="11">
        <v>8</v>
      </c>
      <c r="AU7" s="11">
        <v>1</v>
      </c>
      <c r="AV7" s="11">
        <v>10</v>
      </c>
      <c r="AW7" s="11">
        <v>26</v>
      </c>
      <c r="AX7" s="12">
        <v>0.61739999999999995</v>
      </c>
      <c r="AY7" s="12">
        <v>0.58089999999999997</v>
      </c>
      <c r="AZ7" s="12">
        <v>0.44740000000000002</v>
      </c>
      <c r="BA7" s="12">
        <v>0.8125</v>
      </c>
      <c r="BB7" s="12">
        <v>0.61429999999999996</v>
      </c>
      <c r="BC7" s="4">
        <v>79.793999999999997</v>
      </c>
      <c r="BD7" s="12">
        <v>0.54549999999999998</v>
      </c>
      <c r="BE7" s="12">
        <v>0.26469999999999999</v>
      </c>
      <c r="BF7" s="12">
        <v>0.1779</v>
      </c>
      <c r="BG7" s="4">
        <v>129.1</v>
      </c>
      <c r="BH7" s="4">
        <v>110.5</v>
      </c>
      <c r="BI7" s="4">
        <v>75.111500000000007</v>
      </c>
      <c r="BJ7" s="12">
        <v>0.60250000000000004</v>
      </c>
      <c r="BK7" s="12">
        <v>0.53510000000000002</v>
      </c>
      <c r="BL7" s="12">
        <v>0.1875</v>
      </c>
      <c r="BM7" s="12">
        <v>0.55259999999999998</v>
      </c>
      <c r="BN7" s="12">
        <v>0.38569999999999999</v>
      </c>
      <c r="BO7" s="4">
        <v>70.429000000000002</v>
      </c>
      <c r="BP7" s="12">
        <v>0.69230000000000003</v>
      </c>
      <c r="BQ7" s="12">
        <v>0.38600000000000001</v>
      </c>
      <c r="BR7" s="12">
        <v>0.1268</v>
      </c>
      <c r="BS7" s="4">
        <v>110.5</v>
      </c>
      <c r="BT7" s="4">
        <v>129.1</v>
      </c>
      <c r="BU7" s="11">
        <v>22</v>
      </c>
      <c r="BV7" s="11">
        <v>25</v>
      </c>
      <c r="BW7" s="11">
        <v>27</v>
      </c>
      <c r="BX7" s="11">
        <v>23</v>
      </c>
      <c r="BY7" s="11">
        <v>23</v>
      </c>
      <c r="BZ7" s="11">
        <v>21</v>
      </c>
      <c r="CA7" s="11">
        <v>17</v>
      </c>
      <c r="CB7" s="11">
        <v>22</v>
      </c>
      <c r="CC7" s="11">
        <v>47</v>
      </c>
      <c r="CD7" s="11">
        <v>50</v>
      </c>
      <c r="CE7" s="11">
        <v>44</v>
      </c>
      <c r="CF7" s="11">
        <v>39</v>
      </c>
      <c r="CG7" s="4">
        <v>1.61</v>
      </c>
      <c r="CH7" s="13">
        <v>2.4</v>
      </c>
      <c r="CI7" s="4">
        <v>-3.5</v>
      </c>
      <c r="CJ7" s="4">
        <v>3.5</v>
      </c>
      <c r="CK7" s="4">
        <v>164.5</v>
      </c>
      <c r="CL7" s="2" t="s">
        <v>379</v>
      </c>
      <c r="CM7" s="4" t="str">
        <f>VLOOKUP(paris[[#This Row],[Away_team]],all[[Full name]:[Abbr]],3,FALSE)</f>
        <v>DIJ</v>
      </c>
      <c r="CN7" s="4">
        <f>IF(OR(paris[[#This Row],[Result]]="w",paris[[#This Row],[Result]]="dw"),paris[[#This Row],[win]]-1,-1)</f>
        <v>0.6100000000000001</v>
      </c>
      <c r="CO7" s="4">
        <f>IF(OR(paris[[#This Row],[Result]]="L",paris[[#This Row],[Result]]="dl"),paris[[#This Row],[lose]]-1,-1)</f>
        <v>-1</v>
      </c>
      <c r="CP7" s="4">
        <f>IF(OR((paris[[#This Row],[Home_scored]]+paris[[#This Row],[Away_scored]])&gt;paris[[#This Row],[total]],OR(paris[[#This Row],[Result]]="dw",paris[[#This Row],[Result]]="dl")),1,0)</f>
        <v>1</v>
      </c>
      <c r="CQ7" s="4">
        <f>ABS((paris[[#This Row],[Home_scored]]+paris[[#This Row],[Away_scored]])-paris[[#This Row],[total]])+0.5</f>
        <v>16</v>
      </c>
    </row>
    <row r="8" spans="1:95" x14ac:dyDescent="0.25">
      <c r="A8" s="2" t="s">
        <v>349</v>
      </c>
      <c r="B8" s="2" t="s">
        <v>339</v>
      </c>
      <c r="C8" s="3" t="s">
        <v>73</v>
      </c>
      <c r="D8" s="3">
        <v>45585</v>
      </c>
      <c r="E8" s="2" t="s">
        <v>74</v>
      </c>
      <c r="F8" s="2" t="s">
        <v>336</v>
      </c>
      <c r="G8" s="2" t="s">
        <v>75</v>
      </c>
      <c r="H8" s="11">
        <v>102</v>
      </c>
      <c r="I8" s="11">
        <v>86</v>
      </c>
      <c r="J8" s="11">
        <v>34</v>
      </c>
      <c r="K8" s="11">
        <v>65</v>
      </c>
      <c r="L8" s="12">
        <v>0.52310000000000001</v>
      </c>
      <c r="M8" s="11">
        <v>21</v>
      </c>
      <c r="N8" s="11">
        <v>35</v>
      </c>
      <c r="O8" s="12">
        <v>0.6</v>
      </c>
      <c r="P8" s="11">
        <v>13</v>
      </c>
      <c r="Q8" s="11">
        <v>30</v>
      </c>
      <c r="R8" s="12">
        <v>0.43330000000000002</v>
      </c>
      <c r="S8" s="11">
        <v>21</v>
      </c>
      <c r="T8" s="11">
        <v>29</v>
      </c>
      <c r="U8" s="12">
        <v>0.72409999999999997</v>
      </c>
      <c r="V8" s="11">
        <v>16</v>
      </c>
      <c r="W8" s="11">
        <v>22</v>
      </c>
      <c r="X8" s="11">
        <v>38</v>
      </c>
      <c r="Y8" s="11">
        <v>24</v>
      </c>
      <c r="Z8" s="11">
        <v>6</v>
      </c>
      <c r="AA8" s="11">
        <v>3</v>
      </c>
      <c r="AB8" s="11">
        <v>12</v>
      </c>
      <c r="AC8" s="11">
        <v>27</v>
      </c>
      <c r="AD8" s="11">
        <v>30</v>
      </c>
      <c r="AE8" s="11">
        <v>63</v>
      </c>
      <c r="AF8" s="12">
        <v>0.47620000000000001</v>
      </c>
      <c r="AG8" s="11">
        <v>26</v>
      </c>
      <c r="AH8" s="11">
        <v>47</v>
      </c>
      <c r="AI8" s="12">
        <v>0.55320000000000003</v>
      </c>
      <c r="AJ8" s="11">
        <v>4</v>
      </c>
      <c r="AK8" s="11">
        <v>16</v>
      </c>
      <c r="AL8" s="12">
        <v>0.25</v>
      </c>
      <c r="AM8" s="11">
        <v>22</v>
      </c>
      <c r="AN8" s="11">
        <v>31</v>
      </c>
      <c r="AO8" s="12">
        <v>0.7097</v>
      </c>
      <c r="AP8" s="11">
        <v>14</v>
      </c>
      <c r="AQ8" s="11">
        <v>18</v>
      </c>
      <c r="AR8" s="11">
        <v>32</v>
      </c>
      <c r="AS8" s="11">
        <v>18</v>
      </c>
      <c r="AT8" s="11">
        <v>6</v>
      </c>
      <c r="AU8" s="11">
        <v>3</v>
      </c>
      <c r="AV8" s="11">
        <v>13</v>
      </c>
      <c r="AW8" s="11">
        <v>22</v>
      </c>
      <c r="AX8" s="12">
        <v>0.65590000000000004</v>
      </c>
      <c r="AY8" s="12">
        <v>0.62309999999999999</v>
      </c>
      <c r="AZ8" s="12">
        <v>0.47060000000000002</v>
      </c>
      <c r="BA8" s="12">
        <v>0.61109999999999998</v>
      </c>
      <c r="BB8" s="12">
        <v>0.54290000000000005</v>
      </c>
      <c r="BC8" s="4">
        <v>74.634</v>
      </c>
      <c r="BD8" s="12">
        <v>0.70589999999999997</v>
      </c>
      <c r="BE8" s="12">
        <v>0.3231</v>
      </c>
      <c r="BF8" s="12">
        <v>0.13370000000000001</v>
      </c>
      <c r="BG8" s="4">
        <v>138.19999999999999</v>
      </c>
      <c r="BH8" s="4">
        <v>116.5</v>
      </c>
      <c r="BI8" s="4">
        <v>73.793000000000006</v>
      </c>
      <c r="BJ8" s="12">
        <v>0.56110000000000004</v>
      </c>
      <c r="BK8" s="12">
        <v>0.50790000000000002</v>
      </c>
      <c r="BL8" s="12">
        <v>0.38890000000000002</v>
      </c>
      <c r="BM8" s="12">
        <v>0.52939999999999998</v>
      </c>
      <c r="BN8" s="12">
        <v>0.45710000000000001</v>
      </c>
      <c r="BO8" s="4">
        <v>72.951999999999998</v>
      </c>
      <c r="BP8" s="12">
        <v>0.6</v>
      </c>
      <c r="BQ8" s="12">
        <v>0.34920000000000001</v>
      </c>
      <c r="BR8" s="12">
        <v>0.14499999999999999</v>
      </c>
      <c r="BS8" s="4">
        <v>116.5</v>
      </c>
      <c r="BT8" s="4">
        <v>138.19999999999999</v>
      </c>
      <c r="BU8" s="11">
        <v>30</v>
      </c>
      <c r="BV8" s="11">
        <v>22</v>
      </c>
      <c r="BW8" s="11">
        <v>27</v>
      </c>
      <c r="BX8" s="11">
        <v>23</v>
      </c>
      <c r="BY8" s="11">
        <v>19</v>
      </c>
      <c r="BZ8" s="11">
        <v>15</v>
      </c>
      <c r="CA8" s="11">
        <v>21</v>
      </c>
      <c r="CB8" s="11">
        <v>31</v>
      </c>
      <c r="CC8" s="11">
        <v>52</v>
      </c>
      <c r="CD8" s="11">
        <v>50</v>
      </c>
      <c r="CE8" s="11">
        <v>34</v>
      </c>
      <c r="CF8" s="11">
        <v>52</v>
      </c>
      <c r="CG8" s="4">
        <v>1.22</v>
      </c>
      <c r="CH8" s="13">
        <v>4.5</v>
      </c>
      <c r="CI8" s="4">
        <v>-9.5</v>
      </c>
      <c r="CJ8" s="4">
        <v>9.5</v>
      </c>
      <c r="CK8" s="4">
        <v>167.5</v>
      </c>
      <c r="CL8" s="2" t="s">
        <v>428</v>
      </c>
      <c r="CM8" s="4" t="str">
        <f>VLOOKUP(paris[[#This Row],[Away_team]],all[[Full name]:[Abbr]],3,FALSE)</f>
        <v>NAN</v>
      </c>
      <c r="CN8" s="4">
        <f>IF(OR(paris[[#This Row],[Result]]="w",paris[[#This Row],[Result]]="dw"),paris[[#This Row],[win]]-1,-1)</f>
        <v>0.21999999999999997</v>
      </c>
      <c r="CO8" s="4">
        <f>IF(OR(paris[[#This Row],[Result]]="L",paris[[#This Row],[Result]]="dl"),paris[[#This Row],[lose]]-1,-1)</f>
        <v>-1</v>
      </c>
      <c r="CP8" s="4">
        <f>IF(OR((paris[[#This Row],[Home_scored]]+paris[[#This Row],[Away_scored]])&gt;paris[[#This Row],[total]],OR(paris[[#This Row],[Result]]="dw",paris[[#This Row],[Result]]="dl")),1,0)</f>
        <v>1</v>
      </c>
      <c r="CQ8" s="4">
        <f>ABS((paris[[#This Row],[Home_scored]]+paris[[#This Row],[Away_scored]])-paris[[#This Row],[total]])+0.5</f>
        <v>21</v>
      </c>
    </row>
    <row r="9" spans="1:95" x14ac:dyDescent="0.25">
      <c r="A9" s="2" t="s">
        <v>349</v>
      </c>
      <c r="B9" s="2" t="s">
        <v>339</v>
      </c>
      <c r="C9" s="3" t="s">
        <v>73</v>
      </c>
      <c r="D9" s="3">
        <v>45591</v>
      </c>
      <c r="E9" s="2" t="s">
        <v>140</v>
      </c>
      <c r="F9" s="2" t="s">
        <v>308</v>
      </c>
      <c r="G9" s="2" t="s">
        <v>139</v>
      </c>
      <c r="H9" s="11">
        <v>80</v>
      </c>
      <c r="I9" s="11">
        <v>90</v>
      </c>
      <c r="J9" s="11">
        <v>27</v>
      </c>
      <c r="K9" s="11">
        <v>67</v>
      </c>
      <c r="L9" s="12">
        <v>0.40300000000000002</v>
      </c>
      <c r="M9" s="11">
        <v>17</v>
      </c>
      <c r="N9" s="11">
        <v>36</v>
      </c>
      <c r="O9" s="12">
        <v>0.47220000000000001</v>
      </c>
      <c r="P9" s="11">
        <v>10</v>
      </c>
      <c r="Q9" s="11">
        <v>31</v>
      </c>
      <c r="R9" s="12">
        <v>0.3226</v>
      </c>
      <c r="S9" s="11">
        <v>16</v>
      </c>
      <c r="T9" s="11">
        <v>23</v>
      </c>
      <c r="U9" s="12">
        <v>0.69569999999999999</v>
      </c>
      <c r="V9" s="11">
        <v>18</v>
      </c>
      <c r="W9" s="11">
        <v>24</v>
      </c>
      <c r="X9" s="11">
        <v>42</v>
      </c>
      <c r="Y9" s="11">
        <v>15</v>
      </c>
      <c r="Z9" s="11">
        <v>5</v>
      </c>
      <c r="AA9" s="11">
        <v>4</v>
      </c>
      <c r="AB9" s="11">
        <v>16</v>
      </c>
      <c r="AC9" s="11">
        <v>24</v>
      </c>
      <c r="AD9" s="11">
        <v>34</v>
      </c>
      <c r="AE9" s="11">
        <v>71</v>
      </c>
      <c r="AF9" s="12">
        <v>0.47889999999999999</v>
      </c>
      <c r="AG9" s="11">
        <v>25</v>
      </c>
      <c r="AH9" s="11">
        <v>47</v>
      </c>
      <c r="AI9" s="12">
        <v>0.53190000000000004</v>
      </c>
      <c r="AJ9" s="11">
        <v>9</v>
      </c>
      <c r="AK9" s="11">
        <v>24</v>
      </c>
      <c r="AL9" s="12">
        <v>0.375</v>
      </c>
      <c r="AM9" s="11">
        <v>13</v>
      </c>
      <c r="AN9" s="11">
        <v>17</v>
      </c>
      <c r="AO9" s="12">
        <v>0.76470000000000005</v>
      </c>
      <c r="AP9" s="11">
        <v>12</v>
      </c>
      <c r="AQ9" s="11">
        <v>26</v>
      </c>
      <c r="AR9" s="11">
        <v>38</v>
      </c>
      <c r="AS9" s="11">
        <v>20</v>
      </c>
      <c r="AT9" s="11">
        <v>9</v>
      </c>
      <c r="AU9" s="11">
        <v>4</v>
      </c>
      <c r="AV9" s="11">
        <v>11</v>
      </c>
      <c r="AW9" s="11">
        <v>24</v>
      </c>
      <c r="AX9" s="12">
        <v>0.51870000000000005</v>
      </c>
      <c r="AY9" s="12">
        <v>0.47760000000000002</v>
      </c>
      <c r="AZ9" s="12">
        <v>0.40910000000000002</v>
      </c>
      <c r="BA9" s="12">
        <v>0.66669999999999996</v>
      </c>
      <c r="BB9" s="12">
        <v>0.52500000000000002</v>
      </c>
      <c r="BC9" s="4">
        <v>73.856999999999999</v>
      </c>
      <c r="BD9" s="12">
        <v>0.55559999999999998</v>
      </c>
      <c r="BE9" s="12">
        <v>0.23880000000000001</v>
      </c>
      <c r="BF9" s="12">
        <v>0.17180000000000001</v>
      </c>
      <c r="BG9" s="4">
        <v>106.6</v>
      </c>
      <c r="BH9" s="4">
        <v>119.9</v>
      </c>
      <c r="BI9" s="4">
        <v>75.077500000000001</v>
      </c>
      <c r="BJ9" s="12">
        <v>0.57340000000000002</v>
      </c>
      <c r="BK9" s="12">
        <v>0.5423</v>
      </c>
      <c r="BL9" s="12">
        <v>0.33329999999999999</v>
      </c>
      <c r="BM9" s="12">
        <v>0.59089999999999998</v>
      </c>
      <c r="BN9" s="12">
        <v>0.47499999999999998</v>
      </c>
      <c r="BO9" s="4">
        <v>76.298000000000002</v>
      </c>
      <c r="BP9" s="12">
        <v>0.58819999999999995</v>
      </c>
      <c r="BQ9" s="12">
        <v>0.18310000000000001</v>
      </c>
      <c r="BR9" s="12">
        <v>0.1229</v>
      </c>
      <c r="BS9" s="4">
        <v>119.9</v>
      </c>
      <c r="BT9" s="4">
        <v>106.6</v>
      </c>
      <c r="BU9" s="11">
        <v>27</v>
      </c>
      <c r="BV9" s="11">
        <v>14</v>
      </c>
      <c r="BW9" s="11">
        <v>19</v>
      </c>
      <c r="BX9" s="11">
        <v>20</v>
      </c>
      <c r="BY9" s="11">
        <v>25</v>
      </c>
      <c r="BZ9" s="11">
        <v>18</v>
      </c>
      <c r="CA9" s="11">
        <v>22</v>
      </c>
      <c r="CB9" s="11">
        <v>25</v>
      </c>
      <c r="CC9" s="11">
        <v>41</v>
      </c>
      <c r="CD9" s="11">
        <v>39</v>
      </c>
      <c r="CE9" s="11">
        <v>43</v>
      </c>
      <c r="CF9" s="11">
        <v>47</v>
      </c>
      <c r="CG9" s="4">
        <v>1.56</v>
      </c>
      <c r="CH9" s="13">
        <v>2.5</v>
      </c>
      <c r="CI9" s="4">
        <v>-4</v>
      </c>
      <c r="CJ9" s="4">
        <v>4</v>
      </c>
      <c r="CK9" s="4">
        <v>164.5</v>
      </c>
      <c r="CL9" s="2" t="s">
        <v>374</v>
      </c>
      <c r="CM9" s="4" t="str">
        <f>VLOOKUP(paris[[#This Row],[Away_team]],all[[Full name]:[Abbr]],3,FALSE)</f>
        <v>CHO</v>
      </c>
      <c r="CN9" s="4">
        <f>IF(OR(paris[[#This Row],[Result]]="w",paris[[#This Row],[Result]]="dw"),paris[[#This Row],[win]]-1,-1)</f>
        <v>-1</v>
      </c>
      <c r="CO9" s="4">
        <f>IF(OR(paris[[#This Row],[Result]]="L",paris[[#This Row],[Result]]="dl"),paris[[#This Row],[lose]]-1,-1)</f>
        <v>1.5</v>
      </c>
      <c r="CP9" s="4">
        <f>IF(OR((paris[[#This Row],[Home_scored]]+paris[[#This Row],[Away_scored]])&gt;paris[[#This Row],[total]],OR(paris[[#This Row],[Result]]="dw",paris[[#This Row],[Result]]="dl")),1,0)</f>
        <v>1</v>
      </c>
      <c r="CQ9" s="4">
        <f>ABS((paris[[#This Row],[Home_scored]]+paris[[#This Row],[Away_scored]])-paris[[#This Row],[total]])+0.5</f>
        <v>6</v>
      </c>
    </row>
    <row r="10" spans="1:95" x14ac:dyDescent="0.25">
      <c r="A10" s="2" t="s">
        <v>349</v>
      </c>
      <c r="B10" s="2" t="s">
        <v>339</v>
      </c>
      <c r="C10" s="3" t="s">
        <v>73</v>
      </c>
      <c r="D10" s="3">
        <v>45599</v>
      </c>
      <c r="E10" s="2" t="s">
        <v>74</v>
      </c>
      <c r="F10" s="2" t="s">
        <v>333</v>
      </c>
      <c r="G10" s="2" t="s">
        <v>75</v>
      </c>
      <c r="H10" s="11">
        <v>115</v>
      </c>
      <c r="I10" s="11">
        <v>97</v>
      </c>
      <c r="J10" s="11">
        <v>40</v>
      </c>
      <c r="K10" s="11">
        <v>72</v>
      </c>
      <c r="L10" s="12">
        <v>0.55559999999999998</v>
      </c>
      <c r="M10" s="11">
        <v>24</v>
      </c>
      <c r="N10" s="11">
        <v>33</v>
      </c>
      <c r="O10" s="12">
        <v>0.72729999999999995</v>
      </c>
      <c r="P10" s="11">
        <v>16</v>
      </c>
      <c r="Q10" s="11">
        <v>39</v>
      </c>
      <c r="R10" s="12">
        <v>0.4103</v>
      </c>
      <c r="S10" s="11">
        <v>19</v>
      </c>
      <c r="T10" s="11">
        <v>24</v>
      </c>
      <c r="U10" s="12">
        <v>0.79169999999999996</v>
      </c>
      <c r="V10" s="11">
        <v>14</v>
      </c>
      <c r="W10" s="11">
        <v>27</v>
      </c>
      <c r="X10" s="11">
        <v>41</v>
      </c>
      <c r="Y10" s="11">
        <v>25</v>
      </c>
      <c r="Z10" s="11">
        <v>4</v>
      </c>
      <c r="AA10" s="11">
        <v>1</v>
      </c>
      <c r="AB10" s="11">
        <v>12</v>
      </c>
      <c r="AC10" s="11">
        <v>16</v>
      </c>
      <c r="AD10" s="11">
        <v>37</v>
      </c>
      <c r="AE10" s="11">
        <v>74</v>
      </c>
      <c r="AF10" s="12">
        <v>0.5</v>
      </c>
      <c r="AG10" s="11">
        <v>27</v>
      </c>
      <c r="AH10" s="11">
        <v>46</v>
      </c>
      <c r="AI10" s="12">
        <v>0.58699999999999997</v>
      </c>
      <c r="AJ10" s="11">
        <v>10</v>
      </c>
      <c r="AK10" s="11">
        <v>28</v>
      </c>
      <c r="AL10" s="12">
        <v>0.35709999999999997</v>
      </c>
      <c r="AM10" s="11">
        <v>13</v>
      </c>
      <c r="AN10" s="11">
        <v>17</v>
      </c>
      <c r="AO10" s="12">
        <v>0.76470000000000005</v>
      </c>
      <c r="AP10" s="11">
        <v>11</v>
      </c>
      <c r="AQ10" s="11">
        <v>18</v>
      </c>
      <c r="AR10" s="11">
        <v>29</v>
      </c>
      <c r="AS10" s="11">
        <v>23</v>
      </c>
      <c r="AT10" s="11">
        <v>9</v>
      </c>
      <c r="AU10" s="11">
        <v>0</v>
      </c>
      <c r="AV10" s="11">
        <v>10</v>
      </c>
      <c r="AW10" s="11">
        <v>19</v>
      </c>
      <c r="AX10" s="12">
        <v>0.69650000000000001</v>
      </c>
      <c r="AY10" s="12">
        <v>0.66669999999999996</v>
      </c>
      <c r="AZ10" s="12">
        <v>0.4375</v>
      </c>
      <c r="BA10" s="12">
        <v>0.71050000000000002</v>
      </c>
      <c r="BB10" s="12">
        <v>0.5857</v>
      </c>
      <c r="BC10" s="4">
        <v>81.908000000000001</v>
      </c>
      <c r="BD10" s="12">
        <v>0.625</v>
      </c>
      <c r="BE10" s="12">
        <v>0.26390000000000002</v>
      </c>
      <c r="BF10" s="12">
        <v>0.12690000000000001</v>
      </c>
      <c r="BG10" s="4">
        <v>145.9</v>
      </c>
      <c r="BH10" s="4">
        <v>123</v>
      </c>
      <c r="BI10" s="4">
        <v>78.845500000000001</v>
      </c>
      <c r="BJ10" s="12">
        <v>0.59519999999999995</v>
      </c>
      <c r="BK10" s="12">
        <v>0.56759999999999999</v>
      </c>
      <c r="BL10" s="12">
        <v>0.28949999999999998</v>
      </c>
      <c r="BM10" s="12">
        <v>0.5625</v>
      </c>
      <c r="BN10" s="12">
        <v>0.4143</v>
      </c>
      <c r="BO10" s="4">
        <v>75.783000000000001</v>
      </c>
      <c r="BP10" s="12">
        <v>0.62160000000000004</v>
      </c>
      <c r="BQ10" s="12">
        <v>0.1757</v>
      </c>
      <c r="BR10" s="12">
        <v>0.10929999999999999</v>
      </c>
      <c r="BS10" s="4">
        <v>123</v>
      </c>
      <c r="BT10" s="4">
        <v>145.9</v>
      </c>
      <c r="BU10" s="11">
        <v>30</v>
      </c>
      <c r="BV10" s="11">
        <v>34</v>
      </c>
      <c r="BW10" s="11">
        <v>25</v>
      </c>
      <c r="BX10" s="11">
        <v>26</v>
      </c>
      <c r="BY10" s="11">
        <v>22</v>
      </c>
      <c r="BZ10" s="11">
        <v>25</v>
      </c>
      <c r="CA10" s="11">
        <v>19</v>
      </c>
      <c r="CB10" s="11">
        <v>31</v>
      </c>
      <c r="CC10" s="11">
        <v>64</v>
      </c>
      <c r="CD10" s="11">
        <v>51</v>
      </c>
      <c r="CE10" s="11">
        <v>47</v>
      </c>
      <c r="CF10" s="11">
        <v>50</v>
      </c>
      <c r="CG10" s="4">
        <v>1.18</v>
      </c>
      <c r="CH10" s="13">
        <v>5</v>
      </c>
      <c r="CI10" s="4">
        <v>-10.5</v>
      </c>
      <c r="CJ10" s="4">
        <v>10.5</v>
      </c>
      <c r="CK10" s="4">
        <v>171.5</v>
      </c>
      <c r="CL10" s="2" t="s">
        <v>427</v>
      </c>
      <c r="CM10" s="4" t="str">
        <f>VLOOKUP(paris[[#This Row],[Away_team]],all[[Full name]:[Abbr]],3,FALSE)</f>
        <v>NCY</v>
      </c>
      <c r="CN10" s="4">
        <f>IF(OR(paris[[#This Row],[Result]]="w",paris[[#This Row],[Result]]="dw"),paris[[#This Row],[win]]-1,-1)</f>
        <v>0.17999999999999994</v>
      </c>
      <c r="CO10" s="4">
        <f>IF(OR(paris[[#This Row],[Result]]="L",paris[[#This Row],[Result]]="dl"),paris[[#This Row],[lose]]-1,-1)</f>
        <v>-1</v>
      </c>
      <c r="CP10" s="4">
        <f>IF(OR((paris[[#This Row],[Home_scored]]+paris[[#This Row],[Away_scored]])&gt;paris[[#This Row],[total]],OR(paris[[#This Row],[Result]]="dw",paris[[#This Row],[Result]]="dl")),1,0)</f>
        <v>1</v>
      </c>
      <c r="CQ10" s="4">
        <f>ABS((paris[[#This Row],[Home_scored]]+paris[[#This Row],[Away_scored]])-paris[[#This Row],[total]])+0.5</f>
        <v>41</v>
      </c>
    </row>
    <row r="11" spans="1:95" x14ac:dyDescent="0.25">
      <c r="A11" s="2" t="s">
        <v>349</v>
      </c>
      <c r="B11" s="2" t="s">
        <v>339</v>
      </c>
      <c r="C11" s="3" t="s">
        <v>73</v>
      </c>
      <c r="D11" s="3">
        <v>45606</v>
      </c>
      <c r="E11" s="2" t="s">
        <v>140</v>
      </c>
      <c r="F11" s="2" t="s">
        <v>342</v>
      </c>
      <c r="G11" s="2" t="s">
        <v>75</v>
      </c>
      <c r="H11" s="11">
        <v>97</v>
      </c>
      <c r="I11" s="11">
        <v>65</v>
      </c>
      <c r="J11" s="11">
        <v>34</v>
      </c>
      <c r="K11" s="11">
        <v>64</v>
      </c>
      <c r="L11" s="12">
        <v>0.53129999999999999</v>
      </c>
      <c r="M11" s="11">
        <v>20</v>
      </c>
      <c r="N11" s="11">
        <v>34</v>
      </c>
      <c r="O11" s="12">
        <v>0.58819999999999995</v>
      </c>
      <c r="P11" s="11">
        <v>14</v>
      </c>
      <c r="Q11" s="11">
        <v>30</v>
      </c>
      <c r="R11" s="12">
        <v>0.4667</v>
      </c>
      <c r="S11" s="11">
        <v>15</v>
      </c>
      <c r="T11" s="11">
        <v>21</v>
      </c>
      <c r="U11" s="12">
        <v>0.71430000000000005</v>
      </c>
      <c r="V11" s="11">
        <v>9</v>
      </c>
      <c r="W11" s="11">
        <v>28</v>
      </c>
      <c r="X11" s="11">
        <v>37</v>
      </c>
      <c r="Y11" s="11">
        <v>23</v>
      </c>
      <c r="Z11" s="11">
        <v>2</v>
      </c>
      <c r="AA11" s="11">
        <v>6</v>
      </c>
      <c r="AB11" s="11">
        <v>8</v>
      </c>
      <c r="AC11" s="11">
        <v>22</v>
      </c>
      <c r="AD11" s="11">
        <v>23</v>
      </c>
      <c r="AE11" s="11">
        <v>65</v>
      </c>
      <c r="AF11" s="12">
        <v>0.3538</v>
      </c>
      <c r="AG11" s="11">
        <v>17</v>
      </c>
      <c r="AH11" s="11">
        <v>32</v>
      </c>
      <c r="AI11" s="12">
        <v>0.53129999999999999</v>
      </c>
      <c r="AJ11" s="11">
        <v>6</v>
      </c>
      <c r="AK11" s="11">
        <v>33</v>
      </c>
      <c r="AL11" s="12">
        <v>0.18179999999999999</v>
      </c>
      <c r="AM11" s="11">
        <v>13</v>
      </c>
      <c r="AN11" s="11">
        <v>17</v>
      </c>
      <c r="AO11" s="12">
        <v>0.76470000000000005</v>
      </c>
      <c r="AP11" s="11">
        <v>14</v>
      </c>
      <c r="AQ11" s="11">
        <v>24</v>
      </c>
      <c r="AR11" s="11">
        <v>38</v>
      </c>
      <c r="AS11" s="11">
        <v>14</v>
      </c>
      <c r="AT11" s="11">
        <v>6</v>
      </c>
      <c r="AU11" s="11">
        <v>2</v>
      </c>
      <c r="AV11" s="11">
        <v>6</v>
      </c>
      <c r="AW11" s="11">
        <v>19</v>
      </c>
      <c r="AX11" s="12">
        <v>0.66220000000000001</v>
      </c>
      <c r="AY11" s="12">
        <v>0.64059999999999995</v>
      </c>
      <c r="AZ11" s="12">
        <v>0.2727</v>
      </c>
      <c r="BA11" s="12">
        <v>0.66669999999999996</v>
      </c>
      <c r="BB11" s="12">
        <v>0.49330000000000002</v>
      </c>
      <c r="BC11" s="4">
        <v>72.591999999999999</v>
      </c>
      <c r="BD11" s="12">
        <v>0.67649999999999999</v>
      </c>
      <c r="BE11" s="12">
        <v>0.2344</v>
      </c>
      <c r="BF11" s="12">
        <v>9.8500000000000004E-2</v>
      </c>
      <c r="BG11" s="4">
        <v>145</v>
      </c>
      <c r="BH11" s="4">
        <v>97.1</v>
      </c>
      <c r="BI11" s="4">
        <v>66.917500000000004</v>
      </c>
      <c r="BJ11" s="12">
        <v>0.44840000000000002</v>
      </c>
      <c r="BK11" s="12">
        <v>0.4</v>
      </c>
      <c r="BL11" s="12">
        <v>0.33329999999999999</v>
      </c>
      <c r="BM11" s="12">
        <v>0.72729999999999995</v>
      </c>
      <c r="BN11" s="12">
        <v>0.50670000000000004</v>
      </c>
      <c r="BO11" s="4">
        <v>61.243000000000002</v>
      </c>
      <c r="BP11" s="12">
        <v>0.60870000000000002</v>
      </c>
      <c r="BQ11" s="12">
        <v>0.2</v>
      </c>
      <c r="BR11" s="12">
        <v>7.6499999999999999E-2</v>
      </c>
      <c r="BS11" s="4">
        <v>97.1</v>
      </c>
      <c r="BT11" s="4">
        <v>145</v>
      </c>
      <c r="BU11" s="11">
        <v>25</v>
      </c>
      <c r="BV11" s="11">
        <v>20</v>
      </c>
      <c r="BW11" s="11">
        <v>32</v>
      </c>
      <c r="BX11" s="11">
        <v>20</v>
      </c>
      <c r="BY11" s="11">
        <v>22</v>
      </c>
      <c r="BZ11" s="11">
        <v>14</v>
      </c>
      <c r="CA11" s="11">
        <v>16</v>
      </c>
      <c r="CB11" s="11">
        <v>13</v>
      </c>
      <c r="CC11" s="11">
        <v>45</v>
      </c>
      <c r="CD11" s="11">
        <v>52</v>
      </c>
      <c r="CE11" s="11">
        <v>36</v>
      </c>
      <c r="CF11" s="11">
        <v>29</v>
      </c>
      <c r="CG11" s="4">
        <v>1.56</v>
      </c>
      <c r="CH11" s="13">
        <v>2.5</v>
      </c>
      <c r="CI11" s="4">
        <v>-4</v>
      </c>
      <c r="CJ11" s="4">
        <v>4</v>
      </c>
      <c r="CK11" s="4">
        <v>165.5</v>
      </c>
      <c r="CL11" s="2" t="s">
        <v>430</v>
      </c>
      <c r="CM11" s="4" t="str">
        <f>VLOOKUP(paris[[#This Row],[Away_team]],all[[Full name]:[Abbr]],3,FALSE)</f>
        <v>SQU</v>
      </c>
      <c r="CN11" s="4">
        <f>IF(OR(paris[[#This Row],[Result]]="w",paris[[#This Row],[Result]]="dw"),paris[[#This Row],[win]]-1,-1)</f>
        <v>0.56000000000000005</v>
      </c>
      <c r="CO11" s="4">
        <f>IF(OR(paris[[#This Row],[Result]]="L",paris[[#This Row],[Result]]="dl"),paris[[#This Row],[lose]]-1,-1)</f>
        <v>-1</v>
      </c>
      <c r="CP11" s="4">
        <f>IF(OR((paris[[#This Row],[Home_scored]]+paris[[#This Row],[Away_scored]])&gt;paris[[#This Row],[total]],OR(paris[[#This Row],[Result]]="dw",paris[[#This Row],[Result]]="dl")),1,0)</f>
        <v>0</v>
      </c>
      <c r="CQ11" s="4">
        <f>ABS((paris[[#This Row],[Home_scored]]+paris[[#This Row],[Away_scored]])-paris[[#This Row],[total]])+0.5</f>
        <v>4</v>
      </c>
    </row>
    <row r="12" spans="1:95" x14ac:dyDescent="0.25">
      <c r="A12" s="2" t="s">
        <v>349</v>
      </c>
      <c r="B12" s="2" t="s">
        <v>339</v>
      </c>
      <c r="C12" s="3" t="s">
        <v>73</v>
      </c>
      <c r="D12" s="3">
        <v>45613</v>
      </c>
      <c r="E12" s="2" t="s">
        <v>74</v>
      </c>
      <c r="F12" s="2" t="s">
        <v>345</v>
      </c>
      <c r="G12" s="2" t="s">
        <v>75</v>
      </c>
      <c r="H12" s="11">
        <v>106</v>
      </c>
      <c r="I12" s="11">
        <v>74</v>
      </c>
      <c r="J12" s="11">
        <v>40</v>
      </c>
      <c r="K12" s="11">
        <v>69</v>
      </c>
      <c r="L12" s="12">
        <v>0.57969999999999999</v>
      </c>
      <c r="M12" s="11">
        <v>22</v>
      </c>
      <c r="N12" s="11">
        <v>29</v>
      </c>
      <c r="O12" s="12">
        <v>0.75860000000000005</v>
      </c>
      <c r="P12" s="11">
        <v>18</v>
      </c>
      <c r="Q12" s="11">
        <v>40</v>
      </c>
      <c r="R12" s="12">
        <v>0.45</v>
      </c>
      <c r="S12" s="11">
        <v>8</v>
      </c>
      <c r="T12" s="11">
        <v>8</v>
      </c>
      <c r="U12" s="12">
        <v>1</v>
      </c>
      <c r="V12" s="11">
        <v>9</v>
      </c>
      <c r="W12" s="11">
        <v>28</v>
      </c>
      <c r="X12" s="11">
        <v>37</v>
      </c>
      <c r="Y12" s="11">
        <v>27</v>
      </c>
      <c r="Z12" s="11">
        <v>9</v>
      </c>
      <c r="AA12" s="11">
        <v>6</v>
      </c>
      <c r="AB12" s="11">
        <v>11</v>
      </c>
      <c r="AC12" s="11">
        <v>12</v>
      </c>
      <c r="AD12" s="11">
        <v>30</v>
      </c>
      <c r="AE12" s="11">
        <v>69</v>
      </c>
      <c r="AF12" s="12">
        <v>0.43480000000000002</v>
      </c>
      <c r="AG12" s="11">
        <v>19</v>
      </c>
      <c r="AH12" s="11">
        <v>41</v>
      </c>
      <c r="AI12" s="12">
        <v>0.46339999999999998</v>
      </c>
      <c r="AJ12" s="11">
        <v>11</v>
      </c>
      <c r="AK12" s="11">
        <v>28</v>
      </c>
      <c r="AL12" s="12">
        <v>0.39290000000000003</v>
      </c>
      <c r="AM12" s="11">
        <v>3</v>
      </c>
      <c r="AN12" s="11">
        <v>5</v>
      </c>
      <c r="AO12" s="12">
        <v>0.6</v>
      </c>
      <c r="AP12" s="11">
        <v>10</v>
      </c>
      <c r="AQ12" s="11">
        <v>20</v>
      </c>
      <c r="AR12" s="11">
        <v>30</v>
      </c>
      <c r="AS12" s="11">
        <v>19</v>
      </c>
      <c r="AT12" s="11">
        <v>7</v>
      </c>
      <c r="AU12" s="11">
        <v>1</v>
      </c>
      <c r="AV12" s="11">
        <v>16</v>
      </c>
      <c r="AW12" s="11">
        <v>17</v>
      </c>
      <c r="AX12" s="12">
        <v>0.73080000000000001</v>
      </c>
      <c r="AY12" s="12">
        <v>0.71009999999999995</v>
      </c>
      <c r="AZ12" s="12">
        <v>0.31030000000000002</v>
      </c>
      <c r="BA12" s="12">
        <v>0.73680000000000001</v>
      </c>
      <c r="BB12" s="12">
        <v>0.55220000000000002</v>
      </c>
      <c r="BC12" s="4">
        <v>75.652000000000001</v>
      </c>
      <c r="BD12" s="12">
        <v>0.67500000000000004</v>
      </c>
      <c r="BE12" s="12">
        <v>0.1159</v>
      </c>
      <c r="BF12" s="12">
        <v>0.13170000000000001</v>
      </c>
      <c r="BG12" s="4">
        <v>142.5</v>
      </c>
      <c r="BH12" s="4">
        <v>99.5</v>
      </c>
      <c r="BI12" s="4">
        <v>74.370999999999995</v>
      </c>
      <c r="BJ12" s="12">
        <v>0.51970000000000005</v>
      </c>
      <c r="BK12" s="12">
        <v>0.51449999999999996</v>
      </c>
      <c r="BL12" s="12">
        <v>0.26319999999999999</v>
      </c>
      <c r="BM12" s="12">
        <v>0.68969999999999998</v>
      </c>
      <c r="BN12" s="12">
        <v>0.44779999999999998</v>
      </c>
      <c r="BO12" s="4">
        <v>73.09</v>
      </c>
      <c r="BP12" s="12">
        <v>0.63329999999999997</v>
      </c>
      <c r="BQ12" s="12">
        <v>4.3499999999999997E-2</v>
      </c>
      <c r="BR12" s="12">
        <v>0.1835</v>
      </c>
      <c r="BS12" s="4">
        <v>99.5</v>
      </c>
      <c r="BT12" s="4">
        <v>142.5</v>
      </c>
      <c r="BU12" s="11">
        <v>22</v>
      </c>
      <c r="BV12" s="11">
        <v>31</v>
      </c>
      <c r="BW12" s="11">
        <v>24</v>
      </c>
      <c r="BX12" s="11">
        <v>29</v>
      </c>
      <c r="BY12" s="11">
        <v>16</v>
      </c>
      <c r="BZ12" s="11">
        <v>16</v>
      </c>
      <c r="CA12" s="11">
        <v>21</v>
      </c>
      <c r="CB12" s="11">
        <v>21</v>
      </c>
      <c r="CC12" s="11">
        <v>53</v>
      </c>
      <c r="CD12" s="11">
        <v>53</v>
      </c>
      <c r="CE12" s="11">
        <v>32</v>
      </c>
      <c r="CF12" s="11">
        <v>42</v>
      </c>
      <c r="CG12" s="4">
        <v>1.22</v>
      </c>
      <c r="CH12" s="13">
        <v>4.5</v>
      </c>
      <c r="CI12" s="4">
        <v>-9.5</v>
      </c>
      <c r="CJ12" s="4">
        <v>9.5</v>
      </c>
      <c r="CK12" s="4">
        <v>172.5</v>
      </c>
      <c r="CL12" s="2" t="s">
        <v>431</v>
      </c>
      <c r="CM12" s="4" t="str">
        <f>VLOOKUP(paris[[#This Row],[Away_team]],all[[Full name]:[Abbr]],3,FALSE)</f>
        <v>STR</v>
      </c>
      <c r="CN12" s="4">
        <f>IF(OR(paris[[#This Row],[Result]]="w",paris[[#This Row],[Result]]="dw"),paris[[#This Row],[win]]-1,-1)</f>
        <v>0.21999999999999997</v>
      </c>
      <c r="CO12" s="4">
        <f>IF(OR(paris[[#This Row],[Result]]="L",paris[[#This Row],[Result]]="dl"),paris[[#This Row],[lose]]-1,-1)</f>
        <v>-1</v>
      </c>
      <c r="CP12" s="4">
        <f>IF(OR((paris[[#This Row],[Home_scored]]+paris[[#This Row],[Away_scored]])&gt;paris[[#This Row],[total]],OR(paris[[#This Row],[Result]]="dw",paris[[#This Row],[Result]]="dl")),1,0)</f>
        <v>1</v>
      </c>
      <c r="CQ12" s="4">
        <f>ABS((paris[[#This Row],[Home_scored]]+paris[[#This Row],[Away_scored]])-paris[[#This Row],[total]])+0.5</f>
        <v>8</v>
      </c>
    </row>
    <row r="13" spans="1:95" x14ac:dyDescent="0.25">
      <c r="A13" s="2" t="s">
        <v>349</v>
      </c>
      <c r="B13" s="2" t="s">
        <v>339</v>
      </c>
      <c r="C13" s="3" t="s">
        <v>73</v>
      </c>
      <c r="D13" s="3">
        <v>45626</v>
      </c>
      <c r="E13" s="2" t="s">
        <v>140</v>
      </c>
      <c r="F13" s="2" t="s">
        <v>320</v>
      </c>
      <c r="G13" s="2" t="s">
        <v>75</v>
      </c>
      <c r="H13" s="11">
        <v>87</v>
      </c>
      <c r="I13" s="11">
        <v>78</v>
      </c>
      <c r="J13" s="11">
        <v>32</v>
      </c>
      <c r="K13" s="11">
        <v>72</v>
      </c>
      <c r="L13" s="12">
        <v>0.44440000000000002</v>
      </c>
      <c r="M13" s="11">
        <v>24</v>
      </c>
      <c r="N13" s="11">
        <v>45</v>
      </c>
      <c r="O13" s="12">
        <v>0.5333</v>
      </c>
      <c r="P13" s="11">
        <v>8</v>
      </c>
      <c r="Q13" s="11">
        <v>27</v>
      </c>
      <c r="R13" s="12">
        <v>0.29630000000000001</v>
      </c>
      <c r="S13" s="11">
        <v>15</v>
      </c>
      <c r="T13" s="11">
        <v>20</v>
      </c>
      <c r="U13" s="12">
        <v>0.75</v>
      </c>
      <c r="V13" s="11">
        <v>18</v>
      </c>
      <c r="W13" s="11">
        <v>27</v>
      </c>
      <c r="X13" s="11">
        <v>45</v>
      </c>
      <c r="Y13" s="11">
        <v>10</v>
      </c>
      <c r="Z13" s="11">
        <v>8</v>
      </c>
      <c r="AA13" s="11">
        <v>2</v>
      </c>
      <c r="AB13" s="11">
        <v>12</v>
      </c>
      <c r="AC13" s="11">
        <v>25</v>
      </c>
      <c r="AD13" s="11">
        <v>25</v>
      </c>
      <c r="AE13" s="11">
        <v>58</v>
      </c>
      <c r="AF13" s="12">
        <v>0.43099999999999999</v>
      </c>
      <c r="AG13" s="11">
        <v>19</v>
      </c>
      <c r="AH13" s="11">
        <v>41</v>
      </c>
      <c r="AI13" s="12">
        <v>0.46339999999999998</v>
      </c>
      <c r="AJ13" s="11">
        <v>6</v>
      </c>
      <c r="AK13" s="11">
        <v>17</v>
      </c>
      <c r="AL13" s="12">
        <v>0.35289999999999999</v>
      </c>
      <c r="AM13" s="11">
        <v>22</v>
      </c>
      <c r="AN13" s="11">
        <v>31</v>
      </c>
      <c r="AO13" s="12">
        <v>0.7097</v>
      </c>
      <c r="AP13" s="11">
        <v>8</v>
      </c>
      <c r="AQ13" s="11">
        <v>23</v>
      </c>
      <c r="AR13" s="11">
        <v>31</v>
      </c>
      <c r="AS13" s="11">
        <v>15</v>
      </c>
      <c r="AT13" s="11">
        <v>6</v>
      </c>
      <c r="AU13" s="11">
        <v>3</v>
      </c>
      <c r="AV13" s="11">
        <v>12</v>
      </c>
      <c r="AW13" s="11">
        <v>20</v>
      </c>
      <c r="AX13" s="12">
        <v>0.53839999999999999</v>
      </c>
      <c r="AY13" s="12">
        <v>0.5</v>
      </c>
      <c r="AZ13" s="12">
        <v>0.439</v>
      </c>
      <c r="BA13" s="12">
        <v>0.77139999999999997</v>
      </c>
      <c r="BB13" s="12">
        <v>0.59209999999999996</v>
      </c>
      <c r="BC13" s="4">
        <v>74.88</v>
      </c>
      <c r="BD13" s="12">
        <v>0.3125</v>
      </c>
      <c r="BE13" s="12">
        <v>0.20830000000000001</v>
      </c>
      <c r="BF13" s="12">
        <v>0.1293</v>
      </c>
      <c r="BG13" s="4">
        <v>117.4</v>
      </c>
      <c r="BH13" s="4">
        <v>105.3</v>
      </c>
      <c r="BI13" s="4">
        <v>74.084000000000003</v>
      </c>
      <c r="BJ13" s="12">
        <v>0.5444</v>
      </c>
      <c r="BK13" s="12">
        <v>0.48280000000000001</v>
      </c>
      <c r="BL13" s="12">
        <v>0.2286</v>
      </c>
      <c r="BM13" s="12">
        <v>0.56100000000000005</v>
      </c>
      <c r="BN13" s="12">
        <v>0.40789999999999998</v>
      </c>
      <c r="BO13" s="4">
        <v>73.287999999999997</v>
      </c>
      <c r="BP13" s="12">
        <v>0.6</v>
      </c>
      <c r="BQ13" s="12">
        <v>0.37930000000000003</v>
      </c>
      <c r="BR13" s="12">
        <v>0.14349999999999999</v>
      </c>
      <c r="BS13" s="4">
        <v>105.3</v>
      </c>
      <c r="BT13" s="4">
        <v>117.4</v>
      </c>
      <c r="BU13" s="11">
        <v>24</v>
      </c>
      <c r="BV13" s="11">
        <v>15</v>
      </c>
      <c r="BW13" s="11">
        <v>30</v>
      </c>
      <c r="BX13" s="11">
        <v>18</v>
      </c>
      <c r="BY13" s="11">
        <v>33</v>
      </c>
      <c r="BZ13" s="11">
        <v>12</v>
      </c>
      <c r="CA13" s="11">
        <v>16</v>
      </c>
      <c r="CB13" s="11">
        <v>17</v>
      </c>
      <c r="CC13" s="11">
        <v>39</v>
      </c>
      <c r="CD13" s="11">
        <v>48</v>
      </c>
      <c r="CE13" s="11">
        <v>45</v>
      </c>
      <c r="CF13" s="11">
        <v>33</v>
      </c>
      <c r="CG13" s="4">
        <v>1.26</v>
      </c>
      <c r="CH13" s="13">
        <v>4</v>
      </c>
      <c r="CI13" s="4">
        <v>-8.5</v>
      </c>
      <c r="CJ13" s="4">
        <v>8.5</v>
      </c>
      <c r="CK13" s="4">
        <v>169.5</v>
      </c>
      <c r="CL13" s="2" t="s">
        <v>407</v>
      </c>
      <c r="CM13" s="4" t="str">
        <f>VLOOKUP(paris[[#This Row],[Away_team]],all[[Full name]:[Abbr]],3,FALSE)</f>
        <v>POR</v>
      </c>
      <c r="CN13" s="4">
        <f>IF(OR(paris[[#This Row],[Result]]="w",paris[[#This Row],[Result]]="dw"),paris[[#This Row],[win]]-1,-1)</f>
        <v>0.26</v>
      </c>
      <c r="CO13" s="4">
        <f>IF(OR(paris[[#This Row],[Result]]="L",paris[[#This Row],[Result]]="dl"),paris[[#This Row],[lose]]-1,-1)</f>
        <v>-1</v>
      </c>
      <c r="CP13" s="4">
        <f>IF(OR((paris[[#This Row],[Home_scored]]+paris[[#This Row],[Away_scored]])&gt;paris[[#This Row],[total]],OR(paris[[#This Row],[Result]]="dw",paris[[#This Row],[Result]]="dl")),1,0)</f>
        <v>0</v>
      </c>
      <c r="CQ13" s="4">
        <f>ABS((paris[[#This Row],[Home_scored]]+paris[[#This Row],[Away_scored]])-paris[[#This Row],[total]])+0.5</f>
        <v>5</v>
      </c>
    </row>
    <row r="14" spans="1:95" x14ac:dyDescent="0.25">
      <c r="A14" s="2" t="s">
        <v>349</v>
      </c>
      <c r="B14" s="2" t="s">
        <v>339</v>
      </c>
      <c r="C14" s="3" t="s">
        <v>73</v>
      </c>
      <c r="D14" s="3">
        <v>45634</v>
      </c>
      <c r="E14" s="2" t="s">
        <v>74</v>
      </c>
      <c r="F14" s="2" t="s">
        <v>330</v>
      </c>
      <c r="G14" s="2" t="s">
        <v>146</v>
      </c>
      <c r="H14" s="11">
        <v>92</v>
      </c>
      <c r="I14" s="11">
        <v>92</v>
      </c>
      <c r="J14" s="11">
        <v>30</v>
      </c>
      <c r="K14" s="11">
        <v>62</v>
      </c>
      <c r="L14" s="12">
        <v>0.4839</v>
      </c>
      <c r="M14" s="11">
        <v>18</v>
      </c>
      <c r="N14" s="11">
        <v>26</v>
      </c>
      <c r="O14" s="12">
        <v>0.69230000000000003</v>
      </c>
      <c r="P14" s="11">
        <v>12</v>
      </c>
      <c r="Q14" s="11">
        <v>36</v>
      </c>
      <c r="R14" s="12">
        <v>0.33329999999999999</v>
      </c>
      <c r="S14" s="11">
        <v>20</v>
      </c>
      <c r="T14" s="11">
        <v>21</v>
      </c>
      <c r="U14" s="12">
        <v>0.95240000000000002</v>
      </c>
      <c r="V14" s="11">
        <v>17</v>
      </c>
      <c r="W14" s="11">
        <v>22</v>
      </c>
      <c r="X14" s="11">
        <v>39</v>
      </c>
      <c r="Y14" s="11">
        <v>19</v>
      </c>
      <c r="Z14" s="11">
        <v>5</v>
      </c>
      <c r="AA14" s="11">
        <v>1</v>
      </c>
      <c r="AB14" s="11">
        <v>19</v>
      </c>
      <c r="AC14" s="11">
        <v>25</v>
      </c>
      <c r="AD14" s="11">
        <v>29</v>
      </c>
      <c r="AE14" s="11">
        <v>73</v>
      </c>
      <c r="AF14" s="12">
        <v>0.39729999999999999</v>
      </c>
      <c r="AG14" s="11">
        <v>16</v>
      </c>
      <c r="AH14" s="11">
        <v>40</v>
      </c>
      <c r="AI14" s="12">
        <v>0.4</v>
      </c>
      <c r="AJ14" s="11">
        <v>13</v>
      </c>
      <c r="AK14" s="11">
        <v>33</v>
      </c>
      <c r="AL14" s="12">
        <v>0.39389999999999997</v>
      </c>
      <c r="AM14" s="11">
        <v>21</v>
      </c>
      <c r="AN14" s="11">
        <v>23</v>
      </c>
      <c r="AO14" s="12">
        <v>0.91300000000000003</v>
      </c>
      <c r="AP14" s="11">
        <v>21</v>
      </c>
      <c r="AQ14" s="11">
        <v>14</v>
      </c>
      <c r="AR14" s="11">
        <v>35</v>
      </c>
      <c r="AS14" s="11">
        <v>18</v>
      </c>
      <c r="AT14" s="11">
        <v>8</v>
      </c>
      <c r="AU14" s="11">
        <v>4</v>
      </c>
      <c r="AV14" s="11">
        <v>10</v>
      </c>
      <c r="AW14" s="11">
        <v>22</v>
      </c>
      <c r="AX14" s="12">
        <v>0.64570000000000005</v>
      </c>
      <c r="AY14" s="12">
        <v>0.5806</v>
      </c>
      <c r="AZ14" s="12">
        <v>0.5484</v>
      </c>
      <c r="BA14" s="12">
        <v>0.51160000000000005</v>
      </c>
      <c r="BB14" s="12">
        <v>0.52700000000000002</v>
      </c>
      <c r="BC14" s="4">
        <v>74.474999999999994</v>
      </c>
      <c r="BD14" s="12">
        <v>0.63329999999999997</v>
      </c>
      <c r="BE14" s="12">
        <v>0.3226</v>
      </c>
      <c r="BF14" s="12">
        <v>0.21049999999999999</v>
      </c>
      <c r="BG14" s="4">
        <v>132.9</v>
      </c>
      <c r="BH14" s="4">
        <v>132.9</v>
      </c>
      <c r="BI14" s="4">
        <v>69.213499999999996</v>
      </c>
      <c r="BJ14" s="12">
        <v>0.5534</v>
      </c>
      <c r="BK14" s="12">
        <v>0.48630000000000001</v>
      </c>
      <c r="BL14" s="12">
        <v>0.4884</v>
      </c>
      <c r="BM14" s="12">
        <v>0.4516</v>
      </c>
      <c r="BN14" s="12">
        <v>0.47299999999999998</v>
      </c>
      <c r="BO14" s="4">
        <v>63.951999999999998</v>
      </c>
      <c r="BP14" s="12">
        <v>0.62070000000000003</v>
      </c>
      <c r="BQ14" s="12">
        <v>0.28770000000000001</v>
      </c>
      <c r="BR14" s="12">
        <v>0.1074</v>
      </c>
      <c r="BS14" s="4">
        <v>132.9</v>
      </c>
      <c r="BT14" s="4">
        <v>132.9</v>
      </c>
      <c r="BU14" s="11">
        <v>16</v>
      </c>
      <c r="BV14" s="11">
        <v>22</v>
      </c>
      <c r="BW14" s="11">
        <v>23</v>
      </c>
      <c r="BX14" s="11">
        <v>31</v>
      </c>
      <c r="BY14" s="11">
        <v>21</v>
      </c>
      <c r="BZ14" s="11">
        <v>28</v>
      </c>
      <c r="CA14" s="11">
        <v>24</v>
      </c>
      <c r="CB14" s="11">
        <v>19</v>
      </c>
      <c r="CC14" s="11">
        <v>38</v>
      </c>
      <c r="CD14" s="11">
        <v>54</v>
      </c>
      <c r="CE14" s="11">
        <v>49</v>
      </c>
      <c r="CF14" s="11">
        <v>43</v>
      </c>
      <c r="CG14" s="4">
        <v>1.77</v>
      </c>
      <c r="CH14" s="13">
        <v>2.1</v>
      </c>
      <c r="CI14" s="4">
        <v>-2</v>
      </c>
      <c r="CJ14" s="4">
        <v>-2</v>
      </c>
      <c r="CK14" s="4">
        <v>168.5</v>
      </c>
      <c r="CL14" s="2" t="s">
        <v>440</v>
      </c>
      <c r="CM14" s="4" t="str">
        <f>VLOOKUP(paris[[#This Row],[Away_team]],all[[Full name]:[Abbr]],3,FALSE)</f>
        <v>MON</v>
      </c>
      <c r="CN14" s="4">
        <f>IF(OR(paris[[#This Row],[Result]]="w",paris[[#This Row],[Result]]="dw"),paris[[#This Row],[win]]-1,-1)</f>
        <v>0.77</v>
      </c>
      <c r="CO14" s="4">
        <f>IF(OR(paris[[#This Row],[Result]]="L",paris[[#This Row],[Result]]="dl"),paris[[#This Row],[lose]]-1,-1)</f>
        <v>-1</v>
      </c>
      <c r="CP14" s="4">
        <f>IF(OR((paris[[#This Row],[Home_scored]]+paris[[#This Row],[Away_scored]])&gt;paris[[#This Row],[total]],OR(paris[[#This Row],[Result]]="dw",paris[[#This Row],[Result]]="dl")),1,0)</f>
        <v>1</v>
      </c>
      <c r="CQ14" s="4">
        <f>ABS((paris[[#This Row],[Home_scored]]+paris[[#This Row],[Away_scored]])-paris[[#This Row],[total]])+0.5</f>
        <v>16</v>
      </c>
    </row>
    <row r="15" spans="1:95" x14ac:dyDescent="0.25">
      <c r="A15" s="2" t="s">
        <v>349</v>
      </c>
      <c r="B15" s="2" t="s">
        <v>339</v>
      </c>
      <c r="C15" s="3" t="s">
        <v>73</v>
      </c>
      <c r="D15" s="3">
        <v>45641</v>
      </c>
      <c r="E15" s="2" t="s">
        <v>140</v>
      </c>
      <c r="F15" s="2" t="s">
        <v>317</v>
      </c>
      <c r="G15" s="2" t="s">
        <v>139</v>
      </c>
      <c r="H15" s="11">
        <v>76</v>
      </c>
      <c r="I15" s="11">
        <v>84</v>
      </c>
      <c r="J15" s="11">
        <v>29</v>
      </c>
      <c r="K15" s="11">
        <v>64</v>
      </c>
      <c r="L15" s="12">
        <v>0.4531</v>
      </c>
      <c r="M15" s="11">
        <v>19</v>
      </c>
      <c r="N15" s="11">
        <v>33</v>
      </c>
      <c r="O15" s="12">
        <v>0.57579999999999998</v>
      </c>
      <c r="P15" s="11">
        <v>10</v>
      </c>
      <c r="Q15" s="11">
        <v>31</v>
      </c>
      <c r="R15" s="12">
        <v>0.3226</v>
      </c>
      <c r="S15" s="11">
        <v>8</v>
      </c>
      <c r="T15" s="11">
        <v>9</v>
      </c>
      <c r="U15" s="12">
        <v>0.88890000000000002</v>
      </c>
      <c r="V15" s="11">
        <v>6</v>
      </c>
      <c r="W15" s="11">
        <v>24</v>
      </c>
      <c r="X15" s="11">
        <v>30</v>
      </c>
      <c r="Y15" s="11">
        <v>20</v>
      </c>
      <c r="Z15" s="11">
        <v>5</v>
      </c>
      <c r="AA15" s="11">
        <v>3</v>
      </c>
      <c r="AB15" s="11">
        <v>13</v>
      </c>
      <c r="AC15" s="11">
        <v>17</v>
      </c>
      <c r="AD15" s="11">
        <v>28</v>
      </c>
      <c r="AE15" s="11">
        <v>64</v>
      </c>
      <c r="AF15" s="12">
        <v>0.4375</v>
      </c>
      <c r="AG15" s="11">
        <v>21</v>
      </c>
      <c r="AH15" s="11">
        <v>33</v>
      </c>
      <c r="AI15" s="12">
        <v>0.63639999999999997</v>
      </c>
      <c r="AJ15" s="11">
        <v>7</v>
      </c>
      <c r="AK15" s="11">
        <v>31</v>
      </c>
      <c r="AL15" s="12">
        <v>0.2258</v>
      </c>
      <c r="AM15" s="11">
        <v>21</v>
      </c>
      <c r="AN15" s="11">
        <v>21</v>
      </c>
      <c r="AO15" s="12">
        <v>1</v>
      </c>
      <c r="AP15" s="11">
        <v>11</v>
      </c>
      <c r="AQ15" s="11">
        <v>28</v>
      </c>
      <c r="AR15" s="11">
        <v>39</v>
      </c>
      <c r="AS15" s="11">
        <v>18</v>
      </c>
      <c r="AT15" s="11">
        <v>10</v>
      </c>
      <c r="AU15" s="11">
        <v>6</v>
      </c>
      <c r="AV15" s="11">
        <v>14</v>
      </c>
      <c r="AW15" s="11">
        <v>13</v>
      </c>
      <c r="AX15" s="12">
        <v>0.55920000000000003</v>
      </c>
      <c r="AY15" s="12">
        <v>0.53129999999999999</v>
      </c>
      <c r="AZ15" s="12">
        <v>0.17649999999999999</v>
      </c>
      <c r="BA15" s="12">
        <v>0.68569999999999998</v>
      </c>
      <c r="BB15" s="12">
        <v>0.43480000000000002</v>
      </c>
      <c r="BC15" s="4">
        <v>73.11</v>
      </c>
      <c r="BD15" s="12">
        <v>0.68969999999999998</v>
      </c>
      <c r="BE15" s="12">
        <v>0.125</v>
      </c>
      <c r="BF15" s="12">
        <v>0.16059999999999999</v>
      </c>
      <c r="BG15" s="4">
        <v>102.3</v>
      </c>
      <c r="BH15" s="4">
        <v>113</v>
      </c>
      <c r="BI15" s="4">
        <v>74.322500000000005</v>
      </c>
      <c r="BJ15" s="12">
        <v>0.57350000000000001</v>
      </c>
      <c r="BK15" s="12">
        <v>0.49220000000000003</v>
      </c>
      <c r="BL15" s="12">
        <v>0.31430000000000002</v>
      </c>
      <c r="BM15" s="12">
        <v>0.82350000000000001</v>
      </c>
      <c r="BN15" s="12">
        <v>0.56520000000000004</v>
      </c>
      <c r="BO15" s="4">
        <v>75.534999999999997</v>
      </c>
      <c r="BP15" s="12">
        <v>0.64290000000000003</v>
      </c>
      <c r="BQ15" s="12">
        <v>0.3281</v>
      </c>
      <c r="BR15" s="12">
        <v>0.1605</v>
      </c>
      <c r="BS15" s="4">
        <v>113</v>
      </c>
      <c r="BT15" s="4">
        <v>102.3</v>
      </c>
      <c r="BU15" s="11">
        <v>18</v>
      </c>
      <c r="BV15" s="11">
        <v>18</v>
      </c>
      <c r="BW15" s="11">
        <v>21</v>
      </c>
      <c r="BX15" s="11">
        <v>19</v>
      </c>
      <c r="BY15" s="11">
        <v>16</v>
      </c>
      <c r="BZ15" s="11">
        <v>26</v>
      </c>
      <c r="CA15" s="11">
        <v>17</v>
      </c>
      <c r="CB15" s="11">
        <v>25</v>
      </c>
      <c r="CC15" s="11">
        <v>36</v>
      </c>
      <c r="CD15" s="11">
        <v>40</v>
      </c>
      <c r="CE15" s="11">
        <v>42</v>
      </c>
      <c r="CF15" s="11">
        <v>42</v>
      </c>
      <c r="CG15" s="4">
        <v>1.27</v>
      </c>
      <c r="CH15" s="13">
        <v>3.9</v>
      </c>
      <c r="CI15" s="4">
        <v>-8.5</v>
      </c>
      <c r="CJ15" s="4">
        <v>8.5</v>
      </c>
      <c r="CK15" s="4">
        <v>174.5</v>
      </c>
      <c r="CL15" s="2" t="s">
        <v>447</v>
      </c>
      <c r="CM15" s="4" t="str">
        <f>VLOOKUP(paris[[#This Row],[Away_team]],all[[Full name]:[Abbr]],3,FALSE)</f>
        <v>LEM</v>
      </c>
      <c r="CN15" s="4">
        <f>IF(OR(paris[[#This Row],[Result]]="w",paris[[#This Row],[Result]]="dw"),paris[[#This Row],[win]]-1,-1)</f>
        <v>-1</v>
      </c>
      <c r="CO15" s="4">
        <f>IF(OR(paris[[#This Row],[Result]]="L",paris[[#This Row],[Result]]="dl"),paris[[#This Row],[lose]]-1,-1)</f>
        <v>2.9</v>
      </c>
      <c r="CP15" s="4">
        <f>IF(OR((paris[[#This Row],[Home_scored]]+paris[[#This Row],[Away_scored]])&gt;paris[[#This Row],[total]],OR(paris[[#This Row],[Result]]="dw",paris[[#This Row],[Result]]="dl")),1,0)</f>
        <v>0</v>
      </c>
      <c r="CQ15" s="4">
        <f>ABS((paris[[#This Row],[Home_scored]]+paris[[#This Row],[Away_scored]])-paris[[#This Row],[total]])+0.5</f>
        <v>15</v>
      </c>
    </row>
    <row r="16" spans="1:95" x14ac:dyDescent="0.25">
      <c r="A16" s="2" t="s">
        <v>349</v>
      </c>
      <c r="B16" s="2" t="s">
        <v>339</v>
      </c>
      <c r="C16" s="3" t="s">
        <v>73</v>
      </c>
      <c r="D16" s="3">
        <v>45648</v>
      </c>
      <c r="E16" s="2" t="s">
        <v>140</v>
      </c>
      <c r="F16" s="2" t="s">
        <v>327</v>
      </c>
      <c r="G16" s="2" t="s">
        <v>139</v>
      </c>
      <c r="H16" s="11">
        <v>92</v>
      </c>
      <c r="I16" s="11">
        <v>98</v>
      </c>
      <c r="J16" s="11">
        <v>27</v>
      </c>
      <c r="K16" s="11">
        <v>62</v>
      </c>
      <c r="L16" s="12">
        <v>0.4355</v>
      </c>
      <c r="M16" s="11">
        <v>19</v>
      </c>
      <c r="N16" s="11">
        <v>35</v>
      </c>
      <c r="O16" s="12">
        <v>0.54290000000000005</v>
      </c>
      <c r="P16" s="11">
        <v>8</v>
      </c>
      <c r="Q16" s="11">
        <v>27</v>
      </c>
      <c r="R16" s="12">
        <v>0.29630000000000001</v>
      </c>
      <c r="S16" s="11">
        <v>30</v>
      </c>
      <c r="T16" s="11">
        <v>34</v>
      </c>
      <c r="U16" s="12">
        <v>0.88239999999999996</v>
      </c>
      <c r="V16" s="11">
        <v>12</v>
      </c>
      <c r="W16" s="11">
        <v>26</v>
      </c>
      <c r="X16" s="11">
        <v>38</v>
      </c>
      <c r="Y16" s="11">
        <v>19</v>
      </c>
      <c r="Z16" s="11">
        <v>9</v>
      </c>
      <c r="AA16" s="11">
        <v>0</v>
      </c>
      <c r="AB16" s="11">
        <v>11</v>
      </c>
      <c r="AC16" s="11">
        <v>29</v>
      </c>
      <c r="AD16" s="11">
        <v>31</v>
      </c>
      <c r="AE16" s="11">
        <v>61</v>
      </c>
      <c r="AF16" s="12">
        <v>0.50819999999999999</v>
      </c>
      <c r="AG16" s="11">
        <v>20</v>
      </c>
      <c r="AH16" s="11">
        <v>35</v>
      </c>
      <c r="AI16" s="12">
        <v>0.57140000000000002</v>
      </c>
      <c r="AJ16" s="11">
        <v>11</v>
      </c>
      <c r="AK16" s="11">
        <v>26</v>
      </c>
      <c r="AL16" s="12">
        <v>0.42309999999999998</v>
      </c>
      <c r="AM16" s="11">
        <v>25</v>
      </c>
      <c r="AN16" s="11">
        <v>34</v>
      </c>
      <c r="AO16" s="12">
        <v>0.73529999999999995</v>
      </c>
      <c r="AP16" s="11">
        <v>10</v>
      </c>
      <c r="AQ16" s="11">
        <v>25</v>
      </c>
      <c r="AR16" s="11">
        <v>35</v>
      </c>
      <c r="AS16" s="11">
        <v>19</v>
      </c>
      <c r="AT16" s="11">
        <v>7</v>
      </c>
      <c r="AU16" s="11">
        <v>4</v>
      </c>
      <c r="AV16" s="11">
        <v>12</v>
      </c>
      <c r="AW16" s="11">
        <v>25</v>
      </c>
      <c r="AX16" s="12">
        <v>0.59770000000000001</v>
      </c>
      <c r="AY16" s="12">
        <v>0.5</v>
      </c>
      <c r="AZ16" s="12">
        <v>0.32429999999999998</v>
      </c>
      <c r="BA16" s="12">
        <v>0.72219999999999995</v>
      </c>
      <c r="BB16" s="12">
        <v>0.52049999999999996</v>
      </c>
      <c r="BC16" s="4">
        <v>74.774000000000001</v>
      </c>
      <c r="BD16" s="12">
        <v>0.70369999999999999</v>
      </c>
      <c r="BE16" s="12">
        <v>0.4839</v>
      </c>
      <c r="BF16" s="12">
        <v>0.12509999999999999</v>
      </c>
      <c r="BG16" s="4">
        <v>120.9</v>
      </c>
      <c r="BH16" s="4">
        <v>128.80000000000001</v>
      </c>
      <c r="BI16" s="4">
        <v>76.101500000000001</v>
      </c>
      <c r="BJ16" s="12">
        <v>0.64510000000000001</v>
      </c>
      <c r="BK16" s="12">
        <v>0.59840000000000004</v>
      </c>
      <c r="BL16" s="12">
        <v>0.27779999999999999</v>
      </c>
      <c r="BM16" s="12">
        <v>0.67569999999999997</v>
      </c>
      <c r="BN16" s="12">
        <v>0.47949999999999998</v>
      </c>
      <c r="BO16" s="4">
        <v>77.429000000000002</v>
      </c>
      <c r="BP16" s="12">
        <v>0.6129</v>
      </c>
      <c r="BQ16" s="12">
        <v>0.4098</v>
      </c>
      <c r="BR16" s="12">
        <v>0.13639999999999999</v>
      </c>
      <c r="BS16" s="4">
        <v>128.80000000000001</v>
      </c>
      <c r="BT16" s="4">
        <v>120.9</v>
      </c>
      <c r="BU16" s="11">
        <v>26</v>
      </c>
      <c r="BV16" s="11">
        <v>22</v>
      </c>
      <c r="BW16" s="11">
        <v>15</v>
      </c>
      <c r="BX16" s="11">
        <v>29</v>
      </c>
      <c r="BY16" s="11">
        <v>24</v>
      </c>
      <c r="BZ16" s="11">
        <v>29</v>
      </c>
      <c r="CA16" s="11">
        <v>19</v>
      </c>
      <c r="CB16" s="11">
        <v>26</v>
      </c>
      <c r="CC16" s="11">
        <v>48</v>
      </c>
      <c r="CD16" s="11">
        <v>44</v>
      </c>
      <c r="CE16" s="11">
        <v>53</v>
      </c>
      <c r="CF16" s="11">
        <v>45</v>
      </c>
      <c r="CG16" s="4">
        <v>2.5</v>
      </c>
      <c r="CH16" s="13">
        <v>1.56</v>
      </c>
      <c r="CI16" s="4">
        <v>-4</v>
      </c>
      <c r="CJ16" s="4">
        <v>-4</v>
      </c>
      <c r="CK16" s="4">
        <v>174.5</v>
      </c>
      <c r="CL16" s="2" t="s">
        <v>456</v>
      </c>
      <c r="CM16" s="4" t="str">
        <f>VLOOKUP(paris[[#This Row],[Away_team]],all[[Full name]:[Abbr]],3,FALSE)</f>
        <v>LYO</v>
      </c>
      <c r="CN16" s="4">
        <f>IF(OR(paris[[#This Row],[Result]]="w",paris[[#This Row],[Result]]="dw"),paris[[#This Row],[win]]-1,-1)</f>
        <v>-1</v>
      </c>
      <c r="CO16" s="4">
        <f>IF(OR(paris[[#This Row],[Result]]="L",paris[[#This Row],[Result]]="dl"),paris[[#This Row],[lose]]-1,-1)</f>
        <v>0.56000000000000005</v>
      </c>
      <c r="CP16" s="4">
        <f>IF(OR((paris[[#This Row],[Home_scored]]+paris[[#This Row],[Away_scored]])&gt;paris[[#This Row],[total]],OR(paris[[#This Row],[Result]]="dw",paris[[#This Row],[Result]]="dl")),1,0)</f>
        <v>1</v>
      </c>
      <c r="CQ16" s="4">
        <f>ABS((paris[[#This Row],[Home_scored]]+paris[[#This Row],[Away_scored]])-paris[[#This Row],[total]])+0.5</f>
        <v>16</v>
      </c>
    </row>
    <row r="17" spans="1:95" x14ac:dyDescent="0.25">
      <c r="A17" s="2" t="s">
        <v>349</v>
      </c>
      <c r="B17" s="2" t="s">
        <v>339</v>
      </c>
      <c r="C17" s="3" t="s">
        <v>73</v>
      </c>
      <c r="D17" s="3">
        <v>45649</v>
      </c>
      <c r="E17" s="2" t="s">
        <v>74</v>
      </c>
      <c r="F17" s="2" t="s">
        <v>324</v>
      </c>
      <c r="G17" s="2" t="s">
        <v>75</v>
      </c>
      <c r="H17" s="11">
        <v>96</v>
      </c>
      <c r="I17" s="11">
        <v>88</v>
      </c>
      <c r="J17" s="11">
        <v>36</v>
      </c>
      <c r="K17" s="11">
        <v>72</v>
      </c>
      <c r="L17" s="12">
        <v>0.5</v>
      </c>
      <c r="M17" s="11">
        <v>21</v>
      </c>
      <c r="N17" s="11">
        <v>33</v>
      </c>
      <c r="O17" s="12">
        <v>0.63639999999999997</v>
      </c>
      <c r="P17" s="11">
        <v>15</v>
      </c>
      <c r="Q17" s="11">
        <v>39</v>
      </c>
      <c r="R17" s="12">
        <v>0.3846</v>
      </c>
      <c r="S17" s="11">
        <v>9</v>
      </c>
      <c r="T17" s="11">
        <v>17</v>
      </c>
      <c r="U17" s="12">
        <v>0.52939999999999998</v>
      </c>
      <c r="V17" s="11">
        <v>14</v>
      </c>
      <c r="W17" s="11">
        <v>26</v>
      </c>
      <c r="X17" s="11">
        <v>40</v>
      </c>
      <c r="Y17" s="11">
        <v>19</v>
      </c>
      <c r="Z17" s="11">
        <v>6</v>
      </c>
      <c r="AA17" s="11">
        <v>2</v>
      </c>
      <c r="AB17" s="11">
        <v>12</v>
      </c>
      <c r="AC17" s="11">
        <v>14</v>
      </c>
      <c r="AD17" s="11">
        <v>33</v>
      </c>
      <c r="AE17" s="11">
        <v>68</v>
      </c>
      <c r="AF17" s="12">
        <v>0.48530000000000001</v>
      </c>
      <c r="AG17" s="11">
        <v>23</v>
      </c>
      <c r="AH17" s="11">
        <v>38</v>
      </c>
      <c r="AI17" s="12">
        <v>0.60529999999999995</v>
      </c>
      <c r="AJ17" s="11">
        <v>10</v>
      </c>
      <c r="AK17" s="11">
        <v>30</v>
      </c>
      <c r="AL17" s="12">
        <v>0.33329999999999999</v>
      </c>
      <c r="AM17" s="11">
        <v>12</v>
      </c>
      <c r="AN17" s="11">
        <v>17</v>
      </c>
      <c r="AO17" s="12">
        <v>0.70589999999999997</v>
      </c>
      <c r="AP17" s="11">
        <v>11</v>
      </c>
      <c r="AQ17" s="11">
        <v>27</v>
      </c>
      <c r="AR17" s="11">
        <v>38</v>
      </c>
      <c r="AS17" s="11">
        <v>20</v>
      </c>
      <c r="AT17" s="11">
        <v>6</v>
      </c>
      <c r="AU17" s="11">
        <v>1</v>
      </c>
      <c r="AV17" s="11">
        <v>13</v>
      </c>
      <c r="AW17" s="11">
        <v>17</v>
      </c>
      <c r="AX17" s="12">
        <v>0.60389999999999999</v>
      </c>
      <c r="AY17" s="12">
        <v>0.60419999999999996</v>
      </c>
      <c r="AZ17" s="12">
        <v>0.34150000000000003</v>
      </c>
      <c r="BA17" s="12">
        <v>0.70269999999999999</v>
      </c>
      <c r="BB17" s="12">
        <v>0.51280000000000003</v>
      </c>
      <c r="BC17" s="4">
        <v>77.317999999999998</v>
      </c>
      <c r="BD17" s="12">
        <v>0.52780000000000005</v>
      </c>
      <c r="BE17" s="12">
        <v>0.125</v>
      </c>
      <c r="BF17" s="12">
        <v>0.13120000000000001</v>
      </c>
      <c r="BG17" s="4">
        <v>124.5</v>
      </c>
      <c r="BH17" s="4">
        <v>114.1</v>
      </c>
      <c r="BI17" s="4">
        <v>77.138499999999993</v>
      </c>
      <c r="BJ17" s="12">
        <v>0.58289999999999997</v>
      </c>
      <c r="BK17" s="12">
        <v>0.55879999999999996</v>
      </c>
      <c r="BL17" s="12">
        <v>0.29730000000000001</v>
      </c>
      <c r="BM17" s="12">
        <v>0.65849999999999997</v>
      </c>
      <c r="BN17" s="12">
        <v>0.48720000000000002</v>
      </c>
      <c r="BO17" s="4">
        <v>76.959000000000003</v>
      </c>
      <c r="BP17" s="12">
        <v>0.60609999999999997</v>
      </c>
      <c r="BQ17" s="12">
        <v>0.17649999999999999</v>
      </c>
      <c r="BR17" s="12">
        <v>0.1469</v>
      </c>
      <c r="BS17" s="4">
        <v>114.1</v>
      </c>
      <c r="BT17" s="4">
        <v>124.5</v>
      </c>
      <c r="BU17" s="11">
        <v>23</v>
      </c>
      <c r="BV17" s="11">
        <v>17</v>
      </c>
      <c r="BW17" s="11">
        <v>28</v>
      </c>
      <c r="BX17" s="11">
        <v>28</v>
      </c>
      <c r="BY17" s="11">
        <v>16</v>
      </c>
      <c r="BZ17" s="11">
        <v>29</v>
      </c>
      <c r="CA17" s="11">
        <v>23</v>
      </c>
      <c r="CB17" s="11">
        <v>20</v>
      </c>
      <c r="CC17" s="11">
        <v>40</v>
      </c>
      <c r="CD17" s="11">
        <v>56</v>
      </c>
      <c r="CE17" s="11">
        <v>45</v>
      </c>
      <c r="CF17" s="11">
        <v>43</v>
      </c>
      <c r="CG17" s="4">
        <v>1.1399999999999999</v>
      </c>
      <c r="CH17" s="13">
        <v>6</v>
      </c>
      <c r="CI17" s="4">
        <v>-11.5</v>
      </c>
      <c r="CJ17" s="4">
        <v>11.5</v>
      </c>
      <c r="CK17" s="4">
        <v>171.5</v>
      </c>
      <c r="CL17" s="2" t="s">
        <v>458</v>
      </c>
      <c r="CM17" s="4" t="str">
        <f>VLOOKUP(paris[[#This Row],[Away_team]],all[[Full name]:[Abbr]],3,FALSE)</f>
        <v>LIM</v>
      </c>
      <c r="CN17" s="4">
        <f>IF(OR(paris[[#This Row],[Result]]="w",paris[[#This Row],[Result]]="dw"),paris[[#This Row],[win]]-1,-1)</f>
        <v>0.1399999999999999</v>
      </c>
      <c r="CO17" s="4">
        <f>IF(OR(paris[[#This Row],[Result]]="L",paris[[#This Row],[Result]]="dl"),paris[[#This Row],[lose]]-1,-1)</f>
        <v>-1</v>
      </c>
      <c r="CP17" s="4">
        <f>IF(OR((paris[[#This Row],[Home_scored]]+paris[[#This Row],[Away_scored]])&gt;paris[[#This Row],[total]],OR(paris[[#This Row],[Result]]="dw",paris[[#This Row],[Result]]="dl")),1,0)</f>
        <v>1</v>
      </c>
      <c r="CQ17" s="4">
        <f>ABS((paris[[#This Row],[Home_scored]]+paris[[#This Row],[Away_scored]])-paris[[#This Row],[total]])+0.5</f>
        <v>13</v>
      </c>
    </row>
    <row r="18" spans="1:95" x14ac:dyDescent="0.25">
      <c r="A18" s="2" t="s">
        <v>349</v>
      </c>
      <c r="B18" s="2" t="s">
        <v>339</v>
      </c>
      <c r="C18" s="3" t="s">
        <v>73</v>
      </c>
      <c r="D18" s="3">
        <v>45669</v>
      </c>
      <c r="E18" s="2" t="s">
        <v>74</v>
      </c>
      <c r="F18" s="2" t="s">
        <v>302</v>
      </c>
      <c r="G18" s="2" t="s">
        <v>75</v>
      </c>
      <c r="H18" s="11">
        <v>98</v>
      </c>
      <c r="I18" s="11">
        <v>89</v>
      </c>
      <c r="J18" s="11">
        <v>35</v>
      </c>
      <c r="K18" s="11">
        <v>63</v>
      </c>
      <c r="L18" s="12">
        <v>0.55559999999999998</v>
      </c>
      <c r="M18" s="11">
        <v>26</v>
      </c>
      <c r="N18" s="11">
        <v>38</v>
      </c>
      <c r="O18" s="12">
        <v>0.68420000000000003</v>
      </c>
      <c r="P18" s="11">
        <v>9</v>
      </c>
      <c r="Q18" s="11">
        <v>25</v>
      </c>
      <c r="R18" s="12">
        <v>0.36</v>
      </c>
      <c r="S18" s="11">
        <v>19</v>
      </c>
      <c r="T18" s="11">
        <v>26</v>
      </c>
      <c r="U18" s="12">
        <v>0.73080000000000001</v>
      </c>
      <c r="V18" s="11">
        <v>10</v>
      </c>
      <c r="W18" s="11">
        <v>24</v>
      </c>
      <c r="X18" s="11">
        <v>34</v>
      </c>
      <c r="Y18" s="11">
        <v>20</v>
      </c>
      <c r="Z18" s="11">
        <v>2</v>
      </c>
      <c r="AA18" s="11">
        <v>1</v>
      </c>
      <c r="AB18" s="11">
        <v>13</v>
      </c>
      <c r="AC18" s="11">
        <v>27</v>
      </c>
      <c r="AD18" s="11">
        <v>30</v>
      </c>
      <c r="AE18" s="11">
        <v>63</v>
      </c>
      <c r="AF18" s="12">
        <v>0.47620000000000001</v>
      </c>
      <c r="AG18" s="11">
        <v>23</v>
      </c>
      <c r="AH18" s="11">
        <v>45</v>
      </c>
      <c r="AI18" s="12">
        <v>0.5111</v>
      </c>
      <c r="AJ18" s="11">
        <v>7</v>
      </c>
      <c r="AK18" s="11">
        <v>18</v>
      </c>
      <c r="AL18" s="12">
        <v>0.38890000000000002</v>
      </c>
      <c r="AM18" s="11">
        <v>22</v>
      </c>
      <c r="AN18" s="11">
        <v>26</v>
      </c>
      <c r="AO18" s="12">
        <v>0.84619999999999995</v>
      </c>
      <c r="AP18" s="11">
        <v>9</v>
      </c>
      <c r="AQ18" s="11">
        <v>22</v>
      </c>
      <c r="AR18" s="11">
        <v>31</v>
      </c>
      <c r="AS18" s="11">
        <v>19</v>
      </c>
      <c r="AT18" s="11">
        <v>6</v>
      </c>
      <c r="AU18" s="11">
        <v>2</v>
      </c>
      <c r="AV18" s="11">
        <v>11</v>
      </c>
      <c r="AW18" s="11">
        <v>24</v>
      </c>
      <c r="AX18" s="12">
        <v>0.65820000000000001</v>
      </c>
      <c r="AY18" s="12">
        <v>0.627</v>
      </c>
      <c r="AZ18" s="12">
        <v>0.3125</v>
      </c>
      <c r="BA18" s="12">
        <v>0.72729999999999995</v>
      </c>
      <c r="BB18" s="12">
        <v>0.52310000000000001</v>
      </c>
      <c r="BC18" s="4">
        <v>77.587999999999994</v>
      </c>
      <c r="BD18" s="12">
        <v>0.57140000000000002</v>
      </c>
      <c r="BE18" s="12">
        <v>0.30159999999999998</v>
      </c>
      <c r="BF18" s="12">
        <v>0.1487</v>
      </c>
      <c r="BG18" s="4">
        <v>129.19999999999999</v>
      </c>
      <c r="BH18" s="4">
        <v>117.3</v>
      </c>
      <c r="BI18" s="4">
        <v>75.868499999999997</v>
      </c>
      <c r="BJ18" s="12">
        <v>0.5978</v>
      </c>
      <c r="BK18" s="12">
        <v>0.53169999999999995</v>
      </c>
      <c r="BL18" s="12">
        <v>0.2727</v>
      </c>
      <c r="BM18" s="12">
        <v>0.6875</v>
      </c>
      <c r="BN18" s="12">
        <v>0.47689999999999999</v>
      </c>
      <c r="BO18" s="4">
        <v>74.149000000000001</v>
      </c>
      <c r="BP18" s="12">
        <v>0.63329999999999997</v>
      </c>
      <c r="BQ18" s="12">
        <v>0.34920000000000001</v>
      </c>
      <c r="BR18" s="12">
        <v>0.12870000000000001</v>
      </c>
      <c r="BS18" s="4">
        <v>117.3</v>
      </c>
      <c r="BT18" s="4">
        <v>129.19999999999999</v>
      </c>
      <c r="BU18" s="11">
        <v>24</v>
      </c>
      <c r="BV18" s="11">
        <v>26</v>
      </c>
      <c r="BW18" s="11">
        <v>28</v>
      </c>
      <c r="BX18" s="11">
        <v>20</v>
      </c>
      <c r="BY18" s="11">
        <v>21</v>
      </c>
      <c r="BZ18" s="11">
        <v>32</v>
      </c>
      <c r="CA18" s="11">
        <v>18</v>
      </c>
      <c r="CB18" s="11">
        <v>18</v>
      </c>
      <c r="CC18" s="11">
        <v>50</v>
      </c>
      <c r="CD18" s="11">
        <v>48</v>
      </c>
      <c r="CE18" s="11">
        <v>53</v>
      </c>
      <c r="CF18" s="11">
        <v>36</v>
      </c>
      <c r="CG18" s="4">
        <v>1.36</v>
      </c>
      <c r="CH18" s="13">
        <v>3.3</v>
      </c>
      <c r="CI18" s="4">
        <v>-7</v>
      </c>
      <c r="CJ18" s="4">
        <v>-7</v>
      </c>
      <c r="CK18" s="4">
        <v>176.5</v>
      </c>
      <c r="CL18" s="2" t="s">
        <v>474</v>
      </c>
      <c r="CM18" s="4" t="str">
        <f>VLOOKUP(paris[[#This Row],[Away_team]],all[[Full name]:[Abbr]],3,FALSE)</f>
        <v>BUR</v>
      </c>
      <c r="CN18" s="4">
        <f>IF(OR(paris[[#This Row],[Result]]="w",paris[[#This Row],[Result]]="dw"),paris[[#This Row],[win]]-1,-1)</f>
        <v>0.3600000000000001</v>
      </c>
      <c r="CO18" s="4">
        <f>IF(OR(paris[[#This Row],[Result]]="L",paris[[#This Row],[Result]]="dl"),paris[[#This Row],[lose]]-1,-1)</f>
        <v>-1</v>
      </c>
      <c r="CP18" s="4">
        <f>IF(OR((paris[[#This Row],[Home_scored]]+paris[[#This Row],[Away_scored]])&gt;paris[[#This Row],[total]],OR(paris[[#This Row],[Result]]="dw",paris[[#This Row],[Result]]="dl")),1,0)</f>
        <v>1</v>
      </c>
      <c r="CQ18" s="4">
        <f>ABS((paris[[#This Row],[Home_scored]]+paris[[#This Row],[Away_scored]])-paris[[#This Row],[total]])+0.5</f>
        <v>11</v>
      </c>
    </row>
    <row r="19" spans="1:95" x14ac:dyDescent="0.25">
      <c r="A19" s="2" t="s">
        <v>349</v>
      </c>
      <c r="B19" s="2" t="s">
        <v>339</v>
      </c>
      <c r="C19" s="3" t="s">
        <v>73</v>
      </c>
      <c r="D19" s="3">
        <v>45676</v>
      </c>
      <c r="E19" s="2" t="s">
        <v>140</v>
      </c>
      <c r="F19" s="2" t="s">
        <v>323</v>
      </c>
      <c r="G19" s="2" t="s">
        <v>75</v>
      </c>
      <c r="H19" s="11">
        <v>90</v>
      </c>
      <c r="I19" s="11">
        <v>73</v>
      </c>
      <c r="J19" s="11">
        <v>29</v>
      </c>
      <c r="K19" s="11">
        <v>66</v>
      </c>
      <c r="L19" s="12">
        <v>0.43940000000000001</v>
      </c>
      <c r="M19" s="11">
        <v>12</v>
      </c>
      <c r="N19" s="11">
        <v>25</v>
      </c>
      <c r="O19" s="12">
        <v>0.48</v>
      </c>
      <c r="P19" s="11">
        <v>17</v>
      </c>
      <c r="Q19" s="11">
        <v>41</v>
      </c>
      <c r="R19" s="12">
        <v>0.41460000000000002</v>
      </c>
      <c r="S19" s="11">
        <v>15</v>
      </c>
      <c r="T19" s="11">
        <v>15</v>
      </c>
      <c r="U19" s="12">
        <v>1</v>
      </c>
      <c r="V19" s="11">
        <v>18</v>
      </c>
      <c r="W19" s="11">
        <v>31</v>
      </c>
      <c r="X19" s="11">
        <v>49</v>
      </c>
      <c r="Y19" s="11">
        <v>18</v>
      </c>
      <c r="Z19" s="11">
        <v>5</v>
      </c>
      <c r="AA19" s="11">
        <v>2</v>
      </c>
      <c r="AB19" s="11">
        <v>21</v>
      </c>
      <c r="AC19" s="11">
        <v>26</v>
      </c>
      <c r="AD19" s="11">
        <v>24</v>
      </c>
      <c r="AE19" s="11">
        <v>58</v>
      </c>
      <c r="AF19" s="12">
        <v>0.4138</v>
      </c>
      <c r="AG19" s="11">
        <v>21</v>
      </c>
      <c r="AH19" s="11">
        <v>39</v>
      </c>
      <c r="AI19" s="12">
        <v>0.53849999999999998</v>
      </c>
      <c r="AJ19" s="11">
        <v>3</v>
      </c>
      <c r="AK19" s="11">
        <v>19</v>
      </c>
      <c r="AL19" s="12">
        <v>0.15790000000000001</v>
      </c>
      <c r="AM19" s="11">
        <v>22</v>
      </c>
      <c r="AN19" s="11">
        <v>22</v>
      </c>
      <c r="AO19" s="12">
        <v>1</v>
      </c>
      <c r="AP19" s="11">
        <v>7</v>
      </c>
      <c r="AQ19" s="11">
        <v>19</v>
      </c>
      <c r="AR19" s="11">
        <v>26</v>
      </c>
      <c r="AS19" s="11">
        <v>20</v>
      </c>
      <c r="AT19" s="11">
        <v>11</v>
      </c>
      <c r="AU19" s="11">
        <v>3</v>
      </c>
      <c r="AV19" s="11">
        <v>9</v>
      </c>
      <c r="AW19" s="11">
        <v>17</v>
      </c>
      <c r="AX19" s="12">
        <v>0.61980000000000002</v>
      </c>
      <c r="AY19" s="12">
        <v>0.56820000000000004</v>
      </c>
      <c r="AZ19" s="12">
        <v>0.48649999999999999</v>
      </c>
      <c r="BA19" s="12">
        <v>0.81579999999999997</v>
      </c>
      <c r="BB19" s="12">
        <v>0.65329999999999999</v>
      </c>
      <c r="BC19" s="4">
        <v>78.456999999999994</v>
      </c>
      <c r="BD19" s="12">
        <v>0.62070000000000003</v>
      </c>
      <c r="BE19" s="12">
        <v>0.2273</v>
      </c>
      <c r="BF19" s="12">
        <v>0.22439999999999999</v>
      </c>
      <c r="BG19" s="4">
        <v>124.6</v>
      </c>
      <c r="BH19" s="4">
        <v>101.1</v>
      </c>
      <c r="BI19" s="4">
        <v>72.230999999999995</v>
      </c>
      <c r="BJ19" s="12">
        <v>0.5393</v>
      </c>
      <c r="BK19" s="12">
        <v>0.43969999999999998</v>
      </c>
      <c r="BL19" s="12">
        <v>0.1842</v>
      </c>
      <c r="BM19" s="12">
        <v>0.51349999999999996</v>
      </c>
      <c r="BN19" s="12">
        <v>0.34670000000000001</v>
      </c>
      <c r="BO19" s="4">
        <v>66.004999999999995</v>
      </c>
      <c r="BP19" s="12">
        <v>0.83330000000000004</v>
      </c>
      <c r="BQ19" s="12">
        <v>0.37930000000000003</v>
      </c>
      <c r="BR19" s="12">
        <v>0.1174</v>
      </c>
      <c r="BS19" s="4">
        <v>101.1</v>
      </c>
      <c r="BT19" s="4">
        <v>124.6</v>
      </c>
      <c r="BU19" s="11">
        <v>38</v>
      </c>
      <c r="BV19" s="11">
        <v>13</v>
      </c>
      <c r="BW19" s="11">
        <v>28</v>
      </c>
      <c r="BX19" s="11">
        <v>11</v>
      </c>
      <c r="BY19" s="11">
        <v>16</v>
      </c>
      <c r="BZ19" s="11">
        <v>20</v>
      </c>
      <c r="CA19" s="11">
        <v>14</v>
      </c>
      <c r="CB19" s="11">
        <v>23</v>
      </c>
      <c r="CC19" s="11">
        <v>51</v>
      </c>
      <c r="CD19" s="11">
        <v>39</v>
      </c>
      <c r="CE19" s="11">
        <v>36</v>
      </c>
      <c r="CF19" s="11">
        <v>37</v>
      </c>
      <c r="CG19" s="4">
        <v>1.18</v>
      </c>
      <c r="CH19" s="13">
        <v>5</v>
      </c>
      <c r="CI19" s="4">
        <v>-10.5</v>
      </c>
      <c r="CJ19" s="4">
        <v>10.5</v>
      </c>
      <c r="CK19" s="4">
        <v>164.5</v>
      </c>
      <c r="CL19" s="2" t="s">
        <v>480</v>
      </c>
      <c r="CM19" s="4" t="e">
        <f>VLOOKUP(paris[[#This Row],[Away_team]],all[[Full name]:[Abbr]],3,FALSE)</f>
        <v>#N/A</v>
      </c>
      <c r="CN19" s="4">
        <f>IF(OR(paris[[#This Row],[Result]]="w",paris[[#This Row],[Result]]="dw"),paris[[#This Row],[win]]-1,-1)</f>
        <v>0.17999999999999994</v>
      </c>
      <c r="CO19" s="4">
        <f>IF(OR(paris[[#This Row],[Result]]="L",paris[[#This Row],[Result]]="dl"),paris[[#This Row],[lose]]-1,-1)</f>
        <v>-1</v>
      </c>
      <c r="CP19" s="4">
        <f>IF(OR((paris[[#This Row],[Home_scored]]+paris[[#This Row],[Away_scored]])&gt;paris[[#This Row],[total]],OR(paris[[#This Row],[Result]]="dw",paris[[#This Row],[Result]]="dl")),1,0)</f>
        <v>0</v>
      </c>
      <c r="CQ19" s="4">
        <f>ABS((paris[[#This Row],[Home_scored]]+paris[[#This Row],[Away_scored]])-paris[[#This Row],[total]])+0.5</f>
        <v>2</v>
      </c>
    </row>
    <row r="20" spans="1:95" x14ac:dyDescent="0.25">
      <c r="A20" s="2" t="s">
        <v>349</v>
      </c>
      <c r="B20" s="2" t="s">
        <v>339</v>
      </c>
      <c r="C20" s="3" t="s">
        <v>73</v>
      </c>
      <c r="D20" s="3">
        <v>45683</v>
      </c>
      <c r="E20" s="2" t="s">
        <v>74</v>
      </c>
      <c r="F20" s="2" t="s">
        <v>308</v>
      </c>
      <c r="G20" s="2" t="s">
        <v>75</v>
      </c>
      <c r="H20" s="11">
        <v>90</v>
      </c>
      <c r="I20" s="11">
        <v>77</v>
      </c>
      <c r="J20" s="11">
        <v>29</v>
      </c>
      <c r="K20" s="11">
        <v>65</v>
      </c>
      <c r="L20" s="12">
        <v>0.44619999999999999</v>
      </c>
      <c r="M20" s="11">
        <v>16</v>
      </c>
      <c r="N20" s="11">
        <v>33</v>
      </c>
      <c r="O20" s="12">
        <v>0.48480000000000001</v>
      </c>
      <c r="P20" s="11">
        <v>13</v>
      </c>
      <c r="Q20" s="11">
        <v>32</v>
      </c>
      <c r="R20" s="12">
        <v>0.40629999999999999</v>
      </c>
      <c r="S20" s="11">
        <v>19</v>
      </c>
      <c r="T20" s="11">
        <v>23</v>
      </c>
      <c r="U20" s="12">
        <v>0.82609999999999995</v>
      </c>
      <c r="V20" s="11">
        <v>14</v>
      </c>
      <c r="W20" s="11">
        <v>25</v>
      </c>
      <c r="X20" s="11">
        <v>39</v>
      </c>
      <c r="Y20" s="11">
        <v>17</v>
      </c>
      <c r="Z20" s="11">
        <v>8</v>
      </c>
      <c r="AA20" s="11">
        <v>3</v>
      </c>
      <c r="AB20" s="11">
        <v>12</v>
      </c>
      <c r="AC20" s="11">
        <v>20</v>
      </c>
      <c r="AD20" s="11">
        <v>27</v>
      </c>
      <c r="AE20" s="11">
        <v>62</v>
      </c>
      <c r="AF20" s="12">
        <v>0.4355</v>
      </c>
      <c r="AG20" s="11">
        <v>20</v>
      </c>
      <c r="AH20" s="11">
        <v>35</v>
      </c>
      <c r="AI20" s="12">
        <v>0.57140000000000002</v>
      </c>
      <c r="AJ20" s="11">
        <v>7</v>
      </c>
      <c r="AK20" s="11">
        <v>27</v>
      </c>
      <c r="AL20" s="12">
        <v>0.25929999999999997</v>
      </c>
      <c r="AM20" s="11">
        <v>16</v>
      </c>
      <c r="AN20" s="11">
        <v>24</v>
      </c>
      <c r="AO20" s="12">
        <v>0.66669999999999996</v>
      </c>
      <c r="AP20" s="11">
        <v>16</v>
      </c>
      <c r="AQ20" s="11">
        <v>22</v>
      </c>
      <c r="AR20" s="11">
        <v>38</v>
      </c>
      <c r="AS20" s="11">
        <v>13</v>
      </c>
      <c r="AT20" s="11">
        <v>6</v>
      </c>
      <c r="AU20" s="11">
        <v>1</v>
      </c>
      <c r="AV20" s="11">
        <v>16</v>
      </c>
      <c r="AW20" s="11">
        <v>24</v>
      </c>
      <c r="AX20" s="12">
        <v>0.59899999999999998</v>
      </c>
      <c r="AY20" s="12">
        <v>0.54620000000000002</v>
      </c>
      <c r="AZ20" s="12">
        <v>0.38890000000000002</v>
      </c>
      <c r="BA20" s="12">
        <v>0.60980000000000001</v>
      </c>
      <c r="BB20" s="12">
        <v>0.50649999999999995</v>
      </c>
      <c r="BC20" s="4">
        <v>72.372</v>
      </c>
      <c r="BD20" s="12">
        <v>0.58620000000000005</v>
      </c>
      <c r="BE20" s="12">
        <v>0.2923</v>
      </c>
      <c r="BF20" s="12">
        <v>0.13769999999999999</v>
      </c>
      <c r="BG20" s="4">
        <v>124.8</v>
      </c>
      <c r="BH20" s="4">
        <v>106.8</v>
      </c>
      <c r="BI20" s="4">
        <v>72.102000000000004</v>
      </c>
      <c r="BJ20" s="12">
        <v>0.53059999999999996</v>
      </c>
      <c r="BK20" s="12">
        <v>0.4919</v>
      </c>
      <c r="BL20" s="12">
        <v>0.39019999999999999</v>
      </c>
      <c r="BM20" s="12">
        <v>0.61109999999999998</v>
      </c>
      <c r="BN20" s="12">
        <v>0.49349999999999999</v>
      </c>
      <c r="BO20" s="4">
        <v>71.831999999999994</v>
      </c>
      <c r="BP20" s="12">
        <v>0.48149999999999998</v>
      </c>
      <c r="BQ20" s="12">
        <v>0.2581</v>
      </c>
      <c r="BR20" s="12">
        <v>0.1807</v>
      </c>
      <c r="BS20" s="4">
        <v>106.8</v>
      </c>
      <c r="BT20" s="4">
        <v>124.8</v>
      </c>
      <c r="BU20" s="11">
        <v>24</v>
      </c>
      <c r="BV20" s="11">
        <v>16</v>
      </c>
      <c r="BW20" s="11">
        <v>33</v>
      </c>
      <c r="BX20" s="11">
        <v>17</v>
      </c>
      <c r="BY20" s="11">
        <v>17</v>
      </c>
      <c r="BZ20" s="11">
        <v>28</v>
      </c>
      <c r="CA20" s="11">
        <v>20</v>
      </c>
      <c r="CB20" s="11">
        <v>12</v>
      </c>
      <c r="CC20" s="11">
        <v>40</v>
      </c>
      <c r="CD20" s="11">
        <v>50</v>
      </c>
      <c r="CE20" s="11">
        <v>45</v>
      </c>
      <c r="CF20" s="11">
        <v>32</v>
      </c>
      <c r="CG20" s="4">
        <v>1.29</v>
      </c>
      <c r="CH20" s="13">
        <v>3.7</v>
      </c>
      <c r="CI20" s="4">
        <v>-8</v>
      </c>
      <c r="CJ20" s="4">
        <v>-8</v>
      </c>
      <c r="CK20" s="4">
        <v>175.5</v>
      </c>
      <c r="CL20" s="2" t="s">
        <v>490</v>
      </c>
      <c r="CM20" s="4" t="str">
        <f>VLOOKUP(paris[[#This Row],[Away_team]],all[[Full name]:[Abbr]],3,FALSE)</f>
        <v>CHO</v>
      </c>
      <c r="CN20" s="4">
        <f>IF(OR(paris[[#This Row],[Result]]="w",paris[[#This Row],[Result]]="dw"),paris[[#This Row],[win]]-1,-1)</f>
        <v>0.29000000000000004</v>
      </c>
      <c r="CO20" s="4">
        <f>IF(OR(paris[[#This Row],[Result]]="L",paris[[#This Row],[Result]]="dl"),paris[[#This Row],[lose]]-1,-1)</f>
        <v>-1</v>
      </c>
      <c r="CP20" s="4">
        <f>IF(OR((paris[[#This Row],[Home_scored]]+paris[[#This Row],[Away_scored]])&gt;paris[[#This Row],[total]],OR(paris[[#This Row],[Result]]="dw",paris[[#This Row],[Result]]="dl")),1,0)</f>
        <v>0</v>
      </c>
      <c r="CQ20" s="4">
        <f>ABS((paris[[#This Row],[Home_scored]]+paris[[#This Row],[Away_scored]])-paris[[#This Row],[total]])+0.5</f>
        <v>9</v>
      </c>
    </row>
    <row r="21" spans="1:95" x14ac:dyDescent="0.25">
      <c r="A21" s="2" t="s">
        <v>349</v>
      </c>
      <c r="B21" s="2" t="s">
        <v>339</v>
      </c>
      <c r="C21" s="3" t="s">
        <v>73</v>
      </c>
      <c r="D21" s="3">
        <v>45689</v>
      </c>
      <c r="E21" s="2" t="s">
        <v>140</v>
      </c>
      <c r="F21" s="2" t="s">
        <v>336</v>
      </c>
      <c r="G21" s="2" t="s">
        <v>75</v>
      </c>
      <c r="H21" s="11">
        <v>92</v>
      </c>
      <c r="I21" s="11">
        <v>78</v>
      </c>
      <c r="J21" s="11">
        <v>32</v>
      </c>
      <c r="K21" s="11">
        <v>59</v>
      </c>
      <c r="L21" s="12">
        <v>0.54239999999999999</v>
      </c>
      <c r="M21" s="11">
        <v>19</v>
      </c>
      <c r="N21" s="11">
        <v>30</v>
      </c>
      <c r="O21" s="12">
        <v>0.63329999999999997</v>
      </c>
      <c r="P21" s="11">
        <v>13</v>
      </c>
      <c r="Q21" s="11">
        <v>29</v>
      </c>
      <c r="R21" s="12">
        <v>0.44829999999999998</v>
      </c>
      <c r="S21" s="11">
        <v>15</v>
      </c>
      <c r="T21" s="11">
        <v>18</v>
      </c>
      <c r="U21" s="12">
        <v>0.83330000000000004</v>
      </c>
      <c r="V21" s="11">
        <v>13</v>
      </c>
      <c r="W21" s="11">
        <v>20</v>
      </c>
      <c r="X21" s="11">
        <v>33</v>
      </c>
      <c r="Y21" s="11">
        <v>21</v>
      </c>
      <c r="Z21" s="11">
        <v>3</v>
      </c>
      <c r="AA21" s="11">
        <v>2</v>
      </c>
      <c r="AB21" s="11">
        <v>16</v>
      </c>
      <c r="AC21" s="11">
        <v>17</v>
      </c>
      <c r="AD21" s="11">
        <v>30</v>
      </c>
      <c r="AE21" s="11">
        <v>67</v>
      </c>
      <c r="AF21" s="12">
        <v>0.44779999999999998</v>
      </c>
      <c r="AG21" s="11">
        <v>27</v>
      </c>
      <c r="AH21" s="11">
        <v>46</v>
      </c>
      <c r="AI21" s="12">
        <v>0.58699999999999997</v>
      </c>
      <c r="AJ21" s="11">
        <v>3</v>
      </c>
      <c r="AK21" s="11">
        <v>21</v>
      </c>
      <c r="AL21" s="12">
        <v>0.1429</v>
      </c>
      <c r="AM21" s="11">
        <v>15</v>
      </c>
      <c r="AN21" s="11">
        <v>16</v>
      </c>
      <c r="AO21" s="12">
        <v>0.9375</v>
      </c>
      <c r="AP21" s="11">
        <v>17</v>
      </c>
      <c r="AQ21" s="11">
        <v>15</v>
      </c>
      <c r="AR21" s="11">
        <v>32</v>
      </c>
      <c r="AS21" s="11">
        <v>14</v>
      </c>
      <c r="AT21" s="11">
        <v>7</v>
      </c>
      <c r="AU21" s="11">
        <v>1</v>
      </c>
      <c r="AV21" s="11">
        <v>13</v>
      </c>
      <c r="AW21" s="11">
        <v>19</v>
      </c>
      <c r="AX21" s="12">
        <v>0.68740000000000001</v>
      </c>
      <c r="AY21" s="12">
        <v>0.65249999999999997</v>
      </c>
      <c r="AZ21" s="12">
        <v>0.46429999999999999</v>
      </c>
      <c r="BA21" s="12">
        <v>0.54049999999999998</v>
      </c>
      <c r="BB21" s="12">
        <v>0.50770000000000004</v>
      </c>
      <c r="BC21" s="4">
        <v>70.819000000000003</v>
      </c>
      <c r="BD21" s="12">
        <v>0.65629999999999999</v>
      </c>
      <c r="BE21" s="12">
        <v>0.25419999999999998</v>
      </c>
      <c r="BF21" s="12">
        <v>0.193</v>
      </c>
      <c r="BG21" s="4">
        <v>135.1</v>
      </c>
      <c r="BH21" s="4">
        <v>114.5</v>
      </c>
      <c r="BI21" s="4">
        <v>68.093500000000006</v>
      </c>
      <c r="BJ21" s="12">
        <v>0.52669999999999995</v>
      </c>
      <c r="BK21" s="12">
        <v>0.47010000000000002</v>
      </c>
      <c r="BL21" s="12">
        <v>0.45950000000000002</v>
      </c>
      <c r="BM21" s="12">
        <v>0.53569999999999995</v>
      </c>
      <c r="BN21" s="12">
        <v>0.49230000000000002</v>
      </c>
      <c r="BO21" s="4">
        <v>65.367999999999995</v>
      </c>
      <c r="BP21" s="12">
        <v>0.4667</v>
      </c>
      <c r="BQ21" s="12">
        <v>0.22389999999999999</v>
      </c>
      <c r="BR21" s="12">
        <v>0.14940000000000001</v>
      </c>
      <c r="BS21" s="4">
        <v>114.5</v>
      </c>
      <c r="BT21" s="4">
        <v>135.1</v>
      </c>
      <c r="BU21" s="11">
        <v>27</v>
      </c>
      <c r="BV21" s="11">
        <v>24</v>
      </c>
      <c r="BW21" s="11">
        <v>19</v>
      </c>
      <c r="BX21" s="11">
        <v>22</v>
      </c>
      <c r="BY21" s="11">
        <v>22</v>
      </c>
      <c r="BZ21" s="11">
        <v>22</v>
      </c>
      <c r="CA21" s="11">
        <v>20</v>
      </c>
      <c r="CB21" s="11">
        <v>14</v>
      </c>
      <c r="CC21" s="11">
        <v>51</v>
      </c>
      <c r="CD21" s="11">
        <v>41</v>
      </c>
      <c r="CE21" s="11">
        <v>44</v>
      </c>
      <c r="CF21" s="11">
        <v>34</v>
      </c>
      <c r="CG21" s="4">
        <v>1.36</v>
      </c>
      <c r="CH21" s="13">
        <v>3.3</v>
      </c>
      <c r="CI21" s="4">
        <v>-7</v>
      </c>
      <c r="CJ21" s="4">
        <v>7</v>
      </c>
      <c r="CK21" s="4">
        <v>175.5</v>
      </c>
      <c r="CL21" s="2" t="s">
        <v>495</v>
      </c>
      <c r="CM21" s="4" t="str">
        <f>VLOOKUP(paris[[#This Row],[Away_team]],all[[Full name]:[Abbr]],3,FALSE)</f>
        <v>NAN</v>
      </c>
      <c r="CN21" s="4">
        <f>IF(OR(paris[[#This Row],[Result]]="w",paris[[#This Row],[Result]]="dw"),paris[[#This Row],[win]]-1,-1)</f>
        <v>0.3600000000000001</v>
      </c>
      <c r="CO21" s="4">
        <f>IF(OR(paris[[#This Row],[Result]]="L",paris[[#This Row],[Result]]="dl"),paris[[#This Row],[lose]]-1,-1)</f>
        <v>-1</v>
      </c>
      <c r="CP21" s="4">
        <f>IF(OR((paris[[#This Row],[Home_scored]]+paris[[#This Row],[Away_scored]])&gt;paris[[#This Row],[total]],OR(paris[[#This Row],[Result]]="dw",paris[[#This Row],[Result]]="dl")),1,0)</f>
        <v>0</v>
      </c>
      <c r="CQ21" s="4">
        <f>ABS((paris[[#This Row],[Home_scored]]+paris[[#This Row],[Away_scored]])-paris[[#This Row],[total]])+0.5</f>
        <v>6</v>
      </c>
    </row>
    <row r="22" spans="1:95" x14ac:dyDescent="0.25">
      <c r="A22" s="2" t="s">
        <v>349</v>
      </c>
      <c r="B22" s="2" t="s">
        <v>339</v>
      </c>
      <c r="C22" s="3" t="s">
        <v>73</v>
      </c>
      <c r="D22" s="3">
        <v>45697</v>
      </c>
      <c r="E22" s="2" t="s">
        <v>74</v>
      </c>
      <c r="F22" s="2" t="s">
        <v>327</v>
      </c>
      <c r="G22" s="2" t="s">
        <v>75</v>
      </c>
      <c r="H22" s="11">
        <v>111</v>
      </c>
      <c r="I22" s="11">
        <v>96</v>
      </c>
      <c r="J22" s="11">
        <v>36</v>
      </c>
      <c r="K22" s="11">
        <v>65</v>
      </c>
      <c r="L22" s="12">
        <v>0.55379999999999996</v>
      </c>
      <c r="M22" s="11">
        <v>22</v>
      </c>
      <c r="N22" s="11">
        <v>37</v>
      </c>
      <c r="O22" s="12">
        <v>0.59460000000000002</v>
      </c>
      <c r="P22" s="11">
        <v>14</v>
      </c>
      <c r="Q22" s="11">
        <v>28</v>
      </c>
      <c r="R22" s="12">
        <v>0.5</v>
      </c>
      <c r="S22" s="11">
        <v>25</v>
      </c>
      <c r="T22" s="11">
        <v>30</v>
      </c>
      <c r="U22" s="12">
        <v>0.83330000000000004</v>
      </c>
      <c r="V22" s="11">
        <v>11</v>
      </c>
      <c r="W22" s="11">
        <v>21</v>
      </c>
      <c r="X22" s="11">
        <v>32</v>
      </c>
      <c r="Y22" s="11">
        <v>19</v>
      </c>
      <c r="Z22" s="11">
        <v>8</v>
      </c>
      <c r="AA22" s="11">
        <v>3</v>
      </c>
      <c r="AB22" s="11">
        <v>11</v>
      </c>
      <c r="AC22" s="11">
        <v>18</v>
      </c>
      <c r="AD22" s="11">
        <v>33</v>
      </c>
      <c r="AE22" s="11">
        <v>61</v>
      </c>
      <c r="AF22" s="12">
        <v>0.54100000000000004</v>
      </c>
      <c r="AG22" s="11">
        <v>23</v>
      </c>
      <c r="AH22" s="11">
        <v>39</v>
      </c>
      <c r="AI22" s="12">
        <v>0.5897</v>
      </c>
      <c r="AJ22" s="11">
        <v>10</v>
      </c>
      <c r="AK22" s="11">
        <v>22</v>
      </c>
      <c r="AL22" s="12">
        <v>0.45450000000000002</v>
      </c>
      <c r="AM22" s="11">
        <v>20</v>
      </c>
      <c r="AN22" s="11">
        <v>21</v>
      </c>
      <c r="AO22" s="12">
        <v>0.95240000000000002</v>
      </c>
      <c r="AP22" s="11">
        <v>7</v>
      </c>
      <c r="AQ22" s="11">
        <v>19</v>
      </c>
      <c r="AR22" s="11">
        <v>26</v>
      </c>
      <c r="AS22" s="11">
        <v>19</v>
      </c>
      <c r="AT22" s="11">
        <v>5</v>
      </c>
      <c r="AU22" s="11">
        <v>6</v>
      </c>
      <c r="AV22" s="11">
        <v>18</v>
      </c>
      <c r="AW22" s="11">
        <v>25</v>
      </c>
      <c r="AX22" s="12">
        <v>0.7097</v>
      </c>
      <c r="AY22" s="12">
        <v>0.66149999999999998</v>
      </c>
      <c r="AZ22" s="12">
        <v>0.36670000000000003</v>
      </c>
      <c r="BA22" s="12">
        <v>0.75</v>
      </c>
      <c r="BB22" s="12">
        <v>0.55169999999999997</v>
      </c>
      <c r="BC22" s="4">
        <v>77.332999999999998</v>
      </c>
      <c r="BD22" s="12">
        <v>0.52780000000000005</v>
      </c>
      <c r="BE22" s="12">
        <v>0.3846</v>
      </c>
      <c r="BF22" s="12">
        <v>0.12330000000000001</v>
      </c>
      <c r="BG22" s="4">
        <v>141.69999999999999</v>
      </c>
      <c r="BH22" s="4">
        <v>122.6</v>
      </c>
      <c r="BI22" s="4">
        <v>78.333500000000001</v>
      </c>
      <c r="BJ22" s="12">
        <v>0.68340000000000001</v>
      </c>
      <c r="BK22" s="12">
        <v>0.623</v>
      </c>
      <c r="BL22" s="12">
        <v>0.25</v>
      </c>
      <c r="BM22" s="12">
        <v>0.63329999999999997</v>
      </c>
      <c r="BN22" s="12">
        <v>0.44829999999999998</v>
      </c>
      <c r="BO22" s="4">
        <v>79.334000000000003</v>
      </c>
      <c r="BP22" s="12">
        <v>0.57579999999999998</v>
      </c>
      <c r="BQ22" s="12">
        <v>0.32790000000000002</v>
      </c>
      <c r="BR22" s="12">
        <v>0.20399999999999999</v>
      </c>
      <c r="BS22" s="4">
        <v>122.6</v>
      </c>
      <c r="BT22" s="4">
        <v>141.69999999999999</v>
      </c>
      <c r="BU22" s="11">
        <v>24</v>
      </c>
      <c r="BV22" s="11">
        <v>25</v>
      </c>
      <c r="BW22" s="11">
        <v>38</v>
      </c>
      <c r="BX22" s="11">
        <v>24</v>
      </c>
      <c r="BY22" s="11">
        <v>30</v>
      </c>
      <c r="BZ22" s="11">
        <v>34</v>
      </c>
      <c r="CA22" s="11">
        <v>16</v>
      </c>
      <c r="CB22" s="11">
        <v>16</v>
      </c>
      <c r="CC22" s="11">
        <v>49</v>
      </c>
      <c r="CD22" s="11">
        <v>62</v>
      </c>
      <c r="CE22" s="11">
        <v>64</v>
      </c>
      <c r="CF22" s="11">
        <v>32</v>
      </c>
      <c r="CG22" s="4">
        <v>1.49</v>
      </c>
      <c r="CH22" s="13">
        <v>2.7</v>
      </c>
      <c r="CI22" s="4">
        <v>-5</v>
      </c>
      <c r="CJ22" s="4">
        <v>-5</v>
      </c>
      <c r="CK22" s="4">
        <v>174.5</v>
      </c>
      <c r="CL22" s="2" t="s">
        <v>506</v>
      </c>
      <c r="CM22" s="4" t="str">
        <f>VLOOKUP(paris[[#This Row],[Away_team]],all[[Full name]:[Abbr]],3,FALSE)</f>
        <v>LYO</v>
      </c>
      <c r="CN22" s="4">
        <f>IF(OR(paris[[#This Row],[Result]]="w",paris[[#This Row],[Result]]="dw"),paris[[#This Row],[win]]-1,-1)</f>
        <v>0.49</v>
      </c>
      <c r="CO22" s="4">
        <f>IF(OR(paris[[#This Row],[Result]]="L",paris[[#This Row],[Result]]="dl"),paris[[#This Row],[lose]]-1,-1)</f>
        <v>-1</v>
      </c>
      <c r="CP22" s="4">
        <f>IF(OR((paris[[#This Row],[Home_scored]]+paris[[#This Row],[Away_scored]])&gt;paris[[#This Row],[total]],OR(paris[[#This Row],[Result]]="dw",paris[[#This Row],[Result]]="dl")),1,0)</f>
        <v>1</v>
      </c>
      <c r="CQ22" s="4">
        <f>ABS((paris[[#This Row],[Home_scored]]+paris[[#This Row],[Away_scored]])-paris[[#This Row],[total]])+0.5</f>
        <v>33</v>
      </c>
    </row>
    <row r="23" spans="1:95" x14ac:dyDescent="0.25">
      <c r="A23" s="2" t="s">
        <v>349</v>
      </c>
      <c r="B23" s="2" t="s">
        <v>339</v>
      </c>
      <c r="C23" s="3" t="s">
        <v>73</v>
      </c>
      <c r="D23" s="3">
        <v>45717</v>
      </c>
      <c r="E23" s="2" t="s">
        <v>74</v>
      </c>
      <c r="F23" s="2" t="s">
        <v>342</v>
      </c>
      <c r="G23" s="2" t="s">
        <v>139</v>
      </c>
      <c r="H23" s="11">
        <v>86</v>
      </c>
      <c r="I23" s="11">
        <v>88</v>
      </c>
      <c r="J23" s="11">
        <v>28</v>
      </c>
      <c r="K23" s="11">
        <v>63</v>
      </c>
      <c r="L23" s="12">
        <v>0.44440000000000002</v>
      </c>
      <c r="M23" s="11">
        <v>19</v>
      </c>
      <c r="N23" s="11">
        <v>32</v>
      </c>
      <c r="O23" s="12">
        <v>0.59379999999999999</v>
      </c>
      <c r="P23" s="11">
        <v>9</v>
      </c>
      <c r="Q23" s="11">
        <v>31</v>
      </c>
      <c r="R23" s="12">
        <v>0.2903</v>
      </c>
      <c r="S23" s="11">
        <v>21</v>
      </c>
      <c r="T23" s="11">
        <v>29</v>
      </c>
      <c r="U23" s="12">
        <v>0.72409999999999997</v>
      </c>
      <c r="V23" s="11">
        <v>14</v>
      </c>
      <c r="W23" s="11">
        <v>20</v>
      </c>
      <c r="X23" s="11">
        <v>34</v>
      </c>
      <c r="Y23" s="11">
        <v>13</v>
      </c>
      <c r="Z23" s="11">
        <v>5</v>
      </c>
      <c r="AA23" s="11">
        <v>8</v>
      </c>
      <c r="AB23" s="11">
        <v>8</v>
      </c>
      <c r="AC23" s="11">
        <v>17</v>
      </c>
      <c r="AD23" s="11">
        <v>34</v>
      </c>
      <c r="AE23" s="11">
        <v>63</v>
      </c>
      <c r="AF23" s="12">
        <v>0.53969999999999996</v>
      </c>
      <c r="AG23" s="11">
        <v>22</v>
      </c>
      <c r="AH23" s="11">
        <v>38</v>
      </c>
      <c r="AI23" s="12">
        <v>0.57889999999999997</v>
      </c>
      <c r="AJ23" s="11">
        <v>12</v>
      </c>
      <c r="AK23" s="11">
        <v>25</v>
      </c>
      <c r="AL23" s="12">
        <v>0.48</v>
      </c>
      <c r="AM23" s="11">
        <v>8</v>
      </c>
      <c r="AN23" s="11">
        <v>9</v>
      </c>
      <c r="AO23" s="12">
        <v>0.88890000000000002</v>
      </c>
      <c r="AP23" s="11">
        <v>9</v>
      </c>
      <c r="AQ23" s="11">
        <v>22</v>
      </c>
      <c r="AR23" s="11">
        <v>31</v>
      </c>
      <c r="AS23" s="11">
        <v>16</v>
      </c>
      <c r="AT23" s="11">
        <v>4</v>
      </c>
      <c r="AU23" s="11">
        <v>2</v>
      </c>
      <c r="AV23" s="11">
        <v>13</v>
      </c>
      <c r="AW23" s="11">
        <v>24</v>
      </c>
      <c r="AX23" s="12">
        <v>0.56759999999999999</v>
      </c>
      <c r="AY23" s="12">
        <v>0.51590000000000003</v>
      </c>
      <c r="AZ23" s="12">
        <v>0.38890000000000002</v>
      </c>
      <c r="BA23" s="12">
        <v>0.68969999999999998</v>
      </c>
      <c r="BB23" s="12">
        <v>0.52310000000000001</v>
      </c>
      <c r="BC23" s="4">
        <v>67.179000000000002</v>
      </c>
      <c r="BD23" s="12">
        <v>0.46429999999999999</v>
      </c>
      <c r="BE23" s="12">
        <v>0.33329999999999999</v>
      </c>
      <c r="BF23" s="12">
        <v>9.5500000000000002E-2</v>
      </c>
      <c r="BG23" s="4">
        <v>124.8</v>
      </c>
      <c r="BH23" s="4">
        <v>127.7</v>
      </c>
      <c r="BI23" s="4">
        <v>68.885000000000005</v>
      </c>
      <c r="BJ23" s="12">
        <v>0.65710000000000002</v>
      </c>
      <c r="BK23" s="12">
        <v>0.63490000000000002</v>
      </c>
      <c r="BL23" s="12">
        <v>0.31030000000000002</v>
      </c>
      <c r="BM23" s="12">
        <v>0.61109999999999998</v>
      </c>
      <c r="BN23" s="12">
        <v>0.47689999999999999</v>
      </c>
      <c r="BO23" s="4">
        <v>70.590999999999994</v>
      </c>
      <c r="BP23" s="12">
        <v>0.47060000000000002</v>
      </c>
      <c r="BQ23" s="12">
        <v>0.127</v>
      </c>
      <c r="BR23" s="12">
        <v>0.16259999999999999</v>
      </c>
      <c r="BS23" s="4">
        <v>127.7</v>
      </c>
      <c r="BT23" s="4">
        <v>124.8</v>
      </c>
      <c r="BU23" s="11">
        <v>20</v>
      </c>
      <c r="BV23" s="11">
        <v>25</v>
      </c>
      <c r="BW23" s="11">
        <v>20</v>
      </c>
      <c r="BX23" s="11">
        <v>21</v>
      </c>
      <c r="BY23" s="11">
        <v>19</v>
      </c>
      <c r="BZ23" s="11">
        <v>29</v>
      </c>
      <c r="CA23" s="11">
        <v>25</v>
      </c>
      <c r="CB23" s="11">
        <v>15</v>
      </c>
      <c r="CC23" s="11">
        <v>45</v>
      </c>
      <c r="CD23" s="11">
        <v>41</v>
      </c>
      <c r="CE23" s="11">
        <v>48</v>
      </c>
      <c r="CF23" s="11">
        <v>40</v>
      </c>
      <c r="CG23" s="4">
        <v>1.1399999999999999</v>
      </c>
      <c r="CH23" s="13">
        <v>6</v>
      </c>
      <c r="CI23" s="4">
        <v>-11.5</v>
      </c>
      <c r="CJ23" s="4">
        <v>11.5</v>
      </c>
      <c r="CK23" s="4">
        <v>174.5</v>
      </c>
      <c r="CL23" s="2" t="s">
        <v>512</v>
      </c>
      <c r="CM23" s="4" t="str">
        <f>VLOOKUP(paris[[#This Row],[Away_team]],all[[Full name]:[Abbr]],3,FALSE)</f>
        <v>SQU</v>
      </c>
      <c r="CN23" s="4">
        <f>IF(OR(paris[[#This Row],[Result]]="w",paris[[#This Row],[Result]]="dw"),paris[[#This Row],[win]]-1,-1)</f>
        <v>-1</v>
      </c>
      <c r="CO23" s="4">
        <f>IF(OR(paris[[#This Row],[Result]]="L",paris[[#This Row],[Result]]="dl"),paris[[#This Row],[lose]]-1,-1)</f>
        <v>5</v>
      </c>
      <c r="CP23" s="4">
        <f>IF(OR((paris[[#This Row],[Home_scored]]+paris[[#This Row],[Away_scored]])&gt;paris[[#This Row],[total]],OR(paris[[#This Row],[Result]]="dw",paris[[#This Row],[Result]]="dl")),1,0)</f>
        <v>0</v>
      </c>
      <c r="CQ23" s="4">
        <f>ABS((paris[[#This Row],[Home_scored]]+paris[[#This Row],[Away_scored]])-paris[[#This Row],[total]])+0.5</f>
        <v>1</v>
      </c>
    </row>
    <row r="24" spans="1:95" x14ac:dyDescent="0.25">
      <c r="A24" s="2" t="s">
        <v>349</v>
      </c>
      <c r="B24" s="2" t="s">
        <v>339</v>
      </c>
      <c r="C24" s="3" t="s">
        <v>73</v>
      </c>
      <c r="D24" s="3">
        <v>45725</v>
      </c>
      <c r="E24" s="2" t="s">
        <v>140</v>
      </c>
      <c r="F24" s="2" t="s">
        <v>330</v>
      </c>
      <c r="G24" s="2" t="s">
        <v>139</v>
      </c>
      <c r="H24" s="11">
        <v>63</v>
      </c>
      <c r="I24" s="11">
        <v>94</v>
      </c>
      <c r="J24" s="11">
        <v>24</v>
      </c>
      <c r="K24" s="11">
        <v>68</v>
      </c>
      <c r="L24" s="12">
        <v>0.35289999999999999</v>
      </c>
      <c r="M24" s="11">
        <v>17</v>
      </c>
      <c r="N24" s="11">
        <v>40</v>
      </c>
      <c r="O24" s="12">
        <v>0.42499999999999999</v>
      </c>
      <c r="P24" s="11">
        <v>7</v>
      </c>
      <c r="Q24" s="11">
        <v>28</v>
      </c>
      <c r="R24" s="12">
        <v>0.25</v>
      </c>
      <c r="S24" s="11">
        <v>8</v>
      </c>
      <c r="T24" s="11">
        <v>9</v>
      </c>
      <c r="U24" s="12">
        <v>0.88890000000000002</v>
      </c>
      <c r="V24" s="11">
        <v>12</v>
      </c>
      <c r="W24" s="11">
        <v>14</v>
      </c>
      <c r="X24" s="11">
        <v>26</v>
      </c>
      <c r="Y24" s="11">
        <v>15</v>
      </c>
      <c r="Z24" s="11">
        <v>9</v>
      </c>
      <c r="AA24" s="11">
        <v>2</v>
      </c>
      <c r="AB24" s="11">
        <v>13</v>
      </c>
      <c r="AC24" s="11">
        <v>26</v>
      </c>
      <c r="AD24" s="11">
        <v>31</v>
      </c>
      <c r="AE24" s="11">
        <v>53</v>
      </c>
      <c r="AF24" s="12">
        <v>0.58489999999999998</v>
      </c>
      <c r="AG24" s="11">
        <v>25</v>
      </c>
      <c r="AH24" s="11">
        <v>35</v>
      </c>
      <c r="AI24" s="12">
        <v>0.71430000000000005</v>
      </c>
      <c r="AJ24" s="11">
        <v>6</v>
      </c>
      <c r="AK24" s="11">
        <v>18</v>
      </c>
      <c r="AL24" s="12">
        <v>0.33329999999999999</v>
      </c>
      <c r="AM24" s="11">
        <v>26</v>
      </c>
      <c r="AN24" s="11">
        <v>28</v>
      </c>
      <c r="AO24" s="12">
        <v>0.92859999999999998</v>
      </c>
      <c r="AP24" s="11">
        <v>7</v>
      </c>
      <c r="AQ24" s="11">
        <v>30</v>
      </c>
      <c r="AR24" s="11">
        <v>37</v>
      </c>
      <c r="AS24" s="11">
        <v>18</v>
      </c>
      <c r="AT24" s="11">
        <v>1</v>
      </c>
      <c r="AU24" s="11">
        <v>3</v>
      </c>
      <c r="AV24" s="11">
        <v>15</v>
      </c>
      <c r="AW24" s="11">
        <v>15</v>
      </c>
      <c r="AX24" s="12">
        <v>0.43769999999999998</v>
      </c>
      <c r="AY24" s="12">
        <v>0.40439999999999998</v>
      </c>
      <c r="AZ24" s="12">
        <v>0.28570000000000001</v>
      </c>
      <c r="BA24" s="12">
        <v>0.66669999999999996</v>
      </c>
      <c r="BB24" s="12">
        <v>0.41270000000000001</v>
      </c>
      <c r="BC24" s="4">
        <v>62.871000000000002</v>
      </c>
      <c r="BD24" s="12">
        <v>0.625</v>
      </c>
      <c r="BE24" s="12">
        <v>0.1176</v>
      </c>
      <c r="BF24" s="12">
        <v>0.153</v>
      </c>
      <c r="BG24" s="4">
        <v>91.6</v>
      </c>
      <c r="BH24" s="4">
        <v>136.6</v>
      </c>
      <c r="BI24" s="4">
        <v>68.808499999999995</v>
      </c>
      <c r="BJ24" s="12">
        <v>0.71950000000000003</v>
      </c>
      <c r="BK24" s="12">
        <v>0.64149999999999996</v>
      </c>
      <c r="BL24" s="12">
        <v>0.33329999999999999</v>
      </c>
      <c r="BM24" s="12">
        <v>0.71430000000000005</v>
      </c>
      <c r="BN24" s="12">
        <v>0.58730000000000004</v>
      </c>
      <c r="BO24" s="4">
        <v>74.745999999999995</v>
      </c>
      <c r="BP24" s="12">
        <v>0.5806</v>
      </c>
      <c r="BQ24" s="12">
        <v>0.49059999999999998</v>
      </c>
      <c r="BR24" s="12">
        <v>0.18679999999999999</v>
      </c>
      <c r="BS24" s="4">
        <v>136.6</v>
      </c>
      <c r="BT24" s="4">
        <v>91.6</v>
      </c>
      <c r="BU24" s="11">
        <v>19</v>
      </c>
      <c r="BV24" s="11">
        <v>19</v>
      </c>
      <c r="BW24" s="11">
        <v>13</v>
      </c>
      <c r="BX24" s="11">
        <v>12</v>
      </c>
      <c r="BY24" s="11">
        <v>23</v>
      </c>
      <c r="BZ24" s="11">
        <v>21</v>
      </c>
      <c r="CA24" s="11">
        <v>22</v>
      </c>
      <c r="CB24" s="11">
        <v>28</v>
      </c>
      <c r="CC24" s="11">
        <v>38</v>
      </c>
      <c r="CD24" s="11">
        <v>25</v>
      </c>
      <c r="CE24" s="11">
        <v>44</v>
      </c>
      <c r="CF24" s="11">
        <v>50</v>
      </c>
      <c r="CG24" s="4">
        <v>3.5</v>
      </c>
      <c r="CH24" s="13">
        <v>1.32</v>
      </c>
      <c r="CI24" s="4">
        <v>7.5</v>
      </c>
      <c r="CJ24" s="4">
        <v>-7.5</v>
      </c>
      <c r="CK24" s="4">
        <v>170.5</v>
      </c>
      <c r="CL24" s="2" t="s">
        <v>522</v>
      </c>
      <c r="CM24" s="4" t="str">
        <f>VLOOKUP(paris[[#This Row],[Away_team]],all[[Full name]:[Abbr]],3,FALSE)</f>
        <v>MON</v>
      </c>
      <c r="CN24" s="4">
        <f>IF(OR(paris[[#This Row],[Result]]="w",paris[[#This Row],[Result]]="dw"),paris[[#This Row],[win]]-1,-1)</f>
        <v>-1</v>
      </c>
      <c r="CO24" s="4">
        <f>IF(OR(paris[[#This Row],[Result]]="L",paris[[#This Row],[Result]]="dl"),paris[[#This Row],[lose]]-1,-1)</f>
        <v>0.32000000000000006</v>
      </c>
      <c r="CP24" s="4">
        <f>IF(OR((paris[[#This Row],[Home_scored]]+paris[[#This Row],[Away_scored]])&gt;paris[[#This Row],[total]],OR(paris[[#This Row],[Result]]="dw",paris[[#This Row],[Result]]="dl")),1,0)</f>
        <v>0</v>
      </c>
      <c r="CQ24" s="4">
        <f>ABS((paris[[#This Row],[Home_scored]]+paris[[#This Row],[Away_scored]])-paris[[#This Row],[total]])+0.5</f>
        <v>14</v>
      </c>
    </row>
    <row r="25" spans="1:95" x14ac:dyDescent="0.25">
      <c r="A25" s="2" t="s">
        <v>349</v>
      </c>
      <c r="B25" s="2" t="s">
        <v>339</v>
      </c>
      <c r="C25" s="3" t="s">
        <v>73</v>
      </c>
      <c r="D25" s="3">
        <v>45737</v>
      </c>
      <c r="E25" s="2" t="s">
        <v>140</v>
      </c>
      <c r="F25" s="2" t="s">
        <v>345</v>
      </c>
      <c r="G25" s="2" t="s">
        <v>75</v>
      </c>
      <c r="H25" s="11">
        <v>87</v>
      </c>
      <c r="I25" s="11">
        <v>79</v>
      </c>
      <c r="J25" s="11">
        <v>28</v>
      </c>
      <c r="K25" s="11">
        <v>62</v>
      </c>
      <c r="L25" s="12">
        <v>0.4516</v>
      </c>
      <c r="M25" s="11">
        <v>18</v>
      </c>
      <c r="N25" s="11">
        <v>35</v>
      </c>
      <c r="O25" s="12">
        <v>0.51429999999999998</v>
      </c>
      <c r="P25" s="11">
        <v>10</v>
      </c>
      <c r="Q25" s="11">
        <v>27</v>
      </c>
      <c r="R25" s="12">
        <v>0.37040000000000001</v>
      </c>
      <c r="S25" s="11">
        <v>21</v>
      </c>
      <c r="T25" s="11">
        <v>25</v>
      </c>
      <c r="U25" s="12">
        <v>0.84</v>
      </c>
      <c r="V25" s="11">
        <v>13</v>
      </c>
      <c r="W25" s="11">
        <v>22</v>
      </c>
      <c r="X25" s="11">
        <v>35</v>
      </c>
      <c r="Y25" s="11">
        <v>16</v>
      </c>
      <c r="Z25" s="11">
        <v>9</v>
      </c>
      <c r="AA25" s="11">
        <v>2</v>
      </c>
      <c r="AB25" s="11">
        <v>13</v>
      </c>
      <c r="AC25" s="11">
        <v>27</v>
      </c>
      <c r="AD25" s="11">
        <v>29</v>
      </c>
      <c r="AE25" s="11">
        <v>60</v>
      </c>
      <c r="AF25" s="12">
        <v>0.48330000000000001</v>
      </c>
      <c r="AG25" s="11">
        <v>24</v>
      </c>
      <c r="AH25" s="11">
        <v>40</v>
      </c>
      <c r="AI25" s="12">
        <v>0.6</v>
      </c>
      <c r="AJ25" s="11">
        <v>5</v>
      </c>
      <c r="AK25" s="11">
        <v>20</v>
      </c>
      <c r="AL25" s="12">
        <v>0.25</v>
      </c>
      <c r="AM25" s="11">
        <v>16</v>
      </c>
      <c r="AN25" s="11">
        <v>22</v>
      </c>
      <c r="AO25" s="12">
        <v>0.72729999999999995</v>
      </c>
      <c r="AP25" s="11">
        <v>11</v>
      </c>
      <c r="AQ25" s="11">
        <v>23</v>
      </c>
      <c r="AR25" s="11">
        <v>34</v>
      </c>
      <c r="AS25" s="11">
        <v>19</v>
      </c>
      <c r="AT25" s="11">
        <v>4</v>
      </c>
      <c r="AU25" s="11">
        <v>2</v>
      </c>
      <c r="AV25" s="11">
        <v>19</v>
      </c>
      <c r="AW25" s="11">
        <v>23</v>
      </c>
      <c r="AX25" s="12">
        <v>0.59589999999999999</v>
      </c>
      <c r="AY25" s="12">
        <v>0.5323</v>
      </c>
      <c r="AZ25" s="12">
        <v>0.36109999999999998</v>
      </c>
      <c r="BA25" s="12">
        <v>0.66669999999999996</v>
      </c>
      <c r="BB25" s="12">
        <v>0.50719999999999998</v>
      </c>
      <c r="BC25" s="4">
        <v>71.486999999999995</v>
      </c>
      <c r="BD25" s="12">
        <v>0.57140000000000002</v>
      </c>
      <c r="BE25" s="12">
        <v>0.3387</v>
      </c>
      <c r="BF25" s="12">
        <v>0.1512</v>
      </c>
      <c r="BG25" s="4">
        <v>117.1</v>
      </c>
      <c r="BH25" s="4">
        <v>106.4</v>
      </c>
      <c r="BI25" s="4">
        <v>74.278000000000006</v>
      </c>
      <c r="BJ25" s="12">
        <v>0.56689999999999996</v>
      </c>
      <c r="BK25" s="12">
        <v>0.52500000000000002</v>
      </c>
      <c r="BL25" s="12">
        <v>0.33329999999999999</v>
      </c>
      <c r="BM25" s="12">
        <v>0.63890000000000002</v>
      </c>
      <c r="BN25" s="12">
        <v>0.49280000000000002</v>
      </c>
      <c r="BO25" s="4">
        <v>77.069000000000003</v>
      </c>
      <c r="BP25" s="12">
        <v>0.6552</v>
      </c>
      <c r="BQ25" s="12">
        <v>0.26669999999999999</v>
      </c>
      <c r="BR25" s="12">
        <v>0.21429999999999999</v>
      </c>
      <c r="BS25" s="4">
        <v>106.4</v>
      </c>
      <c r="BT25" s="4">
        <v>117.1</v>
      </c>
      <c r="BU25" s="11">
        <v>17</v>
      </c>
      <c r="BV25" s="11">
        <v>18</v>
      </c>
      <c r="BW25" s="11">
        <v>26</v>
      </c>
      <c r="BX25" s="11">
        <v>26</v>
      </c>
      <c r="BY25" s="11">
        <v>17</v>
      </c>
      <c r="BZ25" s="11">
        <v>24</v>
      </c>
      <c r="CA25" s="11">
        <v>20</v>
      </c>
      <c r="CB25" s="11">
        <v>18</v>
      </c>
      <c r="CC25" s="11">
        <v>35</v>
      </c>
      <c r="CD25" s="11">
        <v>52</v>
      </c>
      <c r="CE25" s="11">
        <v>41</v>
      </c>
      <c r="CF25" s="11">
        <v>38</v>
      </c>
      <c r="CG25" s="4">
        <v>1.45</v>
      </c>
      <c r="CH25" s="13">
        <v>2.8</v>
      </c>
      <c r="CI25" s="4">
        <v>-5.5</v>
      </c>
      <c r="CJ25" s="4">
        <v>5.5</v>
      </c>
      <c r="CK25" s="4">
        <v>172.5</v>
      </c>
      <c r="CL25" s="2" t="s">
        <v>523</v>
      </c>
      <c r="CM25" s="4" t="str">
        <f>VLOOKUP(paris[[#This Row],[Away_team]],all[[Full name]:[Abbr]],3,FALSE)</f>
        <v>STR</v>
      </c>
      <c r="CN25" s="4">
        <f>IF(OR(paris[[#This Row],[Result]]="w",paris[[#This Row],[Result]]="dw"),paris[[#This Row],[win]]-1,-1)</f>
        <v>0.44999999999999996</v>
      </c>
      <c r="CO25" s="4">
        <f>IF(OR(paris[[#This Row],[Result]]="L",paris[[#This Row],[Result]]="dl"),paris[[#This Row],[lose]]-1,-1)</f>
        <v>-1</v>
      </c>
      <c r="CP25" s="4">
        <f>IF(OR((paris[[#This Row],[Home_scored]]+paris[[#This Row],[Away_scored]])&gt;paris[[#This Row],[total]],OR(paris[[#This Row],[Result]]="dw",paris[[#This Row],[Result]]="dl")),1,0)</f>
        <v>0</v>
      </c>
      <c r="CQ25" s="4">
        <f>ABS((paris[[#This Row],[Home_scored]]+paris[[#This Row],[Away_scored]])-paris[[#This Row],[total]])+0.5</f>
        <v>7</v>
      </c>
    </row>
    <row r="26" spans="1:95" x14ac:dyDescent="0.25">
      <c r="A26" s="2" t="s">
        <v>349</v>
      </c>
      <c r="B26" s="2" t="s">
        <v>339</v>
      </c>
      <c r="C26" s="3" t="s">
        <v>73</v>
      </c>
      <c r="D26" s="3">
        <v>45746</v>
      </c>
      <c r="E26" s="2" t="s">
        <v>74</v>
      </c>
      <c r="F26" s="2" t="s">
        <v>314</v>
      </c>
      <c r="G26" s="2" t="s">
        <v>75</v>
      </c>
      <c r="H26" s="11">
        <v>109</v>
      </c>
      <c r="I26" s="11">
        <v>66</v>
      </c>
      <c r="J26" s="11">
        <v>42</v>
      </c>
      <c r="K26" s="11">
        <v>66</v>
      </c>
      <c r="L26" s="12">
        <v>0.63639999999999997</v>
      </c>
      <c r="M26" s="11">
        <v>29</v>
      </c>
      <c r="N26" s="11">
        <v>36</v>
      </c>
      <c r="O26" s="12">
        <v>0.80559999999999998</v>
      </c>
      <c r="P26" s="11">
        <v>13</v>
      </c>
      <c r="Q26" s="11">
        <v>30</v>
      </c>
      <c r="R26" s="12">
        <v>0.43330000000000002</v>
      </c>
      <c r="S26" s="11">
        <v>12</v>
      </c>
      <c r="T26" s="11">
        <v>17</v>
      </c>
      <c r="U26" s="12">
        <v>0.70589999999999997</v>
      </c>
      <c r="V26" s="11">
        <v>9</v>
      </c>
      <c r="W26" s="11">
        <v>30</v>
      </c>
      <c r="X26" s="11">
        <v>39</v>
      </c>
      <c r="Y26" s="11">
        <v>29</v>
      </c>
      <c r="Z26" s="11">
        <v>6</v>
      </c>
      <c r="AA26" s="11">
        <v>3</v>
      </c>
      <c r="AB26" s="11">
        <v>8</v>
      </c>
      <c r="AC26" s="11">
        <v>18</v>
      </c>
      <c r="AD26" s="11">
        <v>25</v>
      </c>
      <c r="AE26" s="11">
        <v>72</v>
      </c>
      <c r="AF26" s="12">
        <v>0.34720000000000001</v>
      </c>
      <c r="AG26" s="11">
        <v>17</v>
      </c>
      <c r="AH26" s="11">
        <v>29</v>
      </c>
      <c r="AI26" s="12">
        <v>0.58620000000000005</v>
      </c>
      <c r="AJ26" s="11">
        <v>8</v>
      </c>
      <c r="AK26" s="11">
        <v>43</v>
      </c>
      <c r="AL26" s="12">
        <v>0.186</v>
      </c>
      <c r="AM26" s="11">
        <v>8</v>
      </c>
      <c r="AN26" s="11">
        <v>11</v>
      </c>
      <c r="AO26" s="12">
        <v>0.72729999999999995</v>
      </c>
      <c r="AP26" s="11">
        <v>18</v>
      </c>
      <c r="AQ26" s="11">
        <v>18</v>
      </c>
      <c r="AR26" s="11">
        <v>36</v>
      </c>
      <c r="AS26" s="11">
        <v>14</v>
      </c>
      <c r="AT26" s="11">
        <v>5</v>
      </c>
      <c r="AU26" s="11">
        <v>2</v>
      </c>
      <c r="AV26" s="11">
        <v>11</v>
      </c>
      <c r="AW26" s="11">
        <v>19</v>
      </c>
      <c r="AX26" s="12">
        <v>0.74170000000000003</v>
      </c>
      <c r="AY26" s="12">
        <v>0.73480000000000001</v>
      </c>
      <c r="AZ26" s="12">
        <v>0.33329999999999999</v>
      </c>
      <c r="BA26" s="12">
        <v>0.625</v>
      </c>
      <c r="BB26" s="12">
        <v>0.52</v>
      </c>
      <c r="BC26" s="4">
        <v>74.873999999999995</v>
      </c>
      <c r="BD26" s="12">
        <v>0.6905</v>
      </c>
      <c r="BE26" s="12">
        <v>0.18179999999999999</v>
      </c>
      <c r="BF26" s="12">
        <v>9.8199999999999996E-2</v>
      </c>
      <c r="BG26" s="4">
        <v>159</v>
      </c>
      <c r="BH26" s="4">
        <v>96.3</v>
      </c>
      <c r="BI26" s="4">
        <v>68.564499999999995</v>
      </c>
      <c r="BJ26" s="12">
        <v>0.42949999999999999</v>
      </c>
      <c r="BK26" s="12">
        <v>0.40279999999999999</v>
      </c>
      <c r="BL26" s="12">
        <v>0.375</v>
      </c>
      <c r="BM26" s="12">
        <v>0.66669999999999996</v>
      </c>
      <c r="BN26" s="12">
        <v>0.48</v>
      </c>
      <c r="BO26" s="4">
        <v>62.255000000000003</v>
      </c>
      <c r="BP26" s="12">
        <v>0.56000000000000005</v>
      </c>
      <c r="BQ26" s="12">
        <v>0.1111</v>
      </c>
      <c r="BR26" s="12">
        <v>0.12520000000000001</v>
      </c>
      <c r="BS26" s="4">
        <v>96.3</v>
      </c>
      <c r="BT26" s="4">
        <v>159</v>
      </c>
      <c r="BU26" s="11">
        <v>26</v>
      </c>
      <c r="BV26" s="11">
        <v>30</v>
      </c>
      <c r="BW26" s="11">
        <v>29</v>
      </c>
      <c r="BX26" s="11">
        <v>24</v>
      </c>
      <c r="BY26" s="11">
        <v>13</v>
      </c>
      <c r="BZ26" s="11">
        <v>14</v>
      </c>
      <c r="CA26" s="11">
        <v>22</v>
      </c>
      <c r="CB26" s="11">
        <v>17</v>
      </c>
      <c r="CC26" s="11">
        <v>56</v>
      </c>
      <c r="CD26" s="11">
        <v>53</v>
      </c>
      <c r="CE26" s="11">
        <v>27</v>
      </c>
      <c r="CF26" s="11">
        <v>39</v>
      </c>
      <c r="CG26" s="4">
        <v>1.1399999999999999</v>
      </c>
      <c r="CH26" s="13">
        <v>6</v>
      </c>
      <c r="CI26" s="4">
        <v>-11.5</v>
      </c>
      <c r="CJ26" s="4">
        <v>11.5</v>
      </c>
      <c r="CK26" s="4">
        <v>173.5</v>
      </c>
      <c r="CL26" s="2" t="s">
        <v>536</v>
      </c>
      <c r="CM26" s="4" t="str">
        <f>VLOOKUP(paris[[#This Row],[Away_team]],all[[Full name]:[Abbr]],3,FALSE)</f>
        <v>DUN</v>
      </c>
      <c r="CN26" s="4">
        <f>IF(OR(paris[[#This Row],[Result]]="w",paris[[#This Row],[Result]]="dw"),paris[[#This Row],[win]]-1,-1)</f>
        <v>0.1399999999999999</v>
      </c>
      <c r="CO26" s="4">
        <f>IF(OR(paris[[#This Row],[Result]]="L",paris[[#This Row],[Result]]="dl"),paris[[#This Row],[lose]]-1,-1)</f>
        <v>-1</v>
      </c>
      <c r="CP26" s="4">
        <f>IF(OR((paris[[#This Row],[Home_scored]]+paris[[#This Row],[Away_scored]])&gt;paris[[#This Row],[total]],OR(paris[[#This Row],[Result]]="dw",paris[[#This Row],[Result]]="dl")),1,0)</f>
        <v>1</v>
      </c>
      <c r="CQ26" s="4">
        <f>ABS((paris[[#This Row],[Home_scored]]+paris[[#This Row],[Away_scored]])-paris[[#This Row],[total]])+0.5</f>
        <v>2</v>
      </c>
    </row>
    <row r="27" spans="1:95" x14ac:dyDescent="0.25">
      <c r="A27" s="2" t="s">
        <v>349</v>
      </c>
      <c r="B27" s="2" t="s">
        <v>339</v>
      </c>
      <c r="C27" s="3" t="s">
        <v>73</v>
      </c>
      <c r="D27" s="3">
        <v>45753</v>
      </c>
      <c r="E27" s="2" t="s">
        <v>74</v>
      </c>
      <c r="F27" s="2" t="s">
        <v>317</v>
      </c>
      <c r="G27" s="2" t="s">
        <v>75</v>
      </c>
      <c r="H27" s="11">
        <v>106</v>
      </c>
      <c r="I27" s="11">
        <v>103</v>
      </c>
      <c r="J27" s="11">
        <v>39</v>
      </c>
      <c r="K27" s="11">
        <v>65</v>
      </c>
      <c r="L27" s="12">
        <v>0.6</v>
      </c>
      <c r="M27" s="11">
        <v>21</v>
      </c>
      <c r="N27" s="11">
        <v>28</v>
      </c>
      <c r="O27" s="12">
        <v>0.75</v>
      </c>
      <c r="P27" s="11">
        <v>18</v>
      </c>
      <c r="Q27" s="11">
        <v>37</v>
      </c>
      <c r="R27" s="12">
        <v>0.48649999999999999</v>
      </c>
      <c r="S27" s="11">
        <v>10</v>
      </c>
      <c r="T27" s="11">
        <v>11</v>
      </c>
      <c r="U27" s="12">
        <v>0.90910000000000002</v>
      </c>
      <c r="V27" s="11">
        <v>7</v>
      </c>
      <c r="W27" s="11">
        <v>23</v>
      </c>
      <c r="X27" s="11">
        <v>30</v>
      </c>
      <c r="Y27" s="11">
        <v>20</v>
      </c>
      <c r="Z27" s="11">
        <v>4</v>
      </c>
      <c r="AA27" s="11">
        <v>2</v>
      </c>
      <c r="AB27" s="11">
        <v>13</v>
      </c>
      <c r="AC27" s="11">
        <v>21</v>
      </c>
      <c r="AD27" s="11">
        <v>37</v>
      </c>
      <c r="AE27" s="11">
        <v>70</v>
      </c>
      <c r="AF27" s="12">
        <v>0.52859999999999996</v>
      </c>
      <c r="AG27" s="11">
        <v>18</v>
      </c>
      <c r="AH27" s="11">
        <v>39</v>
      </c>
      <c r="AI27" s="12">
        <v>0.46150000000000002</v>
      </c>
      <c r="AJ27" s="11">
        <v>19</v>
      </c>
      <c r="AK27" s="11">
        <v>31</v>
      </c>
      <c r="AL27" s="12">
        <v>0.6129</v>
      </c>
      <c r="AM27" s="11">
        <v>10</v>
      </c>
      <c r="AN27" s="11">
        <v>14</v>
      </c>
      <c r="AO27" s="12">
        <v>0.71430000000000005</v>
      </c>
      <c r="AP27" s="11">
        <v>13</v>
      </c>
      <c r="AQ27" s="11">
        <v>18</v>
      </c>
      <c r="AR27" s="11">
        <v>31</v>
      </c>
      <c r="AS27" s="11">
        <v>23</v>
      </c>
      <c r="AT27" s="11">
        <v>7</v>
      </c>
      <c r="AU27" s="11">
        <v>1</v>
      </c>
      <c r="AV27" s="11">
        <v>11</v>
      </c>
      <c r="AW27" s="11">
        <v>16</v>
      </c>
      <c r="AX27" s="12">
        <v>0.75890000000000002</v>
      </c>
      <c r="AY27" s="12">
        <v>0.73850000000000005</v>
      </c>
      <c r="AZ27" s="12">
        <v>0.28000000000000003</v>
      </c>
      <c r="BA27" s="12">
        <v>0.63890000000000002</v>
      </c>
      <c r="BB27" s="12">
        <v>0.49180000000000001</v>
      </c>
      <c r="BC27" s="4">
        <v>75.909000000000006</v>
      </c>
      <c r="BD27" s="12">
        <v>0.51280000000000003</v>
      </c>
      <c r="BE27" s="12">
        <v>0.15379999999999999</v>
      </c>
      <c r="BF27" s="12">
        <v>0.15690000000000001</v>
      </c>
      <c r="BG27" s="4">
        <v>143.5</v>
      </c>
      <c r="BH27" s="4">
        <v>139.5</v>
      </c>
      <c r="BI27" s="4">
        <v>73.850999999999999</v>
      </c>
      <c r="BJ27" s="12">
        <v>0.67620000000000002</v>
      </c>
      <c r="BK27" s="12">
        <v>0.6643</v>
      </c>
      <c r="BL27" s="12">
        <v>0.36109999999999998</v>
      </c>
      <c r="BM27" s="12">
        <v>0.72</v>
      </c>
      <c r="BN27" s="12">
        <v>0.50819999999999999</v>
      </c>
      <c r="BO27" s="4">
        <v>71.793000000000006</v>
      </c>
      <c r="BP27" s="12">
        <v>0.62160000000000004</v>
      </c>
      <c r="BQ27" s="12">
        <v>0.1429</v>
      </c>
      <c r="BR27" s="12">
        <v>0.12620000000000001</v>
      </c>
      <c r="BS27" s="4">
        <v>139.5</v>
      </c>
      <c r="BT27" s="4">
        <v>143.5</v>
      </c>
      <c r="BU27" s="11">
        <v>31</v>
      </c>
      <c r="BV27" s="11">
        <v>27</v>
      </c>
      <c r="BW27" s="11">
        <v>23</v>
      </c>
      <c r="BX27" s="11">
        <v>25</v>
      </c>
      <c r="BY27" s="11">
        <v>39</v>
      </c>
      <c r="BZ27" s="11">
        <v>16</v>
      </c>
      <c r="CA27" s="11">
        <v>19</v>
      </c>
      <c r="CB27" s="11">
        <v>29</v>
      </c>
      <c r="CC27" s="11">
        <v>58</v>
      </c>
      <c r="CD27" s="11">
        <v>48</v>
      </c>
      <c r="CE27" s="11">
        <v>55</v>
      </c>
      <c r="CF27" s="11">
        <v>48</v>
      </c>
      <c r="CG27" s="4">
        <v>1.22</v>
      </c>
      <c r="CH27" s="13">
        <v>4.5</v>
      </c>
      <c r="CI27" s="4">
        <v>-9.5</v>
      </c>
      <c r="CJ27" s="4">
        <v>9.5</v>
      </c>
      <c r="CK27" s="4">
        <v>177.5</v>
      </c>
      <c r="CL27" s="2" t="s">
        <v>544</v>
      </c>
      <c r="CM27" s="4" t="str">
        <f>VLOOKUP(paris[[#This Row],[Away_team]],all[[Full name]:[Abbr]],3,FALSE)</f>
        <v>LEM</v>
      </c>
      <c r="CN27" s="4">
        <f>IF(OR(paris[[#This Row],[Result]]="w",paris[[#This Row],[Result]]="dw"),paris[[#This Row],[win]]-1,-1)</f>
        <v>0.21999999999999997</v>
      </c>
      <c r="CO27" s="4">
        <f>IF(OR(paris[[#This Row],[Result]]="L",paris[[#This Row],[Result]]="dl"),paris[[#This Row],[lose]]-1,-1)</f>
        <v>-1</v>
      </c>
      <c r="CP27" s="4">
        <f>IF(OR((paris[[#This Row],[Home_scored]]+paris[[#This Row],[Away_scored]])&gt;paris[[#This Row],[total]],OR(paris[[#This Row],[Result]]="dw",paris[[#This Row],[Result]]="dl")),1,0)</f>
        <v>1</v>
      </c>
      <c r="CQ27" s="4">
        <f>ABS((paris[[#This Row],[Home_scored]]+paris[[#This Row],[Away_scored]])-paris[[#This Row],[total]])+0.5</f>
        <v>32</v>
      </c>
    </row>
    <row r="28" spans="1:95" x14ac:dyDescent="0.25">
      <c r="A28" s="2" t="s">
        <v>349</v>
      </c>
      <c r="B28" s="2" t="s">
        <v>339</v>
      </c>
      <c r="C28" s="3" t="s">
        <v>73</v>
      </c>
      <c r="D28" s="3">
        <v>45759</v>
      </c>
      <c r="E28" s="2" t="s">
        <v>140</v>
      </c>
      <c r="F28" s="2" t="s">
        <v>302</v>
      </c>
      <c r="G28" s="2" t="s">
        <v>75</v>
      </c>
      <c r="H28" s="11">
        <v>98</v>
      </c>
      <c r="I28" s="11">
        <v>91</v>
      </c>
      <c r="J28" s="11">
        <v>35</v>
      </c>
      <c r="K28" s="11">
        <v>66</v>
      </c>
      <c r="L28" s="12">
        <v>0.53029999999999999</v>
      </c>
      <c r="M28" s="11">
        <v>24</v>
      </c>
      <c r="N28" s="11">
        <v>36</v>
      </c>
      <c r="O28" s="12">
        <v>0.66669999999999996</v>
      </c>
      <c r="P28" s="11">
        <v>11</v>
      </c>
      <c r="Q28" s="11">
        <v>30</v>
      </c>
      <c r="R28" s="12">
        <v>0.36670000000000003</v>
      </c>
      <c r="S28" s="11">
        <v>17</v>
      </c>
      <c r="T28" s="11">
        <v>19</v>
      </c>
      <c r="U28" s="12">
        <v>0.89470000000000005</v>
      </c>
      <c r="V28" s="11">
        <v>14</v>
      </c>
      <c r="W28" s="11">
        <v>23</v>
      </c>
      <c r="X28" s="11">
        <v>37</v>
      </c>
      <c r="Y28" s="11">
        <v>22</v>
      </c>
      <c r="Z28" s="11">
        <v>3</v>
      </c>
      <c r="AA28" s="11">
        <v>3</v>
      </c>
      <c r="AB28" s="11">
        <v>13</v>
      </c>
      <c r="AC28" s="11">
        <v>19</v>
      </c>
      <c r="AD28" s="11">
        <v>37</v>
      </c>
      <c r="AE28" s="11">
        <v>70</v>
      </c>
      <c r="AF28" s="12">
        <v>0.52859999999999996</v>
      </c>
      <c r="AG28" s="11">
        <v>29</v>
      </c>
      <c r="AH28" s="11">
        <v>48</v>
      </c>
      <c r="AI28" s="12">
        <v>0.60419999999999996</v>
      </c>
      <c r="AJ28" s="11">
        <v>8</v>
      </c>
      <c r="AK28" s="11">
        <v>22</v>
      </c>
      <c r="AL28" s="12">
        <v>0.36359999999999998</v>
      </c>
      <c r="AM28" s="11">
        <v>9</v>
      </c>
      <c r="AN28" s="11">
        <v>15</v>
      </c>
      <c r="AO28" s="12">
        <v>0.6</v>
      </c>
      <c r="AP28" s="11">
        <v>10</v>
      </c>
      <c r="AQ28" s="11">
        <v>19</v>
      </c>
      <c r="AR28" s="11">
        <v>29</v>
      </c>
      <c r="AS28" s="11">
        <v>21</v>
      </c>
      <c r="AT28" s="11">
        <v>8</v>
      </c>
      <c r="AU28" s="11">
        <v>1</v>
      </c>
      <c r="AV28" s="11">
        <v>8</v>
      </c>
      <c r="AW28" s="11">
        <v>19</v>
      </c>
      <c r="AX28" s="12">
        <v>0.65900000000000003</v>
      </c>
      <c r="AY28" s="12">
        <v>0.61360000000000003</v>
      </c>
      <c r="AZ28" s="12">
        <v>0.42420000000000002</v>
      </c>
      <c r="BA28" s="12">
        <v>0.69699999999999995</v>
      </c>
      <c r="BB28" s="12">
        <v>0.56059999999999999</v>
      </c>
      <c r="BC28" s="4">
        <v>74.049000000000007</v>
      </c>
      <c r="BD28" s="12">
        <v>0.62860000000000005</v>
      </c>
      <c r="BE28" s="12">
        <v>0.2576</v>
      </c>
      <c r="BF28" s="12">
        <v>0.14879999999999999</v>
      </c>
      <c r="BG28" s="4">
        <v>134.4</v>
      </c>
      <c r="BH28" s="4">
        <v>124.8</v>
      </c>
      <c r="BI28" s="4">
        <v>72.936499999999995</v>
      </c>
      <c r="BJ28" s="12">
        <v>0.59399999999999997</v>
      </c>
      <c r="BK28" s="12">
        <v>0.5857</v>
      </c>
      <c r="BL28" s="12">
        <v>0.30299999999999999</v>
      </c>
      <c r="BM28" s="12">
        <v>0.57579999999999998</v>
      </c>
      <c r="BN28" s="12">
        <v>0.43940000000000001</v>
      </c>
      <c r="BO28" s="4">
        <v>71.823999999999998</v>
      </c>
      <c r="BP28" s="12">
        <v>0.56759999999999999</v>
      </c>
      <c r="BQ28" s="12">
        <v>0.12859999999999999</v>
      </c>
      <c r="BR28" s="12">
        <v>9.4600000000000004E-2</v>
      </c>
      <c r="BS28" s="4">
        <v>124.8</v>
      </c>
      <c r="BT28" s="4">
        <v>134.4</v>
      </c>
      <c r="BU28" s="11">
        <v>26</v>
      </c>
      <c r="BV28" s="11">
        <v>23</v>
      </c>
      <c r="BW28" s="11">
        <v>23</v>
      </c>
      <c r="BX28" s="11">
        <v>26</v>
      </c>
      <c r="BY28" s="11">
        <v>25</v>
      </c>
      <c r="BZ28" s="11">
        <v>23</v>
      </c>
      <c r="CA28" s="11">
        <v>32</v>
      </c>
      <c r="CB28" s="11">
        <v>11</v>
      </c>
      <c r="CC28" s="11">
        <v>49</v>
      </c>
      <c r="CD28" s="11">
        <v>49</v>
      </c>
      <c r="CE28" s="11">
        <v>48</v>
      </c>
      <c r="CF28" s="11">
        <v>43</v>
      </c>
      <c r="CG28" s="4">
        <v>1.71</v>
      </c>
      <c r="CH28" s="13">
        <v>2.2000000000000002</v>
      </c>
      <c r="CI28" s="4">
        <v>-2.5</v>
      </c>
      <c r="CJ28" s="4">
        <v>2.5</v>
      </c>
      <c r="CK28" s="4">
        <v>177.5</v>
      </c>
      <c r="CL28" s="2" t="s">
        <v>547</v>
      </c>
      <c r="CM28" s="4" t="str">
        <f>VLOOKUP(paris[[#This Row],[Away_team]],all[[Full name]:[Abbr]],3,FALSE)</f>
        <v>BUR</v>
      </c>
      <c r="CN28" s="4">
        <f>IF(OR(paris[[#This Row],[Result]]="w",paris[[#This Row],[Result]]="dw"),paris[[#This Row],[win]]-1,-1)</f>
        <v>0.71</v>
      </c>
      <c r="CO28" s="4">
        <f>IF(OR(paris[[#This Row],[Result]]="L",paris[[#This Row],[Result]]="dl"),paris[[#This Row],[lose]]-1,-1)</f>
        <v>-1</v>
      </c>
      <c r="CP28" s="4">
        <f>IF(OR((paris[[#This Row],[Home_scored]]+paris[[#This Row],[Away_scored]])&gt;paris[[#This Row],[total]],OR(paris[[#This Row],[Result]]="dw",paris[[#This Row],[Result]]="dl")),1,0)</f>
        <v>1</v>
      </c>
      <c r="CQ28" s="4">
        <f>ABS((paris[[#This Row],[Home_scored]]+paris[[#This Row],[Away_scored]])-paris[[#This Row],[total]])+0.5</f>
        <v>12</v>
      </c>
    </row>
    <row r="29" spans="1:95" x14ac:dyDescent="0.25">
      <c r="A29" s="2" t="s">
        <v>349</v>
      </c>
      <c r="B29" s="2" t="s">
        <v>339</v>
      </c>
      <c r="C29" s="3" t="s">
        <v>73</v>
      </c>
      <c r="D29" s="3">
        <v>45767</v>
      </c>
      <c r="E29" s="2" t="s">
        <v>74</v>
      </c>
      <c r="F29" s="2" t="s">
        <v>305</v>
      </c>
      <c r="G29" s="2" t="s">
        <v>75</v>
      </c>
      <c r="H29" s="11">
        <v>100</v>
      </c>
      <c r="I29" s="11">
        <v>97</v>
      </c>
      <c r="J29" s="11">
        <v>30</v>
      </c>
      <c r="K29" s="11">
        <v>62</v>
      </c>
      <c r="L29" s="12">
        <v>0.4839</v>
      </c>
      <c r="M29" s="11">
        <v>17</v>
      </c>
      <c r="N29" s="11">
        <v>29</v>
      </c>
      <c r="O29" s="12">
        <v>0.58620000000000005</v>
      </c>
      <c r="P29" s="11">
        <v>13</v>
      </c>
      <c r="Q29" s="11">
        <v>33</v>
      </c>
      <c r="R29" s="12">
        <v>0.39389999999999997</v>
      </c>
      <c r="S29" s="11">
        <v>27</v>
      </c>
      <c r="T29" s="11">
        <v>40</v>
      </c>
      <c r="U29" s="12">
        <v>0.67500000000000004</v>
      </c>
      <c r="V29" s="11">
        <v>11</v>
      </c>
      <c r="W29" s="11">
        <v>30</v>
      </c>
      <c r="X29" s="11">
        <v>41</v>
      </c>
      <c r="Y29" s="11">
        <v>19</v>
      </c>
      <c r="Z29" s="11">
        <v>4</v>
      </c>
      <c r="AA29" s="11">
        <v>3</v>
      </c>
      <c r="AB29" s="11">
        <v>11</v>
      </c>
      <c r="AC29" s="11">
        <v>29</v>
      </c>
      <c r="AD29" s="11">
        <v>31</v>
      </c>
      <c r="AE29" s="11">
        <v>70</v>
      </c>
      <c r="AF29" s="12">
        <v>0.44290000000000002</v>
      </c>
      <c r="AG29" s="11">
        <v>22</v>
      </c>
      <c r="AH29" s="11">
        <v>43</v>
      </c>
      <c r="AI29" s="12">
        <v>0.51160000000000005</v>
      </c>
      <c r="AJ29" s="11">
        <v>9</v>
      </c>
      <c r="AK29" s="11">
        <v>27</v>
      </c>
      <c r="AL29" s="12">
        <v>0.33329999999999999</v>
      </c>
      <c r="AM29" s="11">
        <v>26</v>
      </c>
      <c r="AN29" s="11">
        <v>37</v>
      </c>
      <c r="AO29" s="12">
        <v>0.70269999999999999</v>
      </c>
      <c r="AP29" s="11">
        <v>16</v>
      </c>
      <c r="AQ29" s="11">
        <v>26</v>
      </c>
      <c r="AR29" s="11">
        <v>42</v>
      </c>
      <c r="AS29" s="11">
        <v>19</v>
      </c>
      <c r="AT29" s="11">
        <v>6</v>
      </c>
      <c r="AU29" s="11">
        <v>1</v>
      </c>
      <c r="AV29" s="11">
        <v>10</v>
      </c>
      <c r="AW29" s="11">
        <v>31</v>
      </c>
      <c r="AX29" s="12">
        <v>0.62809999999999999</v>
      </c>
      <c r="AY29" s="12">
        <v>0.5887</v>
      </c>
      <c r="AZ29" s="12">
        <v>0.29730000000000001</v>
      </c>
      <c r="BA29" s="12">
        <v>0.6522</v>
      </c>
      <c r="BB29" s="12">
        <v>0.49399999999999999</v>
      </c>
      <c r="BC29" s="4">
        <v>79.813999999999993</v>
      </c>
      <c r="BD29" s="12">
        <v>0.63329999999999997</v>
      </c>
      <c r="BE29" s="12">
        <v>0.4355</v>
      </c>
      <c r="BF29" s="12">
        <v>0.12139999999999999</v>
      </c>
      <c r="BG29" s="4">
        <v>126</v>
      </c>
      <c r="BH29" s="4">
        <v>122.2</v>
      </c>
      <c r="BI29" s="4">
        <v>79.358500000000006</v>
      </c>
      <c r="BJ29" s="12">
        <v>0.56210000000000004</v>
      </c>
      <c r="BK29" s="12">
        <v>0.5071</v>
      </c>
      <c r="BL29" s="12">
        <v>0.3478</v>
      </c>
      <c r="BM29" s="12">
        <v>0.70269999999999999</v>
      </c>
      <c r="BN29" s="12">
        <v>0.50600000000000001</v>
      </c>
      <c r="BO29" s="4">
        <v>78.903000000000006</v>
      </c>
      <c r="BP29" s="12">
        <v>0.6129</v>
      </c>
      <c r="BQ29" s="12">
        <v>0.37140000000000001</v>
      </c>
      <c r="BR29" s="12">
        <v>0.10390000000000001</v>
      </c>
      <c r="BS29" s="4">
        <v>122.2</v>
      </c>
      <c r="BT29" s="4">
        <v>126</v>
      </c>
      <c r="BU29" s="11">
        <v>28</v>
      </c>
      <c r="BV29" s="11">
        <v>22</v>
      </c>
      <c r="BW29" s="11">
        <v>29</v>
      </c>
      <c r="BX29" s="11">
        <v>21</v>
      </c>
      <c r="BY29" s="11">
        <v>22</v>
      </c>
      <c r="BZ29" s="11">
        <v>24</v>
      </c>
      <c r="CA29" s="11">
        <v>24</v>
      </c>
      <c r="CB29" s="11">
        <v>27</v>
      </c>
      <c r="CC29" s="11">
        <v>50</v>
      </c>
      <c r="CD29" s="11">
        <v>50</v>
      </c>
      <c r="CE29" s="11">
        <v>46</v>
      </c>
      <c r="CF29" s="11">
        <v>51</v>
      </c>
      <c r="CG29" s="4">
        <v>1.1499999999999999</v>
      </c>
      <c r="CH29" s="13">
        <v>5.75</v>
      </c>
      <c r="CI29" s="4">
        <v>-11.5</v>
      </c>
      <c r="CJ29" s="4">
        <v>11.5</v>
      </c>
      <c r="CK29" s="4">
        <v>176.5</v>
      </c>
      <c r="CL29" s="2" t="s">
        <v>560</v>
      </c>
      <c r="CM29" s="4" t="str">
        <f>VLOOKUP(paris[[#This Row],[Away_team]],all[[Full name]:[Abbr]],3,FALSE)</f>
        <v>CHA</v>
      </c>
      <c r="CN29" s="4">
        <f>IF(OR(paris[[#This Row],[Result]]="w",paris[[#This Row],[Result]]="dw"),paris[[#This Row],[win]]-1,-1)</f>
        <v>0.14999999999999991</v>
      </c>
      <c r="CO29" s="4">
        <f>IF(OR(paris[[#This Row],[Result]]="L",paris[[#This Row],[Result]]="dl"),paris[[#This Row],[lose]]-1,-1)</f>
        <v>-1</v>
      </c>
      <c r="CP29" s="4">
        <f>IF(OR((paris[[#This Row],[Home_scored]]+paris[[#This Row],[Away_scored]])&gt;paris[[#This Row],[total]],OR(paris[[#This Row],[Result]]="dw",paris[[#This Row],[Result]]="dl")),1,0)</f>
        <v>1</v>
      </c>
      <c r="CQ29" s="4">
        <f>ABS((paris[[#This Row],[Home_scored]]+paris[[#This Row],[Away_scored]])-paris[[#This Row],[total]])+0.5</f>
        <v>21</v>
      </c>
    </row>
    <row r="30" spans="1:95" x14ac:dyDescent="0.25">
      <c r="A30" s="2" t="s">
        <v>349</v>
      </c>
      <c r="B30" s="2" t="s">
        <v>339</v>
      </c>
      <c r="C30" s="3" t="s">
        <v>73</v>
      </c>
      <c r="D30" s="3">
        <v>45781</v>
      </c>
      <c r="E30" s="2" t="s">
        <v>140</v>
      </c>
      <c r="F30" s="2" t="s">
        <v>324</v>
      </c>
      <c r="G30" s="2" t="s">
        <v>75</v>
      </c>
      <c r="H30" s="11">
        <v>78</v>
      </c>
      <c r="I30" s="11">
        <v>71</v>
      </c>
      <c r="J30" s="11">
        <v>26</v>
      </c>
      <c r="K30" s="11">
        <v>68</v>
      </c>
      <c r="L30" s="12">
        <v>0.38240000000000002</v>
      </c>
      <c r="M30" s="11">
        <v>20</v>
      </c>
      <c r="N30" s="11">
        <v>39</v>
      </c>
      <c r="O30" s="12">
        <v>0.51280000000000003</v>
      </c>
      <c r="P30" s="11">
        <v>6</v>
      </c>
      <c r="Q30" s="11">
        <v>29</v>
      </c>
      <c r="R30" s="12">
        <v>0.2069</v>
      </c>
      <c r="S30" s="11">
        <v>20</v>
      </c>
      <c r="T30" s="11">
        <v>24</v>
      </c>
      <c r="U30" s="12">
        <v>0.83330000000000004</v>
      </c>
      <c r="V30" s="11">
        <v>15</v>
      </c>
      <c r="W30" s="11">
        <v>27</v>
      </c>
      <c r="X30" s="11">
        <v>42</v>
      </c>
      <c r="Y30" s="11">
        <v>16</v>
      </c>
      <c r="Z30" s="11">
        <v>10</v>
      </c>
      <c r="AA30" s="11">
        <v>1</v>
      </c>
      <c r="AB30" s="11">
        <v>7</v>
      </c>
      <c r="AC30" s="11">
        <v>21</v>
      </c>
      <c r="AD30" s="11">
        <v>24</v>
      </c>
      <c r="AE30" s="11">
        <v>57</v>
      </c>
      <c r="AF30" s="12">
        <v>0.42109999999999997</v>
      </c>
      <c r="AG30" s="11">
        <v>18</v>
      </c>
      <c r="AH30" s="11">
        <v>35</v>
      </c>
      <c r="AI30" s="12">
        <v>0.51429999999999998</v>
      </c>
      <c r="AJ30" s="11">
        <v>6</v>
      </c>
      <c r="AK30" s="11">
        <v>22</v>
      </c>
      <c r="AL30" s="12">
        <v>0.2727</v>
      </c>
      <c r="AM30" s="11">
        <v>17</v>
      </c>
      <c r="AN30" s="11">
        <v>22</v>
      </c>
      <c r="AO30" s="12">
        <v>0.77270000000000005</v>
      </c>
      <c r="AP30" s="11">
        <v>7</v>
      </c>
      <c r="AQ30" s="11">
        <v>30</v>
      </c>
      <c r="AR30" s="11">
        <v>37</v>
      </c>
      <c r="AS30" s="11">
        <v>18</v>
      </c>
      <c r="AT30" s="11">
        <v>2</v>
      </c>
      <c r="AU30" s="11">
        <v>4</v>
      </c>
      <c r="AV30" s="11">
        <v>15</v>
      </c>
      <c r="AW30" s="11">
        <v>22</v>
      </c>
      <c r="AX30" s="12">
        <v>0.49640000000000001</v>
      </c>
      <c r="AY30" s="12">
        <v>0.42649999999999999</v>
      </c>
      <c r="AZ30" s="12">
        <v>0.33329999999999999</v>
      </c>
      <c r="BA30" s="12">
        <v>0.79410000000000003</v>
      </c>
      <c r="BB30" s="12">
        <v>0.53159999999999996</v>
      </c>
      <c r="BC30" s="4">
        <v>68.55</v>
      </c>
      <c r="BD30" s="12">
        <v>0.61539999999999995</v>
      </c>
      <c r="BE30" s="12">
        <v>0.29409999999999997</v>
      </c>
      <c r="BF30" s="12">
        <v>8.1799999999999998E-2</v>
      </c>
      <c r="BG30" s="4">
        <v>109.3</v>
      </c>
      <c r="BH30" s="4">
        <v>99.5</v>
      </c>
      <c r="BI30" s="4">
        <v>71.334999999999994</v>
      </c>
      <c r="BJ30" s="12">
        <v>0.53239999999999998</v>
      </c>
      <c r="BK30" s="12">
        <v>0.47370000000000001</v>
      </c>
      <c r="BL30" s="12">
        <v>0.2059</v>
      </c>
      <c r="BM30" s="12">
        <v>0.66669999999999996</v>
      </c>
      <c r="BN30" s="12">
        <v>0.46839999999999998</v>
      </c>
      <c r="BO30" s="4">
        <v>74.12</v>
      </c>
      <c r="BP30" s="12">
        <v>0.75</v>
      </c>
      <c r="BQ30" s="12">
        <v>0.29820000000000002</v>
      </c>
      <c r="BR30" s="12">
        <v>0.18360000000000001</v>
      </c>
      <c r="BS30" s="4">
        <v>99.5</v>
      </c>
      <c r="BT30" s="4">
        <v>109.3</v>
      </c>
      <c r="BU30" s="11">
        <v>17</v>
      </c>
      <c r="BV30" s="11">
        <v>21</v>
      </c>
      <c r="BW30" s="11">
        <v>18</v>
      </c>
      <c r="BX30" s="11">
        <v>22</v>
      </c>
      <c r="BY30" s="11">
        <v>11</v>
      </c>
      <c r="BZ30" s="11">
        <v>26</v>
      </c>
      <c r="CA30" s="11">
        <v>17</v>
      </c>
      <c r="CB30" s="11">
        <v>17</v>
      </c>
      <c r="CC30" s="11">
        <v>38</v>
      </c>
      <c r="CD30" s="11">
        <v>40</v>
      </c>
      <c r="CE30" s="11">
        <v>37</v>
      </c>
      <c r="CF30" s="11">
        <v>34</v>
      </c>
      <c r="CG30" s="4">
        <v>1.29</v>
      </c>
      <c r="CH30" s="13">
        <v>3.7</v>
      </c>
      <c r="CI30" s="4">
        <v>-8</v>
      </c>
      <c r="CJ30" s="4">
        <v>8</v>
      </c>
      <c r="CK30" s="4">
        <v>172.5</v>
      </c>
      <c r="CL30" s="2" t="s">
        <v>574</v>
      </c>
      <c r="CM30" s="4" t="str">
        <f>VLOOKUP(paris[[#This Row],[Away_team]],all[[Full name]:[Abbr]],3,FALSE)</f>
        <v>LIM</v>
      </c>
      <c r="CN30" s="4">
        <f>IF(OR(paris[[#This Row],[Result]]="w",paris[[#This Row],[Result]]="dw"),paris[[#This Row],[win]]-1,-1)</f>
        <v>0.29000000000000004</v>
      </c>
      <c r="CO30" s="4">
        <f>IF(OR(paris[[#This Row],[Result]]="L",paris[[#This Row],[Result]]="dl"),paris[[#This Row],[lose]]-1,-1)</f>
        <v>-1</v>
      </c>
      <c r="CP30" s="4">
        <f>IF(OR((paris[[#This Row],[Home_scored]]+paris[[#This Row],[Away_scored]])&gt;paris[[#This Row],[total]],OR(paris[[#This Row],[Result]]="dw",paris[[#This Row],[Result]]="dl")),1,0)</f>
        <v>0</v>
      </c>
      <c r="CQ30" s="4">
        <f>ABS((paris[[#This Row],[Home_scored]]+paris[[#This Row],[Away_scored]])-paris[[#This Row],[total]])+0.5</f>
        <v>24</v>
      </c>
    </row>
    <row r="31" spans="1:95" x14ac:dyDescent="0.25">
      <c r="A31" s="2" t="s">
        <v>349</v>
      </c>
      <c r="B31" s="2" t="s">
        <v>339</v>
      </c>
      <c r="C31" s="28" t="s">
        <v>73</v>
      </c>
      <c r="D31" s="28">
        <v>45787</v>
      </c>
      <c r="E31" s="2" t="s">
        <v>74</v>
      </c>
      <c r="F31" s="2" t="s">
        <v>320</v>
      </c>
      <c r="G31" s="2" t="s">
        <v>75</v>
      </c>
      <c r="H31" s="11">
        <v>109</v>
      </c>
      <c r="I31" s="11">
        <v>65</v>
      </c>
      <c r="J31" s="11">
        <v>39</v>
      </c>
      <c r="K31" s="11">
        <v>65</v>
      </c>
      <c r="L31" s="12">
        <v>0.6</v>
      </c>
      <c r="M31" s="11">
        <v>24</v>
      </c>
      <c r="N31" s="11">
        <v>36</v>
      </c>
      <c r="O31" s="12">
        <v>0.66669999999999996</v>
      </c>
      <c r="P31" s="11">
        <v>15</v>
      </c>
      <c r="Q31" s="11">
        <v>29</v>
      </c>
      <c r="R31" s="12">
        <v>0.51719999999999999</v>
      </c>
      <c r="S31" s="11">
        <v>16</v>
      </c>
      <c r="T31" s="11">
        <v>16</v>
      </c>
      <c r="U31" s="12">
        <v>1</v>
      </c>
      <c r="V31" s="11">
        <v>9</v>
      </c>
      <c r="W31" s="11">
        <v>32</v>
      </c>
      <c r="X31" s="11">
        <v>41</v>
      </c>
      <c r="Y31" s="11">
        <v>24</v>
      </c>
      <c r="Z31" s="11">
        <v>6</v>
      </c>
      <c r="AA31" s="11">
        <v>5</v>
      </c>
      <c r="AB31" s="11">
        <v>12</v>
      </c>
      <c r="AC31" s="11">
        <v>22</v>
      </c>
      <c r="AD31" s="11">
        <v>24</v>
      </c>
      <c r="AE31" s="11">
        <v>57</v>
      </c>
      <c r="AF31" s="12">
        <v>0.42109999999999997</v>
      </c>
      <c r="AG31" s="11">
        <v>20</v>
      </c>
      <c r="AH31" s="11">
        <v>40</v>
      </c>
      <c r="AI31" s="12">
        <v>0.5</v>
      </c>
      <c r="AJ31" s="11">
        <v>4</v>
      </c>
      <c r="AK31" s="11">
        <v>17</v>
      </c>
      <c r="AL31" s="12">
        <v>0.23530000000000001</v>
      </c>
      <c r="AM31" s="11">
        <v>13</v>
      </c>
      <c r="AN31" s="11">
        <v>19</v>
      </c>
      <c r="AO31" s="12">
        <v>0.68420000000000003</v>
      </c>
      <c r="AP31" s="11">
        <v>5</v>
      </c>
      <c r="AQ31" s="11">
        <v>17</v>
      </c>
      <c r="AR31" s="11">
        <v>22</v>
      </c>
      <c r="AS31" s="11">
        <v>15</v>
      </c>
      <c r="AT31" s="11">
        <v>5</v>
      </c>
      <c r="AU31" s="11">
        <v>4</v>
      </c>
      <c r="AV31" s="11">
        <v>14</v>
      </c>
      <c r="AW31" s="11">
        <v>12</v>
      </c>
      <c r="AX31" s="12">
        <v>0.75649999999999995</v>
      </c>
      <c r="AY31" s="12">
        <v>0.71540000000000004</v>
      </c>
      <c r="AZ31" s="12">
        <v>0.34620000000000001</v>
      </c>
      <c r="BA31" s="12">
        <v>0.8649</v>
      </c>
      <c r="BB31" s="12">
        <v>0.65080000000000005</v>
      </c>
      <c r="BC31" s="4">
        <v>77.293000000000006</v>
      </c>
      <c r="BD31" s="12">
        <v>0.61539999999999995</v>
      </c>
      <c r="BE31" s="12">
        <v>0.2462</v>
      </c>
      <c r="BF31" s="12">
        <v>0.14280000000000001</v>
      </c>
      <c r="BG31" s="4">
        <v>147.4</v>
      </c>
      <c r="BH31" s="4">
        <v>87.9</v>
      </c>
      <c r="BI31" s="4">
        <v>73.933999999999997</v>
      </c>
      <c r="BJ31" s="12">
        <v>0.49719999999999998</v>
      </c>
      <c r="BK31" s="12">
        <v>0.45610000000000001</v>
      </c>
      <c r="BL31" s="12">
        <v>0.1351</v>
      </c>
      <c r="BM31" s="12">
        <v>0.65380000000000005</v>
      </c>
      <c r="BN31" s="12">
        <v>0.34920000000000001</v>
      </c>
      <c r="BO31" s="4">
        <v>70.575000000000003</v>
      </c>
      <c r="BP31" s="12">
        <v>0.625</v>
      </c>
      <c r="BQ31" s="12">
        <v>0.2281</v>
      </c>
      <c r="BR31" s="12">
        <v>0.1764</v>
      </c>
      <c r="BS31" s="4">
        <v>87.9</v>
      </c>
      <c r="BT31" s="4">
        <v>147.4</v>
      </c>
      <c r="BU31" s="11">
        <v>29</v>
      </c>
      <c r="BV31" s="11">
        <v>22</v>
      </c>
      <c r="BW31" s="11">
        <v>35</v>
      </c>
      <c r="BX31" s="11">
        <v>23</v>
      </c>
      <c r="BY31" s="11">
        <v>10</v>
      </c>
      <c r="BZ31" s="11">
        <v>22</v>
      </c>
      <c r="CA31" s="11">
        <v>14</v>
      </c>
      <c r="CB31" s="11">
        <v>19</v>
      </c>
      <c r="CC31" s="11">
        <v>51</v>
      </c>
      <c r="CD31" s="11">
        <v>58</v>
      </c>
      <c r="CE31" s="11">
        <v>32</v>
      </c>
      <c r="CF31" s="11">
        <v>33</v>
      </c>
      <c r="CG31" s="4">
        <v>1.04</v>
      </c>
      <c r="CH31" s="13">
        <v>12</v>
      </c>
      <c r="CI31" s="4">
        <v>-16.5</v>
      </c>
      <c r="CJ31" s="4">
        <v>16.5</v>
      </c>
      <c r="CK31" s="4">
        <v>168.5</v>
      </c>
      <c r="CL31" s="2" t="s">
        <v>580</v>
      </c>
      <c r="CM31" s="4" t="str">
        <f>VLOOKUP(paris[[#This Row],[Away_team]],all[[Full name]:[Abbr]],3,FALSE)</f>
        <v>POR</v>
      </c>
      <c r="CN31" s="4">
        <f>IF(OR(paris[[#This Row],[Result]]="w",paris[[#This Row],[Result]]="dw"),paris[[#This Row],[win]]-1,-1)</f>
        <v>4.0000000000000036E-2</v>
      </c>
      <c r="CO31" s="4">
        <f>IF(OR(paris[[#This Row],[Result]]="L",paris[[#This Row],[Result]]="dl"),paris[[#This Row],[lose]]-1,-1)</f>
        <v>-1</v>
      </c>
      <c r="CP31" s="4">
        <f>IF(OR((paris[[#This Row],[Home_scored]]+paris[[#This Row],[Away_scored]])&gt;paris[[#This Row],[total]],OR(paris[[#This Row],[Result]]="dw",paris[[#This Row],[Result]]="dl")),1,0)</f>
        <v>1</v>
      </c>
      <c r="CQ31" s="4">
        <f>ABS((paris[[#This Row],[Home_scored]]+paris[[#This Row],[Away_scored]])-paris[[#This Row],[total]])+0.5</f>
        <v>6</v>
      </c>
    </row>
    <row r="32" spans="1:95" x14ac:dyDescent="0.25">
      <c r="A32" s="2" t="s">
        <v>349</v>
      </c>
      <c r="B32" s="2" t="s">
        <v>339</v>
      </c>
      <c r="C32" s="28" t="s">
        <v>73</v>
      </c>
      <c r="D32" s="28">
        <v>45790</v>
      </c>
      <c r="E32" s="2" t="s">
        <v>74</v>
      </c>
      <c r="F32" s="2" t="s">
        <v>311</v>
      </c>
      <c r="G32" s="2" t="s">
        <v>139</v>
      </c>
      <c r="H32" s="11">
        <v>95</v>
      </c>
      <c r="I32" s="11">
        <v>96</v>
      </c>
      <c r="J32" s="11">
        <v>35</v>
      </c>
      <c r="K32" s="11">
        <v>78</v>
      </c>
      <c r="L32" s="12">
        <v>0.44869999999999999</v>
      </c>
      <c r="M32" s="11">
        <v>22</v>
      </c>
      <c r="N32" s="11">
        <v>37</v>
      </c>
      <c r="O32" s="12">
        <v>0.59460000000000002</v>
      </c>
      <c r="P32" s="11">
        <v>13</v>
      </c>
      <c r="Q32" s="11">
        <v>41</v>
      </c>
      <c r="R32" s="12">
        <v>0.31709999999999999</v>
      </c>
      <c r="S32" s="11">
        <v>12</v>
      </c>
      <c r="T32" s="11">
        <v>17</v>
      </c>
      <c r="U32" s="12">
        <v>0.70589999999999997</v>
      </c>
      <c r="V32" s="11">
        <v>19</v>
      </c>
      <c r="W32" s="11">
        <v>28</v>
      </c>
      <c r="X32" s="11">
        <v>47</v>
      </c>
      <c r="Y32" s="11">
        <v>15</v>
      </c>
      <c r="Z32" s="11">
        <v>4</v>
      </c>
      <c r="AA32" s="11">
        <v>2</v>
      </c>
      <c r="AB32" s="11">
        <v>12</v>
      </c>
      <c r="AC32" s="11">
        <v>25</v>
      </c>
      <c r="AD32" s="11">
        <v>34</v>
      </c>
      <c r="AE32" s="11">
        <v>63</v>
      </c>
      <c r="AF32" s="12">
        <v>0.53969999999999996</v>
      </c>
      <c r="AG32" s="11">
        <v>21</v>
      </c>
      <c r="AH32" s="11">
        <v>33</v>
      </c>
      <c r="AI32" s="12">
        <v>0.63639999999999997</v>
      </c>
      <c r="AJ32" s="11">
        <v>13</v>
      </c>
      <c r="AK32" s="11">
        <v>30</v>
      </c>
      <c r="AL32" s="12">
        <v>0.43330000000000002</v>
      </c>
      <c r="AM32" s="11">
        <v>15</v>
      </c>
      <c r="AN32" s="11">
        <v>25</v>
      </c>
      <c r="AO32" s="12">
        <v>0.6</v>
      </c>
      <c r="AP32" s="11">
        <v>6</v>
      </c>
      <c r="AQ32" s="11">
        <v>26</v>
      </c>
      <c r="AR32" s="11">
        <v>32</v>
      </c>
      <c r="AS32" s="11">
        <v>25</v>
      </c>
      <c r="AT32" s="11">
        <v>3</v>
      </c>
      <c r="AU32" s="11">
        <v>0</v>
      </c>
      <c r="AV32" s="11">
        <v>11</v>
      </c>
      <c r="AW32" s="11">
        <v>25</v>
      </c>
      <c r="AX32" s="12">
        <v>0.55569999999999997</v>
      </c>
      <c r="AY32" s="12">
        <v>0.53210000000000002</v>
      </c>
      <c r="AZ32" s="12">
        <v>0.42220000000000002</v>
      </c>
      <c r="BA32" s="12">
        <v>0.82350000000000001</v>
      </c>
      <c r="BB32" s="12">
        <v>0.59489999999999998</v>
      </c>
      <c r="BC32" s="4">
        <v>78.2</v>
      </c>
      <c r="BD32" s="12">
        <v>0.42859999999999998</v>
      </c>
      <c r="BE32" s="12">
        <v>0.15379999999999999</v>
      </c>
      <c r="BF32" s="12">
        <v>0.1231</v>
      </c>
      <c r="BG32" s="4">
        <v>121.5</v>
      </c>
      <c r="BH32" s="4">
        <v>122.8</v>
      </c>
      <c r="BI32" s="4">
        <v>78.191000000000003</v>
      </c>
      <c r="BJ32" s="12">
        <v>0.64859999999999995</v>
      </c>
      <c r="BK32" s="12">
        <v>0.64290000000000003</v>
      </c>
      <c r="BL32" s="12">
        <v>0.17649999999999999</v>
      </c>
      <c r="BM32" s="12">
        <v>0.57779999999999998</v>
      </c>
      <c r="BN32" s="12">
        <v>0.40510000000000002</v>
      </c>
      <c r="BO32" s="4">
        <v>78.182000000000002</v>
      </c>
      <c r="BP32" s="12">
        <v>0.73529999999999995</v>
      </c>
      <c r="BQ32" s="12">
        <v>0.23810000000000001</v>
      </c>
      <c r="BR32" s="12">
        <v>0.12939999999999999</v>
      </c>
      <c r="BS32" s="4">
        <v>122.8</v>
      </c>
      <c r="BT32" s="4">
        <v>121.5</v>
      </c>
      <c r="BU32" s="11">
        <v>16</v>
      </c>
      <c r="BV32" s="11">
        <v>29</v>
      </c>
      <c r="BW32" s="11">
        <v>22</v>
      </c>
      <c r="BX32" s="11">
        <v>28</v>
      </c>
      <c r="BY32" s="11">
        <v>28</v>
      </c>
      <c r="BZ32" s="11">
        <v>28</v>
      </c>
      <c r="CA32" s="11">
        <v>27</v>
      </c>
      <c r="CB32" s="11">
        <v>13</v>
      </c>
      <c r="CC32" s="11">
        <v>45</v>
      </c>
      <c r="CD32" s="11">
        <v>50</v>
      </c>
      <c r="CE32" s="11">
        <v>56</v>
      </c>
      <c r="CF32" s="11">
        <v>40</v>
      </c>
      <c r="CG32" s="4">
        <v>1.1499999999999999</v>
      </c>
      <c r="CH32" s="13">
        <v>5.75</v>
      </c>
      <c r="CI32" s="4">
        <v>-11.5</v>
      </c>
      <c r="CJ32" s="4">
        <v>11.5</v>
      </c>
      <c r="CK32" s="4">
        <v>176.5</v>
      </c>
      <c r="CL32" s="2" t="s">
        <v>585</v>
      </c>
      <c r="CM32" s="4" t="str">
        <f>VLOOKUP(paris[[#This Row],[Away_team]],all[[Full name]:[Abbr]],3,FALSE)</f>
        <v>DIJ</v>
      </c>
      <c r="CN32" s="4">
        <f>IF(OR(paris[[#This Row],[Result]]="w",paris[[#This Row],[Result]]="dw"),paris[[#This Row],[win]]-1,-1)</f>
        <v>-1</v>
      </c>
      <c r="CO32" s="4">
        <f>IF(OR(paris[[#This Row],[Result]]="L",paris[[#This Row],[Result]]="dl"),paris[[#This Row],[lose]]-1,-1)</f>
        <v>4.75</v>
      </c>
      <c r="CP32" s="4">
        <f>IF(OR((paris[[#This Row],[Home_scored]]+paris[[#This Row],[Away_scored]])&gt;paris[[#This Row],[total]],OR(paris[[#This Row],[Result]]="dw",paris[[#This Row],[Result]]="dl")),1,0)</f>
        <v>1</v>
      </c>
      <c r="CQ32" s="4">
        <f>ABS((paris[[#This Row],[Home_scored]]+paris[[#This Row],[Away_scored]])-paris[[#This Row],[total]])+0.5</f>
        <v>15</v>
      </c>
    </row>
    <row r="33" spans="1:95" x14ac:dyDescent="0.25">
      <c r="A33" s="2" t="s">
        <v>349</v>
      </c>
      <c r="B33" s="2" t="s">
        <v>339</v>
      </c>
      <c r="C33" s="28" t="s">
        <v>73</v>
      </c>
      <c r="D33" s="28">
        <v>45794</v>
      </c>
      <c r="E33" s="2" t="s">
        <v>140</v>
      </c>
      <c r="F33" s="2" t="s">
        <v>333</v>
      </c>
      <c r="G33" s="2" t="s">
        <v>75</v>
      </c>
      <c r="H33" s="11">
        <v>105</v>
      </c>
      <c r="I33" s="11">
        <v>86</v>
      </c>
      <c r="J33" s="11">
        <v>37</v>
      </c>
      <c r="K33" s="11">
        <v>72</v>
      </c>
      <c r="L33" s="12">
        <v>0.51390000000000002</v>
      </c>
      <c r="M33" s="11">
        <v>24</v>
      </c>
      <c r="N33" s="11">
        <v>36</v>
      </c>
      <c r="O33" s="12">
        <v>0.66669999999999996</v>
      </c>
      <c r="P33" s="11">
        <v>13</v>
      </c>
      <c r="Q33" s="11">
        <v>36</v>
      </c>
      <c r="R33" s="12">
        <v>0.36109999999999998</v>
      </c>
      <c r="S33" s="11">
        <v>18</v>
      </c>
      <c r="T33" s="11">
        <v>21</v>
      </c>
      <c r="U33" s="12">
        <v>0.85709999999999997</v>
      </c>
      <c r="V33" s="11">
        <v>10</v>
      </c>
      <c r="W33" s="11">
        <v>29</v>
      </c>
      <c r="X33" s="11">
        <v>39</v>
      </c>
      <c r="Y33" s="11">
        <v>21</v>
      </c>
      <c r="Z33" s="11">
        <v>7</v>
      </c>
      <c r="AA33" s="11">
        <v>3</v>
      </c>
      <c r="AB33" s="11">
        <v>10</v>
      </c>
      <c r="AC33" s="11">
        <v>21</v>
      </c>
      <c r="AD33" s="11">
        <v>31</v>
      </c>
      <c r="AE33" s="11">
        <v>66</v>
      </c>
      <c r="AF33" s="12">
        <v>0.46970000000000001</v>
      </c>
      <c r="AG33" s="11">
        <v>22</v>
      </c>
      <c r="AH33" s="11">
        <v>35</v>
      </c>
      <c r="AI33" s="12">
        <v>0.62860000000000005</v>
      </c>
      <c r="AJ33" s="11">
        <v>9</v>
      </c>
      <c r="AK33" s="11">
        <v>31</v>
      </c>
      <c r="AL33" s="12">
        <v>0.2903</v>
      </c>
      <c r="AM33" s="11">
        <v>15</v>
      </c>
      <c r="AN33" s="11">
        <v>22</v>
      </c>
      <c r="AO33" s="12">
        <v>0.68179999999999996</v>
      </c>
      <c r="AP33" s="11">
        <v>11</v>
      </c>
      <c r="AQ33" s="11">
        <v>26</v>
      </c>
      <c r="AR33" s="11">
        <v>37</v>
      </c>
      <c r="AS33" s="11">
        <v>16</v>
      </c>
      <c r="AT33" s="11">
        <v>5</v>
      </c>
      <c r="AU33" s="11">
        <v>1</v>
      </c>
      <c r="AV33" s="11">
        <v>15</v>
      </c>
      <c r="AW33" s="11">
        <v>21</v>
      </c>
      <c r="AX33" s="12">
        <v>0.6462</v>
      </c>
      <c r="AY33" s="12">
        <v>0.60419999999999996</v>
      </c>
      <c r="AZ33" s="12">
        <v>0.27779999999999999</v>
      </c>
      <c r="BA33" s="12">
        <v>0.72499999999999998</v>
      </c>
      <c r="BB33" s="12">
        <v>0.51319999999999999</v>
      </c>
      <c r="BC33" s="4">
        <v>80.796999999999997</v>
      </c>
      <c r="BD33" s="12">
        <v>0.56759999999999999</v>
      </c>
      <c r="BE33" s="12">
        <v>0.25</v>
      </c>
      <c r="BF33" s="12">
        <v>0.1096</v>
      </c>
      <c r="BG33" s="4">
        <v>131.69999999999999</v>
      </c>
      <c r="BH33" s="4">
        <v>107.9</v>
      </c>
      <c r="BI33" s="4">
        <v>79.731499999999997</v>
      </c>
      <c r="BJ33" s="12">
        <v>0.56820000000000004</v>
      </c>
      <c r="BK33" s="12">
        <v>0.53790000000000004</v>
      </c>
      <c r="BL33" s="12">
        <v>0.27500000000000002</v>
      </c>
      <c r="BM33" s="12">
        <v>0.72219999999999995</v>
      </c>
      <c r="BN33" s="12">
        <v>0.48680000000000001</v>
      </c>
      <c r="BO33" s="4">
        <v>78.665999999999997</v>
      </c>
      <c r="BP33" s="12">
        <v>0.5161</v>
      </c>
      <c r="BQ33" s="12">
        <v>0.2273</v>
      </c>
      <c r="BR33" s="12">
        <v>0.16539999999999999</v>
      </c>
      <c r="BS33" s="4">
        <v>107.9</v>
      </c>
      <c r="BT33" s="4">
        <v>131.69999999999999</v>
      </c>
      <c r="BU33" s="11">
        <v>24</v>
      </c>
      <c r="BV33" s="11">
        <v>38</v>
      </c>
      <c r="BW33" s="11">
        <v>25</v>
      </c>
      <c r="BX33" s="11">
        <v>18</v>
      </c>
      <c r="BY33" s="11">
        <v>17</v>
      </c>
      <c r="BZ33" s="11">
        <v>28</v>
      </c>
      <c r="CA33" s="11">
        <v>24</v>
      </c>
      <c r="CB33" s="11">
        <v>17</v>
      </c>
      <c r="CC33" s="11">
        <v>62</v>
      </c>
      <c r="CD33" s="11">
        <v>43</v>
      </c>
      <c r="CE33" s="11">
        <v>45</v>
      </c>
      <c r="CF33" s="11">
        <v>41</v>
      </c>
      <c r="CG33" s="4">
        <v>1.38</v>
      </c>
      <c r="CH33" s="13">
        <v>3.1</v>
      </c>
      <c r="CI33" s="4">
        <v>-6.5</v>
      </c>
      <c r="CJ33" s="4">
        <v>6.5</v>
      </c>
      <c r="CK33" s="4">
        <v>177.5</v>
      </c>
      <c r="CL33" s="2" t="s">
        <v>592</v>
      </c>
      <c r="CM33" s="4" t="str">
        <f>VLOOKUP(paris[[#This Row],[Away_team]],all[[Full name]:[Abbr]],3,FALSE)</f>
        <v>NCY</v>
      </c>
      <c r="CN33" s="4">
        <f>IF(OR(paris[[#This Row],[Result]]="w",paris[[#This Row],[Result]]="dw"),paris[[#This Row],[win]]-1,-1)</f>
        <v>0.37999999999999989</v>
      </c>
      <c r="CO33" s="4">
        <f>IF(OR(paris[[#This Row],[Result]]="L",paris[[#This Row],[Result]]="dl"),paris[[#This Row],[lose]]-1,-1)</f>
        <v>-1</v>
      </c>
      <c r="CP33" s="4">
        <f>IF(OR((paris[[#This Row],[Home_scored]]+paris[[#This Row],[Away_scored]])&gt;paris[[#This Row],[total]],OR(paris[[#This Row],[Result]]="dw",paris[[#This Row],[Result]]="dl")),1,0)</f>
        <v>1</v>
      </c>
      <c r="CQ33" s="4">
        <f>ABS((paris[[#This Row],[Home_scored]]+paris[[#This Row],[Away_scored]])-paris[[#This Row],[total]])+0.5</f>
        <v>14</v>
      </c>
    </row>
    <row r="34" spans="1:95" x14ac:dyDescent="0.25">
      <c r="A34" s="2" t="s">
        <v>349</v>
      </c>
      <c r="B34" s="2" t="s">
        <v>339</v>
      </c>
      <c r="C34" s="28" t="s">
        <v>594</v>
      </c>
      <c r="D34" s="28">
        <v>45804</v>
      </c>
      <c r="E34" s="2" t="s">
        <v>74</v>
      </c>
      <c r="F34" s="2" t="s">
        <v>311</v>
      </c>
      <c r="G34" s="2" t="s">
        <v>75</v>
      </c>
      <c r="H34" s="11">
        <v>100</v>
      </c>
      <c r="I34" s="11">
        <v>87</v>
      </c>
      <c r="J34" s="11">
        <v>36</v>
      </c>
      <c r="K34" s="11">
        <v>75</v>
      </c>
      <c r="L34" s="12">
        <v>0.48</v>
      </c>
      <c r="M34" s="11">
        <v>23</v>
      </c>
      <c r="N34" s="11">
        <v>38</v>
      </c>
      <c r="O34" s="12">
        <v>0.60529999999999995</v>
      </c>
      <c r="P34" s="11">
        <v>13</v>
      </c>
      <c r="Q34" s="11">
        <v>37</v>
      </c>
      <c r="R34" s="12">
        <v>0.35139999999999999</v>
      </c>
      <c r="S34" s="11">
        <v>15</v>
      </c>
      <c r="T34" s="11">
        <v>22</v>
      </c>
      <c r="U34" s="12">
        <v>0.68179999999999996</v>
      </c>
      <c r="V34" s="11">
        <v>19</v>
      </c>
      <c r="W34" s="11">
        <v>24</v>
      </c>
      <c r="X34" s="11">
        <v>43</v>
      </c>
      <c r="Y34" s="11">
        <v>29</v>
      </c>
      <c r="Z34" s="11">
        <v>9</v>
      </c>
      <c r="AA34" s="11">
        <v>1</v>
      </c>
      <c r="AB34" s="11">
        <v>14</v>
      </c>
      <c r="AC34" s="11">
        <v>24</v>
      </c>
      <c r="AD34" s="11">
        <v>32</v>
      </c>
      <c r="AE34" s="11">
        <v>59</v>
      </c>
      <c r="AF34" s="12">
        <v>0.54239999999999999</v>
      </c>
      <c r="AG34" s="11">
        <v>24</v>
      </c>
      <c r="AH34" s="11">
        <v>39</v>
      </c>
      <c r="AI34" s="12">
        <v>0.61539999999999995</v>
      </c>
      <c r="AJ34" s="11">
        <v>8</v>
      </c>
      <c r="AK34" s="11">
        <v>20</v>
      </c>
      <c r="AL34" s="12">
        <v>0.4</v>
      </c>
      <c r="AM34" s="11">
        <v>15</v>
      </c>
      <c r="AN34" s="11">
        <v>24</v>
      </c>
      <c r="AO34" s="12">
        <v>0.625</v>
      </c>
      <c r="AP34" s="11">
        <v>4</v>
      </c>
      <c r="AQ34" s="11">
        <v>23</v>
      </c>
      <c r="AR34" s="11">
        <v>27</v>
      </c>
      <c r="AS34" s="11">
        <v>24</v>
      </c>
      <c r="AT34" s="11">
        <v>5</v>
      </c>
      <c r="AU34" s="11">
        <v>0</v>
      </c>
      <c r="AV34" s="11">
        <v>15</v>
      </c>
      <c r="AW34" s="11">
        <v>23</v>
      </c>
      <c r="AX34" s="12">
        <v>0.59050000000000002</v>
      </c>
      <c r="AY34" s="12">
        <v>0.56669999999999998</v>
      </c>
      <c r="AZ34" s="12">
        <v>0.45240000000000002</v>
      </c>
      <c r="BA34" s="12">
        <v>0.85709999999999997</v>
      </c>
      <c r="BB34" s="12">
        <v>0.61429999999999996</v>
      </c>
      <c r="BC34" s="4">
        <v>79.361000000000004</v>
      </c>
      <c r="BD34" s="12">
        <v>0.80559999999999998</v>
      </c>
      <c r="BE34" s="12">
        <v>0.2</v>
      </c>
      <c r="BF34" s="12">
        <v>0.1419</v>
      </c>
      <c r="BG34" s="4">
        <v>126</v>
      </c>
      <c r="BH34" s="4">
        <v>109.7</v>
      </c>
      <c r="BI34" s="4">
        <v>79.340500000000006</v>
      </c>
      <c r="BJ34" s="12">
        <v>0.62539999999999996</v>
      </c>
      <c r="BK34" s="12">
        <v>0.61019999999999996</v>
      </c>
      <c r="BL34" s="12">
        <v>0.1429</v>
      </c>
      <c r="BM34" s="12">
        <v>0.54759999999999998</v>
      </c>
      <c r="BN34" s="12">
        <v>0.38569999999999999</v>
      </c>
      <c r="BO34" s="4">
        <v>79.319999999999993</v>
      </c>
      <c r="BP34" s="12">
        <v>0.75</v>
      </c>
      <c r="BQ34" s="12">
        <v>0.25419999999999998</v>
      </c>
      <c r="BR34" s="12">
        <v>0.1774</v>
      </c>
      <c r="BS34" s="4">
        <v>109.7</v>
      </c>
      <c r="BT34" s="4">
        <v>126</v>
      </c>
      <c r="BU34" s="11">
        <v>33</v>
      </c>
      <c r="BV34" s="11">
        <v>32</v>
      </c>
      <c r="BW34" s="11">
        <v>20</v>
      </c>
      <c r="BX34" s="11">
        <v>15</v>
      </c>
      <c r="BY34" s="11">
        <v>19</v>
      </c>
      <c r="BZ34" s="11">
        <v>20</v>
      </c>
      <c r="CA34" s="11">
        <v>28</v>
      </c>
      <c r="CB34" s="11">
        <v>20</v>
      </c>
      <c r="CC34" s="11">
        <v>65</v>
      </c>
      <c r="CD34" s="11">
        <v>35</v>
      </c>
      <c r="CE34" s="11">
        <v>39</v>
      </c>
      <c r="CF34" s="11">
        <v>48</v>
      </c>
      <c r="CG34" s="4">
        <v>1.1499999999999999</v>
      </c>
      <c r="CH34" s="13">
        <v>5.75</v>
      </c>
      <c r="CI34" s="4">
        <v>-11.5</v>
      </c>
      <c r="CJ34" s="4">
        <v>11.5</v>
      </c>
      <c r="CK34" s="4">
        <v>178.5</v>
      </c>
      <c r="CL34" s="2" t="s">
        <v>600</v>
      </c>
      <c r="CM34" s="4" t="str">
        <f>VLOOKUP(paris[[#This Row],[Away_team]],all[[Full name]:[Abbr]],3,FALSE)</f>
        <v>DIJ</v>
      </c>
      <c r="CN34" s="4">
        <f>IF(OR(paris[[#This Row],[Result]]="w",paris[[#This Row],[Result]]="dw"),paris[[#This Row],[win]]-1,-1)</f>
        <v>0.14999999999999991</v>
      </c>
      <c r="CO34" s="4">
        <f>IF(OR(paris[[#This Row],[Result]]="L",paris[[#This Row],[Result]]="dl"),paris[[#This Row],[lose]]-1,-1)</f>
        <v>-1</v>
      </c>
      <c r="CP34" s="4">
        <f>IF(OR((paris[[#This Row],[Home_scored]]+paris[[#This Row],[Away_scored]])&gt;paris[[#This Row],[total]],OR(paris[[#This Row],[Result]]="dw",paris[[#This Row],[Result]]="dl")),1,0)</f>
        <v>1</v>
      </c>
      <c r="CQ34" s="4">
        <f>ABS((paris[[#This Row],[Home_scored]]+paris[[#This Row],[Away_scored]])-paris[[#This Row],[total]])+0.5</f>
        <v>9</v>
      </c>
    </row>
    <row r="35" spans="1:95" x14ac:dyDescent="0.25">
      <c r="A35" s="2" t="s">
        <v>349</v>
      </c>
      <c r="B35" s="2" t="s">
        <v>339</v>
      </c>
      <c r="C35" s="28" t="s">
        <v>594</v>
      </c>
      <c r="D35" s="28">
        <v>45806</v>
      </c>
      <c r="E35" s="2" t="s">
        <v>140</v>
      </c>
      <c r="F35" s="2" t="s">
        <v>311</v>
      </c>
      <c r="G35" s="2" t="s">
        <v>139</v>
      </c>
      <c r="H35" s="11">
        <v>79</v>
      </c>
      <c r="I35" s="11">
        <v>80</v>
      </c>
      <c r="J35" s="11">
        <v>28</v>
      </c>
      <c r="K35" s="11">
        <v>58</v>
      </c>
      <c r="L35" s="12">
        <v>0.48280000000000001</v>
      </c>
      <c r="M35" s="11">
        <v>17</v>
      </c>
      <c r="N35" s="11">
        <v>23</v>
      </c>
      <c r="O35" s="12">
        <v>0.73909999999999998</v>
      </c>
      <c r="P35" s="11">
        <v>11</v>
      </c>
      <c r="Q35" s="11">
        <v>35</v>
      </c>
      <c r="R35" s="12">
        <v>0.31430000000000002</v>
      </c>
      <c r="S35" s="11">
        <v>12</v>
      </c>
      <c r="T35" s="11">
        <v>17</v>
      </c>
      <c r="U35" s="12">
        <v>0.70589999999999997</v>
      </c>
      <c r="V35" s="11">
        <v>8</v>
      </c>
      <c r="W35" s="11">
        <v>25</v>
      </c>
      <c r="X35" s="11">
        <v>33</v>
      </c>
      <c r="Y35" s="11">
        <v>12</v>
      </c>
      <c r="Z35" s="11">
        <v>2</v>
      </c>
      <c r="AA35" s="11">
        <v>14</v>
      </c>
      <c r="AB35" s="11">
        <v>6</v>
      </c>
      <c r="AC35" s="11">
        <v>23</v>
      </c>
      <c r="AD35" s="11">
        <v>29</v>
      </c>
      <c r="AE35" s="11">
        <v>58</v>
      </c>
      <c r="AF35" s="12">
        <v>0.5</v>
      </c>
      <c r="AG35" s="11">
        <v>21</v>
      </c>
      <c r="AH35" s="11">
        <v>35</v>
      </c>
      <c r="AI35" s="12">
        <v>0.6</v>
      </c>
      <c r="AJ35" s="11">
        <v>8</v>
      </c>
      <c r="AK35" s="11">
        <v>23</v>
      </c>
      <c r="AL35" s="12">
        <v>0.3478</v>
      </c>
      <c r="AM35" s="11">
        <v>14</v>
      </c>
      <c r="AN35" s="11">
        <v>16</v>
      </c>
      <c r="AO35" s="12">
        <v>0.875</v>
      </c>
      <c r="AP35" s="11">
        <v>5</v>
      </c>
      <c r="AQ35" s="11">
        <v>22</v>
      </c>
      <c r="AR35" s="11">
        <v>27</v>
      </c>
      <c r="AS35" s="11">
        <v>23</v>
      </c>
      <c r="AT35" s="11">
        <v>0</v>
      </c>
      <c r="AU35" s="11">
        <v>12</v>
      </c>
      <c r="AV35" s="11">
        <v>4</v>
      </c>
      <c r="AW35" s="11">
        <v>20</v>
      </c>
      <c r="AX35" s="12">
        <v>0.60319999999999996</v>
      </c>
      <c r="AY35" s="12">
        <v>0.5776</v>
      </c>
      <c r="AZ35" s="12">
        <v>0.26669999999999999</v>
      </c>
      <c r="BA35" s="12">
        <v>0.83330000000000004</v>
      </c>
      <c r="BB35" s="12">
        <v>0.55000000000000004</v>
      </c>
      <c r="BC35" s="4">
        <v>63.018000000000001</v>
      </c>
      <c r="BD35" s="12">
        <v>0.42859999999999998</v>
      </c>
      <c r="BE35" s="12">
        <v>0.2069</v>
      </c>
      <c r="BF35" s="12">
        <v>8.3900000000000002E-2</v>
      </c>
      <c r="BG35" s="4">
        <v>125.7</v>
      </c>
      <c r="BH35" s="4">
        <v>127.3</v>
      </c>
      <c r="BI35" s="4">
        <v>62.835999999999999</v>
      </c>
      <c r="BJ35" s="12">
        <v>0.61499999999999999</v>
      </c>
      <c r="BK35" s="12">
        <v>0.56899999999999995</v>
      </c>
      <c r="BL35" s="12">
        <v>0.16669999999999999</v>
      </c>
      <c r="BM35" s="12">
        <v>0.73329999999999995</v>
      </c>
      <c r="BN35" s="12">
        <v>0.45</v>
      </c>
      <c r="BO35" s="4">
        <v>62.654000000000003</v>
      </c>
      <c r="BP35" s="12">
        <v>0.79310000000000003</v>
      </c>
      <c r="BQ35" s="12">
        <v>0.2414</v>
      </c>
      <c r="BR35" s="12">
        <v>5.79E-2</v>
      </c>
      <c r="BS35" s="4">
        <v>127.3</v>
      </c>
      <c r="BT35" s="4">
        <v>125.7</v>
      </c>
      <c r="BU35" s="11">
        <v>17</v>
      </c>
      <c r="BV35" s="11">
        <v>16</v>
      </c>
      <c r="BW35" s="11">
        <v>22</v>
      </c>
      <c r="BX35" s="11">
        <v>24</v>
      </c>
      <c r="BY35" s="11">
        <v>22</v>
      </c>
      <c r="BZ35" s="11">
        <v>12</v>
      </c>
      <c r="CA35" s="11">
        <v>19</v>
      </c>
      <c r="CB35" s="11">
        <v>27</v>
      </c>
      <c r="CC35" s="11">
        <v>33</v>
      </c>
      <c r="CD35" s="11">
        <v>46</v>
      </c>
      <c r="CE35" s="11">
        <v>34</v>
      </c>
      <c r="CF35" s="11">
        <v>46</v>
      </c>
      <c r="CG35" s="4">
        <v>1.35</v>
      </c>
      <c r="CH35" s="13">
        <v>3.3</v>
      </c>
      <c r="CI35" s="4">
        <v>-6.5</v>
      </c>
      <c r="CJ35" s="4">
        <v>6.5</v>
      </c>
      <c r="CK35" s="4">
        <v>180.5</v>
      </c>
      <c r="CL35" s="2" t="s">
        <v>604</v>
      </c>
      <c r="CM35" s="4" t="str">
        <f>VLOOKUP(paris[[#This Row],[Away_team]],all[[Full name]:[Abbr]],3,FALSE)</f>
        <v>DIJ</v>
      </c>
      <c r="CN35" s="4">
        <f>IF(OR(paris[[#This Row],[Result]]="w",paris[[#This Row],[Result]]="dw"),paris[[#This Row],[win]]-1,-1)</f>
        <v>-1</v>
      </c>
      <c r="CO35" s="4">
        <f>IF(OR(paris[[#This Row],[Result]]="L",paris[[#This Row],[Result]]="dl"),paris[[#This Row],[lose]]-1,-1)</f>
        <v>2.2999999999999998</v>
      </c>
      <c r="CP35" s="4">
        <f>IF(OR((paris[[#This Row],[Home_scored]]+paris[[#This Row],[Away_scored]])&gt;paris[[#This Row],[total]],OR(paris[[#This Row],[Result]]="dw",paris[[#This Row],[Result]]="dl")),1,0)</f>
        <v>0</v>
      </c>
      <c r="CQ35" s="4">
        <f>ABS((paris[[#This Row],[Home_scored]]+paris[[#This Row],[Away_scored]])-paris[[#This Row],[total]])+0.5</f>
        <v>22</v>
      </c>
    </row>
    <row r="36" spans="1:95" x14ac:dyDescent="0.25">
      <c r="A36" s="2" t="s">
        <v>349</v>
      </c>
      <c r="B36" s="2" t="s">
        <v>339</v>
      </c>
      <c r="C36" s="28" t="s">
        <v>594</v>
      </c>
      <c r="D36" s="28">
        <v>45808</v>
      </c>
      <c r="E36" s="2" t="s">
        <v>74</v>
      </c>
      <c r="F36" s="2" t="s">
        <v>311</v>
      </c>
      <c r="G36" s="2" t="s">
        <v>75</v>
      </c>
      <c r="H36" s="11">
        <v>114</v>
      </c>
      <c r="I36" s="11">
        <v>88</v>
      </c>
      <c r="J36" s="11">
        <v>40</v>
      </c>
      <c r="K36" s="11">
        <v>76</v>
      </c>
      <c r="L36" s="12">
        <v>0.52629999999999999</v>
      </c>
      <c r="M36" s="11">
        <v>23</v>
      </c>
      <c r="N36" s="11">
        <v>34</v>
      </c>
      <c r="O36" s="12">
        <v>0.67649999999999999</v>
      </c>
      <c r="P36" s="11">
        <v>17</v>
      </c>
      <c r="Q36" s="11">
        <v>42</v>
      </c>
      <c r="R36" s="12">
        <v>0.40479999999999999</v>
      </c>
      <c r="S36" s="11">
        <v>17</v>
      </c>
      <c r="T36" s="11">
        <v>23</v>
      </c>
      <c r="U36" s="12">
        <v>0.73909999999999998</v>
      </c>
      <c r="V36" s="11">
        <v>18</v>
      </c>
      <c r="W36" s="11">
        <v>23</v>
      </c>
      <c r="X36" s="11">
        <v>41</v>
      </c>
      <c r="Y36" s="11">
        <v>27</v>
      </c>
      <c r="Z36" s="11">
        <v>1</v>
      </c>
      <c r="AA36" s="11">
        <v>9</v>
      </c>
      <c r="AB36" s="11">
        <v>10</v>
      </c>
      <c r="AC36" s="11">
        <v>26</v>
      </c>
      <c r="AD36" s="11">
        <v>32</v>
      </c>
      <c r="AE36" s="11">
        <v>58</v>
      </c>
      <c r="AF36" s="12">
        <v>0.55169999999999997</v>
      </c>
      <c r="AG36" s="11">
        <v>25</v>
      </c>
      <c r="AH36" s="11">
        <v>35</v>
      </c>
      <c r="AI36" s="12">
        <v>0.71430000000000005</v>
      </c>
      <c r="AJ36" s="11">
        <v>7</v>
      </c>
      <c r="AK36" s="11">
        <v>23</v>
      </c>
      <c r="AL36" s="12">
        <v>0.30430000000000001</v>
      </c>
      <c r="AM36" s="11">
        <v>17</v>
      </c>
      <c r="AN36" s="11">
        <v>29</v>
      </c>
      <c r="AO36" s="12">
        <v>0.58620000000000005</v>
      </c>
      <c r="AP36" s="11">
        <v>9</v>
      </c>
      <c r="AQ36" s="11">
        <v>19</v>
      </c>
      <c r="AR36" s="11">
        <v>28</v>
      </c>
      <c r="AS36" s="11">
        <v>19</v>
      </c>
      <c r="AT36" s="11">
        <v>2</v>
      </c>
      <c r="AU36" s="11">
        <v>14</v>
      </c>
      <c r="AV36" s="11">
        <v>3</v>
      </c>
      <c r="AW36" s="11">
        <v>22</v>
      </c>
      <c r="AX36" s="12">
        <v>0.66190000000000004</v>
      </c>
      <c r="AY36" s="12">
        <v>0.63819999999999999</v>
      </c>
      <c r="AZ36" s="12">
        <v>0.48649999999999999</v>
      </c>
      <c r="BA36" s="12">
        <v>0.71879999999999999</v>
      </c>
      <c r="BB36" s="12">
        <v>0.59419999999999995</v>
      </c>
      <c r="BC36" s="4">
        <v>78.289000000000001</v>
      </c>
      <c r="BD36" s="12">
        <v>0.67500000000000004</v>
      </c>
      <c r="BE36" s="12">
        <v>0.22370000000000001</v>
      </c>
      <c r="BF36" s="12">
        <v>0.104</v>
      </c>
      <c r="BG36" s="4">
        <v>160.6</v>
      </c>
      <c r="BH36" s="4">
        <v>124</v>
      </c>
      <c r="BI36" s="4">
        <v>70.973500000000001</v>
      </c>
      <c r="BJ36" s="12">
        <v>0.62180000000000002</v>
      </c>
      <c r="BK36" s="12">
        <v>0.61209999999999998</v>
      </c>
      <c r="BL36" s="12">
        <v>0.28129999999999999</v>
      </c>
      <c r="BM36" s="12">
        <v>0.51349999999999996</v>
      </c>
      <c r="BN36" s="12">
        <v>0.40579999999999999</v>
      </c>
      <c r="BO36" s="4">
        <v>63.658000000000001</v>
      </c>
      <c r="BP36" s="12">
        <v>0.59379999999999999</v>
      </c>
      <c r="BQ36" s="12">
        <v>0.29310000000000003</v>
      </c>
      <c r="BR36" s="12">
        <v>4.07E-2</v>
      </c>
      <c r="BS36" s="4">
        <v>124</v>
      </c>
      <c r="BT36" s="4">
        <v>160.6</v>
      </c>
      <c r="BU36" s="11">
        <v>38</v>
      </c>
      <c r="BV36" s="11">
        <v>25</v>
      </c>
      <c r="BW36" s="11">
        <v>27</v>
      </c>
      <c r="BX36" s="11">
        <v>24</v>
      </c>
      <c r="BY36" s="11">
        <v>14</v>
      </c>
      <c r="BZ36" s="11">
        <v>18</v>
      </c>
      <c r="CA36" s="11">
        <v>27</v>
      </c>
      <c r="CB36" s="11">
        <v>29</v>
      </c>
      <c r="CC36" s="11">
        <v>63</v>
      </c>
      <c r="CD36" s="11">
        <v>51</v>
      </c>
      <c r="CE36" s="11">
        <v>32</v>
      </c>
      <c r="CF36" s="11">
        <v>56</v>
      </c>
      <c r="CG36" s="4">
        <v>1.1499999999999999</v>
      </c>
      <c r="CH36" s="13">
        <v>5.75</v>
      </c>
      <c r="CI36" s="4">
        <v>-11.5</v>
      </c>
      <c r="CJ36" s="4">
        <v>11.5</v>
      </c>
      <c r="CK36" s="4">
        <v>177.5</v>
      </c>
      <c r="CL36" s="2" t="s">
        <v>606</v>
      </c>
      <c r="CM36" s="4" t="str">
        <f>VLOOKUP(paris[[#This Row],[Away_team]],all[[Full name]:[Abbr]],3,FALSE)</f>
        <v>DIJ</v>
      </c>
      <c r="CN36" s="4">
        <f>IF(OR(paris[[#This Row],[Result]]="w",paris[[#This Row],[Result]]="dw"),paris[[#This Row],[win]]-1,-1)</f>
        <v>0.14999999999999991</v>
      </c>
      <c r="CO36" s="4">
        <f>IF(OR(paris[[#This Row],[Result]]="L",paris[[#This Row],[Result]]="dl"),paris[[#This Row],[lose]]-1,-1)</f>
        <v>-1</v>
      </c>
      <c r="CP36" s="4">
        <f>IF(OR((paris[[#This Row],[Home_scored]]+paris[[#This Row],[Away_scored]])&gt;paris[[#This Row],[total]],OR(paris[[#This Row],[Result]]="dw",paris[[#This Row],[Result]]="dl")),1,0)</f>
        <v>1</v>
      </c>
      <c r="CQ36" s="4">
        <f>ABS((paris[[#This Row],[Home_scored]]+paris[[#This Row],[Away_scored]])-paris[[#This Row],[total]])+0.5</f>
        <v>25</v>
      </c>
    </row>
    <row r="37" spans="1:95" x14ac:dyDescent="0.25">
      <c r="A37" s="2" t="s">
        <v>349</v>
      </c>
      <c r="B37" s="2" t="s">
        <v>339</v>
      </c>
      <c r="C37" s="28" t="s">
        <v>594</v>
      </c>
      <c r="D37" s="28">
        <v>45812</v>
      </c>
      <c r="E37" s="2" t="s">
        <v>74</v>
      </c>
      <c r="F37" s="2" t="s">
        <v>302</v>
      </c>
      <c r="G37" s="2" t="s">
        <v>75</v>
      </c>
      <c r="H37" s="11">
        <v>100</v>
      </c>
      <c r="I37" s="11">
        <v>89</v>
      </c>
      <c r="J37" s="11">
        <v>35</v>
      </c>
      <c r="K37" s="11">
        <v>65</v>
      </c>
      <c r="L37" s="12">
        <v>0.53849999999999998</v>
      </c>
      <c r="M37" s="11">
        <v>23</v>
      </c>
      <c r="N37" s="11">
        <v>34</v>
      </c>
      <c r="O37" s="12">
        <v>0.67649999999999999</v>
      </c>
      <c r="P37" s="11">
        <v>12</v>
      </c>
      <c r="Q37" s="11">
        <v>31</v>
      </c>
      <c r="R37" s="12">
        <v>0.3871</v>
      </c>
      <c r="S37" s="11">
        <v>18</v>
      </c>
      <c r="T37" s="11">
        <v>21</v>
      </c>
      <c r="U37" s="12">
        <v>0.85709999999999997</v>
      </c>
      <c r="V37" s="11">
        <v>10</v>
      </c>
      <c r="W37" s="11">
        <v>24</v>
      </c>
      <c r="X37" s="11">
        <v>34</v>
      </c>
      <c r="Y37" s="11">
        <v>24</v>
      </c>
      <c r="Z37" s="11">
        <v>2</v>
      </c>
      <c r="AA37" s="11">
        <v>14</v>
      </c>
      <c r="AB37" s="11">
        <v>6</v>
      </c>
      <c r="AC37" s="11">
        <v>25</v>
      </c>
      <c r="AD37" s="11">
        <v>36</v>
      </c>
      <c r="AE37" s="11">
        <v>68</v>
      </c>
      <c r="AF37" s="12">
        <v>0.52939999999999998</v>
      </c>
      <c r="AG37" s="11">
        <v>29</v>
      </c>
      <c r="AH37" s="11">
        <v>48</v>
      </c>
      <c r="AI37" s="12">
        <v>0.60419999999999996</v>
      </c>
      <c r="AJ37" s="11">
        <v>7</v>
      </c>
      <c r="AK37" s="11">
        <v>20</v>
      </c>
      <c r="AL37" s="12">
        <v>0.35</v>
      </c>
      <c r="AM37" s="11">
        <v>10</v>
      </c>
      <c r="AN37" s="11">
        <v>16</v>
      </c>
      <c r="AO37" s="12">
        <v>0.625</v>
      </c>
      <c r="AP37" s="11">
        <v>11</v>
      </c>
      <c r="AQ37" s="11">
        <v>21</v>
      </c>
      <c r="AR37" s="11">
        <v>32</v>
      </c>
      <c r="AS37" s="11">
        <v>31</v>
      </c>
      <c r="AT37" s="11">
        <v>3</v>
      </c>
      <c r="AU37" s="11">
        <v>15</v>
      </c>
      <c r="AV37" s="11">
        <v>5</v>
      </c>
      <c r="AW37" s="11">
        <v>27</v>
      </c>
      <c r="AX37" s="12">
        <v>0.67349999999999999</v>
      </c>
      <c r="AY37" s="12">
        <v>0.63080000000000003</v>
      </c>
      <c r="AZ37" s="12">
        <v>0.3226</v>
      </c>
      <c r="BA37" s="12">
        <v>0.68569999999999998</v>
      </c>
      <c r="BB37" s="12">
        <v>0.51519999999999999</v>
      </c>
      <c r="BC37" s="4">
        <v>69.959000000000003</v>
      </c>
      <c r="BD37" s="12">
        <v>0.68569999999999998</v>
      </c>
      <c r="BE37" s="12">
        <v>0.27689999999999998</v>
      </c>
      <c r="BF37" s="12">
        <v>7.4800000000000005E-2</v>
      </c>
      <c r="BG37" s="4">
        <v>145.4</v>
      </c>
      <c r="BH37" s="4">
        <v>129.4</v>
      </c>
      <c r="BI37" s="4">
        <v>68.794499999999999</v>
      </c>
      <c r="BJ37" s="12">
        <v>0.59299999999999997</v>
      </c>
      <c r="BK37" s="12">
        <v>0.58089999999999997</v>
      </c>
      <c r="BL37" s="12">
        <v>0.31430000000000002</v>
      </c>
      <c r="BM37" s="12">
        <v>0.6774</v>
      </c>
      <c r="BN37" s="12">
        <v>0.48480000000000001</v>
      </c>
      <c r="BO37" s="4">
        <v>67.63</v>
      </c>
      <c r="BP37" s="12">
        <v>0.86109999999999998</v>
      </c>
      <c r="BQ37" s="12">
        <v>0.14710000000000001</v>
      </c>
      <c r="BR37" s="12">
        <v>6.25E-2</v>
      </c>
      <c r="BS37" s="4">
        <v>129.4</v>
      </c>
      <c r="BT37" s="4">
        <v>145.4</v>
      </c>
      <c r="BU37" s="11">
        <v>29</v>
      </c>
      <c r="BV37" s="11">
        <v>23</v>
      </c>
      <c r="BW37" s="11">
        <v>27</v>
      </c>
      <c r="BX37" s="11">
        <v>21</v>
      </c>
      <c r="BY37" s="11">
        <v>28</v>
      </c>
      <c r="BZ37" s="11">
        <v>25</v>
      </c>
      <c r="CA37" s="11">
        <v>21</v>
      </c>
      <c r="CB37" s="11">
        <v>15</v>
      </c>
      <c r="CC37" s="11">
        <v>52</v>
      </c>
      <c r="CD37" s="11">
        <v>48</v>
      </c>
      <c r="CE37" s="11">
        <v>53</v>
      </c>
      <c r="CF37" s="11">
        <v>36</v>
      </c>
      <c r="CG37" s="4">
        <v>1.32</v>
      </c>
      <c r="CH37" s="13">
        <v>3.45</v>
      </c>
      <c r="CI37" s="4">
        <v>-7.5</v>
      </c>
      <c r="CJ37" s="4">
        <v>7.5</v>
      </c>
      <c r="CK37" s="4">
        <v>178.5</v>
      </c>
      <c r="CL37" s="2" t="s">
        <v>610</v>
      </c>
      <c r="CM37" s="4" t="str">
        <f>VLOOKUP(paris[[#This Row],[Away_team]],all[[Full name]:[Abbr]],3,FALSE)</f>
        <v>BUR</v>
      </c>
      <c r="CN37" s="4">
        <f>IF(OR(paris[[#This Row],[Result]]="w",paris[[#This Row],[Result]]="dw"),paris[[#This Row],[win]]-1,-1)</f>
        <v>0.32000000000000006</v>
      </c>
      <c r="CO37" s="4">
        <f>IF(OR(paris[[#This Row],[Result]]="L",paris[[#This Row],[Result]]="dl"),paris[[#This Row],[lose]]-1,-1)</f>
        <v>-1</v>
      </c>
      <c r="CP37" s="4">
        <f>IF(OR((paris[[#This Row],[Home_scored]]+paris[[#This Row],[Away_scored]])&gt;paris[[#This Row],[total]],OR(paris[[#This Row],[Result]]="dw",paris[[#This Row],[Result]]="dl")),1,0)</f>
        <v>1</v>
      </c>
      <c r="CQ37" s="4">
        <f>ABS((paris[[#This Row],[Home_scored]]+paris[[#This Row],[Away_scored]])-paris[[#This Row],[total]])+0.5</f>
        <v>11</v>
      </c>
    </row>
    <row r="38" spans="1:95" x14ac:dyDescent="0.25">
      <c r="A38" s="2" t="s">
        <v>349</v>
      </c>
      <c r="B38" s="2" t="s">
        <v>339</v>
      </c>
      <c r="C38" s="28" t="s">
        <v>594</v>
      </c>
      <c r="D38" s="28">
        <v>45814</v>
      </c>
      <c r="E38" s="2" t="s">
        <v>74</v>
      </c>
      <c r="F38" s="2" t="s">
        <v>302</v>
      </c>
      <c r="G38" s="2" t="s">
        <v>75</v>
      </c>
      <c r="H38" s="11">
        <v>117</v>
      </c>
      <c r="I38" s="11">
        <v>103</v>
      </c>
      <c r="J38" s="11">
        <v>39</v>
      </c>
      <c r="K38" s="11">
        <v>67</v>
      </c>
      <c r="L38" s="12">
        <v>0.58209999999999995</v>
      </c>
      <c r="M38" s="11">
        <v>25</v>
      </c>
      <c r="N38" s="11">
        <v>37</v>
      </c>
      <c r="O38" s="12">
        <v>0.67569999999999997</v>
      </c>
      <c r="P38" s="11">
        <v>14</v>
      </c>
      <c r="Q38" s="11">
        <v>30</v>
      </c>
      <c r="R38" s="12">
        <v>0.4667</v>
      </c>
      <c r="S38" s="11">
        <v>25</v>
      </c>
      <c r="T38" s="11">
        <v>27</v>
      </c>
      <c r="U38" s="12">
        <v>0.92589999999999995</v>
      </c>
      <c r="V38" s="11">
        <v>7</v>
      </c>
      <c r="W38" s="11">
        <v>23</v>
      </c>
      <c r="X38" s="11">
        <v>30</v>
      </c>
      <c r="Y38" s="11">
        <v>18</v>
      </c>
      <c r="Z38" s="11">
        <v>2</v>
      </c>
      <c r="AA38" s="11">
        <v>7</v>
      </c>
      <c r="AB38" s="11">
        <v>6</v>
      </c>
      <c r="AC38" s="11">
        <v>24</v>
      </c>
      <c r="AD38" s="11">
        <v>38</v>
      </c>
      <c r="AE38" s="11">
        <v>71</v>
      </c>
      <c r="AF38" s="12">
        <v>0.53520000000000001</v>
      </c>
      <c r="AG38" s="11">
        <v>30</v>
      </c>
      <c r="AH38" s="11">
        <v>48</v>
      </c>
      <c r="AI38" s="12">
        <v>0.625</v>
      </c>
      <c r="AJ38" s="11">
        <v>8</v>
      </c>
      <c r="AK38" s="11">
        <v>23</v>
      </c>
      <c r="AL38" s="12">
        <v>0.3478</v>
      </c>
      <c r="AM38" s="11">
        <v>19</v>
      </c>
      <c r="AN38" s="11">
        <v>26</v>
      </c>
      <c r="AO38" s="12">
        <v>0.73080000000000001</v>
      </c>
      <c r="AP38" s="11">
        <v>15</v>
      </c>
      <c r="AQ38" s="11">
        <v>21</v>
      </c>
      <c r="AR38" s="11">
        <v>36</v>
      </c>
      <c r="AS38" s="11">
        <v>20</v>
      </c>
      <c r="AT38" s="11">
        <v>2</v>
      </c>
      <c r="AU38" s="11">
        <v>13</v>
      </c>
      <c r="AV38" s="11">
        <v>0</v>
      </c>
      <c r="AW38" s="11">
        <v>29</v>
      </c>
      <c r="AX38" s="12">
        <v>0.74160000000000004</v>
      </c>
      <c r="AY38" s="12">
        <v>0.68659999999999999</v>
      </c>
      <c r="AZ38" s="12">
        <v>0.25</v>
      </c>
      <c r="BA38" s="12">
        <v>0.60529999999999995</v>
      </c>
      <c r="BB38" s="12">
        <v>0.45450000000000002</v>
      </c>
      <c r="BC38" s="4">
        <v>76.808999999999997</v>
      </c>
      <c r="BD38" s="12">
        <v>0.46150000000000002</v>
      </c>
      <c r="BE38" s="12">
        <v>0.37309999999999999</v>
      </c>
      <c r="BF38" s="12">
        <v>7.0699999999999999E-2</v>
      </c>
      <c r="BG38" s="4">
        <v>163.1</v>
      </c>
      <c r="BH38" s="4">
        <v>143.6</v>
      </c>
      <c r="BI38" s="4">
        <v>71.748500000000007</v>
      </c>
      <c r="BJ38" s="12">
        <v>0.62470000000000003</v>
      </c>
      <c r="BK38" s="12">
        <v>0.59150000000000003</v>
      </c>
      <c r="BL38" s="12">
        <v>0.3947</v>
      </c>
      <c r="BM38" s="12">
        <v>0.75</v>
      </c>
      <c r="BN38" s="12">
        <v>0.54549999999999998</v>
      </c>
      <c r="BO38" s="4">
        <v>66.688000000000002</v>
      </c>
      <c r="BP38" s="12">
        <v>0.52629999999999999</v>
      </c>
      <c r="BQ38" s="12">
        <v>0.2676</v>
      </c>
      <c r="BR38" s="12">
        <v>0</v>
      </c>
      <c r="BS38" s="4">
        <v>143.6</v>
      </c>
      <c r="BT38" s="4">
        <v>163.1</v>
      </c>
      <c r="BU38" s="11">
        <v>25</v>
      </c>
      <c r="BV38" s="11">
        <v>30</v>
      </c>
      <c r="BW38" s="11">
        <v>31</v>
      </c>
      <c r="BX38" s="11">
        <v>31</v>
      </c>
      <c r="BY38" s="11">
        <v>30</v>
      </c>
      <c r="BZ38" s="11">
        <v>27</v>
      </c>
      <c r="CA38" s="11">
        <v>23</v>
      </c>
      <c r="CB38" s="11">
        <v>23</v>
      </c>
      <c r="CC38" s="11">
        <v>55</v>
      </c>
      <c r="CD38" s="11">
        <v>62</v>
      </c>
      <c r="CE38" s="11">
        <v>57</v>
      </c>
      <c r="CF38" s="11">
        <v>46</v>
      </c>
      <c r="CG38" s="4">
        <v>1.25</v>
      </c>
      <c r="CH38" s="13">
        <v>4.2</v>
      </c>
      <c r="CI38" s="4">
        <v>-9</v>
      </c>
      <c r="CJ38" s="4">
        <v>-9</v>
      </c>
      <c r="CK38" s="4">
        <v>181.5</v>
      </c>
      <c r="CL38" s="2" t="s">
        <v>612</v>
      </c>
      <c r="CM38" s="4" t="str">
        <f>VLOOKUP(paris[[#This Row],[Away_team]],all[[Full name]:[Abbr]],3,FALSE)</f>
        <v>BUR</v>
      </c>
      <c r="CN38" s="4">
        <f>IF(OR(paris[[#This Row],[Result]]="w",paris[[#This Row],[Result]]="dw"),paris[[#This Row],[win]]-1,-1)</f>
        <v>0.25</v>
      </c>
      <c r="CO38" s="4">
        <f>IF(OR(paris[[#This Row],[Result]]="L",paris[[#This Row],[Result]]="dl"),paris[[#This Row],[lose]]-1,-1)</f>
        <v>-1</v>
      </c>
      <c r="CP38" s="4">
        <f>IF(OR((paris[[#This Row],[Home_scored]]+paris[[#This Row],[Away_scored]])&gt;paris[[#This Row],[total]],OR(paris[[#This Row],[Result]]="dw",paris[[#This Row],[Result]]="dl")),1,0)</f>
        <v>1</v>
      </c>
      <c r="CQ38" s="4">
        <f>ABS((paris[[#This Row],[Home_scored]]+paris[[#This Row],[Away_scored]])-paris[[#This Row],[total]])+0.5</f>
        <v>39</v>
      </c>
    </row>
    <row r="39" spans="1:95" x14ac:dyDescent="0.25">
      <c r="A39" s="2" t="s">
        <v>349</v>
      </c>
      <c r="B39" s="2" t="s">
        <v>339</v>
      </c>
      <c r="C39" s="28" t="s">
        <v>594</v>
      </c>
      <c r="D39" s="28">
        <v>45816</v>
      </c>
      <c r="E39" s="2" t="s">
        <v>140</v>
      </c>
      <c r="F39" s="2" t="s">
        <v>302</v>
      </c>
      <c r="G39" s="2" t="s">
        <v>75</v>
      </c>
      <c r="H39" s="11">
        <v>103</v>
      </c>
      <c r="I39" s="11">
        <v>93</v>
      </c>
      <c r="J39" s="11">
        <v>32</v>
      </c>
      <c r="K39" s="11">
        <v>66</v>
      </c>
      <c r="L39" s="12">
        <v>0.48480000000000001</v>
      </c>
      <c r="M39" s="11">
        <v>20</v>
      </c>
      <c r="N39" s="11">
        <v>36</v>
      </c>
      <c r="O39" s="12">
        <v>0.55559999999999998</v>
      </c>
      <c r="P39" s="11">
        <v>12</v>
      </c>
      <c r="Q39" s="11">
        <v>30</v>
      </c>
      <c r="R39" s="12">
        <v>0.4</v>
      </c>
      <c r="S39" s="11">
        <v>27</v>
      </c>
      <c r="T39" s="11">
        <v>30</v>
      </c>
      <c r="U39" s="12">
        <v>0.9</v>
      </c>
      <c r="V39" s="11">
        <v>14</v>
      </c>
      <c r="W39" s="11">
        <v>23</v>
      </c>
      <c r="X39" s="11">
        <v>37</v>
      </c>
      <c r="Y39" s="11">
        <v>23</v>
      </c>
      <c r="Z39" s="11">
        <v>0</v>
      </c>
      <c r="AA39" s="11">
        <v>11</v>
      </c>
      <c r="AB39" s="11">
        <v>3</v>
      </c>
      <c r="AC39" s="11">
        <v>24</v>
      </c>
      <c r="AD39" s="11">
        <v>34</v>
      </c>
      <c r="AE39" s="11">
        <v>71</v>
      </c>
      <c r="AF39" s="12">
        <v>0.47889999999999999</v>
      </c>
      <c r="AG39" s="11">
        <v>27</v>
      </c>
      <c r="AH39" s="11">
        <v>45</v>
      </c>
      <c r="AI39" s="12">
        <v>0.6</v>
      </c>
      <c r="AJ39" s="11">
        <v>7</v>
      </c>
      <c r="AK39" s="11">
        <v>26</v>
      </c>
      <c r="AL39" s="12">
        <v>0.26919999999999999</v>
      </c>
      <c r="AM39" s="11">
        <v>18</v>
      </c>
      <c r="AN39" s="11">
        <v>21</v>
      </c>
      <c r="AO39" s="12">
        <v>0.85709999999999997</v>
      </c>
      <c r="AP39" s="11">
        <v>15</v>
      </c>
      <c r="AQ39" s="11">
        <v>21</v>
      </c>
      <c r="AR39" s="11">
        <v>36</v>
      </c>
      <c r="AS39" s="11">
        <v>22</v>
      </c>
      <c r="AT39" s="11">
        <v>2</v>
      </c>
      <c r="AU39" s="11">
        <v>9</v>
      </c>
      <c r="AV39" s="11">
        <v>7</v>
      </c>
      <c r="AW39" s="11">
        <v>22</v>
      </c>
      <c r="AX39" s="12">
        <v>0.65029999999999999</v>
      </c>
      <c r="AY39" s="12">
        <v>0.57579999999999998</v>
      </c>
      <c r="AZ39" s="12">
        <v>0.4</v>
      </c>
      <c r="BA39" s="12">
        <v>0.60529999999999995</v>
      </c>
      <c r="BB39" s="12">
        <v>0.50680000000000003</v>
      </c>
      <c r="BC39" s="4">
        <v>67.234999999999999</v>
      </c>
      <c r="BD39" s="12">
        <v>0.71879999999999999</v>
      </c>
      <c r="BE39" s="12">
        <v>0.40910000000000002</v>
      </c>
      <c r="BF39" s="12">
        <v>3.6499999999999998E-2</v>
      </c>
      <c r="BG39" s="4">
        <v>150.19999999999999</v>
      </c>
      <c r="BH39" s="4">
        <v>135.6</v>
      </c>
      <c r="BI39" s="4">
        <v>68.569500000000005</v>
      </c>
      <c r="BJ39" s="12">
        <v>0.57950000000000002</v>
      </c>
      <c r="BK39" s="12">
        <v>0.5282</v>
      </c>
      <c r="BL39" s="12">
        <v>0.3947</v>
      </c>
      <c r="BM39" s="12">
        <v>0.6</v>
      </c>
      <c r="BN39" s="12">
        <v>0.49320000000000003</v>
      </c>
      <c r="BO39" s="4">
        <v>69.903999999999996</v>
      </c>
      <c r="BP39" s="12">
        <v>0.64710000000000001</v>
      </c>
      <c r="BQ39" s="12">
        <v>0.2535</v>
      </c>
      <c r="BR39" s="12">
        <v>8.0199999999999994E-2</v>
      </c>
      <c r="BS39" s="4">
        <v>135.6</v>
      </c>
      <c r="BT39" s="4">
        <v>150.19999999999999</v>
      </c>
      <c r="BU39" s="11">
        <v>26</v>
      </c>
      <c r="BV39" s="11">
        <v>26</v>
      </c>
      <c r="BW39" s="11">
        <v>23</v>
      </c>
      <c r="BX39" s="11">
        <v>28</v>
      </c>
      <c r="BY39" s="11">
        <v>28</v>
      </c>
      <c r="BZ39" s="11">
        <v>28</v>
      </c>
      <c r="CA39" s="11">
        <v>19</v>
      </c>
      <c r="CB39" s="11">
        <v>18</v>
      </c>
      <c r="CC39" s="11">
        <v>52</v>
      </c>
      <c r="CD39" s="11">
        <v>51</v>
      </c>
      <c r="CE39" s="11">
        <v>56</v>
      </c>
      <c r="CF39" s="11">
        <v>37</v>
      </c>
      <c r="CG39" s="4">
        <v>1.8</v>
      </c>
      <c r="CH39" s="13">
        <v>2.0499999999999998</v>
      </c>
      <c r="CI39" s="4">
        <v>-1.5</v>
      </c>
      <c r="CJ39" s="4">
        <v>1.5</v>
      </c>
      <c r="CK39" s="4">
        <v>184.5</v>
      </c>
      <c r="CL39" s="2" t="s">
        <v>614</v>
      </c>
      <c r="CM39" s="4" t="str">
        <f>VLOOKUP(paris[[#This Row],[Away_team]],all[[Full name]:[Abbr]],3,FALSE)</f>
        <v>BUR</v>
      </c>
      <c r="CN39" s="4">
        <f>IF(OR(paris[[#This Row],[Result]]="w",paris[[#This Row],[Result]]="dw"),paris[[#This Row],[win]]-1,-1)</f>
        <v>0.8</v>
      </c>
      <c r="CO39" s="4">
        <f>IF(OR(paris[[#This Row],[Result]]="L",paris[[#This Row],[Result]]="dl"),paris[[#This Row],[lose]]-1,-1)</f>
        <v>-1</v>
      </c>
      <c r="CP39" s="4">
        <f>IF(OR((paris[[#This Row],[Home_scored]]+paris[[#This Row],[Away_scored]])&gt;paris[[#This Row],[total]],OR(paris[[#This Row],[Result]]="dw",paris[[#This Row],[Result]]="dl")),1,0)</f>
        <v>1</v>
      </c>
      <c r="CQ39" s="4">
        <f>ABS((paris[[#This Row],[Home_scored]]+paris[[#This Row],[Away_scored]])-paris[[#This Row],[total]])+0.5</f>
        <v>12</v>
      </c>
    </row>
    <row r="40" spans="1:95" x14ac:dyDescent="0.25">
      <c r="A40" s="2" t="s">
        <v>349</v>
      </c>
      <c r="B40" s="2" t="s">
        <v>339</v>
      </c>
      <c r="C40" s="28" t="s">
        <v>594</v>
      </c>
      <c r="D40" s="28">
        <v>45823</v>
      </c>
      <c r="E40" s="2" t="s">
        <v>74</v>
      </c>
      <c r="F40" s="2" t="s">
        <v>330</v>
      </c>
      <c r="G40" s="2" t="s">
        <v>75</v>
      </c>
      <c r="H40" s="11">
        <v>94</v>
      </c>
      <c r="I40" s="11">
        <v>82</v>
      </c>
      <c r="J40" s="11">
        <v>38</v>
      </c>
      <c r="K40" s="11">
        <v>74</v>
      </c>
      <c r="L40" s="12">
        <v>0.51349999999999996</v>
      </c>
      <c r="M40" s="11">
        <v>33</v>
      </c>
      <c r="N40" s="11">
        <v>50</v>
      </c>
      <c r="O40" s="12">
        <v>0.66</v>
      </c>
      <c r="P40" s="11">
        <v>5</v>
      </c>
      <c r="Q40" s="11">
        <v>24</v>
      </c>
      <c r="R40" s="12">
        <v>0.20830000000000001</v>
      </c>
      <c r="S40" s="11">
        <v>13</v>
      </c>
      <c r="T40" s="11">
        <v>15</v>
      </c>
      <c r="U40" s="12">
        <v>0.86670000000000003</v>
      </c>
      <c r="V40" s="11">
        <v>11</v>
      </c>
      <c r="W40" s="11">
        <v>26</v>
      </c>
      <c r="X40" s="11">
        <v>37</v>
      </c>
      <c r="Y40" s="11">
        <v>19</v>
      </c>
      <c r="Z40" s="11">
        <v>2</v>
      </c>
      <c r="AA40" s="11">
        <v>10</v>
      </c>
      <c r="AB40" s="11">
        <v>12</v>
      </c>
      <c r="AC40" s="11">
        <v>23</v>
      </c>
      <c r="AD40" s="11">
        <v>30</v>
      </c>
      <c r="AE40" s="11">
        <v>64</v>
      </c>
      <c r="AF40" s="12">
        <v>0.46879999999999999</v>
      </c>
      <c r="AG40" s="11">
        <v>23</v>
      </c>
      <c r="AH40" s="11">
        <v>40</v>
      </c>
      <c r="AI40" s="12">
        <v>0.57499999999999996</v>
      </c>
      <c r="AJ40" s="11">
        <v>7</v>
      </c>
      <c r="AK40" s="11">
        <v>24</v>
      </c>
      <c r="AL40" s="12">
        <v>0.29170000000000001</v>
      </c>
      <c r="AM40" s="11">
        <v>15</v>
      </c>
      <c r="AN40" s="11">
        <v>24</v>
      </c>
      <c r="AO40" s="12">
        <v>0.625</v>
      </c>
      <c r="AP40" s="11">
        <v>14</v>
      </c>
      <c r="AQ40" s="11">
        <v>23</v>
      </c>
      <c r="AR40" s="11">
        <v>37</v>
      </c>
      <c r="AS40" s="11">
        <v>19</v>
      </c>
      <c r="AT40" s="11">
        <v>6</v>
      </c>
      <c r="AU40" s="11">
        <v>13</v>
      </c>
      <c r="AV40" s="11">
        <v>3</v>
      </c>
      <c r="AW40" s="11">
        <v>20</v>
      </c>
      <c r="AX40" s="12">
        <v>0.58309999999999995</v>
      </c>
      <c r="AY40" s="12">
        <v>0.54730000000000001</v>
      </c>
      <c r="AZ40" s="12">
        <v>0.32350000000000001</v>
      </c>
      <c r="BA40" s="12">
        <v>0.65</v>
      </c>
      <c r="BB40" s="12">
        <v>0.5</v>
      </c>
      <c r="BC40" s="4">
        <v>80.548000000000002</v>
      </c>
      <c r="BD40" s="12">
        <v>0.5</v>
      </c>
      <c r="BE40" s="12">
        <v>0.1757</v>
      </c>
      <c r="BF40" s="12">
        <v>0.12959999999999999</v>
      </c>
      <c r="BG40" s="4">
        <v>131.1</v>
      </c>
      <c r="BH40" s="4">
        <v>114.4</v>
      </c>
      <c r="BI40" s="4">
        <v>71.691500000000005</v>
      </c>
      <c r="BJ40" s="12">
        <v>0.54990000000000006</v>
      </c>
      <c r="BK40" s="12">
        <v>0.52339999999999998</v>
      </c>
      <c r="BL40" s="12">
        <v>0.35</v>
      </c>
      <c r="BM40" s="12">
        <v>0.67649999999999999</v>
      </c>
      <c r="BN40" s="12">
        <v>0.5</v>
      </c>
      <c r="BO40" s="4">
        <v>62.835000000000001</v>
      </c>
      <c r="BP40" s="12">
        <v>0.63329999999999997</v>
      </c>
      <c r="BQ40" s="12">
        <v>0.2344</v>
      </c>
      <c r="BR40" s="12">
        <v>3.8699999999999998E-2</v>
      </c>
      <c r="BS40" s="4">
        <v>114.4</v>
      </c>
      <c r="BT40" s="4">
        <v>131.1</v>
      </c>
      <c r="BU40" s="11">
        <v>22</v>
      </c>
      <c r="BV40" s="11">
        <v>27</v>
      </c>
      <c r="BW40" s="11">
        <v>25</v>
      </c>
      <c r="BX40" s="11">
        <v>20</v>
      </c>
      <c r="BY40" s="11">
        <v>23</v>
      </c>
      <c r="BZ40" s="11">
        <v>15</v>
      </c>
      <c r="CA40" s="11">
        <v>23</v>
      </c>
      <c r="CB40" s="11">
        <v>21</v>
      </c>
      <c r="CC40" s="11">
        <v>49</v>
      </c>
      <c r="CD40" s="11">
        <v>45</v>
      </c>
      <c r="CE40" s="11">
        <v>38</v>
      </c>
      <c r="CF40" s="11">
        <v>44</v>
      </c>
      <c r="CG40" s="4">
        <v>1.6</v>
      </c>
      <c r="CH40" s="13">
        <v>2.4</v>
      </c>
      <c r="CI40" s="4">
        <v>-3.5</v>
      </c>
      <c r="CJ40" s="4">
        <v>3.5</v>
      </c>
      <c r="CK40" s="4">
        <v>175.5</v>
      </c>
      <c r="CL40" s="2" t="s">
        <v>616</v>
      </c>
      <c r="CM40" s="4" t="str">
        <f>VLOOKUP(paris[[#This Row],[Away_team]],all[[Full name]:[Abbr]],3,FALSE)</f>
        <v>MON</v>
      </c>
      <c r="CN40" s="4">
        <f>IF(OR(paris[[#This Row],[Result]]="w",paris[[#This Row],[Result]]="dw"),paris[[#This Row],[win]]-1,-1)</f>
        <v>0.60000000000000009</v>
      </c>
      <c r="CO40" s="4">
        <f>IF(OR(paris[[#This Row],[Result]]="L",paris[[#This Row],[Result]]="dl"),paris[[#This Row],[lose]]-1,-1)</f>
        <v>-1</v>
      </c>
      <c r="CP40" s="4">
        <f>IF(OR((paris[[#This Row],[Home_scored]]+paris[[#This Row],[Away_scored]])&gt;paris[[#This Row],[total]],OR(paris[[#This Row],[Result]]="dw",paris[[#This Row],[Result]]="dl")),1,0)</f>
        <v>1</v>
      </c>
      <c r="CQ40" s="4">
        <f>ABS((paris[[#This Row],[Home_scored]]+paris[[#This Row],[Away_scored]])-paris[[#This Row],[total]])+0.5</f>
        <v>1</v>
      </c>
    </row>
    <row r="41" spans="1:95" x14ac:dyDescent="0.25">
      <c r="A41" s="2" t="s">
        <v>349</v>
      </c>
      <c r="B41" s="2" t="s">
        <v>339</v>
      </c>
      <c r="C41" s="28" t="s">
        <v>594</v>
      </c>
      <c r="D41" s="28">
        <v>45825</v>
      </c>
      <c r="E41" s="2" t="s">
        <v>74</v>
      </c>
      <c r="F41" s="2" t="s">
        <v>330</v>
      </c>
      <c r="G41" s="2" t="s">
        <v>75</v>
      </c>
      <c r="H41" s="11">
        <v>92</v>
      </c>
      <c r="I41" s="11">
        <v>67</v>
      </c>
      <c r="J41" s="11">
        <v>30</v>
      </c>
      <c r="K41" s="11">
        <v>65</v>
      </c>
      <c r="L41" s="12">
        <v>0.46150000000000002</v>
      </c>
      <c r="M41" s="11">
        <v>15</v>
      </c>
      <c r="N41" s="11">
        <v>29</v>
      </c>
      <c r="O41" s="12">
        <v>0.51719999999999999</v>
      </c>
      <c r="P41" s="11">
        <v>15</v>
      </c>
      <c r="Q41" s="11">
        <v>36</v>
      </c>
      <c r="R41" s="12">
        <v>0.41670000000000001</v>
      </c>
      <c r="S41" s="11">
        <v>17</v>
      </c>
      <c r="T41" s="11">
        <v>20</v>
      </c>
      <c r="U41" s="12">
        <v>0.85</v>
      </c>
      <c r="V41" s="11">
        <v>16</v>
      </c>
      <c r="W41" s="11">
        <v>31</v>
      </c>
      <c r="X41" s="11">
        <v>47</v>
      </c>
      <c r="Y41" s="11">
        <v>17</v>
      </c>
      <c r="Z41" s="11">
        <v>4</v>
      </c>
      <c r="AA41" s="11">
        <v>13</v>
      </c>
      <c r="AB41" s="11">
        <v>2</v>
      </c>
      <c r="AC41" s="11">
        <v>25</v>
      </c>
      <c r="AD41" s="11">
        <v>25</v>
      </c>
      <c r="AE41" s="11">
        <v>64</v>
      </c>
      <c r="AF41" s="12">
        <v>0.3906</v>
      </c>
      <c r="AG41" s="11">
        <v>19</v>
      </c>
      <c r="AH41" s="11">
        <v>36</v>
      </c>
      <c r="AI41" s="12">
        <v>0.52780000000000005</v>
      </c>
      <c r="AJ41" s="11">
        <v>6</v>
      </c>
      <c r="AK41" s="11">
        <v>28</v>
      </c>
      <c r="AL41" s="12">
        <v>0.21429999999999999</v>
      </c>
      <c r="AM41" s="11">
        <v>11</v>
      </c>
      <c r="AN41" s="11">
        <v>17</v>
      </c>
      <c r="AO41" s="12">
        <v>0.64710000000000001</v>
      </c>
      <c r="AP41" s="11">
        <v>11</v>
      </c>
      <c r="AQ41" s="11">
        <v>18</v>
      </c>
      <c r="AR41" s="11">
        <v>29</v>
      </c>
      <c r="AS41" s="11">
        <v>16</v>
      </c>
      <c r="AT41" s="11">
        <v>5</v>
      </c>
      <c r="AU41" s="11">
        <v>9</v>
      </c>
      <c r="AV41" s="11">
        <v>4</v>
      </c>
      <c r="AW41" s="11">
        <v>20</v>
      </c>
      <c r="AX41" s="12">
        <v>0.62329999999999997</v>
      </c>
      <c r="AY41" s="12">
        <v>0.57689999999999997</v>
      </c>
      <c r="AZ41" s="12">
        <v>0.47060000000000002</v>
      </c>
      <c r="BA41" s="12">
        <v>0.73809999999999998</v>
      </c>
      <c r="BB41" s="12">
        <v>0.61839999999999995</v>
      </c>
      <c r="BC41" s="4">
        <v>62.250999999999998</v>
      </c>
      <c r="BD41" s="12">
        <v>0.56669999999999998</v>
      </c>
      <c r="BE41" s="12">
        <v>0.26150000000000001</v>
      </c>
      <c r="BF41" s="12">
        <v>2.64E-2</v>
      </c>
      <c r="BG41" s="4">
        <v>151.80000000000001</v>
      </c>
      <c r="BH41" s="4">
        <v>110.5</v>
      </c>
      <c r="BI41" s="4">
        <v>60.610999999999997</v>
      </c>
      <c r="BJ41" s="12">
        <v>0.46870000000000001</v>
      </c>
      <c r="BK41" s="12">
        <v>0.4375</v>
      </c>
      <c r="BL41" s="12">
        <v>0.26190000000000002</v>
      </c>
      <c r="BM41" s="12">
        <v>0.52939999999999998</v>
      </c>
      <c r="BN41" s="12">
        <v>0.38159999999999999</v>
      </c>
      <c r="BO41" s="4">
        <v>58.970999999999997</v>
      </c>
      <c r="BP41" s="12">
        <v>0.64</v>
      </c>
      <c r="BQ41" s="12">
        <v>0.1719</v>
      </c>
      <c r="BR41" s="12">
        <v>5.2999999999999999E-2</v>
      </c>
      <c r="BS41" s="4">
        <v>110.5</v>
      </c>
      <c r="BT41" s="4">
        <v>151.80000000000001</v>
      </c>
      <c r="BU41" s="11">
        <v>20</v>
      </c>
      <c r="BV41" s="11">
        <v>21</v>
      </c>
      <c r="BW41" s="11">
        <v>29</v>
      </c>
      <c r="BX41" s="11">
        <v>22</v>
      </c>
      <c r="BY41" s="11">
        <v>13</v>
      </c>
      <c r="BZ41" s="11">
        <v>15</v>
      </c>
      <c r="CA41" s="11">
        <v>17</v>
      </c>
      <c r="CB41" s="11">
        <v>22</v>
      </c>
      <c r="CC41" s="11">
        <v>41</v>
      </c>
      <c r="CD41" s="11">
        <v>51</v>
      </c>
      <c r="CE41" s="11">
        <v>28</v>
      </c>
      <c r="CF41" s="11">
        <v>39</v>
      </c>
      <c r="CG41" s="4">
        <v>1.52</v>
      </c>
      <c r="CH41" s="13">
        <v>2.6</v>
      </c>
      <c r="CI41" s="4">
        <v>-4.5</v>
      </c>
      <c r="CJ41" s="4">
        <v>4.5</v>
      </c>
      <c r="CK41" s="4">
        <v>175.5</v>
      </c>
      <c r="CL41" s="2" t="s">
        <v>617</v>
      </c>
      <c r="CM41" s="4" t="str">
        <f>VLOOKUP(paris[[#This Row],[Away_team]],all[[Full name]:[Abbr]],3,FALSE)</f>
        <v>MON</v>
      </c>
      <c r="CN41" s="4">
        <f>IF(OR(paris[[#This Row],[Result]]="w",paris[[#This Row],[Result]]="dw"),paris[[#This Row],[win]]-1,-1)</f>
        <v>0.52</v>
      </c>
      <c r="CO41" s="4">
        <f>IF(OR(paris[[#This Row],[Result]]="L",paris[[#This Row],[Result]]="dl"),paris[[#This Row],[lose]]-1,-1)</f>
        <v>-1</v>
      </c>
      <c r="CP41" s="4">
        <f>IF(OR((paris[[#This Row],[Home_scored]]+paris[[#This Row],[Away_scored]])&gt;paris[[#This Row],[total]],OR(paris[[#This Row],[Result]]="dw",paris[[#This Row],[Result]]="dl")),1,0)</f>
        <v>0</v>
      </c>
      <c r="CQ41" s="4">
        <f>ABS((paris[[#This Row],[Home_scored]]+paris[[#This Row],[Away_scored]])-paris[[#This Row],[total]])+0.5</f>
        <v>17</v>
      </c>
    </row>
    <row r="42" spans="1:95" x14ac:dyDescent="0.25">
      <c r="A42" s="2" t="s">
        <v>349</v>
      </c>
      <c r="B42" s="2" t="s">
        <v>339</v>
      </c>
      <c r="C42" s="28" t="s">
        <v>594</v>
      </c>
      <c r="D42" s="28">
        <v>45828</v>
      </c>
      <c r="E42" s="2" t="s">
        <v>140</v>
      </c>
      <c r="F42" s="2" t="s">
        <v>330</v>
      </c>
      <c r="G42" s="2" t="s">
        <v>139</v>
      </c>
      <c r="H42" s="11">
        <v>78</v>
      </c>
      <c r="I42" s="11">
        <v>81</v>
      </c>
      <c r="J42" s="11">
        <v>24</v>
      </c>
      <c r="K42" s="11">
        <v>61</v>
      </c>
      <c r="L42" s="12">
        <v>0.39340000000000003</v>
      </c>
      <c r="M42" s="11">
        <v>13</v>
      </c>
      <c r="N42" s="11">
        <v>35</v>
      </c>
      <c r="O42" s="12">
        <v>0.37140000000000001</v>
      </c>
      <c r="P42" s="11">
        <v>11</v>
      </c>
      <c r="Q42" s="11">
        <v>26</v>
      </c>
      <c r="R42" s="12">
        <v>0.42309999999999998</v>
      </c>
      <c r="S42" s="11">
        <v>19</v>
      </c>
      <c r="T42" s="11">
        <v>24</v>
      </c>
      <c r="U42" s="12">
        <v>0.79169999999999996</v>
      </c>
      <c r="V42" s="11">
        <v>11</v>
      </c>
      <c r="W42" s="11">
        <v>26</v>
      </c>
      <c r="X42" s="11">
        <v>37</v>
      </c>
      <c r="Y42" s="11">
        <v>12</v>
      </c>
      <c r="Z42" s="11">
        <v>1</v>
      </c>
      <c r="AA42" s="11">
        <v>10</v>
      </c>
      <c r="AB42" s="11">
        <v>3</v>
      </c>
      <c r="AC42" s="11">
        <v>24</v>
      </c>
      <c r="AD42" s="11">
        <v>29</v>
      </c>
      <c r="AE42" s="11">
        <v>61</v>
      </c>
      <c r="AF42" s="12">
        <v>0.47539999999999999</v>
      </c>
      <c r="AG42" s="11">
        <v>19</v>
      </c>
      <c r="AH42" s="11">
        <v>33</v>
      </c>
      <c r="AI42" s="12">
        <v>0.57579999999999998</v>
      </c>
      <c r="AJ42" s="11">
        <v>10</v>
      </c>
      <c r="AK42" s="11">
        <v>28</v>
      </c>
      <c r="AL42" s="12">
        <v>0.35709999999999997</v>
      </c>
      <c r="AM42" s="11">
        <v>13</v>
      </c>
      <c r="AN42" s="11">
        <v>26</v>
      </c>
      <c r="AO42" s="12">
        <v>0.5</v>
      </c>
      <c r="AP42" s="11">
        <v>10</v>
      </c>
      <c r="AQ42" s="11">
        <v>26</v>
      </c>
      <c r="AR42" s="11">
        <v>36</v>
      </c>
      <c r="AS42" s="11">
        <v>27</v>
      </c>
      <c r="AT42" s="11">
        <v>2</v>
      </c>
      <c r="AU42" s="11">
        <v>10</v>
      </c>
      <c r="AV42" s="11">
        <v>3</v>
      </c>
      <c r="AW42" s="11">
        <v>19</v>
      </c>
      <c r="AX42" s="12">
        <v>0.54500000000000004</v>
      </c>
      <c r="AY42" s="12">
        <v>0.48359999999999997</v>
      </c>
      <c r="AZ42" s="12">
        <v>0.29730000000000001</v>
      </c>
      <c r="BA42" s="12">
        <v>0.72219999999999995</v>
      </c>
      <c r="BB42" s="12">
        <v>0.50680000000000003</v>
      </c>
      <c r="BC42" s="4">
        <v>61.83</v>
      </c>
      <c r="BD42" s="12">
        <v>0.5</v>
      </c>
      <c r="BE42" s="12">
        <v>0.3115</v>
      </c>
      <c r="BF42" s="12">
        <v>4.02E-2</v>
      </c>
      <c r="BG42" s="4">
        <v>123.1</v>
      </c>
      <c r="BH42" s="4">
        <v>127.8</v>
      </c>
      <c r="BI42" s="4">
        <v>63.359499999999997</v>
      </c>
      <c r="BJ42" s="12">
        <v>0.55910000000000004</v>
      </c>
      <c r="BK42" s="12">
        <v>0.55740000000000001</v>
      </c>
      <c r="BL42" s="12">
        <v>0.27779999999999999</v>
      </c>
      <c r="BM42" s="12">
        <v>0.70269999999999999</v>
      </c>
      <c r="BN42" s="12">
        <v>0.49320000000000003</v>
      </c>
      <c r="BO42" s="4">
        <v>64.888999999999996</v>
      </c>
      <c r="BP42" s="12">
        <v>0.93100000000000005</v>
      </c>
      <c r="BQ42" s="12">
        <v>0.21310000000000001</v>
      </c>
      <c r="BR42" s="12">
        <v>3.9800000000000002E-2</v>
      </c>
      <c r="BS42" s="4">
        <v>127.8</v>
      </c>
      <c r="BT42" s="4">
        <v>123.1</v>
      </c>
      <c r="BU42" s="11">
        <v>23</v>
      </c>
      <c r="BV42" s="11">
        <v>22</v>
      </c>
      <c r="BW42" s="11">
        <v>15</v>
      </c>
      <c r="BX42" s="11">
        <v>18</v>
      </c>
      <c r="BY42" s="11">
        <v>12</v>
      </c>
      <c r="BZ42" s="11">
        <v>21</v>
      </c>
      <c r="CA42" s="11">
        <v>30</v>
      </c>
      <c r="CB42" s="11">
        <v>18</v>
      </c>
      <c r="CC42" s="11">
        <v>45</v>
      </c>
      <c r="CD42" s="11">
        <v>33</v>
      </c>
      <c r="CE42" s="11">
        <v>33</v>
      </c>
      <c r="CF42" s="11">
        <v>48</v>
      </c>
      <c r="CG42" s="4">
        <v>2.2999999999999998</v>
      </c>
      <c r="CH42" s="13">
        <v>1.64</v>
      </c>
      <c r="CI42" s="4">
        <v>-3</v>
      </c>
      <c r="CJ42" s="4">
        <v>-3</v>
      </c>
      <c r="CK42" s="4">
        <v>173.5</v>
      </c>
      <c r="CL42" s="2" t="s">
        <v>618</v>
      </c>
      <c r="CM42" s="4" t="str">
        <f>VLOOKUP(paris[[#This Row],[Away_team]],all[[Full name]:[Abbr]],3,FALSE)</f>
        <v>MON</v>
      </c>
      <c r="CN42" s="4">
        <f>IF(OR(paris[[#This Row],[Result]]="w",paris[[#This Row],[Result]]="dw"),paris[[#This Row],[win]]-1,-1)</f>
        <v>-1</v>
      </c>
      <c r="CO42" s="4">
        <f>IF(OR(paris[[#This Row],[Result]]="L",paris[[#This Row],[Result]]="dl"),paris[[#This Row],[lose]]-1,-1)</f>
        <v>0.6399999999999999</v>
      </c>
      <c r="CP42" s="4">
        <f>IF(OR((paris[[#This Row],[Home_scored]]+paris[[#This Row],[Away_scored]])&gt;paris[[#This Row],[total]],OR(paris[[#This Row],[Result]]="dw",paris[[#This Row],[Result]]="dl")),1,0)</f>
        <v>0</v>
      </c>
      <c r="CQ42" s="4">
        <f>ABS((paris[[#This Row],[Home_scored]]+paris[[#This Row],[Away_scored]])-paris[[#This Row],[total]])+0.5</f>
        <v>15</v>
      </c>
    </row>
    <row r="43" spans="1:95" x14ac:dyDescent="0.25">
      <c r="A43" s="2" t="s">
        <v>349</v>
      </c>
      <c r="B43" s="2" t="s">
        <v>339</v>
      </c>
      <c r="C43" s="28" t="s">
        <v>594</v>
      </c>
      <c r="D43" s="28">
        <v>45830</v>
      </c>
      <c r="E43" s="2" t="s">
        <v>140</v>
      </c>
      <c r="F43" s="2" t="s">
        <v>330</v>
      </c>
      <c r="G43" s="2" t="s">
        <v>139</v>
      </c>
      <c r="H43" s="11">
        <v>74</v>
      </c>
      <c r="I43" s="11">
        <v>80</v>
      </c>
      <c r="J43" s="11">
        <v>23</v>
      </c>
      <c r="K43" s="11">
        <v>65</v>
      </c>
      <c r="L43" s="12">
        <v>0.3538</v>
      </c>
      <c r="M43" s="11">
        <v>15</v>
      </c>
      <c r="N43" s="11">
        <v>40</v>
      </c>
      <c r="O43" s="12">
        <v>0.375</v>
      </c>
      <c r="P43" s="11">
        <v>8</v>
      </c>
      <c r="Q43" s="11">
        <v>25</v>
      </c>
      <c r="R43" s="12">
        <v>0.32</v>
      </c>
      <c r="S43" s="11">
        <v>20</v>
      </c>
      <c r="T43" s="11">
        <v>23</v>
      </c>
      <c r="U43" s="12">
        <v>0.86960000000000004</v>
      </c>
      <c r="V43" s="11">
        <v>15</v>
      </c>
      <c r="W43" s="11">
        <v>27</v>
      </c>
      <c r="X43" s="11">
        <v>42</v>
      </c>
      <c r="Y43" s="11">
        <v>16</v>
      </c>
      <c r="Z43" s="11">
        <v>2</v>
      </c>
      <c r="AA43" s="11">
        <v>16</v>
      </c>
      <c r="AB43" s="11">
        <v>6</v>
      </c>
      <c r="AC43" s="11">
        <v>28</v>
      </c>
      <c r="AD43" s="11">
        <v>24</v>
      </c>
      <c r="AE43" s="11">
        <v>63</v>
      </c>
      <c r="AF43" s="12">
        <v>0.38100000000000001</v>
      </c>
      <c r="AG43" s="11">
        <v>14</v>
      </c>
      <c r="AH43" s="11">
        <v>38</v>
      </c>
      <c r="AI43" s="12">
        <v>0.36840000000000001</v>
      </c>
      <c r="AJ43" s="11">
        <v>10</v>
      </c>
      <c r="AK43" s="11">
        <v>25</v>
      </c>
      <c r="AL43" s="12">
        <v>0.4</v>
      </c>
      <c r="AM43" s="11">
        <v>22</v>
      </c>
      <c r="AN43" s="11">
        <v>27</v>
      </c>
      <c r="AO43" s="12">
        <v>0.81479999999999997</v>
      </c>
      <c r="AP43" s="11">
        <v>13</v>
      </c>
      <c r="AQ43" s="11">
        <v>27</v>
      </c>
      <c r="AR43" s="11">
        <v>40</v>
      </c>
      <c r="AS43" s="11">
        <v>16</v>
      </c>
      <c r="AT43" s="11">
        <v>1</v>
      </c>
      <c r="AU43" s="11">
        <v>13</v>
      </c>
      <c r="AV43" s="11">
        <v>6</v>
      </c>
      <c r="AW43" s="11">
        <v>21</v>
      </c>
      <c r="AX43" s="12">
        <v>0.49249999999999999</v>
      </c>
      <c r="AY43" s="12">
        <v>0.41539999999999999</v>
      </c>
      <c r="AZ43" s="12">
        <v>0.35709999999999997</v>
      </c>
      <c r="BA43" s="12">
        <v>0.67500000000000004</v>
      </c>
      <c r="BB43" s="12">
        <v>0.51219999999999999</v>
      </c>
      <c r="BC43" s="4">
        <v>64.150000000000006</v>
      </c>
      <c r="BD43" s="12">
        <v>0.69569999999999999</v>
      </c>
      <c r="BE43" s="12">
        <v>0.30769999999999997</v>
      </c>
      <c r="BF43" s="12">
        <v>7.3999999999999996E-2</v>
      </c>
      <c r="BG43" s="4">
        <v>113.5</v>
      </c>
      <c r="BH43" s="4">
        <v>122.7</v>
      </c>
      <c r="BI43" s="4">
        <v>65.194000000000003</v>
      </c>
      <c r="BJ43" s="12">
        <v>0.53420000000000001</v>
      </c>
      <c r="BK43" s="12">
        <v>0.46029999999999999</v>
      </c>
      <c r="BL43" s="12">
        <v>0.32500000000000001</v>
      </c>
      <c r="BM43" s="12">
        <v>0.64290000000000003</v>
      </c>
      <c r="BN43" s="12">
        <v>0.48780000000000001</v>
      </c>
      <c r="BO43" s="4">
        <v>66.238</v>
      </c>
      <c r="BP43" s="12">
        <v>0.66669999999999996</v>
      </c>
      <c r="BQ43" s="12">
        <v>0.34920000000000001</v>
      </c>
      <c r="BR43" s="12">
        <v>7.4200000000000002E-2</v>
      </c>
      <c r="BS43" s="4">
        <v>122.7</v>
      </c>
      <c r="BT43" s="4">
        <v>113.5</v>
      </c>
      <c r="BU43" s="11">
        <v>16</v>
      </c>
      <c r="BV43" s="11">
        <v>27</v>
      </c>
      <c r="BW43" s="11">
        <v>13</v>
      </c>
      <c r="BX43" s="11">
        <v>18</v>
      </c>
      <c r="BY43" s="11">
        <v>20</v>
      </c>
      <c r="BZ43" s="11">
        <v>20</v>
      </c>
      <c r="CA43" s="11">
        <v>15</v>
      </c>
      <c r="CB43" s="11">
        <v>25</v>
      </c>
      <c r="CC43" s="11">
        <v>43</v>
      </c>
      <c r="CD43" s="11">
        <v>31</v>
      </c>
      <c r="CE43" s="11">
        <v>40</v>
      </c>
      <c r="CF43" s="11">
        <v>40</v>
      </c>
      <c r="CG43" s="4">
        <v>2.2000000000000002</v>
      </c>
      <c r="CH43" s="13">
        <v>1.71</v>
      </c>
      <c r="CI43" s="4">
        <v>2.5</v>
      </c>
      <c r="CJ43" s="4">
        <v>-2.5</v>
      </c>
      <c r="CK43" s="4">
        <v>170.5</v>
      </c>
      <c r="CL43" s="2" t="s">
        <v>619</v>
      </c>
      <c r="CM43" s="4" t="str">
        <f>VLOOKUP(paris[[#This Row],[Away_team]],all[[Full name]:[Abbr]],3,FALSE)</f>
        <v>MON</v>
      </c>
      <c r="CN43" s="4">
        <f>IF(OR(paris[[#This Row],[Result]]="w",paris[[#This Row],[Result]]="dw"),paris[[#This Row],[win]]-1,-1)</f>
        <v>-1</v>
      </c>
      <c r="CO43" s="4">
        <f>IF(OR(paris[[#This Row],[Result]]="L",paris[[#This Row],[Result]]="dl"),paris[[#This Row],[lose]]-1,-1)</f>
        <v>0.71</v>
      </c>
      <c r="CP43" s="4">
        <f>IF(OR((paris[[#This Row],[Home_scored]]+paris[[#This Row],[Away_scored]])&gt;paris[[#This Row],[total]],OR(paris[[#This Row],[Result]]="dw",paris[[#This Row],[Result]]="dl")),1,0)</f>
        <v>0</v>
      </c>
      <c r="CQ43" s="4">
        <f>ABS((paris[[#This Row],[Home_scored]]+paris[[#This Row],[Away_scored]])-paris[[#This Row],[total]])+0.5</f>
        <v>17</v>
      </c>
    </row>
    <row r="44" spans="1:95" x14ac:dyDescent="0.25">
      <c r="A44" s="2" t="s">
        <v>349</v>
      </c>
      <c r="B44" s="2" t="s">
        <v>339</v>
      </c>
      <c r="C44" s="28" t="s">
        <v>594</v>
      </c>
      <c r="D44" s="28">
        <v>45832</v>
      </c>
      <c r="E44" s="2" t="s">
        <v>74</v>
      </c>
      <c r="F44" s="2" t="s">
        <v>330</v>
      </c>
      <c r="G44" s="2" t="s">
        <v>75</v>
      </c>
      <c r="H44" s="11">
        <v>99</v>
      </c>
      <c r="I44" s="11">
        <v>93</v>
      </c>
      <c r="J44" s="11">
        <v>33</v>
      </c>
      <c r="K44" s="11">
        <v>65</v>
      </c>
      <c r="L44" s="12">
        <v>0.50770000000000004</v>
      </c>
      <c r="M44" s="11">
        <v>25</v>
      </c>
      <c r="N44" s="11">
        <v>41</v>
      </c>
      <c r="O44" s="12">
        <v>0.60980000000000001</v>
      </c>
      <c r="P44" s="11">
        <v>8</v>
      </c>
      <c r="Q44" s="11">
        <v>24</v>
      </c>
      <c r="R44" s="12">
        <v>0.33329999999999999</v>
      </c>
      <c r="S44" s="11">
        <v>25</v>
      </c>
      <c r="T44" s="11">
        <v>34</v>
      </c>
      <c r="U44" s="12">
        <v>0.73529999999999995</v>
      </c>
      <c r="V44" s="11">
        <v>10</v>
      </c>
      <c r="W44" s="11">
        <v>29</v>
      </c>
      <c r="X44" s="11">
        <v>39</v>
      </c>
      <c r="Y44" s="11">
        <v>16</v>
      </c>
      <c r="Z44" s="11">
        <v>2</v>
      </c>
      <c r="AA44" s="11">
        <v>8</v>
      </c>
      <c r="AB44" s="11">
        <v>3</v>
      </c>
      <c r="AC44" s="11">
        <v>21</v>
      </c>
      <c r="AD44" s="11">
        <v>35</v>
      </c>
      <c r="AE44" s="11">
        <v>77</v>
      </c>
      <c r="AF44" s="12">
        <v>0.45450000000000002</v>
      </c>
      <c r="AG44" s="11">
        <v>22</v>
      </c>
      <c r="AH44" s="11">
        <v>43</v>
      </c>
      <c r="AI44" s="12">
        <v>0.51160000000000005</v>
      </c>
      <c r="AJ44" s="11">
        <v>13</v>
      </c>
      <c r="AK44" s="11">
        <v>34</v>
      </c>
      <c r="AL44" s="12">
        <v>0.38240000000000002</v>
      </c>
      <c r="AM44" s="11">
        <v>10</v>
      </c>
      <c r="AN44" s="11">
        <v>16</v>
      </c>
      <c r="AO44" s="12">
        <v>0.625</v>
      </c>
      <c r="AP44" s="11">
        <v>13</v>
      </c>
      <c r="AQ44" s="11">
        <v>26</v>
      </c>
      <c r="AR44" s="11">
        <v>39</v>
      </c>
      <c r="AS44" s="11">
        <v>17</v>
      </c>
      <c r="AT44" s="11">
        <v>0</v>
      </c>
      <c r="AU44" s="11">
        <v>7</v>
      </c>
      <c r="AV44" s="11">
        <v>4</v>
      </c>
      <c r="AW44" s="11">
        <v>26</v>
      </c>
      <c r="AX44" s="12">
        <v>0.61909999999999998</v>
      </c>
      <c r="AY44" s="12">
        <v>0.56920000000000004</v>
      </c>
      <c r="AZ44" s="12">
        <v>0.27779999999999999</v>
      </c>
      <c r="BA44" s="12">
        <v>0.6905</v>
      </c>
      <c r="BB44" s="12">
        <v>0.5</v>
      </c>
      <c r="BC44" s="4">
        <v>72.820999999999998</v>
      </c>
      <c r="BD44" s="12">
        <v>0.48480000000000001</v>
      </c>
      <c r="BE44" s="12">
        <v>0.3846</v>
      </c>
      <c r="BF44" s="12">
        <v>3.6200000000000003E-2</v>
      </c>
      <c r="BG44" s="4">
        <v>136.30000000000001</v>
      </c>
      <c r="BH44" s="4">
        <v>128.1</v>
      </c>
      <c r="BI44" s="4">
        <v>72.620500000000007</v>
      </c>
      <c r="BJ44" s="12">
        <v>0.55330000000000001</v>
      </c>
      <c r="BK44" s="12">
        <v>0.53900000000000003</v>
      </c>
      <c r="BL44" s="12">
        <v>0.3095</v>
      </c>
      <c r="BM44" s="12">
        <v>0.72219999999999995</v>
      </c>
      <c r="BN44" s="12">
        <v>0.5</v>
      </c>
      <c r="BO44" s="4">
        <v>72.42</v>
      </c>
      <c r="BP44" s="12">
        <v>0.48570000000000002</v>
      </c>
      <c r="BQ44" s="12">
        <v>0.12989999999999999</v>
      </c>
      <c r="BR44" s="12">
        <v>4.5400000000000003E-2</v>
      </c>
      <c r="BS44" s="4">
        <v>128.1</v>
      </c>
      <c r="BT44" s="4">
        <v>136.30000000000001</v>
      </c>
      <c r="BU44" s="11">
        <v>29</v>
      </c>
      <c r="BV44" s="11">
        <v>25</v>
      </c>
      <c r="BW44" s="11">
        <v>19</v>
      </c>
      <c r="BX44" s="11">
        <v>26</v>
      </c>
      <c r="BY44" s="11">
        <v>21</v>
      </c>
      <c r="BZ44" s="11">
        <v>29</v>
      </c>
      <c r="CA44" s="11">
        <v>31</v>
      </c>
      <c r="CB44" s="11">
        <v>12</v>
      </c>
      <c r="CC44" s="11">
        <v>54</v>
      </c>
      <c r="CD44" s="11">
        <v>45</v>
      </c>
      <c r="CE44" s="11">
        <v>50</v>
      </c>
      <c r="CF44" s="11">
        <v>43</v>
      </c>
      <c r="CG44" s="4">
        <v>1.48</v>
      </c>
      <c r="CH44" s="13">
        <v>2.7</v>
      </c>
      <c r="CI44" s="4">
        <v>-5</v>
      </c>
      <c r="CJ44" s="4">
        <v>-5</v>
      </c>
      <c r="CK44" s="4">
        <v>168.5</v>
      </c>
      <c r="CL44" s="2" t="s">
        <v>620</v>
      </c>
      <c r="CM44" s="4" t="str">
        <f>VLOOKUP(paris[[#This Row],[Away_team]],all[[Full name]:[Abbr]],3,FALSE)</f>
        <v>MON</v>
      </c>
      <c r="CN44" s="4">
        <f>IF(OR(paris[[#This Row],[Result]]="w",paris[[#This Row],[Result]]="dw"),paris[[#This Row],[win]]-1,-1)</f>
        <v>0.48</v>
      </c>
      <c r="CO44" s="4">
        <f>IF(OR(paris[[#This Row],[Result]]="L",paris[[#This Row],[Result]]="dl"),paris[[#This Row],[lose]]-1,-1)</f>
        <v>-1</v>
      </c>
      <c r="CP44" s="4">
        <f>IF(OR((paris[[#This Row],[Home_scored]]+paris[[#This Row],[Away_scored]])&gt;paris[[#This Row],[total]],OR(paris[[#This Row],[Result]]="dw",paris[[#This Row],[Result]]="dl")),1,0)</f>
        <v>1</v>
      </c>
      <c r="CQ44" s="4">
        <f>ABS((paris[[#This Row],[Home_scored]]+paris[[#This Row],[Away_scored]])-paris[[#This Row],[total]])+0.5</f>
        <v>24</v>
      </c>
    </row>
  </sheetData>
  <conditionalFormatting sqref="A4:A44">
    <cfRule type="expression" dxfId="338" priority="1">
      <formula>SUMPRODUCT(--ISERROR(B4:CL4))&gt;0</formula>
    </cfRule>
  </conditionalFormatting>
  <conditionalFormatting sqref="B4:B44">
    <cfRule type="uniqueValues" dxfId="337" priority="491"/>
  </conditionalFormatting>
  <conditionalFormatting sqref="D4:D44">
    <cfRule type="duplicateValues" dxfId="336" priority="492"/>
  </conditionalFormatting>
  <conditionalFormatting sqref="H4:H44">
    <cfRule type="expression" dxfId="335" priority="3">
      <formula>H4=BU4+BV4+BW4+BX4</formula>
    </cfRule>
  </conditionalFormatting>
  <conditionalFormatting sqref="I4:I44">
    <cfRule type="expression" dxfId="334" priority="2">
      <formula>I4=BY4+BZ4+CA4+CB4</formula>
    </cfRule>
  </conditionalFormatting>
  <hyperlinks>
    <hyperlink ref="A1" location="all_data!A1" display="ratings" xr:uid="{5CBDB2C0-C1E8-4DD3-ADB7-F0BCA29ABFFC}"/>
  </hyperlink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4CB8B-727B-4B3E-BF44-7AB00A092608}">
  <sheetPr codeName="Sheet18"/>
  <dimension ref="A1:CQ35"/>
  <sheetViews>
    <sheetView zoomScale="80" zoomScaleNormal="80" workbookViewId="0">
      <selection activeCell="A36" sqref="A3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349</v>
      </c>
      <c r="B4" s="2" t="s">
        <v>342</v>
      </c>
      <c r="C4" s="2" t="s">
        <v>73</v>
      </c>
      <c r="D4" s="3">
        <v>45555</v>
      </c>
      <c r="E4" s="2" t="s">
        <v>74</v>
      </c>
      <c r="F4" s="2" t="s">
        <v>330</v>
      </c>
      <c r="G4" s="2" t="s">
        <v>75</v>
      </c>
      <c r="H4" s="2">
        <v>68</v>
      </c>
      <c r="I4" s="2">
        <v>66</v>
      </c>
      <c r="J4" s="2">
        <v>23</v>
      </c>
      <c r="K4" s="2">
        <v>59</v>
      </c>
      <c r="L4" s="2">
        <v>0.38979999999999998</v>
      </c>
      <c r="M4" s="2">
        <v>9</v>
      </c>
      <c r="N4" s="2">
        <v>28</v>
      </c>
      <c r="O4" s="2">
        <v>0.32140000000000002</v>
      </c>
      <c r="P4" s="2">
        <v>14</v>
      </c>
      <c r="Q4" s="2">
        <v>31</v>
      </c>
      <c r="R4" s="2">
        <v>0.4516</v>
      </c>
      <c r="S4" s="2">
        <v>8</v>
      </c>
      <c r="T4" s="2">
        <v>11</v>
      </c>
      <c r="U4" s="2">
        <v>0.72729999999999995</v>
      </c>
      <c r="V4" s="2">
        <v>11</v>
      </c>
      <c r="W4" s="2">
        <v>24</v>
      </c>
      <c r="X4" s="2">
        <v>35</v>
      </c>
      <c r="Y4" s="2">
        <v>14</v>
      </c>
      <c r="Z4" s="2">
        <v>8</v>
      </c>
      <c r="AA4" s="2">
        <v>3</v>
      </c>
      <c r="AB4" s="2">
        <v>16</v>
      </c>
      <c r="AC4" s="2">
        <v>24</v>
      </c>
      <c r="AD4" s="2">
        <v>23</v>
      </c>
      <c r="AE4" s="2">
        <v>59</v>
      </c>
      <c r="AF4" s="2">
        <v>0.38979999999999998</v>
      </c>
      <c r="AG4" s="2">
        <v>16</v>
      </c>
      <c r="AH4" s="2">
        <v>34</v>
      </c>
      <c r="AI4" s="2">
        <v>0.47060000000000002</v>
      </c>
      <c r="AJ4" s="2">
        <v>7</v>
      </c>
      <c r="AK4" s="2">
        <v>25</v>
      </c>
      <c r="AL4" s="2">
        <v>0.28000000000000003</v>
      </c>
      <c r="AM4" s="2">
        <v>13</v>
      </c>
      <c r="AN4" s="2">
        <v>19</v>
      </c>
      <c r="AO4" s="2">
        <v>0.68420000000000003</v>
      </c>
      <c r="AP4" s="2">
        <v>12</v>
      </c>
      <c r="AQ4" s="2">
        <v>27</v>
      </c>
      <c r="AR4" s="2">
        <v>39</v>
      </c>
      <c r="AS4" s="2">
        <v>16</v>
      </c>
      <c r="AT4" s="2">
        <v>6</v>
      </c>
      <c r="AU4" s="2">
        <v>3</v>
      </c>
      <c r="AV4" s="2">
        <v>16</v>
      </c>
      <c r="AW4" s="2">
        <v>18</v>
      </c>
      <c r="AX4" s="2">
        <v>0.53259999999999996</v>
      </c>
      <c r="AY4" s="2">
        <v>0.50849999999999995</v>
      </c>
      <c r="AZ4" s="2">
        <v>0.28949999999999998</v>
      </c>
      <c r="BA4" s="2">
        <v>0.66669999999999996</v>
      </c>
      <c r="BB4" s="2">
        <v>0.47299999999999998</v>
      </c>
      <c r="BC4" s="4">
        <v>67.293999999999997</v>
      </c>
      <c r="BD4" s="2">
        <v>0.60870000000000002</v>
      </c>
      <c r="BE4" s="2">
        <v>0.1356</v>
      </c>
      <c r="BF4" s="2">
        <v>0.20039999999999999</v>
      </c>
      <c r="BG4" s="2">
        <v>98.5</v>
      </c>
      <c r="BH4" s="2">
        <v>95.6</v>
      </c>
      <c r="BI4" s="2">
        <v>69.021000000000001</v>
      </c>
      <c r="BJ4" s="2">
        <v>0.4899</v>
      </c>
      <c r="BK4" s="2">
        <v>0.44919999999999999</v>
      </c>
      <c r="BL4" s="2">
        <v>0.33329999999999999</v>
      </c>
      <c r="BM4" s="2">
        <v>0.71050000000000002</v>
      </c>
      <c r="BN4" s="2">
        <v>0.52700000000000002</v>
      </c>
      <c r="BO4" s="4">
        <v>70.748000000000005</v>
      </c>
      <c r="BP4" s="2">
        <v>0.69569999999999999</v>
      </c>
      <c r="BQ4" s="2">
        <v>0.2203</v>
      </c>
      <c r="BR4" s="2">
        <v>0.19189999999999999</v>
      </c>
      <c r="BS4" s="2">
        <v>95.6</v>
      </c>
      <c r="BT4" s="2">
        <v>98.5</v>
      </c>
      <c r="BU4" s="2">
        <v>17</v>
      </c>
      <c r="BV4" s="2">
        <v>21</v>
      </c>
      <c r="BW4" s="2">
        <v>20</v>
      </c>
      <c r="BX4" s="2">
        <v>10</v>
      </c>
      <c r="BY4" s="2">
        <v>14</v>
      </c>
      <c r="BZ4" s="2">
        <v>15</v>
      </c>
      <c r="CA4" s="2">
        <v>15</v>
      </c>
      <c r="CB4" s="2">
        <v>22</v>
      </c>
      <c r="CC4" s="2">
        <v>38</v>
      </c>
      <c r="CD4" s="2">
        <v>30</v>
      </c>
      <c r="CE4" s="2">
        <v>29</v>
      </c>
      <c r="CF4" s="2">
        <v>37</v>
      </c>
      <c r="CG4" s="2">
        <v>4</v>
      </c>
      <c r="CH4" s="2">
        <v>1.26</v>
      </c>
      <c r="CI4" s="2">
        <v>8.5</v>
      </c>
      <c r="CJ4" s="2">
        <v>-8.5</v>
      </c>
      <c r="CK4" s="2">
        <v>156.5</v>
      </c>
      <c r="CL4" s="2" t="s">
        <v>422</v>
      </c>
      <c r="CM4" s="4" t="str">
        <f>VLOOKUP(saintQ[[#This Row],[Away_team]],all[[Full name]:[Abbr]],3,FALSE)</f>
        <v>MON</v>
      </c>
      <c r="CN4" s="4">
        <f>IF(OR(saintQ[[#This Row],[Result]]="w",saintQ[[#This Row],[Result]]="dw"),saintQ[[#This Row],[win]]-1,-1)</f>
        <v>3</v>
      </c>
      <c r="CO4" s="4">
        <f>IF(OR(saintQ[[#This Row],[Result]]="L",saintQ[[#This Row],[Result]]="dl"),saintQ[[#This Row],[lose]]-1,-1)</f>
        <v>-1</v>
      </c>
      <c r="CP4" s="4">
        <f>IF(OR((saintQ[[#This Row],[Home_scored]]+saintQ[[#This Row],[Away_scored]])&gt;saintQ[[#This Row],[total]],OR(saintQ[[#This Row],[Result]]="dw",saintQ[[#This Row],[Result]]="dl")),1,0)</f>
        <v>0</v>
      </c>
      <c r="CQ4" s="4">
        <f>ABS((saintQ[[#This Row],[Home_scored]]+saintQ[[#This Row],[Away_scored]])-saintQ[[#This Row],[total]])+0.5</f>
        <v>23</v>
      </c>
    </row>
    <row r="5" spans="1:95" x14ac:dyDescent="0.25">
      <c r="A5" s="2" t="s">
        <v>349</v>
      </c>
      <c r="B5" s="2" t="s">
        <v>342</v>
      </c>
      <c r="C5" s="3" t="s">
        <v>73</v>
      </c>
      <c r="D5" s="3">
        <v>45563</v>
      </c>
      <c r="E5" s="2" t="s">
        <v>140</v>
      </c>
      <c r="F5" s="2" t="s">
        <v>317</v>
      </c>
      <c r="G5" s="2" t="s">
        <v>75</v>
      </c>
      <c r="H5" s="11">
        <v>83</v>
      </c>
      <c r="I5" s="11">
        <v>69</v>
      </c>
      <c r="J5" s="11">
        <v>30</v>
      </c>
      <c r="K5" s="11">
        <v>62</v>
      </c>
      <c r="L5" s="12">
        <v>0.4839</v>
      </c>
      <c r="M5" s="11">
        <v>18</v>
      </c>
      <c r="N5" s="11">
        <v>33</v>
      </c>
      <c r="O5" s="12">
        <v>0.54549999999999998</v>
      </c>
      <c r="P5" s="11">
        <v>12</v>
      </c>
      <c r="Q5" s="11">
        <v>29</v>
      </c>
      <c r="R5" s="12">
        <v>0.4138</v>
      </c>
      <c r="S5" s="11">
        <v>11</v>
      </c>
      <c r="T5" s="11">
        <v>15</v>
      </c>
      <c r="U5" s="12">
        <v>0.73329999999999995</v>
      </c>
      <c r="V5" s="11">
        <v>14</v>
      </c>
      <c r="W5" s="11">
        <v>25</v>
      </c>
      <c r="X5" s="11">
        <v>39</v>
      </c>
      <c r="Y5" s="11">
        <v>20</v>
      </c>
      <c r="Z5" s="11">
        <v>4</v>
      </c>
      <c r="AA5" s="11">
        <v>1</v>
      </c>
      <c r="AB5" s="11">
        <v>15</v>
      </c>
      <c r="AC5" s="11">
        <v>23</v>
      </c>
      <c r="AD5" s="11">
        <v>22</v>
      </c>
      <c r="AE5" s="11">
        <v>62</v>
      </c>
      <c r="AF5" s="12">
        <v>0.3548</v>
      </c>
      <c r="AG5" s="11">
        <v>17</v>
      </c>
      <c r="AH5" s="11">
        <v>39</v>
      </c>
      <c r="AI5" s="12">
        <v>0.43590000000000001</v>
      </c>
      <c r="AJ5" s="11">
        <v>5</v>
      </c>
      <c r="AK5" s="11">
        <v>23</v>
      </c>
      <c r="AL5" s="12">
        <v>0.21740000000000001</v>
      </c>
      <c r="AM5" s="11">
        <v>20</v>
      </c>
      <c r="AN5" s="11">
        <v>25</v>
      </c>
      <c r="AO5" s="12">
        <v>0.8</v>
      </c>
      <c r="AP5" s="11">
        <v>14</v>
      </c>
      <c r="AQ5" s="11">
        <v>21</v>
      </c>
      <c r="AR5" s="11">
        <v>35</v>
      </c>
      <c r="AS5" s="11">
        <v>19</v>
      </c>
      <c r="AT5" s="11">
        <v>8</v>
      </c>
      <c r="AU5" s="11">
        <v>1</v>
      </c>
      <c r="AV5" s="11">
        <v>10</v>
      </c>
      <c r="AW5" s="11">
        <v>21</v>
      </c>
      <c r="AX5" s="12">
        <v>0.60499999999999998</v>
      </c>
      <c r="AY5" s="12">
        <v>0.5806</v>
      </c>
      <c r="AZ5" s="12">
        <v>0.4</v>
      </c>
      <c r="BA5" s="12">
        <v>0.64100000000000001</v>
      </c>
      <c r="BB5" s="12">
        <v>0.52700000000000002</v>
      </c>
      <c r="BC5" s="4">
        <v>70.709000000000003</v>
      </c>
      <c r="BD5" s="12">
        <v>0.66669999999999996</v>
      </c>
      <c r="BE5" s="12">
        <v>0.1774</v>
      </c>
      <c r="BF5" s="12">
        <v>0.1794</v>
      </c>
      <c r="BG5" s="4">
        <v>122.4</v>
      </c>
      <c r="BH5" s="4">
        <v>101.8</v>
      </c>
      <c r="BI5" s="4">
        <v>67.794499999999999</v>
      </c>
      <c r="BJ5" s="12">
        <v>0.47260000000000002</v>
      </c>
      <c r="BK5" s="12">
        <v>0.3952</v>
      </c>
      <c r="BL5" s="12">
        <v>0.35899999999999999</v>
      </c>
      <c r="BM5" s="12">
        <v>0.6</v>
      </c>
      <c r="BN5" s="12">
        <v>0.47299999999999998</v>
      </c>
      <c r="BO5" s="4">
        <v>64.88</v>
      </c>
      <c r="BP5" s="12">
        <v>0.86360000000000003</v>
      </c>
      <c r="BQ5" s="12">
        <v>0.3226</v>
      </c>
      <c r="BR5" s="12">
        <v>0.1205</v>
      </c>
      <c r="BS5" s="4">
        <v>101.8</v>
      </c>
      <c r="BT5" s="4">
        <v>122.4</v>
      </c>
      <c r="BU5" s="11">
        <v>24</v>
      </c>
      <c r="BV5" s="11">
        <v>25</v>
      </c>
      <c r="BW5" s="11">
        <v>16</v>
      </c>
      <c r="BX5" s="11">
        <v>18</v>
      </c>
      <c r="BY5" s="11">
        <v>18</v>
      </c>
      <c r="BZ5" s="11">
        <v>17</v>
      </c>
      <c r="CA5" s="11">
        <v>21</v>
      </c>
      <c r="CB5" s="11">
        <v>13</v>
      </c>
      <c r="CC5" s="11">
        <v>49</v>
      </c>
      <c r="CD5" s="11">
        <v>34</v>
      </c>
      <c r="CE5" s="11">
        <v>35</v>
      </c>
      <c r="CF5" s="11">
        <v>34</v>
      </c>
      <c r="CG5" s="4">
        <v>2.0499999999999998</v>
      </c>
      <c r="CH5" s="13">
        <v>1.8</v>
      </c>
      <c r="CI5" s="4">
        <v>1.5</v>
      </c>
      <c r="CJ5" s="4">
        <v>-1.5</v>
      </c>
      <c r="CK5" s="4">
        <v>152.5</v>
      </c>
      <c r="CL5" s="2" t="s">
        <v>395</v>
      </c>
      <c r="CM5" s="4" t="str">
        <f>VLOOKUP(saintQ[[#This Row],[Away_team]],all[[Full name]:[Abbr]],3,FALSE)</f>
        <v>LEM</v>
      </c>
      <c r="CN5" s="4">
        <f>IF(OR(saintQ[[#This Row],[Result]]="w",saintQ[[#This Row],[Result]]="dw"),saintQ[[#This Row],[win]]-1,-1)</f>
        <v>1.0499999999999998</v>
      </c>
      <c r="CO5" s="4">
        <f>IF(OR(saintQ[[#This Row],[Result]]="L",saintQ[[#This Row],[Result]]="dl"),saintQ[[#This Row],[lose]]-1,-1)</f>
        <v>-1</v>
      </c>
      <c r="CP5" s="4">
        <f>IF(OR((saintQ[[#This Row],[Home_scored]]+saintQ[[#This Row],[Away_scored]])&gt;saintQ[[#This Row],[total]],OR(saintQ[[#This Row],[Result]]="dw",saintQ[[#This Row],[Result]]="dl")),1,0)</f>
        <v>0</v>
      </c>
      <c r="CQ5" s="4">
        <f>ABS((saintQ[[#This Row],[Home_scored]]+saintQ[[#This Row],[Away_scored]])-saintQ[[#This Row],[total]])+0.5</f>
        <v>1</v>
      </c>
    </row>
    <row r="6" spans="1:95" x14ac:dyDescent="0.25">
      <c r="A6" s="2" t="s">
        <v>349</v>
      </c>
      <c r="B6" s="2" t="s">
        <v>342</v>
      </c>
      <c r="C6" s="3" t="s">
        <v>73</v>
      </c>
      <c r="D6" s="3">
        <v>45571</v>
      </c>
      <c r="E6" s="2" t="s">
        <v>74</v>
      </c>
      <c r="F6" s="2" t="s">
        <v>333</v>
      </c>
      <c r="G6" s="2" t="s">
        <v>75</v>
      </c>
      <c r="H6" s="11">
        <v>104</v>
      </c>
      <c r="I6" s="11">
        <v>96</v>
      </c>
      <c r="J6" s="11">
        <v>41</v>
      </c>
      <c r="K6" s="11">
        <v>72</v>
      </c>
      <c r="L6" s="12">
        <v>0.56940000000000002</v>
      </c>
      <c r="M6" s="11">
        <v>31</v>
      </c>
      <c r="N6" s="11">
        <v>44</v>
      </c>
      <c r="O6" s="12">
        <v>0.70450000000000002</v>
      </c>
      <c r="P6" s="11">
        <v>10</v>
      </c>
      <c r="Q6" s="11">
        <v>28</v>
      </c>
      <c r="R6" s="12">
        <v>0.35709999999999997</v>
      </c>
      <c r="S6" s="11">
        <v>12</v>
      </c>
      <c r="T6" s="11">
        <v>15</v>
      </c>
      <c r="U6" s="12">
        <v>0.8</v>
      </c>
      <c r="V6" s="11">
        <v>8</v>
      </c>
      <c r="W6" s="11">
        <v>25</v>
      </c>
      <c r="X6" s="11">
        <v>33</v>
      </c>
      <c r="Y6" s="11">
        <v>27</v>
      </c>
      <c r="Z6" s="11">
        <v>4</v>
      </c>
      <c r="AA6" s="11">
        <v>4</v>
      </c>
      <c r="AB6" s="11">
        <v>7</v>
      </c>
      <c r="AC6" s="11">
        <v>24</v>
      </c>
      <c r="AD6" s="11">
        <v>32</v>
      </c>
      <c r="AE6" s="11">
        <v>65</v>
      </c>
      <c r="AF6" s="12">
        <v>0.49230000000000002</v>
      </c>
      <c r="AG6" s="11">
        <v>20</v>
      </c>
      <c r="AH6" s="11">
        <v>37</v>
      </c>
      <c r="AI6" s="12">
        <v>0.54049999999999998</v>
      </c>
      <c r="AJ6" s="11">
        <v>12</v>
      </c>
      <c r="AK6" s="11">
        <v>28</v>
      </c>
      <c r="AL6" s="12">
        <v>0.42859999999999998</v>
      </c>
      <c r="AM6" s="11">
        <v>20</v>
      </c>
      <c r="AN6" s="11">
        <v>27</v>
      </c>
      <c r="AO6" s="12">
        <v>0.74070000000000003</v>
      </c>
      <c r="AP6" s="11">
        <v>12</v>
      </c>
      <c r="AQ6" s="11">
        <v>22</v>
      </c>
      <c r="AR6" s="11">
        <v>34</v>
      </c>
      <c r="AS6" s="11">
        <v>14</v>
      </c>
      <c r="AT6" s="11">
        <v>2</v>
      </c>
      <c r="AU6" s="11">
        <v>1</v>
      </c>
      <c r="AV6" s="11">
        <v>13</v>
      </c>
      <c r="AW6" s="11">
        <v>18</v>
      </c>
      <c r="AX6" s="12">
        <v>0.66159999999999997</v>
      </c>
      <c r="AY6" s="12">
        <v>0.63890000000000002</v>
      </c>
      <c r="AZ6" s="12">
        <v>0.26669999999999999</v>
      </c>
      <c r="BA6" s="12">
        <v>0.67569999999999997</v>
      </c>
      <c r="BB6" s="12">
        <v>0.49249999999999999</v>
      </c>
      <c r="BC6" s="4">
        <v>76.959000000000003</v>
      </c>
      <c r="BD6" s="12">
        <v>0.65849999999999997</v>
      </c>
      <c r="BE6" s="12">
        <v>0.16669999999999999</v>
      </c>
      <c r="BF6" s="12">
        <v>8.1799999999999998E-2</v>
      </c>
      <c r="BG6" s="4">
        <v>135.69999999999999</v>
      </c>
      <c r="BH6" s="4">
        <v>125.2</v>
      </c>
      <c r="BI6" s="4">
        <v>76.648499999999999</v>
      </c>
      <c r="BJ6" s="12">
        <v>0.62429999999999997</v>
      </c>
      <c r="BK6" s="12">
        <v>0.58460000000000001</v>
      </c>
      <c r="BL6" s="12">
        <v>0.32429999999999998</v>
      </c>
      <c r="BM6" s="12">
        <v>0.73329999999999995</v>
      </c>
      <c r="BN6" s="12">
        <v>0.50749999999999995</v>
      </c>
      <c r="BO6" s="4">
        <v>76.337999999999994</v>
      </c>
      <c r="BP6" s="12">
        <v>0.4375</v>
      </c>
      <c r="BQ6" s="12">
        <v>0.30769999999999997</v>
      </c>
      <c r="BR6" s="12">
        <v>0.14460000000000001</v>
      </c>
      <c r="BS6" s="4">
        <v>125.2</v>
      </c>
      <c r="BT6" s="4">
        <v>135.69999999999999</v>
      </c>
      <c r="BU6" s="11">
        <v>24</v>
      </c>
      <c r="BV6" s="11">
        <v>22</v>
      </c>
      <c r="BW6" s="11">
        <v>29</v>
      </c>
      <c r="BX6" s="11">
        <v>29</v>
      </c>
      <c r="BY6" s="11">
        <v>25</v>
      </c>
      <c r="BZ6" s="11">
        <v>18</v>
      </c>
      <c r="CA6" s="11">
        <v>32</v>
      </c>
      <c r="CB6" s="11">
        <v>21</v>
      </c>
      <c r="CC6" s="11">
        <v>46</v>
      </c>
      <c r="CD6" s="11">
        <v>58</v>
      </c>
      <c r="CE6" s="11">
        <v>43</v>
      </c>
      <c r="CF6" s="11">
        <v>53</v>
      </c>
      <c r="CG6" s="4">
        <v>1.22</v>
      </c>
      <c r="CH6" s="13">
        <v>4.5</v>
      </c>
      <c r="CI6" s="4">
        <v>-9.5</v>
      </c>
      <c r="CJ6" s="4">
        <v>9.5</v>
      </c>
      <c r="CK6" s="4">
        <v>152.5</v>
      </c>
      <c r="CL6" s="2" t="s">
        <v>425</v>
      </c>
      <c r="CM6" s="4" t="str">
        <f>VLOOKUP(saintQ[[#This Row],[Away_team]],all[[Full name]:[Abbr]],3,FALSE)</f>
        <v>NCY</v>
      </c>
      <c r="CN6" s="4">
        <f>IF(OR(saintQ[[#This Row],[Result]]="w",saintQ[[#This Row],[Result]]="dw"),saintQ[[#This Row],[win]]-1,-1)</f>
        <v>0.21999999999999997</v>
      </c>
      <c r="CO6" s="4">
        <f>IF(OR(saintQ[[#This Row],[Result]]="L",saintQ[[#This Row],[Result]]="dl"),saintQ[[#This Row],[lose]]-1,-1)</f>
        <v>-1</v>
      </c>
      <c r="CP6" s="4">
        <f>IF(OR((saintQ[[#This Row],[Home_scored]]+saintQ[[#This Row],[Away_scored]])&gt;saintQ[[#This Row],[total]],OR(saintQ[[#This Row],[Result]]="dw",saintQ[[#This Row],[Result]]="dl")),1,0)</f>
        <v>1</v>
      </c>
      <c r="CQ6" s="4">
        <f>ABS((saintQ[[#This Row],[Home_scored]]+saintQ[[#This Row],[Away_scored]])-saintQ[[#This Row],[total]])+0.5</f>
        <v>48</v>
      </c>
    </row>
    <row r="7" spans="1:95" x14ac:dyDescent="0.25">
      <c r="A7" s="2" t="s">
        <v>349</v>
      </c>
      <c r="B7" s="2" t="s">
        <v>342</v>
      </c>
      <c r="C7" s="3" t="s">
        <v>73</v>
      </c>
      <c r="D7" s="3">
        <v>45576</v>
      </c>
      <c r="E7" s="2" t="s">
        <v>140</v>
      </c>
      <c r="F7" s="2" t="s">
        <v>308</v>
      </c>
      <c r="G7" s="2" t="s">
        <v>139</v>
      </c>
      <c r="H7" s="11">
        <v>59</v>
      </c>
      <c r="I7" s="11">
        <v>82</v>
      </c>
      <c r="J7" s="11">
        <v>21</v>
      </c>
      <c r="K7" s="11">
        <v>56</v>
      </c>
      <c r="L7" s="12">
        <v>0.375</v>
      </c>
      <c r="M7" s="11">
        <v>12</v>
      </c>
      <c r="N7" s="11">
        <v>25</v>
      </c>
      <c r="O7" s="12">
        <v>0.48</v>
      </c>
      <c r="P7" s="11">
        <v>9</v>
      </c>
      <c r="Q7" s="11">
        <v>31</v>
      </c>
      <c r="R7" s="12">
        <v>0.2903</v>
      </c>
      <c r="S7" s="11">
        <v>8</v>
      </c>
      <c r="T7" s="11">
        <v>8</v>
      </c>
      <c r="U7" s="12">
        <v>1</v>
      </c>
      <c r="V7" s="11">
        <v>12</v>
      </c>
      <c r="W7" s="11">
        <v>24</v>
      </c>
      <c r="X7" s="11">
        <v>36</v>
      </c>
      <c r="Y7" s="11">
        <v>14</v>
      </c>
      <c r="Z7" s="11">
        <v>6</v>
      </c>
      <c r="AA7" s="11">
        <v>1</v>
      </c>
      <c r="AB7" s="11">
        <v>22</v>
      </c>
      <c r="AC7" s="11">
        <v>23</v>
      </c>
      <c r="AD7" s="11">
        <v>30</v>
      </c>
      <c r="AE7" s="11">
        <v>53</v>
      </c>
      <c r="AF7" s="12">
        <v>0.56599999999999995</v>
      </c>
      <c r="AG7" s="11">
        <v>22</v>
      </c>
      <c r="AH7" s="11">
        <v>33</v>
      </c>
      <c r="AI7" s="12">
        <v>0.66669999999999996</v>
      </c>
      <c r="AJ7" s="11">
        <v>8</v>
      </c>
      <c r="AK7" s="11">
        <v>20</v>
      </c>
      <c r="AL7" s="12">
        <v>0.4</v>
      </c>
      <c r="AM7" s="11">
        <v>14</v>
      </c>
      <c r="AN7" s="11">
        <v>24</v>
      </c>
      <c r="AO7" s="12">
        <v>0.58330000000000004</v>
      </c>
      <c r="AP7" s="11">
        <v>7</v>
      </c>
      <c r="AQ7" s="11">
        <v>21</v>
      </c>
      <c r="AR7" s="11">
        <v>28</v>
      </c>
      <c r="AS7" s="11">
        <v>26</v>
      </c>
      <c r="AT7" s="11">
        <v>11</v>
      </c>
      <c r="AU7" s="11">
        <v>2</v>
      </c>
      <c r="AV7" s="11">
        <v>15</v>
      </c>
      <c r="AW7" s="11">
        <v>21</v>
      </c>
      <c r="AX7" s="12">
        <v>0.49559999999999998</v>
      </c>
      <c r="AY7" s="12">
        <v>0.45540000000000003</v>
      </c>
      <c r="AZ7" s="12">
        <v>0.36359999999999998</v>
      </c>
      <c r="BA7" s="12">
        <v>0.7742</v>
      </c>
      <c r="BB7" s="12">
        <v>0.5625</v>
      </c>
      <c r="BC7" s="4">
        <v>68.716999999999999</v>
      </c>
      <c r="BD7" s="12">
        <v>0.66669999999999996</v>
      </c>
      <c r="BE7" s="12">
        <v>0.1429</v>
      </c>
      <c r="BF7" s="12">
        <v>0.26989999999999997</v>
      </c>
      <c r="BG7" s="4">
        <v>84.2</v>
      </c>
      <c r="BH7" s="4">
        <v>117</v>
      </c>
      <c r="BI7" s="4">
        <v>70.082499999999996</v>
      </c>
      <c r="BJ7" s="12">
        <v>0.64510000000000001</v>
      </c>
      <c r="BK7" s="12">
        <v>0.64149999999999996</v>
      </c>
      <c r="BL7" s="12">
        <v>0.2258</v>
      </c>
      <c r="BM7" s="12">
        <v>0.63639999999999997</v>
      </c>
      <c r="BN7" s="12">
        <v>0.4375</v>
      </c>
      <c r="BO7" s="4">
        <v>71.447999999999993</v>
      </c>
      <c r="BP7" s="12">
        <v>0.86670000000000003</v>
      </c>
      <c r="BQ7" s="12">
        <v>0.26419999999999999</v>
      </c>
      <c r="BR7" s="12">
        <v>0.19089999999999999</v>
      </c>
      <c r="BS7" s="4">
        <v>117</v>
      </c>
      <c r="BT7" s="4">
        <v>84.2</v>
      </c>
      <c r="BU7" s="11">
        <v>15</v>
      </c>
      <c r="BV7" s="11">
        <v>17</v>
      </c>
      <c r="BW7" s="11">
        <v>20</v>
      </c>
      <c r="BX7" s="11">
        <v>7</v>
      </c>
      <c r="BY7" s="11">
        <v>16</v>
      </c>
      <c r="BZ7" s="11">
        <v>28</v>
      </c>
      <c r="CA7" s="11">
        <v>25</v>
      </c>
      <c r="CB7" s="11">
        <v>13</v>
      </c>
      <c r="CC7" s="11">
        <v>32</v>
      </c>
      <c r="CD7" s="11">
        <v>27</v>
      </c>
      <c r="CE7" s="11">
        <v>44</v>
      </c>
      <c r="CF7" s="11">
        <v>38</v>
      </c>
      <c r="CG7" s="4">
        <v>2.2999999999999998</v>
      </c>
      <c r="CH7" s="13">
        <v>1.65</v>
      </c>
      <c r="CI7" s="4">
        <v>-3</v>
      </c>
      <c r="CJ7" s="4">
        <v>-3</v>
      </c>
      <c r="CK7" s="4">
        <v>155.5</v>
      </c>
      <c r="CL7" s="2" t="s">
        <v>372</v>
      </c>
      <c r="CM7" s="4" t="str">
        <f>VLOOKUP(saintQ[[#This Row],[Away_team]],all[[Full name]:[Abbr]],3,FALSE)</f>
        <v>CHO</v>
      </c>
      <c r="CN7" s="4">
        <f>IF(OR(saintQ[[#This Row],[Result]]="w",saintQ[[#This Row],[Result]]="dw"),saintQ[[#This Row],[win]]-1,-1)</f>
        <v>-1</v>
      </c>
      <c r="CO7" s="4">
        <f>IF(OR(saintQ[[#This Row],[Result]]="L",saintQ[[#This Row],[Result]]="dl"),saintQ[[#This Row],[lose]]-1,-1)</f>
        <v>0.64999999999999991</v>
      </c>
      <c r="CP7" s="4">
        <f>IF(OR((saintQ[[#This Row],[Home_scored]]+saintQ[[#This Row],[Away_scored]])&gt;saintQ[[#This Row],[total]],OR(saintQ[[#This Row],[Result]]="dw",saintQ[[#This Row],[Result]]="dl")),1,0)</f>
        <v>0</v>
      </c>
      <c r="CQ7" s="4">
        <f>ABS((saintQ[[#This Row],[Home_scored]]+saintQ[[#This Row],[Away_scored]])-saintQ[[#This Row],[total]])+0.5</f>
        <v>15</v>
      </c>
    </row>
    <row r="8" spans="1:95" x14ac:dyDescent="0.25">
      <c r="A8" s="2" t="s">
        <v>349</v>
      </c>
      <c r="B8" s="2" t="s">
        <v>342</v>
      </c>
      <c r="C8" s="3" t="s">
        <v>73</v>
      </c>
      <c r="D8" s="3">
        <v>45584</v>
      </c>
      <c r="E8" s="2" t="s">
        <v>140</v>
      </c>
      <c r="F8" s="2" t="s">
        <v>323</v>
      </c>
      <c r="G8" s="2" t="s">
        <v>75</v>
      </c>
      <c r="H8" s="11">
        <v>94</v>
      </c>
      <c r="I8" s="11">
        <v>57</v>
      </c>
      <c r="J8" s="11">
        <v>32</v>
      </c>
      <c r="K8" s="11">
        <v>55</v>
      </c>
      <c r="L8" s="12">
        <v>0.58179999999999998</v>
      </c>
      <c r="M8" s="11">
        <v>18</v>
      </c>
      <c r="N8" s="11">
        <v>31</v>
      </c>
      <c r="O8" s="12">
        <v>0.5806</v>
      </c>
      <c r="P8" s="11">
        <v>14</v>
      </c>
      <c r="Q8" s="11">
        <v>24</v>
      </c>
      <c r="R8" s="12">
        <v>0.58330000000000004</v>
      </c>
      <c r="S8" s="11">
        <v>16</v>
      </c>
      <c r="T8" s="11">
        <v>21</v>
      </c>
      <c r="U8" s="12">
        <v>0.76190000000000002</v>
      </c>
      <c r="V8" s="11">
        <v>11</v>
      </c>
      <c r="W8" s="11">
        <v>40</v>
      </c>
      <c r="X8" s="11">
        <v>51</v>
      </c>
      <c r="Y8" s="11">
        <v>17</v>
      </c>
      <c r="Z8" s="11">
        <v>1</v>
      </c>
      <c r="AA8" s="11">
        <v>1</v>
      </c>
      <c r="AB8" s="11">
        <v>23</v>
      </c>
      <c r="AC8" s="11">
        <v>23</v>
      </c>
      <c r="AD8" s="11">
        <v>20</v>
      </c>
      <c r="AE8" s="11">
        <v>61</v>
      </c>
      <c r="AF8" s="12">
        <v>0.32790000000000002</v>
      </c>
      <c r="AG8" s="11">
        <v>18</v>
      </c>
      <c r="AH8" s="11">
        <v>36</v>
      </c>
      <c r="AI8" s="12">
        <v>0.5</v>
      </c>
      <c r="AJ8" s="11">
        <v>2</v>
      </c>
      <c r="AK8" s="11">
        <v>25</v>
      </c>
      <c r="AL8" s="12">
        <v>0.08</v>
      </c>
      <c r="AM8" s="11">
        <v>15</v>
      </c>
      <c r="AN8" s="11">
        <v>22</v>
      </c>
      <c r="AO8" s="12">
        <v>0.68179999999999996</v>
      </c>
      <c r="AP8" s="11">
        <v>3</v>
      </c>
      <c r="AQ8" s="11">
        <v>12</v>
      </c>
      <c r="AR8" s="11">
        <v>15</v>
      </c>
      <c r="AS8" s="11">
        <v>21</v>
      </c>
      <c r="AT8" s="11">
        <v>9</v>
      </c>
      <c r="AU8" s="11">
        <v>0</v>
      </c>
      <c r="AV8" s="11">
        <v>10</v>
      </c>
      <c r="AW8" s="11">
        <v>19</v>
      </c>
      <c r="AX8" s="12">
        <v>0.73160000000000003</v>
      </c>
      <c r="AY8" s="12">
        <v>0.70909999999999995</v>
      </c>
      <c r="AZ8" s="12">
        <v>0.4783</v>
      </c>
      <c r="BA8" s="12">
        <v>0.93020000000000003</v>
      </c>
      <c r="BB8" s="12">
        <v>0.77270000000000005</v>
      </c>
      <c r="BC8" s="4">
        <v>81.091999999999999</v>
      </c>
      <c r="BD8" s="12">
        <v>0.53129999999999999</v>
      </c>
      <c r="BE8" s="12">
        <v>0.29089999999999999</v>
      </c>
      <c r="BF8" s="12">
        <v>0.2636</v>
      </c>
      <c r="BG8" s="4">
        <v>123.6</v>
      </c>
      <c r="BH8" s="4">
        <v>74.900000000000006</v>
      </c>
      <c r="BI8" s="4">
        <v>76.058999999999997</v>
      </c>
      <c r="BJ8" s="12">
        <v>0.4032</v>
      </c>
      <c r="BK8" s="12">
        <v>0.34429999999999999</v>
      </c>
      <c r="BL8" s="12">
        <v>6.9800000000000001E-2</v>
      </c>
      <c r="BM8" s="12">
        <v>0.52170000000000005</v>
      </c>
      <c r="BN8" s="12">
        <v>0.2273</v>
      </c>
      <c r="BO8" s="4">
        <v>71.025999999999996</v>
      </c>
      <c r="BP8" s="12">
        <v>1.05</v>
      </c>
      <c r="BQ8" s="12">
        <v>0.24590000000000001</v>
      </c>
      <c r="BR8" s="12">
        <v>0.1239</v>
      </c>
      <c r="BS8" s="4">
        <v>74.900000000000006</v>
      </c>
      <c r="BT8" s="4">
        <v>123.6</v>
      </c>
      <c r="BU8" s="11">
        <v>28</v>
      </c>
      <c r="BV8" s="11">
        <v>23</v>
      </c>
      <c r="BW8" s="11">
        <v>16</v>
      </c>
      <c r="BX8" s="11">
        <v>27</v>
      </c>
      <c r="BY8" s="11">
        <v>10</v>
      </c>
      <c r="BZ8" s="11">
        <v>15</v>
      </c>
      <c r="CA8" s="11">
        <v>16</v>
      </c>
      <c r="CB8" s="11">
        <v>16</v>
      </c>
      <c r="CC8" s="11">
        <v>51</v>
      </c>
      <c r="CD8" s="11">
        <v>43</v>
      </c>
      <c r="CE8" s="11">
        <v>25</v>
      </c>
      <c r="CF8" s="11">
        <v>32</v>
      </c>
      <c r="CG8" s="4">
        <v>1.38</v>
      </c>
      <c r="CH8" s="13">
        <v>3.1</v>
      </c>
      <c r="CI8" s="4">
        <v>-6.5</v>
      </c>
      <c r="CJ8" s="4">
        <v>6.5</v>
      </c>
      <c r="CK8" s="4">
        <v>149.5</v>
      </c>
      <c r="CL8" s="2" t="s">
        <v>411</v>
      </c>
      <c r="CM8" s="4" t="e">
        <f>VLOOKUP(saintQ[[#This Row],[Away_team]],all[[Full name]:[Abbr]],3,FALSE)</f>
        <v>#N/A</v>
      </c>
      <c r="CN8" s="4">
        <f>IF(OR(saintQ[[#This Row],[Result]]="w",saintQ[[#This Row],[Result]]="dw"),saintQ[[#This Row],[win]]-1,-1)</f>
        <v>0.37999999999999989</v>
      </c>
      <c r="CO8" s="4">
        <f>IF(OR(saintQ[[#This Row],[Result]]="L",saintQ[[#This Row],[Result]]="dl"),saintQ[[#This Row],[lose]]-1,-1)</f>
        <v>-1</v>
      </c>
      <c r="CP8" s="4">
        <f>IF(OR((saintQ[[#This Row],[Home_scored]]+saintQ[[#This Row],[Away_scored]])&gt;saintQ[[#This Row],[total]],OR(saintQ[[#This Row],[Result]]="dw",saintQ[[#This Row],[Result]]="dl")),1,0)</f>
        <v>1</v>
      </c>
      <c r="CQ8" s="4">
        <f>ABS((saintQ[[#This Row],[Home_scored]]+saintQ[[#This Row],[Away_scored]])-saintQ[[#This Row],[total]])+0.5</f>
        <v>2</v>
      </c>
    </row>
    <row r="9" spans="1:95" x14ac:dyDescent="0.25">
      <c r="A9" s="2" t="s">
        <v>349</v>
      </c>
      <c r="B9" s="2" t="s">
        <v>342</v>
      </c>
      <c r="C9" s="3" t="s">
        <v>73</v>
      </c>
      <c r="D9" s="3">
        <v>45592</v>
      </c>
      <c r="E9" s="2" t="s">
        <v>74</v>
      </c>
      <c r="F9" s="2" t="s">
        <v>327</v>
      </c>
      <c r="G9" s="2" t="s">
        <v>139</v>
      </c>
      <c r="H9" s="11">
        <v>63</v>
      </c>
      <c r="I9" s="11">
        <v>77</v>
      </c>
      <c r="J9" s="11">
        <v>22</v>
      </c>
      <c r="K9" s="11">
        <v>68</v>
      </c>
      <c r="L9" s="12">
        <v>0.32350000000000001</v>
      </c>
      <c r="M9" s="11">
        <v>15</v>
      </c>
      <c r="N9" s="11">
        <v>38</v>
      </c>
      <c r="O9" s="12">
        <v>0.3947</v>
      </c>
      <c r="P9" s="11">
        <v>7</v>
      </c>
      <c r="Q9" s="11">
        <v>30</v>
      </c>
      <c r="R9" s="12">
        <v>0.23330000000000001</v>
      </c>
      <c r="S9" s="11">
        <v>12</v>
      </c>
      <c r="T9" s="11">
        <v>16</v>
      </c>
      <c r="U9" s="12">
        <v>0.75</v>
      </c>
      <c r="V9" s="11">
        <v>16</v>
      </c>
      <c r="W9" s="11">
        <v>16</v>
      </c>
      <c r="X9" s="11">
        <v>32</v>
      </c>
      <c r="Y9" s="11">
        <v>16</v>
      </c>
      <c r="Z9" s="11">
        <v>9</v>
      </c>
      <c r="AA9" s="11">
        <v>1</v>
      </c>
      <c r="AB9" s="11">
        <v>11</v>
      </c>
      <c r="AC9" s="11">
        <v>16</v>
      </c>
      <c r="AD9" s="11">
        <v>27</v>
      </c>
      <c r="AE9" s="11">
        <v>52</v>
      </c>
      <c r="AF9" s="12">
        <v>0.51919999999999999</v>
      </c>
      <c r="AG9" s="11">
        <v>12</v>
      </c>
      <c r="AH9" s="11">
        <v>18</v>
      </c>
      <c r="AI9" s="12">
        <v>0.66669999999999996</v>
      </c>
      <c r="AJ9" s="11">
        <v>15</v>
      </c>
      <c r="AK9" s="11">
        <v>34</v>
      </c>
      <c r="AL9" s="12">
        <v>0.44119999999999998</v>
      </c>
      <c r="AM9" s="11">
        <v>8</v>
      </c>
      <c r="AN9" s="11">
        <v>10</v>
      </c>
      <c r="AO9" s="12">
        <v>0.8</v>
      </c>
      <c r="AP9" s="11">
        <v>9</v>
      </c>
      <c r="AQ9" s="11">
        <v>33</v>
      </c>
      <c r="AR9" s="11">
        <v>42</v>
      </c>
      <c r="AS9" s="11">
        <v>23</v>
      </c>
      <c r="AT9" s="11">
        <v>4</v>
      </c>
      <c r="AU9" s="11">
        <v>4</v>
      </c>
      <c r="AV9" s="11">
        <v>21</v>
      </c>
      <c r="AW9" s="11">
        <v>19</v>
      </c>
      <c r="AX9" s="12">
        <v>0.41980000000000001</v>
      </c>
      <c r="AY9" s="12">
        <v>0.375</v>
      </c>
      <c r="AZ9" s="12">
        <v>0.32650000000000001</v>
      </c>
      <c r="BA9" s="12">
        <v>0.64</v>
      </c>
      <c r="BB9" s="12">
        <v>0.43240000000000001</v>
      </c>
      <c r="BC9" s="4">
        <v>60.79</v>
      </c>
      <c r="BD9" s="12">
        <v>0.72729999999999995</v>
      </c>
      <c r="BE9" s="12">
        <v>0.17649999999999999</v>
      </c>
      <c r="BF9" s="12">
        <v>0.1278</v>
      </c>
      <c r="BG9" s="4">
        <v>95.4</v>
      </c>
      <c r="BH9" s="4">
        <v>116.6</v>
      </c>
      <c r="BI9" s="4">
        <v>66.028999999999996</v>
      </c>
      <c r="BJ9" s="12">
        <v>0.68259999999999998</v>
      </c>
      <c r="BK9" s="12">
        <v>0.66349999999999998</v>
      </c>
      <c r="BL9" s="12">
        <v>0.36</v>
      </c>
      <c r="BM9" s="12">
        <v>0.67349999999999999</v>
      </c>
      <c r="BN9" s="12">
        <v>0.56759999999999999</v>
      </c>
      <c r="BO9" s="4">
        <v>71.268000000000001</v>
      </c>
      <c r="BP9" s="12">
        <v>0.85189999999999999</v>
      </c>
      <c r="BQ9" s="12">
        <v>0.15379999999999999</v>
      </c>
      <c r="BR9" s="12">
        <v>0.27129999999999999</v>
      </c>
      <c r="BS9" s="4">
        <v>116.6</v>
      </c>
      <c r="BT9" s="4">
        <v>95.4</v>
      </c>
      <c r="BU9" s="11">
        <v>11</v>
      </c>
      <c r="BV9" s="11">
        <v>10</v>
      </c>
      <c r="BW9" s="11">
        <v>21</v>
      </c>
      <c r="BX9" s="11">
        <v>21</v>
      </c>
      <c r="BY9" s="11">
        <v>22</v>
      </c>
      <c r="BZ9" s="11">
        <v>17</v>
      </c>
      <c r="CA9" s="11">
        <v>24</v>
      </c>
      <c r="CB9" s="11">
        <v>14</v>
      </c>
      <c r="CC9" s="11">
        <v>21</v>
      </c>
      <c r="CD9" s="11">
        <v>42</v>
      </c>
      <c r="CE9" s="11">
        <v>39</v>
      </c>
      <c r="CF9" s="11">
        <v>38</v>
      </c>
      <c r="CG9" s="4">
        <v>2.6</v>
      </c>
      <c r="CH9" s="13">
        <v>1.53</v>
      </c>
      <c r="CI9" s="4">
        <v>4.5</v>
      </c>
      <c r="CJ9" s="4">
        <v>-4.5</v>
      </c>
      <c r="CK9" s="4">
        <v>157.5</v>
      </c>
      <c r="CL9" s="2" t="s">
        <v>419</v>
      </c>
      <c r="CM9" s="4" t="str">
        <f>VLOOKUP(saintQ[[#This Row],[Away_team]],all[[Full name]:[Abbr]],3,FALSE)</f>
        <v>LYO</v>
      </c>
      <c r="CN9" s="4">
        <f>IF(OR(saintQ[[#This Row],[Result]]="w",saintQ[[#This Row],[Result]]="dw"),saintQ[[#This Row],[win]]-1,-1)</f>
        <v>-1</v>
      </c>
      <c r="CO9" s="4">
        <f>IF(OR(saintQ[[#This Row],[Result]]="L",saintQ[[#This Row],[Result]]="dl"),saintQ[[#This Row],[lose]]-1,-1)</f>
        <v>0.53</v>
      </c>
      <c r="CP9" s="4">
        <f>IF(OR((saintQ[[#This Row],[Home_scored]]+saintQ[[#This Row],[Away_scored]])&gt;saintQ[[#This Row],[total]],OR(saintQ[[#This Row],[Result]]="dw",saintQ[[#This Row],[Result]]="dl")),1,0)</f>
        <v>0</v>
      </c>
      <c r="CQ9" s="4">
        <f>ABS((saintQ[[#This Row],[Home_scored]]+saintQ[[#This Row],[Away_scored]])-saintQ[[#This Row],[total]])+0.5</f>
        <v>18</v>
      </c>
    </row>
    <row r="10" spans="1:95" x14ac:dyDescent="0.25">
      <c r="A10" s="2" t="s">
        <v>349</v>
      </c>
      <c r="B10" s="2" t="s">
        <v>342</v>
      </c>
      <c r="C10" s="3" t="s">
        <v>73</v>
      </c>
      <c r="D10" s="3">
        <v>45598</v>
      </c>
      <c r="E10" s="2" t="s">
        <v>140</v>
      </c>
      <c r="F10" s="2" t="s">
        <v>336</v>
      </c>
      <c r="G10" s="2" t="s">
        <v>146</v>
      </c>
      <c r="H10" s="11">
        <v>86</v>
      </c>
      <c r="I10" s="11">
        <v>86</v>
      </c>
      <c r="J10" s="11">
        <v>29</v>
      </c>
      <c r="K10" s="11">
        <v>63</v>
      </c>
      <c r="L10" s="12">
        <v>0.46029999999999999</v>
      </c>
      <c r="M10" s="11">
        <v>16</v>
      </c>
      <c r="N10" s="11">
        <v>30</v>
      </c>
      <c r="O10" s="12">
        <v>0.5333</v>
      </c>
      <c r="P10" s="11">
        <v>13</v>
      </c>
      <c r="Q10" s="11">
        <v>33</v>
      </c>
      <c r="R10" s="12">
        <v>0.39389999999999997</v>
      </c>
      <c r="S10" s="11">
        <v>15</v>
      </c>
      <c r="T10" s="11">
        <v>16</v>
      </c>
      <c r="U10" s="12">
        <v>0.9375</v>
      </c>
      <c r="V10" s="11">
        <v>14</v>
      </c>
      <c r="W10" s="11">
        <v>15</v>
      </c>
      <c r="X10" s="11">
        <v>29</v>
      </c>
      <c r="Y10" s="11">
        <v>15</v>
      </c>
      <c r="Z10" s="11">
        <v>8</v>
      </c>
      <c r="AA10" s="11">
        <v>3</v>
      </c>
      <c r="AB10" s="11">
        <v>14</v>
      </c>
      <c r="AC10" s="11">
        <v>19</v>
      </c>
      <c r="AD10" s="11">
        <v>31</v>
      </c>
      <c r="AE10" s="11">
        <v>52</v>
      </c>
      <c r="AF10" s="12">
        <v>0.59619999999999995</v>
      </c>
      <c r="AG10" s="11">
        <v>19</v>
      </c>
      <c r="AH10" s="11">
        <v>33</v>
      </c>
      <c r="AI10" s="12">
        <v>0.57579999999999998</v>
      </c>
      <c r="AJ10" s="11">
        <v>12</v>
      </c>
      <c r="AK10" s="11">
        <v>19</v>
      </c>
      <c r="AL10" s="12">
        <v>0.63160000000000005</v>
      </c>
      <c r="AM10" s="11">
        <v>12</v>
      </c>
      <c r="AN10" s="11">
        <v>16</v>
      </c>
      <c r="AO10" s="12">
        <v>0.75</v>
      </c>
      <c r="AP10" s="11">
        <v>5</v>
      </c>
      <c r="AQ10" s="11">
        <v>20</v>
      </c>
      <c r="AR10" s="11">
        <v>25</v>
      </c>
      <c r="AS10" s="11">
        <v>27</v>
      </c>
      <c r="AT10" s="11">
        <v>10</v>
      </c>
      <c r="AU10" s="11">
        <v>0</v>
      </c>
      <c r="AV10" s="11">
        <v>16</v>
      </c>
      <c r="AW10" s="11">
        <v>21</v>
      </c>
      <c r="AX10" s="12">
        <v>0.6139</v>
      </c>
      <c r="AY10" s="12">
        <v>0.5635</v>
      </c>
      <c r="AZ10" s="12">
        <v>0.4118</v>
      </c>
      <c r="BA10" s="12">
        <v>0.75</v>
      </c>
      <c r="BB10" s="12">
        <v>0.53700000000000003</v>
      </c>
      <c r="BC10" s="4">
        <v>65.837000000000003</v>
      </c>
      <c r="BD10" s="12">
        <v>0.51719999999999999</v>
      </c>
      <c r="BE10" s="12">
        <v>0.23810000000000001</v>
      </c>
      <c r="BF10" s="12">
        <v>0.1666</v>
      </c>
      <c r="BG10" s="4">
        <v>126.7</v>
      </c>
      <c r="BH10" s="4">
        <v>126.7</v>
      </c>
      <c r="BI10" s="4">
        <v>67.871499999999997</v>
      </c>
      <c r="BJ10" s="12">
        <v>0.72829999999999995</v>
      </c>
      <c r="BK10" s="12">
        <v>0.71150000000000002</v>
      </c>
      <c r="BL10" s="12">
        <v>0.25</v>
      </c>
      <c r="BM10" s="12">
        <v>0.58819999999999995</v>
      </c>
      <c r="BN10" s="12">
        <v>0.46300000000000002</v>
      </c>
      <c r="BO10" s="4">
        <v>69.906000000000006</v>
      </c>
      <c r="BP10" s="12">
        <v>0.871</v>
      </c>
      <c r="BQ10" s="12">
        <v>0.23080000000000001</v>
      </c>
      <c r="BR10" s="12">
        <v>0.2132</v>
      </c>
      <c r="BS10" s="4">
        <v>126.7</v>
      </c>
      <c r="BT10" s="4">
        <v>126.7</v>
      </c>
      <c r="BU10" s="11">
        <v>15</v>
      </c>
      <c r="BV10" s="11">
        <v>25</v>
      </c>
      <c r="BW10" s="11">
        <v>20</v>
      </c>
      <c r="BX10" s="11">
        <v>26</v>
      </c>
      <c r="BY10" s="11">
        <v>24</v>
      </c>
      <c r="BZ10" s="11">
        <v>25</v>
      </c>
      <c r="CA10" s="11">
        <v>21</v>
      </c>
      <c r="CB10" s="11">
        <v>16</v>
      </c>
      <c r="CC10" s="11">
        <v>40</v>
      </c>
      <c r="CD10" s="11">
        <v>46</v>
      </c>
      <c r="CE10" s="11">
        <v>49</v>
      </c>
      <c r="CF10" s="11">
        <v>37</v>
      </c>
      <c r="CG10" s="4">
        <v>2.0499999999999998</v>
      </c>
      <c r="CH10" s="13">
        <v>1.8</v>
      </c>
      <c r="CI10" s="4">
        <v>1.5</v>
      </c>
      <c r="CJ10" s="4">
        <v>-1.5</v>
      </c>
      <c r="CK10" s="4">
        <v>157.5</v>
      </c>
      <c r="CL10" s="2" t="s">
        <v>429</v>
      </c>
      <c r="CM10" s="4" t="str">
        <f>VLOOKUP(saintQ[[#This Row],[Away_team]],all[[Full name]:[Abbr]],3,FALSE)</f>
        <v>NAN</v>
      </c>
      <c r="CN10" s="4">
        <f>IF(OR(saintQ[[#This Row],[Result]]="w",saintQ[[#This Row],[Result]]="dw"),saintQ[[#This Row],[win]]-1,-1)</f>
        <v>1.0499999999999998</v>
      </c>
      <c r="CO10" s="4">
        <f>IF(OR(saintQ[[#This Row],[Result]]="L",saintQ[[#This Row],[Result]]="dl"),saintQ[[#This Row],[lose]]-1,-1)</f>
        <v>-1</v>
      </c>
      <c r="CP10" s="4">
        <f>IF(OR((saintQ[[#This Row],[Home_scored]]+saintQ[[#This Row],[Away_scored]])&gt;saintQ[[#This Row],[total]],OR(saintQ[[#This Row],[Result]]="dw",saintQ[[#This Row],[Result]]="dl")),1,0)</f>
        <v>1</v>
      </c>
      <c r="CQ10" s="4">
        <f>ABS((saintQ[[#This Row],[Home_scored]]+saintQ[[#This Row],[Away_scored]])-saintQ[[#This Row],[total]])+0.5</f>
        <v>15</v>
      </c>
    </row>
    <row r="11" spans="1:95" x14ac:dyDescent="0.25">
      <c r="A11" s="2" t="s">
        <v>349</v>
      </c>
      <c r="B11" s="2" t="s">
        <v>342</v>
      </c>
      <c r="C11" s="3" t="s">
        <v>73</v>
      </c>
      <c r="D11" s="3">
        <v>45606</v>
      </c>
      <c r="E11" s="2" t="s">
        <v>74</v>
      </c>
      <c r="F11" s="2" t="s">
        <v>339</v>
      </c>
      <c r="G11" s="2" t="s">
        <v>139</v>
      </c>
      <c r="H11" s="11">
        <v>65</v>
      </c>
      <c r="I11" s="11">
        <v>97</v>
      </c>
      <c r="J11" s="11">
        <v>23</v>
      </c>
      <c r="K11" s="11">
        <v>65</v>
      </c>
      <c r="L11" s="12">
        <v>0.3538</v>
      </c>
      <c r="M11" s="11">
        <v>17</v>
      </c>
      <c r="N11" s="11">
        <v>32</v>
      </c>
      <c r="O11" s="12">
        <v>0.53129999999999999</v>
      </c>
      <c r="P11" s="11">
        <v>6</v>
      </c>
      <c r="Q11" s="11">
        <v>33</v>
      </c>
      <c r="R11" s="12">
        <v>0.18179999999999999</v>
      </c>
      <c r="S11" s="11">
        <v>13</v>
      </c>
      <c r="T11" s="11">
        <v>17</v>
      </c>
      <c r="U11" s="12">
        <v>0.76470000000000005</v>
      </c>
      <c r="V11" s="11">
        <v>14</v>
      </c>
      <c r="W11" s="11">
        <v>24</v>
      </c>
      <c r="X11" s="11">
        <v>38</v>
      </c>
      <c r="Y11" s="11">
        <v>14</v>
      </c>
      <c r="Z11" s="11">
        <v>6</v>
      </c>
      <c r="AA11" s="11">
        <v>2</v>
      </c>
      <c r="AB11" s="11">
        <v>6</v>
      </c>
      <c r="AC11" s="11">
        <v>19</v>
      </c>
      <c r="AD11" s="11">
        <v>34</v>
      </c>
      <c r="AE11" s="11">
        <v>64</v>
      </c>
      <c r="AF11" s="12">
        <v>0.53129999999999999</v>
      </c>
      <c r="AG11" s="11">
        <v>20</v>
      </c>
      <c r="AH11" s="11">
        <v>34</v>
      </c>
      <c r="AI11" s="12">
        <v>0.58819999999999995</v>
      </c>
      <c r="AJ11" s="11">
        <v>14</v>
      </c>
      <c r="AK11" s="11">
        <v>30</v>
      </c>
      <c r="AL11" s="12">
        <v>0.4667</v>
      </c>
      <c r="AM11" s="11">
        <v>15</v>
      </c>
      <c r="AN11" s="11">
        <v>21</v>
      </c>
      <c r="AO11" s="12">
        <v>0.71430000000000005</v>
      </c>
      <c r="AP11" s="11">
        <v>9</v>
      </c>
      <c r="AQ11" s="11">
        <v>28</v>
      </c>
      <c r="AR11" s="11">
        <v>37</v>
      </c>
      <c r="AS11" s="11">
        <v>23</v>
      </c>
      <c r="AT11" s="11">
        <v>2</v>
      </c>
      <c r="AU11" s="11">
        <v>6</v>
      </c>
      <c r="AV11" s="11">
        <v>8</v>
      </c>
      <c r="AW11" s="11">
        <v>22</v>
      </c>
      <c r="AX11" s="12">
        <v>0.44840000000000002</v>
      </c>
      <c r="AY11" s="12">
        <v>0.4</v>
      </c>
      <c r="AZ11" s="12">
        <v>0.33329999999999999</v>
      </c>
      <c r="BA11" s="12">
        <v>0.72729999999999995</v>
      </c>
      <c r="BB11" s="12">
        <v>0.50670000000000004</v>
      </c>
      <c r="BC11" s="4">
        <v>61.243000000000002</v>
      </c>
      <c r="BD11" s="12">
        <v>0.60870000000000002</v>
      </c>
      <c r="BE11" s="12">
        <v>0.2</v>
      </c>
      <c r="BF11" s="12">
        <v>7.6499999999999999E-2</v>
      </c>
      <c r="BG11" s="4">
        <v>97.1</v>
      </c>
      <c r="BH11" s="4">
        <v>145</v>
      </c>
      <c r="BI11" s="4">
        <v>66.917500000000004</v>
      </c>
      <c r="BJ11" s="12">
        <v>0.66220000000000001</v>
      </c>
      <c r="BK11" s="12">
        <v>0.64059999999999995</v>
      </c>
      <c r="BL11" s="12">
        <v>0.2727</v>
      </c>
      <c r="BM11" s="12">
        <v>0.66669999999999996</v>
      </c>
      <c r="BN11" s="12">
        <v>0.49330000000000002</v>
      </c>
      <c r="BO11" s="4">
        <v>72.591999999999999</v>
      </c>
      <c r="BP11" s="12">
        <v>0.67649999999999999</v>
      </c>
      <c r="BQ11" s="12">
        <v>0.2344</v>
      </c>
      <c r="BR11" s="12">
        <v>9.8500000000000004E-2</v>
      </c>
      <c r="BS11" s="4">
        <v>145</v>
      </c>
      <c r="BT11" s="4">
        <v>97.1</v>
      </c>
      <c r="BU11" s="11">
        <v>22</v>
      </c>
      <c r="BV11" s="11">
        <v>14</v>
      </c>
      <c r="BW11" s="11">
        <v>16</v>
      </c>
      <c r="BX11" s="11">
        <v>13</v>
      </c>
      <c r="BY11" s="11">
        <v>25</v>
      </c>
      <c r="BZ11" s="11">
        <v>20</v>
      </c>
      <c r="CA11" s="11">
        <v>32</v>
      </c>
      <c r="CB11" s="11">
        <v>20</v>
      </c>
      <c r="CC11" s="11">
        <v>36</v>
      </c>
      <c r="CD11" s="11">
        <v>29</v>
      </c>
      <c r="CE11" s="11">
        <v>45</v>
      </c>
      <c r="CF11" s="11">
        <v>52</v>
      </c>
      <c r="CG11" s="4">
        <v>2.5</v>
      </c>
      <c r="CH11" s="13">
        <v>1.56</v>
      </c>
      <c r="CI11" s="4">
        <v>4</v>
      </c>
      <c r="CJ11" s="4">
        <v>-4</v>
      </c>
      <c r="CK11" s="4">
        <v>165.5</v>
      </c>
      <c r="CL11" s="2" t="s">
        <v>430</v>
      </c>
      <c r="CM11" s="4" t="str">
        <f>VLOOKUP(saintQ[[#This Row],[Away_team]],all[[Full name]:[Abbr]],3,FALSE)</f>
        <v>PAR</v>
      </c>
      <c r="CN11" s="4">
        <f>IF(OR(saintQ[[#This Row],[Result]]="w",saintQ[[#This Row],[Result]]="dw"),saintQ[[#This Row],[win]]-1,-1)</f>
        <v>-1</v>
      </c>
      <c r="CO11" s="4">
        <f>IF(OR(saintQ[[#This Row],[Result]]="L",saintQ[[#This Row],[Result]]="dl"),saintQ[[#This Row],[lose]]-1,-1)</f>
        <v>0.56000000000000005</v>
      </c>
      <c r="CP11" s="4">
        <f>IF(OR((saintQ[[#This Row],[Home_scored]]+saintQ[[#This Row],[Away_scored]])&gt;saintQ[[#This Row],[total]],OR(saintQ[[#This Row],[Result]]="dw",saintQ[[#This Row],[Result]]="dl")),1,0)</f>
        <v>0</v>
      </c>
      <c r="CQ11" s="4">
        <f>ABS((saintQ[[#This Row],[Home_scored]]+saintQ[[#This Row],[Away_scored]])-saintQ[[#This Row],[total]])+0.5</f>
        <v>4</v>
      </c>
    </row>
    <row r="12" spans="1:95" x14ac:dyDescent="0.25">
      <c r="A12" s="2" t="s">
        <v>349</v>
      </c>
      <c r="B12" s="2" t="s">
        <v>342</v>
      </c>
      <c r="C12" s="3" t="s">
        <v>73</v>
      </c>
      <c r="D12" s="3">
        <v>45612</v>
      </c>
      <c r="E12" s="2" t="s">
        <v>140</v>
      </c>
      <c r="F12" s="2" t="s">
        <v>311</v>
      </c>
      <c r="G12" s="2" t="s">
        <v>75</v>
      </c>
      <c r="H12" s="11">
        <v>91</v>
      </c>
      <c r="I12" s="11">
        <v>85</v>
      </c>
      <c r="J12" s="11">
        <v>32</v>
      </c>
      <c r="K12" s="11">
        <v>59</v>
      </c>
      <c r="L12" s="12">
        <v>0.54239999999999999</v>
      </c>
      <c r="M12" s="11">
        <v>22</v>
      </c>
      <c r="N12" s="11">
        <v>37</v>
      </c>
      <c r="O12" s="12">
        <v>0.59460000000000002</v>
      </c>
      <c r="P12" s="11">
        <v>10</v>
      </c>
      <c r="Q12" s="11">
        <v>22</v>
      </c>
      <c r="R12" s="12">
        <v>0.45450000000000002</v>
      </c>
      <c r="S12" s="11">
        <v>17</v>
      </c>
      <c r="T12" s="11">
        <v>23</v>
      </c>
      <c r="U12" s="12">
        <v>0.73909999999999998</v>
      </c>
      <c r="V12" s="11">
        <v>10</v>
      </c>
      <c r="W12" s="11">
        <v>22</v>
      </c>
      <c r="X12" s="11">
        <v>32</v>
      </c>
      <c r="Y12" s="11">
        <v>17</v>
      </c>
      <c r="Z12" s="11">
        <v>8</v>
      </c>
      <c r="AA12" s="11">
        <v>2</v>
      </c>
      <c r="AB12" s="11">
        <v>16</v>
      </c>
      <c r="AC12" s="11">
        <v>26</v>
      </c>
      <c r="AD12" s="11">
        <v>28</v>
      </c>
      <c r="AE12" s="11">
        <v>56</v>
      </c>
      <c r="AF12" s="12">
        <v>0.5</v>
      </c>
      <c r="AG12" s="11">
        <v>20</v>
      </c>
      <c r="AH12" s="11">
        <v>30</v>
      </c>
      <c r="AI12" s="12">
        <v>0.66669999999999996</v>
      </c>
      <c r="AJ12" s="11">
        <v>8</v>
      </c>
      <c r="AK12" s="11">
        <v>26</v>
      </c>
      <c r="AL12" s="12">
        <v>0.30769999999999997</v>
      </c>
      <c r="AM12" s="11">
        <v>21</v>
      </c>
      <c r="AN12" s="11">
        <v>26</v>
      </c>
      <c r="AO12" s="12">
        <v>0.80769999999999997</v>
      </c>
      <c r="AP12" s="11">
        <v>4</v>
      </c>
      <c r="AQ12" s="11">
        <v>18</v>
      </c>
      <c r="AR12" s="11">
        <v>22</v>
      </c>
      <c r="AS12" s="11">
        <v>17</v>
      </c>
      <c r="AT12" s="11">
        <v>8</v>
      </c>
      <c r="AU12" s="11">
        <v>1</v>
      </c>
      <c r="AV12" s="11">
        <v>15</v>
      </c>
      <c r="AW12" s="11">
        <v>24</v>
      </c>
      <c r="AX12" s="12">
        <v>0.6583</v>
      </c>
      <c r="AY12" s="12">
        <v>0.62709999999999999</v>
      </c>
      <c r="AZ12" s="12">
        <v>0.35709999999999997</v>
      </c>
      <c r="BA12" s="12">
        <v>0.84619999999999995</v>
      </c>
      <c r="BB12" s="12">
        <v>0.59260000000000002</v>
      </c>
      <c r="BC12" s="4">
        <v>75.171999999999997</v>
      </c>
      <c r="BD12" s="12">
        <v>0.53129999999999999</v>
      </c>
      <c r="BE12" s="12">
        <v>0.28810000000000002</v>
      </c>
      <c r="BF12" s="12">
        <v>0.188</v>
      </c>
      <c r="BG12" s="4">
        <v>120.4</v>
      </c>
      <c r="BH12" s="4">
        <v>112.5</v>
      </c>
      <c r="BI12" s="4">
        <v>75.5625</v>
      </c>
      <c r="BJ12" s="12">
        <v>0.63019999999999998</v>
      </c>
      <c r="BK12" s="12">
        <v>0.57140000000000002</v>
      </c>
      <c r="BL12" s="12">
        <v>0.15379999999999999</v>
      </c>
      <c r="BM12" s="12">
        <v>0.64290000000000003</v>
      </c>
      <c r="BN12" s="12">
        <v>0.40739999999999998</v>
      </c>
      <c r="BO12" s="4">
        <v>75.953000000000003</v>
      </c>
      <c r="BP12" s="12">
        <v>0.60709999999999997</v>
      </c>
      <c r="BQ12" s="12">
        <v>0.375</v>
      </c>
      <c r="BR12" s="12">
        <v>0.182</v>
      </c>
      <c r="BS12" s="4">
        <v>112.5</v>
      </c>
      <c r="BT12" s="4">
        <v>120.4</v>
      </c>
      <c r="BU12" s="11">
        <v>26</v>
      </c>
      <c r="BV12" s="11">
        <v>26</v>
      </c>
      <c r="BW12" s="11">
        <v>20</v>
      </c>
      <c r="BX12" s="11">
        <v>19</v>
      </c>
      <c r="BY12" s="11">
        <v>12</v>
      </c>
      <c r="BZ12" s="11">
        <v>31</v>
      </c>
      <c r="CA12" s="11">
        <v>20</v>
      </c>
      <c r="CB12" s="11">
        <v>22</v>
      </c>
      <c r="CC12" s="11">
        <v>52</v>
      </c>
      <c r="CD12" s="11">
        <v>39</v>
      </c>
      <c r="CE12" s="11">
        <v>43</v>
      </c>
      <c r="CF12" s="11">
        <v>42</v>
      </c>
      <c r="CG12" s="4">
        <v>2.4</v>
      </c>
      <c r="CH12" s="13">
        <v>1.61</v>
      </c>
      <c r="CI12" s="4">
        <v>3.5</v>
      </c>
      <c r="CJ12" s="4">
        <v>-3.5</v>
      </c>
      <c r="CK12" s="4">
        <v>165.5</v>
      </c>
      <c r="CL12" s="2" t="s">
        <v>382</v>
      </c>
      <c r="CM12" s="4" t="str">
        <f>VLOOKUP(saintQ[[#This Row],[Away_team]],all[[Full name]:[Abbr]],3,FALSE)</f>
        <v>DIJ</v>
      </c>
      <c r="CN12" s="4">
        <f>IF(OR(saintQ[[#This Row],[Result]]="w",saintQ[[#This Row],[Result]]="dw"),saintQ[[#This Row],[win]]-1,-1)</f>
        <v>1.4</v>
      </c>
      <c r="CO12" s="4">
        <f>IF(OR(saintQ[[#This Row],[Result]]="L",saintQ[[#This Row],[Result]]="dl"),saintQ[[#This Row],[lose]]-1,-1)</f>
        <v>-1</v>
      </c>
      <c r="CP12" s="4">
        <f>IF(OR((saintQ[[#This Row],[Home_scored]]+saintQ[[#This Row],[Away_scored]])&gt;saintQ[[#This Row],[total]],OR(saintQ[[#This Row],[Result]]="dw",saintQ[[#This Row],[Result]]="dl")),1,0)</f>
        <v>1</v>
      </c>
      <c r="CQ12" s="4">
        <f>ABS((saintQ[[#This Row],[Home_scored]]+saintQ[[#This Row],[Away_scored]])-saintQ[[#This Row],[total]])+0.5</f>
        <v>11</v>
      </c>
    </row>
    <row r="13" spans="1:95" x14ac:dyDescent="0.25">
      <c r="A13" s="2" t="s">
        <v>349</v>
      </c>
      <c r="B13" s="2" t="s">
        <v>342</v>
      </c>
      <c r="C13" s="3" t="s">
        <v>73</v>
      </c>
      <c r="D13" s="3">
        <v>45625</v>
      </c>
      <c r="E13" s="2" t="s">
        <v>74</v>
      </c>
      <c r="F13" s="2" t="s">
        <v>314</v>
      </c>
      <c r="G13" s="2" t="s">
        <v>139</v>
      </c>
      <c r="H13" s="11">
        <v>83</v>
      </c>
      <c r="I13" s="11">
        <v>86</v>
      </c>
      <c r="J13" s="11">
        <v>29</v>
      </c>
      <c r="K13" s="11">
        <v>71</v>
      </c>
      <c r="L13" s="12">
        <v>0.40849999999999997</v>
      </c>
      <c r="M13" s="11">
        <v>17</v>
      </c>
      <c r="N13" s="11">
        <v>40</v>
      </c>
      <c r="O13" s="12">
        <v>0.42499999999999999</v>
      </c>
      <c r="P13" s="11">
        <v>12</v>
      </c>
      <c r="Q13" s="11">
        <v>31</v>
      </c>
      <c r="R13" s="12">
        <v>0.3871</v>
      </c>
      <c r="S13" s="11">
        <v>13</v>
      </c>
      <c r="T13" s="11">
        <v>16</v>
      </c>
      <c r="U13" s="12">
        <v>0.8125</v>
      </c>
      <c r="V13" s="11">
        <v>19</v>
      </c>
      <c r="W13" s="11">
        <v>24</v>
      </c>
      <c r="X13" s="11">
        <v>43</v>
      </c>
      <c r="Y13" s="11">
        <v>20</v>
      </c>
      <c r="Z13" s="11">
        <v>5</v>
      </c>
      <c r="AA13" s="11">
        <v>2</v>
      </c>
      <c r="AB13" s="11">
        <v>14</v>
      </c>
      <c r="AC13" s="11">
        <v>22</v>
      </c>
      <c r="AD13" s="11">
        <v>26</v>
      </c>
      <c r="AE13" s="11">
        <v>53</v>
      </c>
      <c r="AF13" s="12">
        <v>0.49059999999999998</v>
      </c>
      <c r="AG13" s="11">
        <v>12</v>
      </c>
      <c r="AH13" s="11">
        <v>26</v>
      </c>
      <c r="AI13" s="12">
        <v>0.46150000000000002</v>
      </c>
      <c r="AJ13" s="11">
        <v>14</v>
      </c>
      <c r="AK13" s="11">
        <v>27</v>
      </c>
      <c r="AL13" s="12">
        <v>0.51849999999999996</v>
      </c>
      <c r="AM13" s="11">
        <v>20</v>
      </c>
      <c r="AN13" s="11">
        <v>23</v>
      </c>
      <c r="AO13" s="12">
        <v>0.86960000000000004</v>
      </c>
      <c r="AP13" s="11">
        <v>3</v>
      </c>
      <c r="AQ13" s="11">
        <v>22</v>
      </c>
      <c r="AR13" s="11">
        <v>25</v>
      </c>
      <c r="AS13" s="11">
        <v>22</v>
      </c>
      <c r="AT13" s="11">
        <v>7</v>
      </c>
      <c r="AU13" s="11">
        <v>0</v>
      </c>
      <c r="AV13" s="11">
        <v>13</v>
      </c>
      <c r="AW13" s="11">
        <v>14</v>
      </c>
      <c r="AX13" s="12">
        <v>0.53180000000000005</v>
      </c>
      <c r="AY13" s="12">
        <v>0.49299999999999999</v>
      </c>
      <c r="AZ13" s="12">
        <v>0.46339999999999998</v>
      </c>
      <c r="BA13" s="12">
        <v>0.88890000000000002</v>
      </c>
      <c r="BB13" s="12">
        <v>0.63239999999999996</v>
      </c>
      <c r="BC13" s="4">
        <v>71.543000000000006</v>
      </c>
      <c r="BD13" s="12">
        <v>0.68969999999999998</v>
      </c>
      <c r="BE13" s="12">
        <v>0.18310000000000001</v>
      </c>
      <c r="BF13" s="12">
        <v>0.15210000000000001</v>
      </c>
      <c r="BG13" s="4">
        <v>115.9</v>
      </c>
      <c r="BH13" s="4">
        <v>120</v>
      </c>
      <c r="BI13" s="4">
        <v>71.638000000000005</v>
      </c>
      <c r="BJ13" s="12">
        <v>0.68120000000000003</v>
      </c>
      <c r="BK13" s="12">
        <v>0.62260000000000004</v>
      </c>
      <c r="BL13" s="12">
        <v>0.1111</v>
      </c>
      <c r="BM13" s="12">
        <v>0.53659999999999997</v>
      </c>
      <c r="BN13" s="12">
        <v>0.36759999999999998</v>
      </c>
      <c r="BO13" s="4">
        <v>71.733000000000004</v>
      </c>
      <c r="BP13" s="12">
        <v>0.84619999999999995</v>
      </c>
      <c r="BQ13" s="12">
        <v>0.37740000000000001</v>
      </c>
      <c r="BR13" s="12">
        <v>0.17080000000000001</v>
      </c>
      <c r="BS13" s="4">
        <v>120</v>
      </c>
      <c r="BT13" s="4">
        <v>115.9</v>
      </c>
      <c r="BU13" s="11">
        <v>17</v>
      </c>
      <c r="BV13" s="11">
        <v>28</v>
      </c>
      <c r="BW13" s="11">
        <v>17</v>
      </c>
      <c r="BX13" s="11">
        <v>21</v>
      </c>
      <c r="BY13" s="11">
        <v>15</v>
      </c>
      <c r="BZ13" s="11">
        <v>31</v>
      </c>
      <c r="CA13" s="11">
        <v>18</v>
      </c>
      <c r="CB13" s="11">
        <v>22</v>
      </c>
      <c r="CC13" s="11">
        <v>45</v>
      </c>
      <c r="CD13" s="11">
        <v>38</v>
      </c>
      <c r="CE13" s="11">
        <v>46</v>
      </c>
      <c r="CF13" s="11">
        <v>40</v>
      </c>
      <c r="CG13" s="4">
        <v>1.44</v>
      </c>
      <c r="CH13" s="13">
        <v>2.85</v>
      </c>
      <c r="CI13" s="4">
        <v>-5.5</v>
      </c>
      <c r="CJ13" s="4">
        <v>5.5</v>
      </c>
      <c r="CK13" s="4">
        <v>155.5</v>
      </c>
      <c r="CL13" s="2" t="s">
        <v>392</v>
      </c>
      <c r="CM13" s="4" t="str">
        <f>VLOOKUP(saintQ[[#This Row],[Away_team]],all[[Full name]:[Abbr]],3,FALSE)</f>
        <v>DUN</v>
      </c>
      <c r="CN13" s="4">
        <f>IF(OR(saintQ[[#This Row],[Result]]="w",saintQ[[#This Row],[Result]]="dw"),saintQ[[#This Row],[win]]-1,-1)</f>
        <v>-1</v>
      </c>
      <c r="CO13" s="4">
        <f>IF(OR(saintQ[[#This Row],[Result]]="L",saintQ[[#This Row],[Result]]="dl"),saintQ[[#This Row],[lose]]-1,-1)</f>
        <v>1.85</v>
      </c>
      <c r="CP13" s="4">
        <f>IF(OR((saintQ[[#This Row],[Home_scored]]+saintQ[[#This Row],[Away_scored]])&gt;saintQ[[#This Row],[total]],OR(saintQ[[#This Row],[Result]]="dw",saintQ[[#This Row],[Result]]="dl")),1,0)</f>
        <v>1</v>
      </c>
      <c r="CQ13" s="4">
        <f>ABS((saintQ[[#This Row],[Home_scored]]+saintQ[[#This Row],[Away_scored]])-saintQ[[#This Row],[total]])+0.5</f>
        <v>14</v>
      </c>
    </row>
    <row r="14" spans="1:95" x14ac:dyDescent="0.25">
      <c r="A14" s="2" t="s">
        <v>349</v>
      </c>
      <c r="B14" s="2" t="s">
        <v>342</v>
      </c>
      <c r="C14" s="3" t="s">
        <v>73</v>
      </c>
      <c r="D14" s="3">
        <v>45633</v>
      </c>
      <c r="E14" s="2" t="s">
        <v>140</v>
      </c>
      <c r="F14" s="2" t="s">
        <v>305</v>
      </c>
      <c r="G14" s="2" t="s">
        <v>139</v>
      </c>
      <c r="H14" s="11">
        <v>63</v>
      </c>
      <c r="I14" s="11">
        <v>91</v>
      </c>
      <c r="J14" s="11">
        <v>21</v>
      </c>
      <c r="K14" s="11">
        <v>58</v>
      </c>
      <c r="L14" s="12">
        <v>0.36209999999999998</v>
      </c>
      <c r="M14" s="11">
        <v>14</v>
      </c>
      <c r="N14" s="11">
        <v>28</v>
      </c>
      <c r="O14" s="12">
        <v>0.5</v>
      </c>
      <c r="P14" s="11">
        <v>7</v>
      </c>
      <c r="Q14" s="11">
        <v>30</v>
      </c>
      <c r="R14" s="12">
        <v>0.23330000000000001</v>
      </c>
      <c r="S14" s="11">
        <v>14</v>
      </c>
      <c r="T14" s="11">
        <v>15</v>
      </c>
      <c r="U14" s="12">
        <v>0.93330000000000002</v>
      </c>
      <c r="V14" s="11">
        <v>11</v>
      </c>
      <c r="W14" s="11">
        <v>19</v>
      </c>
      <c r="X14" s="11">
        <v>30</v>
      </c>
      <c r="Y14" s="11">
        <v>13</v>
      </c>
      <c r="Z14" s="11">
        <v>6</v>
      </c>
      <c r="AA14" s="11">
        <v>2</v>
      </c>
      <c r="AB14" s="11">
        <v>17</v>
      </c>
      <c r="AC14" s="11">
        <v>26</v>
      </c>
      <c r="AD14" s="11">
        <v>30</v>
      </c>
      <c r="AE14" s="11">
        <v>58</v>
      </c>
      <c r="AF14" s="12">
        <v>0.51719999999999999</v>
      </c>
      <c r="AG14" s="11">
        <v>20</v>
      </c>
      <c r="AH14" s="11">
        <v>33</v>
      </c>
      <c r="AI14" s="12">
        <v>0.60609999999999997</v>
      </c>
      <c r="AJ14" s="11">
        <v>10</v>
      </c>
      <c r="AK14" s="11">
        <v>25</v>
      </c>
      <c r="AL14" s="12">
        <v>0.4</v>
      </c>
      <c r="AM14" s="11">
        <v>21</v>
      </c>
      <c r="AN14" s="11">
        <v>31</v>
      </c>
      <c r="AO14" s="12">
        <v>0.6774</v>
      </c>
      <c r="AP14" s="11">
        <v>13</v>
      </c>
      <c r="AQ14" s="11">
        <v>25</v>
      </c>
      <c r="AR14" s="11">
        <v>38</v>
      </c>
      <c r="AS14" s="11">
        <v>23</v>
      </c>
      <c r="AT14" s="11">
        <v>8</v>
      </c>
      <c r="AU14" s="11">
        <v>3</v>
      </c>
      <c r="AV14" s="11">
        <v>12</v>
      </c>
      <c r="AW14" s="11">
        <v>19</v>
      </c>
      <c r="AX14" s="12">
        <v>0.48759999999999998</v>
      </c>
      <c r="AY14" s="12">
        <v>0.4224</v>
      </c>
      <c r="AZ14" s="12">
        <v>0.30559999999999998</v>
      </c>
      <c r="BA14" s="12">
        <v>0.59379999999999999</v>
      </c>
      <c r="BB14" s="12">
        <v>0.44119999999999998</v>
      </c>
      <c r="BC14" s="4">
        <v>66.483999999999995</v>
      </c>
      <c r="BD14" s="12">
        <v>0.61899999999999999</v>
      </c>
      <c r="BE14" s="12">
        <v>0.2414</v>
      </c>
      <c r="BF14" s="12">
        <v>0.20830000000000001</v>
      </c>
      <c r="BG14" s="4">
        <v>90.9</v>
      </c>
      <c r="BH14" s="4">
        <v>131.30000000000001</v>
      </c>
      <c r="BI14" s="4">
        <v>69.317499999999995</v>
      </c>
      <c r="BJ14" s="12">
        <v>0.6351</v>
      </c>
      <c r="BK14" s="12">
        <v>0.60340000000000005</v>
      </c>
      <c r="BL14" s="12">
        <v>0.40629999999999999</v>
      </c>
      <c r="BM14" s="12">
        <v>0.69440000000000002</v>
      </c>
      <c r="BN14" s="12">
        <v>0.55879999999999996</v>
      </c>
      <c r="BO14" s="4">
        <v>72.150999999999996</v>
      </c>
      <c r="BP14" s="12">
        <v>0.76670000000000005</v>
      </c>
      <c r="BQ14" s="12">
        <v>0.36209999999999998</v>
      </c>
      <c r="BR14" s="12">
        <v>0.14349999999999999</v>
      </c>
      <c r="BS14" s="4">
        <v>131.30000000000001</v>
      </c>
      <c r="BT14" s="4">
        <v>90.9</v>
      </c>
      <c r="BU14" s="11">
        <v>9</v>
      </c>
      <c r="BV14" s="11">
        <v>21</v>
      </c>
      <c r="BW14" s="11">
        <v>15</v>
      </c>
      <c r="BX14" s="11">
        <v>18</v>
      </c>
      <c r="BY14" s="11">
        <v>18</v>
      </c>
      <c r="BZ14" s="11">
        <v>25</v>
      </c>
      <c r="CA14" s="11">
        <v>23</v>
      </c>
      <c r="CB14" s="11">
        <v>25</v>
      </c>
      <c r="CC14" s="11">
        <v>30</v>
      </c>
      <c r="CD14" s="11">
        <v>33</v>
      </c>
      <c r="CE14" s="11">
        <v>43</v>
      </c>
      <c r="CF14" s="11">
        <v>48</v>
      </c>
      <c r="CG14" s="4">
        <v>1.71</v>
      </c>
      <c r="CH14" s="13">
        <v>2.2000000000000002</v>
      </c>
      <c r="CI14" s="4">
        <v>-2.5</v>
      </c>
      <c r="CJ14" s="4">
        <v>2.5</v>
      </c>
      <c r="CK14" s="4">
        <v>166.5</v>
      </c>
      <c r="CL14" s="2" t="s">
        <v>433</v>
      </c>
      <c r="CM14" s="4" t="str">
        <f>VLOOKUP(saintQ[[#This Row],[Away_team]],all[[Full name]:[Abbr]],3,FALSE)</f>
        <v>CHA</v>
      </c>
      <c r="CN14" s="4">
        <f>IF(OR(saintQ[[#This Row],[Result]]="w",saintQ[[#This Row],[Result]]="dw"),saintQ[[#This Row],[win]]-1,-1)</f>
        <v>-1</v>
      </c>
      <c r="CO14" s="4">
        <f>IF(OR(saintQ[[#This Row],[Result]]="L",saintQ[[#This Row],[Result]]="dl"),saintQ[[#This Row],[lose]]-1,-1)</f>
        <v>1.2000000000000002</v>
      </c>
      <c r="CP14" s="4">
        <f>IF(OR((saintQ[[#This Row],[Home_scored]]+saintQ[[#This Row],[Away_scored]])&gt;saintQ[[#This Row],[total]],OR(saintQ[[#This Row],[Result]]="dw",saintQ[[#This Row],[Result]]="dl")),1,0)</f>
        <v>0</v>
      </c>
      <c r="CQ14" s="4">
        <f>ABS((saintQ[[#This Row],[Home_scored]]+saintQ[[#This Row],[Away_scored]])-saintQ[[#This Row],[total]])+0.5</f>
        <v>13</v>
      </c>
    </row>
    <row r="15" spans="1:95" x14ac:dyDescent="0.25">
      <c r="A15" s="2" t="s">
        <v>349</v>
      </c>
      <c r="B15" s="2" t="s">
        <v>342</v>
      </c>
      <c r="C15" s="3" t="s">
        <v>73</v>
      </c>
      <c r="D15" s="3">
        <v>45640</v>
      </c>
      <c r="E15" s="2" t="s">
        <v>74</v>
      </c>
      <c r="F15" s="2" t="s">
        <v>324</v>
      </c>
      <c r="G15" s="2" t="s">
        <v>75</v>
      </c>
      <c r="H15" s="11">
        <v>72</v>
      </c>
      <c r="I15" s="11">
        <v>67</v>
      </c>
      <c r="J15" s="11">
        <v>26</v>
      </c>
      <c r="K15" s="11">
        <v>60</v>
      </c>
      <c r="L15" s="12">
        <v>0.43330000000000002</v>
      </c>
      <c r="M15" s="11">
        <v>18</v>
      </c>
      <c r="N15" s="11">
        <v>30</v>
      </c>
      <c r="O15" s="12">
        <v>0.6</v>
      </c>
      <c r="P15" s="11">
        <v>8</v>
      </c>
      <c r="Q15" s="11">
        <v>30</v>
      </c>
      <c r="R15" s="12">
        <v>0.26669999999999999</v>
      </c>
      <c r="S15" s="11">
        <v>12</v>
      </c>
      <c r="T15" s="11">
        <v>16</v>
      </c>
      <c r="U15" s="12">
        <v>0.75</v>
      </c>
      <c r="V15" s="11">
        <v>9</v>
      </c>
      <c r="W15" s="11">
        <v>25</v>
      </c>
      <c r="X15" s="11">
        <v>34</v>
      </c>
      <c r="Y15" s="11">
        <v>19</v>
      </c>
      <c r="Z15" s="11">
        <v>6</v>
      </c>
      <c r="AA15" s="11">
        <v>2</v>
      </c>
      <c r="AB15" s="11">
        <v>14</v>
      </c>
      <c r="AC15" s="11">
        <v>19</v>
      </c>
      <c r="AD15" s="11">
        <v>24</v>
      </c>
      <c r="AE15" s="11">
        <v>55</v>
      </c>
      <c r="AF15" s="12">
        <v>0.43640000000000001</v>
      </c>
      <c r="AG15" s="11">
        <v>14</v>
      </c>
      <c r="AH15" s="11">
        <v>25</v>
      </c>
      <c r="AI15" s="12">
        <v>0.56000000000000005</v>
      </c>
      <c r="AJ15" s="11">
        <v>10</v>
      </c>
      <c r="AK15" s="11">
        <v>30</v>
      </c>
      <c r="AL15" s="12">
        <v>0.33329999999999999</v>
      </c>
      <c r="AM15" s="11">
        <v>9</v>
      </c>
      <c r="AN15" s="11">
        <v>15</v>
      </c>
      <c r="AO15" s="12">
        <v>0.6</v>
      </c>
      <c r="AP15" s="11">
        <v>7</v>
      </c>
      <c r="AQ15" s="11">
        <v>24</v>
      </c>
      <c r="AR15" s="11">
        <v>31</v>
      </c>
      <c r="AS15" s="11">
        <v>16</v>
      </c>
      <c r="AT15" s="11">
        <v>8</v>
      </c>
      <c r="AU15" s="11">
        <v>1</v>
      </c>
      <c r="AV15" s="11">
        <v>17</v>
      </c>
      <c r="AW15" s="11">
        <v>14</v>
      </c>
      <c r="AX15" s="12">
        <v>0.53700000000000003</v>
      </c>
      <c r="AY15" s="12">
        <v>0.5</v>
      </c>
      <c r="AZ15" s="12">
        <v>0.2727</v>
      </c>
      <c r="BA15" s="12">
        <v>0.78129999999999999</v>
      </c>
      <c r="BB15" s="12">
        <v>0.52310000000000001</v>
      </c>
      <c r="BC15" s="4">
        <v>70.77</v>
      </c>
      <c r="BD15" s="12">
        <v>0.73080000000000001</v>
      </c>
      <c r="BE15" s="12">
        <v>0.2</v>
      </c>
      <c r="BF15" s="12">
        <v>0.17280000000000001</v>
      </c>
      <c r="BG15" s="4">
        <v>101.9</v>
      </c>
      <c r="BH15" s="4">
        <v>94.8</v>
      </c>
      <c r="BI15" s="4">
        <v>70.64</v>
      </c>
      <c r="BJ15" s="12">
        <v>0.54379999999999995</v>
      </c>
      <c r="BK15" s="12">
        <v>0.52729999999999999</v>
      </c>
      <c r="BL15" s="12">
        <v>0.21879999999999999</v>
      </c>
      <c r="BM15" s="12">
        <v>0.72729999999999995</v>
      </c>
      <c r="BN15" s="12">
        <v>0.47689999999999999</v>
      </c>
      <c r="BO15" s="4">
        <v>70.510000000000005</v>
      </c>
      <c r="BP15" s="12">
        <v>0.66669999999999996</v>
      </c>
      <c r="BQ15" s="12">
        <v>0.1636</v>
      </c>
      <c r="BR15" s="12">
        <v>0.21629999999999999</v>
      </c>
      <c r="BS15" s="4">
        <v>94.8</v>
      </c>
      <c r="BT15" s="4">
        <v>101.9</v>
      </c>
      <c r="BU15" s="11">
        <v>20</v>
      </c>
      <c r="BV15" s="11">
        <v>16</v>
      </c>
      <c r="BW15" s="11">
        <v>15</v>
      </c>
      <c r="BX15" s="11">
        <v>21</v>
      </c>
      <c r="BY15" s="11">
        <v>15</v>
      </c>
      <c r="BZ15" s="11">
        <v>26</v>
      </c>
      <c r="CA15" s="11">
        <v>9</v>
      </c>
      <c r="CB15" s="11">
        <v>17</v>
      </c>
      <c r="CC15" s="11">
        <v>36</v>
      </c>
      <c r="CD15" s="11">
        <v>36</v>
      </c>
      <c r="CE15" s="11">
        <v>41</v>
      </c>
      <c r="CF15" s="11">
        <v>26</v>
      </c>
      <c r="CG15" s="4">
        <v>1.45</v>
      </c>
      <c r="CH15" s="13">
        <v>2.8</v>
      </c>
      <c r="CI15" s="4">
        <v>-5.5</v>
      </c>
      <c r="CJ15" s="4">
        <v>5.5</v>
      </c>
      <c r="CK15" s="4">
        <v>158.5</v>
      </c>
      <c r="CL15" s="2" t="s">
        <v>443</v>
      </c>
      <c r="CM15" s="4" t="str">
        <f>VLOOKUP(saintQ[[#This Row],[Away_team]],all[[Full name]:[Abbr]],3,FALSE)</f>
        <v>LIM</v>
      </c>
      <c r="CN15" s="4">
        <f>IF(OR(saintQ[[#This Row],[Result]]="w",saintQ[[#This Row],[Result]]="dw"),saintQ[[#This Row],[win]]-1,-1)</f>
        <v>0.44999999999999996</v>
      </c>
      <c r="CO15" s="4">
        <f>IF(OR(saintQ[[#This Row],[Result]]="L",saintQ[[#This Row],[Result]]="dl"),saintQ[[#This Row],[lose]]-1,-1)</f>
        <v>-1</v>
      </c>
      <c r="CP15" s="4">
        <f>IF(OR((saintQ[[#This Row],[Home_scored]]+saintQ[[#This Row],[Away_scored]])&gt;saintQ[[#This Row],[total]],OR(saintQ[[#This Row],[Result]]="dw",saintQ[[#This Row],[Result]]="dl")),1,0)</f>
        <v>0</v>
      </c>
      <c r="CQ15" s="4">
        <f>ABS((saintQ[[#This Row],[Home_scored]]+saintQ[[#This Row],[Away_scored]])-saintQ[[#This Row],[total]])+0.5</f>
        <v>20</v>
      </c>
    </row>
    <row r="16" spans="1:95" x14ac:dyDescent="0.25">
      <c r="A16" s="2" t="s">
        <v>349</v>
      </c>
      <c r="B16" s="2" t="s">
        <v>342</v>
      </c>
      <c r="C16" s="3" t="s">
        <v>73</v>
      </c>
      <c r="D16" s="3">
        <v>45647</v>
      </c>
      <c r="E16" s="2" t="s">
        <v>74</v>
      </c>
      <c r="F16" s="2" t="s">
        <v>320</v>
      </c>
      <c r="G16" s="2" t="s">
        <v>75</v>
      </c>
      <c r="H16" s="11">
        <v>71</v>
      </c>
      <c r="I16" s="11">
        <v>54</v>
      </c>
      <c r="J16" s="11">
        <v>28</v>
      </c>
      <c r="K16" s="11">
        <v>65</v>
      </c>
      <c r="L16" s="12">
        <v>0.43080000000000002</v>
      </c>
      <c r="M16" s="11">
        <v>20</v>
      </c>
      <c r="N16" s="11">
        <v>38</v>
      </c>
      <c r="O16" s="12">
        <v>0.52629999999999999</v>
      </c>
      <c r="P16" s="11">
        <v>8</v>
      </c>
      <c r="Q16" s="11">
        <v>27</v>
      </c>
      <c r="R16" s="12">
        <v>0.29630000000000001</v>
      </c>
      <c r="S16" s="11">
        <v>7</v>
      </c>
      <c r="T16" s="11">
        <v>10</v>
      </c>
      <c r="U16" s="12">
        <v>0.7</v>
      </c>
      <c r="V16" s="11">
        <v>12</v>
      </c>
      <c r="W16" s="11">
        <v>23</v>
      </c>
      <c r="X16" s="11">
        <v>35</v>
      </c>
      <c r="Y16" s="11">
        <v>19</v>
      </c>
      <c r="Z16" s="11">
        <v>5</v>
      </c>
      <c r="AA16" s="11">
        <v>3</v>
      </c>
      <c r="AB16" s="11">
        <v>10</v>
      </c>
      <c r="AC16" s="11">
        <v>21</v>
      </c>
      <c r="AD16" s="11">
        <v>18</v>
      </c>
      <c r="AE16" s="11">
        <v>51</v>
      </c>
      <c r="AF16" s="12">
        <v>0.35289999999999999</v>
      </c>
      <c r="AG16" s="11">
        <v>14</v>
      </c>
      <c r="AH16" s="11">
        <v>32</v>
      </c>
      <c r="AI16" s="12">
        <v>0.4375</v>
      </c>
      <c r="AJ16" s="11">
        <v>4</v>
      </c>
      <c r="AK16" s="11">
        <v>19</v>
      </c>
      <c r="AL16" s="12">
        <v>0.21049999999999999</v>
      </c>
      <c r="AM16" s="11">
        <v>14</v>
      </c>
      <c r="AN16" s="11">
        <v>20</v>
      </c>
      <c r="AO16" s="12">
        <v>0.7</v>
      </c>
      <c r="AP16" s="11">
        <v>10</v>
      </c>
      <c r="AQ16" s="11">
        <v>23</v>
      </c>
      <c r="AR16" s="11">
        <v>33</v>
      </c>
      <c r="AS16" s="11">
        <v>12</v>
      </c>
      <c r="AT16" s="11">
        <v>3</v>
      </c>
      <c r="AU16" s="11">
        <v>3</v>
      </c>
      <c r="AV16" s="11">
        <v>15</v>
      </c>
      <c r="AW16" s="11">
        <v>16</v>
      </c>
      <c r="AX16" s="12">
        <v>0.51149999999999995</v>
      </c>
      <c r="AY16" s="12">
        <v>0.49230000000000002</v>
      </c>
      <c r="AZ16" s="12">
        <v>0.34289999999999998</v>
      </c>
      <c r="BA16" s="12">
        <v>0.69699999999999995</v>
      </c>
      <c r="BB16" s="12">
        <v>0.51470000000000005</v>
      </c>
      <c r="BC16" s="4">
        <v>65.426000000000002</v>
      </c>
      <c r="BD16" s="12">
        <v>0.67859999999999998</v>
      </c>
      <c r="BE16" s="12">
        <v>0.1077</v>
      </c>
      <c r="BF16" s="12">
        <v>0.12590000000000001</v>
      </c>
      <c r="BG16" s="4">
        <v>110.3</v>
      </c>
      <c r="BH16" s="4">
        <v>83.9</v>
      </c>
      <c r="BI16" s="4">
        <v>64.363</v>
      </c>
      <c r="BJ16" s="12">
        <v>0.45150000000000001</v>
      </c>
      <c r="BK16" s="12">
        <v>0.39219999999999999</v>
      </c>
      <c r="BL16" s="12">
        <v>0.30299999999999999</v>
      </c>
      <c r="BM16" s="12">
        <v>0.65710000000000002</v>
      </c>
      <c r="BN16" s="12">
        <v>0.48530000000000001</v>
      </c>
      <c r="BO16" s="4">
        <v>63.3</v>
      </c>
      <c r="BP16" s="12">
        <v>0.66669999999999996</v>
      </c>
      <c r="BQ16" s="12">
        <v>0.27450000000000002</v>
      </c>
      <c r="BR16" s="12">
        <v>0.20050000000000001</v>
      </c>
      <c r="BS16" s="4">
        <v>83.9</v>
      </c>
      <c r="BT16" s="4">
        <v>110.3</v>
      </c>
      <c r="BU16" s="11">
        <v>11</v>
      </c>
      <c r="BV16" s="11">
        <v>19</v>
      </c>
      <c r="BW16" s="11">
        <v>24</v>
      </c>
      <c r="BX16" s="11">
        <v>17</v>
      </c>
      <c r="BY16" s="11">
        <v>15</v>
      </c>
      <c r="BZ16" s="11">
        <v>11</v>
      </c>
      <c r="CA16" s="11">
        <v>13</v>
      </c>
      <c r="CB16" s="11">
        <v>15</v>
      </c>
      <c r="CC16" s="11">
        <v>30</v>
      </c>
      <c r="CD16" s="11">
        <v>41</v>
      </c>
      <c r="CE16" s="11">
        <v>26</v>
      </c>
      <c r="CF16" s="11">
        <v>28</v>
      </c>
      <c r="CG16" s="4">
        <v>1.32</v>
      </c>
      <c r="CH16" s="13">
        <v>3.5</v>
      </c>
      <c r="CI16" s="4">
        <v>-7.5</v>
      </c>
      <c r="CJ16" s="4">
        <v>7.5</v>
      </c>
      <c r="CK16" s="4">
        <v>155.5</v>
      </c>
      <c r="CL16" s="2" t="s">
        <v>452</v>
      </c>
      <c r="CM16" s="4" t="str">
        <f>VLOOKUP(saintQ[[#This Row],[Away_team]],all[[Full name]:[Abbr]],3,FALSE)</f>
        <v>POR</v>
      </c>
      <c r="CN16" s="4">
        <f>IF(OR(saintQ[[#This Row],[Result]]="w",saintQ[[#This Row],[Result]]="dw"),saintQ[[#This Row],[win]]-1,-1)</f>
        <v>0.32000000000000006</v>
      </c>
      <c r="CO16" s="4">
        <f>IF(OR(saintQ[[#This Row],[Result]]="L",saintQ[[#This Row],[Result]]="dl"),saintQ[[#This Row],[lose]]-1,-1)</f>
        <v>-1</v>
      </c>
      <c r="CP16" s="4">
        <f>IF(OR((saintQ[[#This Row],[Home_scored]]+saintQ[[#This Row],[Away_scored]])&gt;saintQ[[#This Row],[total]],OR(saintQ[[#This Row],[Result]]="dw",saintQ[[#This Row],[Result]]="dl")),1,0)</f>
        <v>0</v>
      </c>
      <c r="CQ16" s="4">
        <f>ABS((saintQ[[#This Row],[Home_scored]]+saintQ[[#This Row],[Away_scored]])-saintQ[[#This Row],[total]])+0.5</f>
        <v>31</v>
      </c>
    </row>
    <row r="17" spans="1:95" x14ac:dyDescent="0.25">
      <c r="A17" s="2" t="s">
        <v>349</v>
      </c>
      <c r="B17" s="2" t="s">
        <v>342</v>
      </c>
      <c r="C17" s="3" t="s">
        <v>73</v>
      </c>
      <c r="D17" s="3">
        <v>45653</v>
      </c>
      <c r="E17" s="2" t="s">
        <v>140</v>
      </c>
      <c r="F17" s="2" t="s">
        <v>302</v>
      </c>
      <c r="G17" s="2" t="s">
        <v>139</v>
      </c>
      <c r="H17" s="11">
        <v>85</v>
      </c>
      <c r="I17" s="11">
        <v>96</v>
      </c>
      <c r="J17" s="11">
        <v>28</v>
      </c>
      <c r="K17" s="11">
        <v>58</v>
      </c>
      <c r="L17" s="12">
        <v>0.48280000000000001</v>
      </c>
      <c r="M17" s="11">
        <v>16</v>
      </c>
      <c r="N17" s="11">
        <v>33</v>
      </c>
      <c r="O17" s="12">
        <v>0.48480000000000001</v>
      </c>
      <c r="P17" s="11">
        <v>12</v>
      </c>
      <c r="Q17" s="11">
        <v>25</v>
      </c>
      <c r="R17" s="12">
        <v>0.48</v>
      </c>
      <c r="S17" s="11">
        <v>17</v>
      </c>
      <c r="T17" s="11">
        <v>24</v>
      </c>
      <c r="U17" s="12">
        <v>0.70830000000000004</v>
      </c>
      <c r="V17" s="11">
        <v>11</v>
      </c>
      <c r="W17" s="11">
        <v>20</v>
      </c>
      <c r="X17" s="11">
        <v>31</v>
      </c>
      <c r="Y17" s="11">
        <v>21</v>
      </c>
      <c r="Z17" s="11">
        <v>7</v>
      </c>
      <c r="AA17" s="11">
        <v>0</v>
      </c>
      <c r="AB17" s="11">
        <v>12</v>
      </c>
      <c r="AC17" s="11">
        <v>25</v>
      </c>
      <c r="AD17" s="11">
        <v>32</v>
      </c>
      <c r="AE17" s="11">
        <v>58</v>
      </c>
      <c r="AF17" s="12">
        <v>0.55169999999999997</v>
      </c>
      <c r="AG17" s="11">
        <v>23</v>
      </c>
      <c r="AH17" s="11">
        <v>39</v>
      </c>
      <c r="AI17" s="12">
        <v>0.5897</v>
      </c>
      <c r="AJ17" s="11">
        <v>9</v>
      </c>
      <c r="AK17" s="11">
        <v>19</v>
      </c>
      <c r="AL17" s="12">
        <v>0.47370000000000001</v>
      </c>
      <c r="AM17" s="11">
        <v>23</v>
      </c>
      <c r="AN17" s="11">
        <v>28</v>
      </c>
      <c r="AO17" s="12">
        <v>0.82140000000000002</v>
      </c>
      <c r="AP17" s="11">
        <v>9</v>
      </c>
      <c r="AQ17" s="11">
        <v>23</v>
      </c>
      <c r="AR17" s="11">
        <v>32</v>
      </c>
      <c r="AS17" s="11">
        <v>19</v>
      </c>
      <c r="AT17" s="11">
        <v>5</v>
      </c>
      <c r="AU17" s="11">
        <v>2</v>
      </c>
      <c r="AV17" s="11">
        <v>11</v>
      </c>
      <c r="AW17" s="11">
        <v>21</v>
      </c>
      <c r="AX17" s="12">
        <v>0.61990000000000001</v>
      </c>
      <c r="AY17" s="12">
        <v>0.58620000000000005</v>
      </c>
      <c r="AZ17" s="12">
        <v>0.32350000000000001</v>
      </c>
      <c r="BA17" s="12">
        <v>0.68969999999999998</v>
      </c>
      <c r="BB17" s="12">
        <v>0.49209999999999998</v>
      </c>
      <c r="BC17" s="4">
        <v>68.209999999999994</v>
      </c>
      <c r="BD17" s="12">
        <v>0.75</v>
      </c>
      <c r="BE17" s="12">
        <v>0.29310000000000003</v>
      </c>
      <c r="BF17" s="12">
        <v>0.14899999999999999</v>
      </c>
      <c r="BG17" s="4">
        <v>120.9</v>
      </c>
      <c r="BH17" s="4">
        <v>136.6</v>
      </c>
      <c r="BI17" s="4">
        <v>70.293000000000006</v>
      </c>
      <c r="BJ17" s="12">
        <v>0.68259999999999998</v>
      </c>
      <c r="BK17" s="12">
        <v>0.62929999999999997</v>
      </c>
      <c r="BL17" s="12">
        <v>0.31030000000000002</v>
      </c>
      <c r="BM17" s="12">
        <v>0.67649999999999999</v>
      </c>
      <c r="BN17" s="12">
        <v>0.50790000000000002</v>
      </c>
      <c r="BO17" s="4">
        <v>72.376000000000005</v>
      </c>
      <c r="BP17" s="12">
        <v>0.59379999999999999</v>
      </c>
      <c r="BQ17" s="12">
        <v>0.39660000000000001</v>
      </c>
      <c r="BR17" s="12">
        <v>0.1353</v>
      </c>
      <c r="BS17" s="4">
        <v>136.6</v>
      </c>
      <c r="BT17" s="4">
        <v>120.9</v>
      </c>
      <c r="BU17" s="11">
        <v>20</v>
      </c>
      <c r="BV17" s="11">
        <v>21</v>
      </c>
      <c r="BW17" s="11">
        <v>28</v>
      </c>
      <c r="BX17" s="11">
        <v>16</v>
      </c>
      <c r="BY17" s="11">
        <v>30</v>
      </c>
      <c r="BZ17" s="11">
        <v>22</v>
      </c>
      <c r="CA17" s="11">
        <v>19</v>
      </c>
      <c r="CB17" s="11">
        <v>25</v>
      </c>
      <c r="CC17" s="11">
        <v>41</v>
      </c>
      <c r="CD17" s="11">
        <v>44</v>
      </c>
      <c r="CE17" s="11">
        <v>52</v>
      </c>
      <c r="CF17" s="11">
        <v>44</v>
      </c>
      <c r="CG17" s="4">
        <v>3.5</v>
      </c>
      <c r="CH17" s="13">
        <v>1.32</v>
      </c>
      <c r="CI17" s="4">
        <v>7.5</v>
      </c>
      <c r="CJ17" s="4">
        <v>-7.5</v>
      </c>
      <c r="CK17" s="4">
        <v>164.5</v>
      </c>
      <c r="CL17" s="2" t="s">
        <v>463</v>
      </c>
      <c r="CM17" s="4" t="str">
        <f>VLOOKUP(saintQ[[#This Row],[Away_team]],all[[Full name]:[Abbr]],3,FALSE)</f>
        <v>BUR</v>
      </c>
      <c r="CN17" s="4">
        <f>IF(OR(saintQ[[#This Row],[Result]]="w",saintQ[[#This Row],[Result]]="dw"),saintQ[[#This Row],[win]]-1,-1)</f>
        <v>-1</v>
      </c>
      <c r="CO17" s="4">
        <f>IF(OR(saintQ[[#This Row],[Result]]="L",saintQ[[#This Row],[Result]]="dl"),saintQ[[#This Row],[lose]]-1,-1)</f>
        <v>0.32000000000000006</v>
      </c>
      <c r="CP17" s="4">
        <f>IF(OR((saintQ[[#This Row],[Home_scored]]+saintQ[[#This Row],[Away_scored]])&gt;saintQ[[#This Row],[total]],OR(saintQ[[#This Row],[Result]]="dw",saintQ[[#This Row],[Result]]="dl")),1,0)</f>
        <v>1</v>
      </c>
      <c r="CQ17" s="4">
        <f>ABS((saintQ[[#This Row],[Home_scored]]+saintQ[[#This Row],[Away_scored]])-saintQ[[#This Row],[total]])+0.5</f>
        <v>17</v>
      </c>
    </row>
    <row r="18" spans="1:95" x14ac:dyDescent="0.25">
      <c r="A18" s="2" t="s">
        <v>349</v>
      </c>
      <c r="B18" s="2" t="s">
        <v>342</v>
      </c>
      <c r="C18" s="3" t="s">
        <v>73</v>
      </c>
      <c r="D18" s="3">
        <v>45668</v>
      </c>
      <c r="E18" s="2" t="s">
        <v>74</v>
      </c>
      <c r="F18" s="2" t="s">
        <v>345</v>
      </c>
      <c r="G18" s="2" t="s">
        <v>75</v>
      </c>
      <c r="H18" s="11">
        <v>81</v>
      </c>
      <c r="I18" s="11">
        <v>70</v>
      </c>
      <c r="J18" s="11">
        <v>28</v>
      </c>
      <c r="K18" s="11">
        <v>67</v>
      </c>
      <c r="L18" s="12">
        <v>0.41789999999999999</v>
      </c>
      <c r="M18" s="11">
        <v>21</v>
      </c>
      <c r="N18" s="11">
        <v>39</v>
      </c>
      <c r="O18" s="12">
        <v>0.53849999999999998</v>
      </c>
      <c r="P18" s="11">
        <v>7</v>
      </c>
      <c r="Q18" s="11">
        <v>28</v>
      </c>
      <c r="R18" s="12">
        <v>0.25</v>
      </c>
      <c r="S18" s="11">
        <v>18</v>
      </c>
      <c r="T18" s="11">
        <v>22</v>
      </c>
      <c r="U18" s="12">
        <v>0.81820000000000004</v>
      </c>
      <c r="V18" s="11">
        <v>17</v>
      </c>
      <c r="W18" s="11">
        <v>22</v>
      </c>
      <c r="X18" s="11">
        <v>39</v>
      </c>
      <c r="Y18" s="11">
        <v>21</v>
      </c>
      <c r="Z18" s="11">
        <v>8</v>
      </c>
      <c r="AA18" s="11">
        <v>1</v>
      </c>
      <c r="AB18" s="11">
        <v>10</v>
      </c>
      <c r="AC18" s="11">
        <v>18</v>
      </c>
      <c r="AD18" s="11">
        <v>23</v>
      </c>
      <c r="AE18" s="11">
        <v>54</v>
      </c>
      <c r="AF18" s="12">
        <v>0.4259</v>
      </c>
      <c r="AG18" s="11">
        <v>10</v>
      </c>
      <c r="AH18" s="11">
        <v>23</v>
      </c>
      <c r="AI18" s="12">
        <v>0.43480000000000002</v>
      </c>
      <c r="AJ18" s="11">
        <v>13</v>
      </c>
      <c r="AK18" s="11">
        <v>31</v>
      </c>
      <c r="AL18" s="12">
        <v>0.4194</v>
      </c>
      <c r="AM18" s="11">
        <v>11</v>
      </c>
      <c r="AN18" s="11">
        <v>17</v>
      </c>
      <c r="AO18" s="12">
        <v>0.64710000000000001</v>
      </c>
      <c r="AP18" s="11">
        <v>9</v>
      </c>
      <c r="AQ18" s="11">
        <v>23</v>
      </c>
      <c r="AR18" s="11">
        <v>32</v>
      </c>
      <c r="AS18" s="11">
        <v>18</v>
      </c>
      <c r="AT18" s="11">
        <v>4</v>
      </c>
      <c r="AU18" s="11">
        <v>5</v>
      </c>
      <c r="AV18" s="11">
        <v>17</v>
      </c>
      <c r="AW18" s="11">
        <v>21</v>
      </c>
      <c r="AX18" s="12">
        <v>0.5282</v>
      </c>
      <c r="AY18" s="12">
        <v>0.47010000000000002</v>
      </c>
      <c r="AZ18" s="12">
        <v>0.42499999999999999</v>
      </c>
      <c r="BA18" s="12">
        <v>0.7097</v>
      </c>
      <c r="BB18" s="12">
        <v>0.54930000000000001</v>
      </c>
      <c r="BC18" s="4">
        <v>67.61</v>
      </c>
      <c r="BD18" s="12">
        <v>0.75</v>
      </c>
      <c r="BE18" s="12">
        <v>0.26869999999999999</v>
      </c>
      <c r="BF18" s="12">
        <v>0.1154</v>
      </c>
      <c r="BG18" s="4">
        <v>119</v>
      </c>
      <c r="BH18" s="4">
        <v>102.9</v>
      </c>
      <c r="BI18" s="4">
        <v>68.040499999999994</v>
      </c>
      <c r="BJ18" s="12">
        <v>0.56930000000000003</v>
      </c>
      <c r="BK18" s="12">
        <v>0.54630000000000001</v>
      </c>
      <c r="BL18" s="12">
        <v>0.2903</v>
      </c>
      <c r="BM18" s="12">
        <v>0.57499999999999996</v>
      </c>
      <c r="BN18" s="12">
        <v>0.45069999999999999</v>
      </c>
      <c r="BO18" s="4">
        <v>68.471000000000004</v>
      </c>
      <c r="BP18" s="12">
        <v>0.78259999999999996</v>
      </c>
      <c r="BQ18" s="12">
        <v>0.20369999999999999</v>
      </c>
      <c r="BR18" s="12">
        <v>0.21659999999999999</v>
      </c>
      <c r="BS18" s="4">
        <v>102.9</v>
      </c>
      <c r="BT18" s="4">
        <v>119</v>
      </c>
      <c r="BU18" s="11">
        <v>16</v>
      </c>
      <c r="BV18" s="11">
        <v>12</v>
      </c>
      <c r="BW18" s="11">
        <v>23</v>
      </c>
      <c r="BX18" s="11">
        <v>30</v>
      </c>
      <c r="BY18" s="11">
        <v>18</v>
      </c>
      <c r="BZ18" s="11">
        <v>16</v>
      </c>
      <c r="CA18" s="11">
        <v>19</v>
      </c>
      <c r="CB18" s="11">
        <v>17</v>
      </c>
      <c r="CC18" s="11">
        <v>28</v>
      </c>
      <c r="CD18" s="11">
        <v>53</v>
      </c>
      <c r="CE18" s="11">
        <v>34</v>
      </c>
      <c r="CF18" s="11">
        <v>36</v>
      </c>
      <c r="CG18" s="4">
        <v>1.61</v>
      </c>
      <c r="CH18" s="13">
        <v>2.4</v>
      </c>
      <c r="CI18" s="4">
        <v>-3.5</v>
      </c>
      <c r="CJ18" s="4">
        <v>3.5</v>
      </c>
      <c r="CK18" s="4">
        <v>160.5</v>
      </c>
      <c r="CL18" s="2" t="s">
        <v>469</v>
      </c>
      <c r="CM18" s="4" t="str">
        <f>VLOOKUP(saintQ[[#This Row],[Away_team]],all[[Full name]:[Abbr]],3,FALSE)</f>
        <v>STR</v>
      </c>
      <c r="CN18" s="4">
        <f>IF(OR(saintQ[[#This Row],[Result]]="w",saintQ[[#This Row],[Result]]="dw"),saintQ[[#This Row],[win]]-1,-1)</f>
        <v>0.6100000000000001</v>
      </c>
      <c r="CO18" s="4">
        <f>IF(OR(saintQ[[#This Row],[Result]]="L",saintQ[[#This Row],[Result]]="dl"),saintQ[[#This Row],[lose]]-1,-1)</f>
        <v>-1</v>
      </c>
      <c r="CP18" s="4">
        <f>IF(OR((saintQ[[#This Row],[Home_scored]]+saintQ[[#This Row],[Away_scored]])&gt;saintQ[[#This Row],[total]],OR(saintQ[[#This Row],[Result]]="dw",saintQ[[#This Row],[Result]]="dl")),1,0)</f>
        <v>0</v>
      </c>
      <c r="CQ18" s="4">
        <f>ABS((saintQ[[#This Row],[Home_scored]]+saintQ[[#This Row],[Away_scored]])-saintQ[[#This Row],[total]])+0.5</f>
        <v>10</v>
      </c>
    </row>
    <row r="19" spans="1:95" x14ac:dyDescent="0.25">
      <c r="A19" s="2" t="s">
        <v>349</v>
      </c>
      <c r="B19" s="2" t="s">
        <v>342</v>
      </c>
      <c r="C19" s="3" t="s">
        <v>73</v>
      </c>
      <c r="D19" s="3">
        <v>45675</v>
      </c>
      <c r="E19" s="2" t="s">
        <v>74</v>
      </c>
      <c r="F19" s="2" t="s">
        <v>305</v>
      </c>
      <c r="G19" s="2" t="s">
        <v>139</v>
      </c>
      <c r="H19" s="11">
        <v>83</v>
      </c>
      <c r="I19" s="11">
        <v>87</v>
      </c>
      <c r="J19" s="11">
        <v>29</v>
      </c>
      <c r="K19" s="11">
        <v>61</v>
      </c>
      <c r="L19" s="12">
        <v>0.47539999999999999</v>
      </c>
      <c r="M19" s="11">
        <v>17</v>
      </c>
      <c r="N19" s="11">
        <v>29</v>
      </c>
      <c r="O19" s="12">
        <v>0.58620000000000005</v>
      </c>
      <c r="P19" s="11">
        <v>12</v>
      </c>
      <c r="Q19" s="11">
        <v>32</v>
      </c>
      <c r="R19" s="12">
        <v>0.375</v>
      </c>
      <c r="S19" s="11">
        <v>13</v>
      </c>
      <c r="T19" s="11">
        <v>15</v>
      </c>
      <c r="U19" s="12">
        <v>0.86670000000000003</v>
      </c>
      <c r="V19" s="11">
        <v>10</v>
      </c>
      <c r="W19" s="11">
        <v>24</v>
      </c>
      <c r="X19" s="11">
        <v>34</v>
      </c>
      <c r="Y19" s="11">
        <v>25</v>
      </c>
      <c r="Z19" s="11">
        <v>5</v>
      </c>
      <c r="AA19" s="11">
        <v>3</v>
      </c>
      <c r="AB19" s="11">
        <v>14</v>
      </c>
      <c r="AC19" s="11">
        <v>22</v>
      </c>
      <c r="AD19" s="11">
        <v>30</v>
      </c>
      <c r="AE19" s="11">
        <v>59</v>
      </c>
      <c r="AF19" s="12">
        <v>0.50849999999999995</v>
      </c>
      <c r="AG19" s="11">
        <v>21</v>
      </c>
      <c r="AH19" s="11">
        <v>36</v>
      </c>
      <c r="AI19" s="12">
        <v>0.58330000000000004</v>
      </c>
      <c r="AJ19" s="11">
        <v>9</v>
      </c>
      <c r="AK19" s="11">
        <v>23</v>
      </c>
      <c r="AL19" s="12">
        <v>0.39129999999999998</v>
      </c>
      <c r="AM19" s="11">
        <v>18</v>
      </c>
      <c r="AN19" s="11">
        <v>25</v>
      </c>
      <c r="AO19" s="12">
        <v>0.72</v>
      </c>
      <c r="AP19" s="11">
        <v>7</v>
      </c>
      <c r="AQ19" s="11">
        <v>22</v>
      </c>
      <c r="AR19" s="11">
        <v>29</v>
      </c>
      <c r="AS19" s="11">
        <v>27</v>
      </c>
      <c r="AT19" s="11">
        <v>10</v>
      </c>
      <c r="AU19" s="11">
        <v>0</v>
      </c>
      <c r="AV19" s="11">
        <v>9</v>
      </c>
      <c r="AW19" s="11">
        <v>16</v>
      </c>
      <c r="AX19" s="12">
        <v>0.6139</v>
      </c>
      <c r="AY19" s="12">
        <v>0.57379999999999998</v>
      </c>
      <c r="AZ19" s="12">
        <v>0.3125</v>
      </c>
      <c r="BA19" s="12">
        <v>0.7742</v>
      </c>
      <c r="BB19" s="12">
        <v>0.53969999999999996</v>
      </c>
      <c r="BC19" s="4">
        <v>70.929000000000002</v>
      </c>
      <c r="BD19" s="12">
        <v>0.86209999999999998</v>
      </c>
      <c r="BE19" s="12">
        <v>0.21310000000000001</v>
      </c>
      <c r="BF19" s="12">
        <v>0.1716</v>
      </c>
      <c r="BG19" s="4">
        <v>117.4</v>
      </c>
      <c r="BH19" s="4">
        <v>123</v>
      </c>
      <c r="BI19" s="4">
        <v>70.719499999999996</v>
      </c>
      <c r="BJ19" s="12">
        <v>0.62139999999999995</v>
      </c>
      <c r="BK19" s="12">
        <v>0.5847</v>
      </c>
      <c r="BL19" s="12">
        <v>0.2258</v>
      </c>
      <c r="BM19" s="12">
        <v>0.6875</v>
      </c>
      <c r="BN19" s="12">
        <v>0.46029999999999999</v>
      </c>
      <c r="BO19" s="4">
        <v>70.510000000000005</v>
      </c>
      <c r="BP19" s="12">
        <v>0.9</v>
      </c>
      <c r="BQ19" s="12">
        <v>0.30509999999999998</v>
      </c>
      <c r="BR19" s="12">
        <v>0.1139</v>
      </c>
      <c r="BS19" s="4">
        <v>123</v>
      </c>
      <c r="BT19" s="4">
        <v>117.4</v>
      </c>
      <c r="BU19" s="11">
        <v>17</v>
      </c>
      <c r="BV19" s="11">
        <v>25</v>
      </c>
      <c r="BW19" s="11">
        <v>18</v>
      </c>
      <c r="BX19" s="11">
        <v>23</v>
      </c>
      <c r="BY19" s="11">
        <v>23</v>
      </c>
      <c r="BZ19" s="11">
        <v>25</v>
      </c>
      <c r="CA19" s="11">
        <v>21</v>
      </c>
      <c r="CB19" s="11">
        <v>18</v>
      </c>
      <c r="CC19" s="11">
        <v>42</v>
      </c>
      <c r="CD19" s="11">
        <v>41</v>
      </c>
      <c r="CE19" s="11">
        <v>48</v>
      </c>
      <c r="CF19" s="11">
        <v>39</v>
      </c>
      <c r="CG19" s="4">
        <v>1.38</v>
      </c>
      <c r="CH19" s="13">
        <v>3.1</v>
      </c>
      <c r="CI19" s="4">
        <v>-6.5</v>
      </c>
      <c r="CJ19" s="4">
        <v>6.5</v>
      </c>
      <c r="CK19" s="4">
        <v>159.5</v>
      </c>
      <c r="CL19" s="2" t="s">
        <v>477</v>
      </c>
      <c r="CM19" s="4" t="str">
        <f>VLOOKUP(saintQ[[#This Row],[Away_team]],all[[Full name]:[Abbr]],3,FALSE)</f>
        <v>CHA</v>
      </c>
      <c r="CN19" s="4">
        <f>IF(OR(saintQ[[#This Row],[Result]]="w",saintQ[[#This Row],[Result]]="dw"),saintQ[[#This Row],[win]]-1,-1)</f>
        <v>-1</v>
      </c>
      <c r="CO19" s="4">
        <f>IF(OR(saintQ[[#This Row],[Result]]="L",saintQ[[#This Row],[Result]]="dl"),saintQ[[#This Row],[lose]]-1,-1)</f>
        <v>2.1</v>
      </c>
      <c r="CP19" s="4">
        <f>IF(OR((saintQ[[#This Row],[Home_scored]]+saintQ[[#This Row],[Away_scored]])&gt;saintQ[[#This Row],[total]],OR(saintQ[[#This Row],[Result]]="dw",saintQ[[#This Row],[Result]]="dl")),1,0)</f>
        <v>1</v>
      </c>
      <c r="CQ19" s="4">
        <f>ABS((saintQ[[#This Row],[Home_scored]]+saintQ[[#This Row],[Away_scored]])-saintQ[[#This Row],[total]])+0.5</f>
        <v>11</v>
      </c>
    </row>
    <row r="20" spans="1:95" x14ac:dyDescent="0.25">
      <c r="A20" s="2" t="s">
        <v>349</v>
      </c>
      <c r="B20" s="2" t="s">
        <v>342</v>
      </c>
      <c r="C20" s="3" t="s">
        <v>73</v>
      </c>
      <c r="D20" s="3">
        <v>45682</v>
      </c>
      <c r="E20" s="2" t="s">
        <v>140</v>
      </c>
      <c r="F20" s="2" t="s">
        <v>320</v>
      </c>
      <c r="G20" s="2" t="s">
        <v>75</v>
      </c>
      <c r="H20" s="11">
        <v>58</v>
      </c>
      <c r="I20" s="11">
        <v>56</v>
      </c>
      <c r="J20" s="11">
        <v>19</v>
      </c>
      <c r="K20" s="11">
        <v>58</v>
      </c>
      <c r="L20" s="12">
        <v>0.3276</v>
      </c>
      <c r="M20" s="11">
        <v>12</v>
      </c>
      <c r="N20" s="11">
        <v>35</v>
      </c>
      <c r="O20" s="12">
        <v>0.34289999999999998</v>
      </c>
      <c r="P20" s="11">
        <v>7</v>
      </c>
      <c r="Q20" s="11">
        <v>23</v>
      </c>
      <c r="R20" s="12">
        <v>0.30430000000000001</v>
      </c>
      <c r="S20" s="11">
        <v>13</v>
      </c>
      <c r="T20" s="11">
        <v>17</v>
      </c>
      <c r="U20" s="12">
        <v>0.76470000000000005</v>
      </c>
      <c r="V20" s="11">
        <v>14</v>
      </c>
      <c r="W20" s="11">
        <v>31</v>
      </c>
      <c r="X20" s="11">
        <v>45</v>
      </c>
      <c r="Y20" s="11">
        <v>12</v>
      </c>
      <c r="Z20" s="11">
        <v>5</v>
      </c>
      <c r="AA20" s="11">
        <v>4</v>
      </c>
      <c r="AB20" s="11">
        <v>14</v>
      </c>
      <c r="AC20" s="11">
        <v>19</v>
      </c>
      <c r="AD20" s="11">
        <v>19</v>
      </c>
      <c r="AE20" s="11">
        <v>57</v>
      </c>
      <c r="AF20" s="12">
        <v>0.33329999999999999</v>
      </c>
      <c r="AG20" s="11">
        <v>12</v>
      </c>
      <c r="AH20" s="11">
        <v>28</v>
      </c>
      <c r="AI20" s="12">
        <v>0.42859999999999998</v>
      </c>
      <c r="AJ20" s="11">
        <v>7</v>
      </c>
      <c r="AK20" s="11">
        <v>29</v>
      </c>
      <c r="AL20" s="12">
        <v>0.2414</v>
      </c>
      <c r="AM20" s="11">
        <v>11</v>
      </c>
      <c r="AN20" s="11">
        <v>16</v>
      </c>
      <c r="AO20" s="12">
        <v>0.6875</v>
      </c>
      <c r="AP20" s="11">
        <v>7</v>
      </c>
      <c r="AQ20" s="11">
        <v>26</v>
      </c>
      <c r="AR20" s="11">
        <v>33</v>
      </c>
      <c r="AS20" s="11">
        <v>12</v>
      </c>
      <c r="AT20" s="11">
        <v>8</v>
      </c>
      <c r="AU20" s="11">
        <v>3</v>
      </c>
      <c r="AV20" s="11">
        <v>9</v>
      </c>
      <c r="AW20" s="11">
        <v>19</v>
      </c>
      <c r="AX20" s="12">
        <v>0.44290000000000002</v>
      </c>
      <c r="AY20" s="12">
        <v>0.38790000000000002</v>
      </c>
      <c r="AZ20" s="12">
        <v>0.35</v>
      </c>
      <c r="BA20" s="12">
        <v>0.81579999999999997</v>
      </c>
      <c r="BB20" s="12">
        <v>0.57689999999999997</v>
      </c>
      <c r="BC20" s="4">
        <v>65.816999999999993</v>
      </c>
      <c r="BD20" s="12">
        <v>0.63160000000000005</v>
      </c>
      <c r="BE20" s="12">
        <v>0.22409999999999999</v>
      </c>
      <c r="BF20" s="12">
        <v>0.17610000000000001</v>
      </c>
      <c r="BG20" s="4">
        <v>89.5</v>
      </c>
      <c r="BH20" s="4">
        <v>86.4</v>
      </c>
      <c r="BI20" s="4">
        <v>64.796000000000006</v>
      </c>
      <c r="BJ20" s="12">
        <v>0.43719999999999998</v>
      </c>
      <c r="BK20" s="12">
        <v>0.3947</v>
      </c>
      <c r="BL20" s="12">
        <v>0.1842</v>
      </c>
      <c r="BM20" s="12">
        <v>0.65</v>
      </c>
      <c r="BN20" s="12">
        <v>0.42309999999999998</v>
      </c>
      <c r="BO20" s="4">
        <v>63.774999999999999</v>
      </c>
      <c r="BP20" s="12">
        <v>0.63160000000000005</v>
      </c>
      <c r="BQ20" s="12">
        <v>0.193</v>
      </c>
      <c r="BR20" s="12">
        <v>0.1232</v>
      </c>
      <c r="BS20" s="4">
        <v>86.4</v>
      </c>
      <c r="BT20" s="4">
        <v>89.5</v>
      </c>
      <c r="BU20" s="11">
        <v>16</v>
      </c>
      <c r="BV20" s="11">
        <v>10</v>
      </c>
      <c r="BW20" s="11">
        <v>24</v>
      </c>
      <c r="BX20" s="11">
        <v>8</v>
      </c>
      <c r="BY20" s="11">
        <v>16</v>
      </c>
      <c r="BZ20" s="11">
        <v>17</v>
      </c>
      <c r="CA20" s="11">
        <v>10</v>
      </c>
      <c r="CB20" s="11">
        <v>13</v>
      </c>
      <c r="CC20" s="11">
        <v>26</v>
      </c>
      <c r="CD20" s="11">
        <v>32</v>
      </c>
      <c r="CE20" s="11">
        <v>33</v>
      </c>
      <c r="CF20" s="11">
        <v>23</v>
      </c>
      <c r="CG20" s="4">
        <v>1.71</v>
      </c>
      <c r="CH20" s="13">
        <v>2.2000000000000002</v>
      </c>
      <c r="CI20" s="4">
        <v>-2.5</v>
      </c>
      <c r="CJ20" s="4">
        <v>2.5</v>
      </c>
      <c r="CK20" s="4">
        <v>157.5</v>
      </c>
      <c r="CL20" s="2" t="s">
        <v>485</v>
      </c>
      <c r="CM20" s="4" t="str">
        <f>VLOOKUP(saintQ[[#This Row],[Away_team]],all[[Full name]:[Abbr]],3,FALSE)</f>
        <v>POR</v>
      </c>
      <c r="CN20" s="4">
        <f>IF(OR(saintQ[[#This Row],[Result]]="w",saintQ[[#This Row],[Result]]="dw"),saintQ[[#This Row],[win]]-1,-1)</f>
        <v>0.71</v>
      </c>
      <c r="CO20" s="4">
        <f>IF(OR(saintQ[[#This Row],[Result]]="L",saintQ[[#This Row],[Result]]="dl"),saintQ[[#This Row],[lose]]-1,-1)</f>
        <v>-1</v>
      </c>
      <c r="CP20" s="4">
        <f>IF(OR((saintQ[[#This Row],[Home_scored]]+saintQ[[#This Row],[Away_scored]])&gt;saintQ[[#This Row],[total]],OR(saintQ[[#This Row],[Result]]="dw",saintQ[[#This Row],[Result]]="dl")),1,0)</f>
        <v>0</v>
      </c>
      <c r="CQ20" s="4">
        <f>ABS((saintQ[[#This Row],[Home_scored]]+saintQ[[#This Row],[Away_scored]])-saintQ[[#This Row],[total]])+0.5</f>
        <v>44</v>
      </c>
    </row>
    <row r="21" spans="1:95" x14ac:dyDescent="0.25">
      <c r="A21" s="2" t="s">
        <v>349</v>
      </c>
      <c r="B21" s="2" t="s">
        <v>342</v>
      </c>
      <c r="C21" s="3" t="s">
        <v>73</v>
      </c>
      <c r="D21" s="3">
        <v>45689</v>
      </c>
      <c r="E21" s="2" t="s">
        <v>140</v>
      </c>
      <c r="F21" s="2" t="s">
        <v>333</v>
      </c>
      <c r="G21" s="2" t="s">
        <v>139</v>
      </c>
      <c r="H21" s="11">
        <v>74</v>
      </c>
      <c r="I21" s="11">
        <v>83</v>
      </c>
      <c r="J21" s="11">
        <v>29</v>
      </c>
      <c r="K21" s="11">
        <v>63</v>
      </c>
      <c r="L21" s="12">
        <v>0.46029999999999999</v>
      </c>
      <c r="M21" s="11">
        <v>20</v>
      </c>
      <c r="N21" s="11">
        <v>35</v>
      </c>
      <c r="O21" s="12">
        <v>0.57140000000000002</v>
      </c>
      <c r="P21" s="11">
        <v>9</v>
      </c>
      <c r="Q21" s="11">
        <v>28</v>
      </c>
      <c r="R21" s="12">
        <v>0.32140000000000002</v>
      </c>
      <c r="S21" s="11">
        <v>7</v>
      </c>
      <c r="T21" s="11">
        <v>15</v>
      </c>
      <c r="U21" s="12">
        <v>0.4667</v>
      </c>
      <c r="V21" s="11">
        <v>13</v>
      </c>
      <c r="W21" s="11">
        <v>23</v>
      </c>
      <c r="X21" s="11">
        <v>36</v>
      </c>
      <c r="Y21" s="11">
        <v>14</v>
      </c>
      <c r="Z21" s="11">
        <v>10</v>
      </c>
      <c r="AA21" s="11">
        <v>3</v>
      </c>
      <c r="AB21" s="11">
        <v>15</v>
      </c>
      <c r="AC21" s="11">
        <v>18</v>
      </c>
      <c r="AD21" s="11">
        <v>30</v>
      </c>
      <c r="AE21" s="11">
        <v>61</v>
      </c>
      <c r="AF21" s="12">
        <v>0.49180000000000001</v>
      </c>
      <c r="AG21" s="11">
        <v>15</v>
      </c>
      <c r="AH21" s="11">
        <v>32</v>
      </c>
      <c r="AI21" s="12">
        <v>0.46879999999999999</v>
      </c>
      <c r="AJ21" s="11">
        <v>15</v>
      </c>
      <c r="AK21" s="11">
        <v>29</v>
      </c>
      <c r="AL21" s="12">
        <v>0.51719999999999999</v>
      </c>
      <c r="AM21" s="11">
        <v>8</v>
      </c>
      <c r="AN21" s="11">
        <v>15</v>
      </c>
      <c r="AO21" s="12">
        <v>0.5333</v>
      </c>
      <c r="AP21" s="11">
        <v>12</v>
      </c>
      <c r="AQ21" s="11">
        <v>23</v>
      </c>
      <c r="AR21" s="11">
        <v>35</v>
      </c>
      <c r="AS21" s="11">
        <v>23</v>
      </c>
      <c r="AT21" s="11">
        <v>8</v>
      </c>
      <c r="AU21" s="11">
        <v>1</v>
      </c>
      <c r="AV21" s="11">
        <v>15</v>
      </c>
      <c r="AW21" s="11">
        <v>17</v>
      </c>
      <c r="AX21" s="12">
        <v>0.53159999999999996</v>
      </c>
      <c r="AY21" s="12">
        <v>0.53169999999999995</v>
      </c>
      <c r="AZ21" s="12">
        <v>0.36109999999999998</v>
      </c>
      <c r="BA21" s="12">
        <v>0.65710000000000002</v>
      </c>
      <c r="BB21" s="12">
        <v>0.50700000000000001</v>
      </c>
      <c r="BC21" s="4">
        <v>70.863</v>
      </c>
      <c r="BD21" s="12">
        <v>0.48280000000000001</v>
      </c>
      <c r="BE21" s="12">
        <v>0.1111</v>
      </c>
      <c r="BF21" s="12">
        <v>0.17730000000000001</v>
      </c>
      <c r="BG21" s="4">
        <v>104.6</v>
      </c>
      <c r="BH21" s="4">
        <v>117.3</v>
      </c>
      <c r="BI21" s="4">
        <v>70.745000000000005</v>
      </c>
      <c r="BJ21" s="12">
        <v>0.6139</v>
      </c>
      <c r="BK21" s="12">
        <v>0.61480000000000001</v>
      </c>
      <c r="BL21" s="12">
        <v>0.34289999999999998</v>
      </c>
      <c r="BM21" s="12">
        <v>0.63890000000000002</v>
      </c>
      <c r="BN21" s="12">
        <v>0.49299999999999999</v>
      </c>
      <c r="BO21" s="4">
        <v>70.626999999999995</v>
      </c>
      <c r="BP21" s="12">
        <v>0.76670000000000005</v>
      </c>
      <c r="BQ21" s="12">
        <v>0.13109999999999999</v>
      </c>
      <c r="BR21" s="12">
        <v>0.18160000000000001</v>
      </c>
      <c r="BS21" s="4">
        <v>117.3</v>
      </c>
      <c r="BT21" s="4">
        <v>104.6</v>
      </c>
      <c r="BU21" s="11">
        <v>15</v>
      </c>
      <c r="BV21" s="11">
        <v>23</v>
      </c>
      <c r="BW21" s="11">
        <v>11</v>
      </c>
      <c r="BX21" s="11">
        <v>25</v>
      </c>
      <c r="BY21" s="11">
        <v>19</v>
      </c>
      <c r="BZ21" s="11">
        <v>16</v>
      </c>
      <c r="CA21" s="11">
        <v>29</v>
      </c>
      <c r="CB21" s="11">
        <v>19</v>
      </c>
      <c r="CC21" s="11">
        <v>38</v>
      </c>
      <c r="CD21" s="11">
        <v>36</v>
      </c>
      <c r="CE21" s="11">
        <v>35</v>
      </c>
      <c r="CF21" s="11">
        <v>48</v>
      </c>
      <c r="CG21" s="4">
        <v>1.95</v>
      </c>
      <c r="CH21" s="13">
        <v>1.87</v>
      </c>
      <c r="CI21" s="4">
        <v>-1</v>
      </c>
      <c r="CJ21" s="4">
        <v>-1</v>
      </c>
      <c r="CK21" s="4">
        <v>164.5</v>
      </c>
      <c r="CL21" s="2" t="s">
        <v>493</v>
      </c>
      <c r="CM21" s="4" t="str">
        <f>VLOOKUP(saintQ[[#This Row],[Away_team]],all[[Full name]:[Abbr]],3,FALSE)</f>
        <v>NCY</v>
      </c>
      <c r="CN21" s="4">
        <f>IF(OR(saintQ[[#This Row],[Result]]="w",saintQ[[#This Row],[Result]]="dw"),saintQ[[#This Row],[win]]-1,-1)</f>
        <v>-1</v>
      </c>
      <c r="CO21" s="4">
        <f>IF(OR(saintQ[[#This Row],[Result]]="L",saintQ[[#This Row],[Result]]="dl"),saintQ[[#This Row],[lose]]-1,-1)</f>
        <v>0.87000000000000011</v>
      </c>
      <c r="CP21" s="4">
        <f>IF(OR((saintQ[[#This Row],[Home_scored]]+saintQ[[#This Row],[Away_scored]])&gt;saintQ[[#This Row],[total]],OR(saintQ[[#This Row],[Result]]="dw",saintQ[[#This Row],[Result]]="dl")),1,0)</f>
        <v>0</v>
      </c>
      <c r="CQ21" s="4">
        <f>ABS((saintQ[[#This Row],[Home_scored]]+saintQ[[#This Row],[Away_scored]])-saintQ[[#This Row],[total]])+0.5</f>
        <v>8</v>
      </c>
    </row>
    <row r="22" spans="1:95" x14ac:dyDescent="0.25">
      <c r="A22" s="2" t="s">
        <v>349</v>
      </c>
      <c r="B22" s="2" t="s">
        <v>342</v>
      </c>
      <c r="C22" s="3" t="s">
        <v>73</v>
      </c>
      <c r="D22" s="3">
        <v>45696</v>
      </c>
      <c r="E22" s="2" t="s">
        <v>74</v>
      </c>
      <c r="F22" s="2" t="s">
        <v>302</v>
      </c>
      <c r="G22" s="2" t="s">
        <v>139</v>
      </c>
      <c r="H22" s="11">
        <v>81</v>
      </c>
      <c r="I22" s="11">
        <v>83</v>
      </c>
      <c r="J22" s="11">
        <v>30</v>
      </c>
      <c r="K22" s="11">
        <v>62</v>
      </c>
      <c r="L22" s="12">
        <v>0.4839</v>
      </c>
      <c r="M22" s="11">
        <v>22</v>
      </c>
      <c r="N22" s="11">
        <v>38</v>
      </c>
      <c r="O22" s="12">
        <v>0.57889999999999997</v>
      </c>
      <c r="P22" s="11">
        <v>8</v>
      </c>
      <c r="Q22" s="11">
        <v>24</v>
      </c>
      <c r="R22" s="12">
        <v>0.33329999999999999</v>
      </c>
      <c r="S22" s="11">
        <v>13</v>
      </c>
      <c r="T22" s="11">
        <v>21</v>
      </c>
      <c r="U22" s="12">
        <v>0.61899999999999999</v>
      </c>
      <c r="V22" s="11">
        <v>15</v>
      </c>
      <c r="W22" s="11">
        <v>20</v>
      </c>
      <c r="X22" s="11">
        <v>35</v>
      </c>
      <c r="Y22" s="11">
        <v>17</v>
      </c>
      <c r="Z22" s="11">
        <v>5</v>
      </c>
      <c r="AA22" s="11">
        <v>2</v>
      </c>
      <c r="AB22" s="11">
        <v>14</v>
      </c>
      <c r="AC22" s="11">
        <v>26</v>
      </c>
      <c r="AD22" s="11">
        <v>27</v>
      </c>
      <c r="AE22" s="11">
        <v>51</v>
      </c>
      <c r="AF22" s="12">
        <v>0.52939999999999998</v>
      </c>
      <c r="AG22" s="11">
        <v>17</v>
      </c>
      <c r="AH22" s="11">
        <v>31</v>
      </c>
      <c r="AI22" s="12">
        <v>0.5484</v>
      </c>
      <c r="AJ22" s="11">
        <v>10</v>
      </c>
      <c r="AK22" s="11">
        <v>20</v>
      </c>
      <c r="AL22" s="12">
        <v>0.5</v>
      </c>
      <c r="AM22" s="11">
        <v>19</v>
      </c>
      <c r="AN22" s="11">
        <v>24</v>
      </c>
      <c r="AO22" s="12">
        <v>0.79169999999999996</v>
      </c>
      <c r="AP22" s="11">
        <v>4</v>
      </c>
      <c r="AQ22" s="11">
        <v>22</v>
      </c>
      <c r="AR22" s="11">
        <v>26</v>
      </c>
      <c r="AS22" s="11">
        <v>16</v>
      </c>
      <c r="AT22" s="11">
        <v>9</v>
      </c>
      <c r="AU22" s="11">
        <v>3</v>
      </c>
      <c r="AV22" s="11">
        <v>9</v>
      </c>
      <c r="AW22" s="11">
        <v>19</v>
      </c>
      <c r="AX22" s="12">
        <v>0.56850000000000001</v>
      </c>
      <c r="AY22" s="12">
        <v>0.5484</v>
      </c>
      <c r="AZ22" s="12">
        <v>0.40539999999999998</v>
      </c>
      <c r="BA22" s="12">
        <v>0.83330000000000004</v>
      </c>
      <c r="BB22" s="12">
        <v>0.57379999999999998</v>
      </c>
      <c r="BC22" s="4">
        <v>69.725999999999999</v>
      </c>
      <c r="BD22" s="12">
        <v>0.56669999999999998</v>
      </c>
      <c r="BE22" s="12">
        <v>0.2097</v>
      </c>
      <c r="BF22" s="12">
        <v>0.16420000000000001</v>
      </c>
      <c r="BG22" s="4">
        <v>119.7</v>
      </c>
      <c r="BH22" s="4">
        <v>122.6</v>
      </c>
      <c r="BI22" s="4">
        <v>67.6875</v>
      </c>
      <c r="BJ22" s="12">
        <v>0.67410000000000003</v>
      </c>
      <c r="BK22" s="12">
        <v>0.62749999999999995</v>
      </c>
      <c r="BL22" s="12">
        <v>0.16669999999999999</v>
      </c>
      <c r="BM22" s="12">
        <v>0.59460000000000002</v>
      </c>
      <c r="BN22" s="12">
        <v>0.42620000000000002</v>
      </c>
      <c r="BO22" s="4">
        <v>65.649000000000001</v>
      </c>
      <c r="BP22" s="12">
        <v>0.59260000000000002</v>
      </c>
      <c r="BQ22" s="12">
        <v>0.3725</v>
      </c>
      <c r="BR22" s="12">
        <v>0.12759999999999999</v>
      </c>
      <c r="BS22" s="4">
        <v>122.6</v>
      </c>
      <c r="BT22" s="4">
        <v>119.7</v>
      </c>
      <c r="BU22" s="11">
        <v>21</v>
      </c>
      <c r="BV22" s="11">
        <v>15</v>
      </c>
      <c r="BW22" s="11">
        <v>22</v>
      </c>
      <c r="BX22" s="11">
        <v>23</v>
      </c>
      <c r="BY22" s="11">
        <v>21</v>
      </c>
      <c r="BZ22" s="11">
        <v>19</v>
      </c>
      <c r="CA22" s="11">
        <v>18</v>
      </c>
      <c r="CB22" s="11">
        <v>25</v>
      </c>
      <c r="CC22" s="11">
        <v>36</v>
      </c>
      <c r="CD22" s="11">
        <v>45</v>
      </c>
      <c r="CE22" s="11">
        <v>40</v>
      </c>
      <c r="CF22" s="11">
        <v>43</v>
      </c>
      <c r="CG22" s="4">
        <v>2.4</v>
      </c>
      <c r="CH22" s="13">
        <v>1.61</v>
      </c>
      <c r="CI22" s="4">
        <v>3.5</v>
      </c>
      <c r="CJ22" s="4">
        <v>-3.5</v>
      </c>
      <c r="CK22" s="4">
        <v>163.5</v>
      </c>
      <c r="CL22" s="2" t="s">
        <v>501</v>
      </c>
      <c r="CM22" s="4" t="str">
        <f>VLOOKUP(saintQ[[#This Row],[Away_team]],all[[Full name]:[Abbr]],3,FALSE)</f>
        <v>BUR</v>
      </c>
      <c r="CN22" s="4">
        <f>IF(OR(saintQ[[#This Row],[Result]]="w",saintQ[[#This Row],[Result]]="dw"),saintQ[[#This Row],[win]]-1,-1)</f>
        <v>-1</v>
      </c>
      <c r="CO22" s="4">
        <f>IF(OR(saintQ[[#This Row],[Result]]="L",saintQ[[#This Row],[Result]]="dl"),saintQ[[#This Row],[lose]]-1,-1)</f>
        <v>0.6100000000000001</v>
      </c>
      <c r="CP22" s="4">
        <f>IF(OR((saintQ[[#This Row],[Home_scored]]+saintQ[[#This Row],[Away_scored]])&gt;saintQ[[#This Row],[total]],OR(saintQ[[#This Row],[Result]]="dw",saintQ[[#This Row],[Result]]="dl")),1,0)</f>
        <v>1</v>
      </c>
      <c r="CQ22" s="4">
        <f>ABS((saintQ[[#This Row],[Home_scored]]+saintQ[[#This Row],[Away_scored]])-saintQ[[#This Row],[total]])+0.5</f>
        <v>1</v>
      </c>
    </row>
    <row r="23" spans="1:95" x14ac:dyDescent="0.25">
      <c r="A23" s="2" t="s">
        <v>349</v>
      </c>
      <c r="B23" s="2" t="s">
        <v>342</v>
      </c>
      <c r="C23" s="3" t="s">
        <v>73</v>
      </c>
      <c r="D23" s="3">
        <v>45717</v>
      </c>
      <c r="E23" s="2" t="s">
        <v>140</v>
      </c>
      <c r="F23" s="2" t="s">
        <v>339</v>
      </c>
      <c r="G23" s="2" t="s">
        <v>75</v>
      </c>
      <c r="H23" s="11">
        <v>88</v>
      </c>
      <c r="I23" s="11">
        <v>86</v>
      </c>
      <c r="J23" s="11">
        <v>34</v>
      </c>
      <c r="K23" s="11">
        <v>63</v>
      </c>
      <c r="L23" s="12">
        <v>0.53969999999999996</v>
      </c>
      <c r="M23" s="11">
        <v>22</v>
      </c>
      <c r="N23" s="11">
        <v>38</v>
      </c>
      <c r="O23" s="12">
        <v>0.57889999999999997</v>
      </c>
      <c r="P23" s="11">
        <v>12</v>
      </c>
      <c r="Q23" s="11">
        <v>25</v>
      </c>
      <c r="R23" s="12">
        <v>0.48</v>
      </c>
      <c r="S23" s="11">
        <v>8</v>
      </c>
      <c r="T23" s="11">
        <v>9</v>
      </c>
      <c r="U23" s="12">
        <v>0.88890000000000002</v>
      </c>
      <c r="V23" s="11">
        <v>9</v>
      </c>
      <c r="W23" s="11">
        <v>22</v>
      </c>
      <c r="X23" s="11">
        <v>31</v>
      </c>
      <c r="Y23" s="11">
        <v>16</v>
      </c>
      <c r="Z23" s="11">
        <v>4</v>
      </c>
      <c r="AA23" s="11">
        <v>2</v>
      </c>
      <c r="AB23" s="11">
        <v>13</v>
      </c>
      <c r="AC23" s="11">
        <v>24</v>
      </c>
      <c r="AD23" s="11">
        <v>28</v>
      </c>
      <c r="AE23" s="11">
        <v>63</v>
      </c>
      <c r="AF23" s="12">
        <v>0.44440000000000002</v>
      </c>
      <c r="AG23" s="11">
        <v>19</v>
      </c>
      <c r="AH23" s="11">
        <v>32</v>
      </c>
      <c r="AI23" s="12">
        <v>0.59379999999999999</v>
      </c>
      <c r="AJ23" s="11">
        <v>9</v>
      </c>
      <c r="AK23" s="11">
        <v>31</v>
      </c>
      <c r="AL23" s="12">
        <v>0.2903</v>
      </c>
      <c r="AM23" s="11">
        <v>21</v>
      </c>
      <c r="AN23" s="11">
        <v>29</v>
      </c>
      <c r="AO23" s="12">
        <v>0.72409999999999997</v>
      </c>
      <c r="AP23" s="11">
        <v>14</v>
      </c>
      <c r="AQ23" s="11">
        <v>20</v>
      </c>
      <c r="AR23" s="11">
        <v>34</v>
      </c>
      <c r="AS23" s="11">
        <v>13</v>
      </c>
      <c r="AT23" s="11">
        <v>5</v>
      </c>
      <c r="AU23" s="11">
        <v>8</v>
      </c>
      <c r="AV23" s="11">
        <v>8</v>
      </c>
      <c r="AW23" s="11">
        <v>17</v>
      </c>
      <c r="AX23" s="12">
        <v>0.65710000000000002</v>
      </c>
      <c r="AY23" s="12">
        <v>0.63490000000000002</v>
      </c>
      <c r="AZ23" s="12">
        <v>0.31030000000000002</v>
      </c>
      <c r="BA23" s="12">
        <v>0.61109999999999998</v>
      </c>
      <c r="BB23" s="12">
        <v>0.47689999999999999</v>
      </c>
      <c r="BC23" s="4">
        <v>70.590999999999994</v>
      </c>
      <c r="BD23" s="12">
        <v>0.47060000000000002</v>
      </c>
      <c r="BE23" s="12">
        <v>0.127</v>
      </c>
      <c r="BF23" s="12">
        <v>0.16259999999999999</v>
      </c>
      <c r="BG23" s="4">
        <v>127.7</v>
      </c>
      <c r="BH23" s="4">
        <v>124.8</v>
      </c>
      <c r="BI23" s="4">
        <v>68.885000000000005</v>
      </c>
      <c r="BJ23" s="12">
        <v>0.56759999999999999</v>
      </c>
      <c r="BK23" s="12">
        <v>0.51590000000000003</v>
      </c>
      <c r="BL23" s="12">
        <v>0.38890000000000002</v>
      </c>
      <c r="BM23" s="12">
        <v>0.68969999999999998</v>
      </c>
      <c r="BN23" s="12">
        <v>0.52310000000000001</v>
      </c>
      <c r="BO23" s="4">
        <v>67.179000000000002</v>
      </c>
      <c r="BP23" s="12">
        <v>0.46429999999999999</v>
      </c>
      <c r="BQ23" s="12">
        <v>0.33329999999999999</v>
      </c>
      <c r="BR23" s="12">
        <v>9.5500000000000002E-2</v>
      </c>
      <c r="BS23" s="4">
        <v>124.8</v>
      </c>
      <c r="BT23" s="4">
        <v>127.7</v>
      </c>
      <c r="BU23" s="11">
        <v>19</v>
      </c>
      <c r="BV23" s="11">
        <v>29</v>
      </c>
      <c r="BW23" s="11">
        <v>25</v>
      </c>
      <c r="BX23" s="11">
        <v>15</v>
      </c>
      <c r="BY23" s="11">
        <v>20</v>
      </c>
      <c r="BZ23" s="11">
        <v>25</v>
      </c>
      <c r="CA23" s="11">
        <v>20</v>
      </c>
      <c r="CB23" s="11">
        <v>21</v>
      </c>
      <c r="CC23" s="11">
        <v>48</v>
      </c>
      <c r="CD23" s="11">
        <v>40</v>
      </c>
      <c r="CE23" s="11">
        <v>45</v>
      </c>
      <c r="CF23" s="11">
        <v>41</v>
      </c>
      <c r="CG23" s="4">
        <v>6</v>
      </c>
      <c r="CH23" s="13">
        <v>1.1399999999999999</v>
      </c>
      <c r="CI23" s="4">
        <v>11.5</v>
      </c>
      <c r="CJ23" s="4">
        <v>-11.5</v>
      </c>
      <c r="CK23" s="4">
        <v>174.5</v>
      </c>
      <c r="CL23" s="2" t="s">
        <v>512</v>
      </c>
      <c r="CM23" s="4" t="str">
        <f>VLOOKUP(saintQ[[#This Row],[Away_team]],all[[Full name]:[Abbr]],3,FALSE)</f>
        <v>PAR</v>
      </c>
      <c r="CN23" s="4">
        <f>IF(OR(saintQ[[#This Row],[Result]]="w",saintQ[[#This Row],[Result]]="dw"),saintQ[[#This Row],[win]]-1,-1)</f>
        <v>5</v>
      </c>
      <c r="CO23" s="4">
        <f>IF(OR(saintQ[[#This Row],[Result]]="L",saintQ[[#This Row],[Result]]="dl"),saintQ[[#This Row],[lose]]-1,-1)</f>
        <v>-1</v>
      </c>
      <c r="CP23" s="4">
        <f>IF(OR((saintQ[[#This Row],[Home_scored]]+saintQ[[#This Row],[Away_scored]])&gt;saintQ[[#This Row],[total]],OR(saintQ[[#This Row],[Result]]="dw",saintQ[[#This Row],[Result]]="dl")),1,0)</f>
        <v>0</v>
      </c>
      <c r="CQ23" s="4">
        <f>ABS((saintQ[[#This Row],[Home_scored]]+saintQ[[#This Row],[Away_scored]])-saintQ[[#This Row],[total]])+0.5</f>
        <v>1</v>
      </c>
    </row>
    <row r="24" spans="1:95" x14ac:dyDescent="0.25">
      <c r="A24" s="2" t="s">
        <v>349</v>
      </c>
      <c r="B24" s="2" t="s">
        <v>342</v>
      </c>
      <c r="C24" s="3" t="s">
        <v>73</v>
      </c>
      <c r="D24" s="3">
        <v>45724</v>
      </c>
      <c r="E24" s="2" t="s">
        <v>140</v>
      </c>
      <c r="F24" s="2" t="s">
        <v>345</v>
      </c>
      <c r="G24" s="2" t="s">
        <v>139</v>
      </c>
      <c r="H24" s="11">
        <v>69</v>
      </c>
      <c r="I24" s="11">
        <v>83</v>
      </c>
      <c r="J24" s="11">
        <v>24</v>
      </c>
      <c r="K24" s="11">
        <v>55</v>
      </c>
      <c r="L24" s="12">
        <v>0.43640000000000001</v>
      </c>
      <c r="M24" s="11">
        <v>15</v>
      </c>
      <c r="N24" s="11">
        <v>26</v>
      </c>
      <c r="O24" s="12">
        <v>0.57689999999999997</v>
      </c>
      <c r="P24" s="11">
        <v>9</v>
      </c>
      <c r="Q24" s="11">
        <v>29</v>
      </c>
      <c r="R24" s="12">
        <v>0.31030000000000002</v>
      </c>
      <c r="S24" s="11">
        <v>12</v>
      </c>
      <c r="T24" s="11">
        <v>17</v>
      </c>
      <c r="U24" s="12">
        <v>0.70589999999999997</v>
      </c>
      <c r="V24" s="11">
        <v>9</v>
      </c>
      <c r="W24" s="11">
        <v>19</v>
      </c>
      <c r="X24" s="11">
        <v>28</v>
      </c>
      <c r="Y24" s="11">
        <v>14</v>
      </c>
      <c r="Z24" s="11">
        <v>7</v>
      </c>
      <c r="AA24" s="11">
        <v>2</v>
      </c>
      <c r="AB24" s="11">
        <v>13</v>
      </c>
      <c r="AC24" s="11">
        <v>26</v>
      </c>
      <c r="AD24" s="11">
        <v>25</v>
      </c>
      <c r="AE24" s="11">
        <v>51</v>
      </c>
      <c r="AF24" s="12">
        <v>0.49020000000000002</v>
      </c>
      <c r="AG24" s="11">
        <v>13</v>
      </c>
      <c r="AH24" s="11">
        <v>24</v>
      </c>
      <c r="AI24" s="12">
        <v>0.54169999999999996</v>
      </c>
      <c r="AJ24" s="11">
        <v>12</v>
      </c>
      <c r="AK24" s="11">
        <v>27</v>
      </c>
      <c r="AL24" s="12">
        <v>0.44440000000000002</v>
      </c>
      <c r="AM24" s="11">
        <v>21</v>
      </c>
      <c r="AN24" s="11">
        <v>26</v>
      </c>
      <c r="AO24" s="12">
        <v>0.80769999999999997</v>
      </c>
      <c r="AP24" s="11">
        <v>9</v>
      </c>
      <c r="AQ24" s="11">
        <v>25</v>
      </c>
      <c r="AR24" s="11">
        <v>34</v>
      </c>
      <c r="AS24" s="11">
        <v>18</v>
      </c>
      <c r="AT24" s="11">
        <v>6</v>
      </c>
      <c r="AU24" s="11">
        <v>0</v>
      </c>
      <c r="AV24" s="11">
        <v>12</v>
      </c>
      <c r="AW24" s="11">
        <v>20</v>
      </c>
      <c r="AX24" s="12">
        <v>0.55220000000000002</v>
      </c>
      <c r="AY24" s="12">
        <v>0.51819999999999999</v>
      </c>
      <c r="AZ24" s="12">
        <v>0.26469999999999999</v>
      </c>
      <c r="BA24" s="12">
        <v>0.67859999999999998</v>
      </c>
      <c r="BB24" s="12">
        <v>0.4516</v>
      </c>
      <c r="BC24" s="4">
        <v>64.138000000000005</v>
      </c>
      <c r="BD24" s="12">
        <v>0.58330000000000004</v>
      </c>
      <c r="BE24" s="12">
        <v>0.21820000000000001</v>
      </c>
      <c r="BF24" s="12">
        <v>0.17219999999999999</v>
      </c>
      <c r="BG24" s="4">
        <v>106</v>
      </c>
      <c r="BH24" s="4">
        <v>127.5</v>
      </c>
      <c r="BI24" s="4">
        <v>65.087000000000003</v>
      </c>
      <c r="BJ24" s="12">
        <v>0.66459999999999997</v>
      </c>
      <c r="BK24" s="12">
        <v>0.60780000000000001</v>
      </c>
      <c r="BL24" s="12">
        <v>0.32140000000000002</v>
      </c>
      <c r="BM24" s="12">
        <v>0.73529999999999995</v>
      </c>
      <c r="BN24" s="12">
        <v>0.5484</v>
      </c>
      <c r="BO24" s="4">
        <v>66.036000000000001</v>
      </c>
      <c r="BP24" s="12">
        <v>0.72</v>
      </c>
      <c r="BQ24" s="12">
        <v>0.4118</v>
      </c>
      <c r="BR24" s="12">
        <v>0.16120000000000001</v>
      </c>
      <c r="BS24" s="4">
        <v>127.5</v>
      </c>
      <c r="BT24" s="4">
        <v>106</v>
      </c>
      <c r="BU24" s="11">
        <v>23</v>
      </c>
      <c r="BV24" s="11">
        <v>10</v>
      </c>
      <c r="BW24" s="11">
        <v>22</v>
      </c>
      <c r="BX24" s="11">
        <v>14</v>
      </c>
      <c r="BY24" s="11">
        <v>18</v>
      </c>
      <c r="BZ24" s="11">
        <v>24</v>
      </c>
      <c r="CA24" s="11">
        <v>20</v>
      </c>
      <c r="CB24" s="11">
        <v>21</v>
      </c>
      <c r="CC24" s="11">
        <v>33</v>
      </c>
      <c r="CD24" s="11">
        <v>36</v>
      </c>
      <c r="CE24" s="11">
        <v>42</v>
      </c>
      <c r="CF24" s="11">
        <v>41</v>
      </c>
      <c r="CG24" s="4">
        <v>1.95</v>
      </c>
      <c r="CH24" s="13">
        <v>1.86</v>
      </c>
      <c r="CI24" s="4">
        <v>-1</v>
      </c>
      <c r="CJ24" s="4">
        <v>-1</v>
      </c>
      <c r="CK24" s="4">
        <v>160.5</v>
      </c>
      <c r="CL24" s="2" t="s">
        <v>517</v>
      </c>
      <c r="CM24" s="4" t="str">
        <f>VLOOKUP(saintQ[[#This Row],[Away_team]],all[[Full name]:[Abbr]],3,FALSE)</f>
        <v>STR</v>
      </c>
      <c r="CN24" s="4">
        <f>IF(OR(saintQ[[#This Row],[Result]]="w",saintQ[[#This Row],[Result]]="dw"),saintQ[[#This Row],[win]]-1,-1)</f>
        <v>-1</v>
      </c>
      <c r="CO24" s="4">
        <f>IF(OR(saintQ[[#This Row],[Result]]="L",saintQ[[#This Row],[Result]]="dl"),saintQ[[#This Row],[lose]]-1,-1)</f>
        <v>0.8600000000000001</v>
      </c>
      <c r="CP24" s="4">
        <f>IF(OR((saintQ[[#This Row],[Home_scored]]+saintQ[[#This Row],[Away_scored]])&gt;saintQ[[#This Row],[total]],OR(saintQ[[#This Row],[Result]]="dw",saintQ[[#This Row],[Result]]="dl")),1,0)</f>
        <v>0</v>
      </c>
      <c r="CQ24" s="4">
        <f>ABS((saintQ[[#This Row],[Home_scored]]+saintQ[[#This Row],[Away_scored]])-saintQ[[#This Row],[total]])+0.5</f>
        <v>9</v>
      </c>
    </row>
    <row r="25" spans="1:95" x14ac:dyDescent="0.25">
      <c r="A25" s="2" t="s">
        <v>349</v>
      </c>
      <c r="B25" s="2" t="s">
        <v>342</v>
      </c>
      <c r="C25" s="3" t="s">
        <v>73</v>
      </c>
      <c r="D25" s="3">
        <v>45739</v>
      </c>
      <c r="E25" s="2" t="s">
        <v>74</v>
      </c>
      <c r="F25" s="2" t="s">
        <v>336</v>
      </c>
      <c r="G25" s="2" t="s">
        <v>139</v>
      </c>
      <c r="H25" s="11">
        <v>67</v>
      </c>
      <c r="I25" s="11">
        <v>76</v>
      </c>
      <c r="J25" s="11">
        <v>24</v>
      </c>
      <c r="K25" s="11">
        <v>57</v>
      </c>
      <c r="L25" s="12">
        <v>0.42109999999999997</v>
      </c>
      <c r="M25" s="11">
        <v>16</v>
      </c>
      <c r="N25" s="11">
        <v>29</v>
      </c>
      <c r="O25" s="12">
        <v>0.55169999999999997</v>
      </c>
      <c r="P25" s="11">
        <v>8</v>
      </c>
      <c r="Q25" s="11">
        <v>28</v>
      </c>
      <c r="R25" s="12">
        <v>0.28570000000000001</v>
      </c>
      <c r="S25" s="11">
        <v>11</v>
      </c>
      <c r="T25" s="11">
        <v>17</v>
      </c>
      <c r="U25" s="12">
        <v>0.64710000000000001</v>
      </c>
      <c r="V25" s="11">
        <v>11</v>
      </c>
      <c r="W25" s="11">
        <v>29</v>
      </c>
      <c r="X25" s="11">
        <v>40</v>
      </c>
      <c r="Y25" s="11">
        <v>16</v>
      </c>
      <c r="Z25" s="11">
        <v>5</v>
      </c>
      <c r="AA25" s="11">
        <v>1</v>
      </c>
      <c r="AB25" s="11">
        <v>16</v>
      </c>
      <c r="AC25" s="11">
        <v>22</v>
      </c>
      <c r="AD25" s="11">
        <v>25</v>
      </c>
      <c r="AE25" s="11">
        <v>62</v>
      </c>
      <c r="AF25" s="12">
        <v>0.4032</v>
      </c>
      <c r="AG25" s="11">
        <v>17</v>
      </c>
      <c r="AH25" s="11">
        <v>35</v>
      </c>
      <c r="AI25" s="12">
        <v>0.48570000000000002</v>
      </c>
      <c r="AJ25" s="11">
        <v>8</v>
      </c>
      <c r="AK25" s="11">
        <v>27</v>
      </c>
      <c r="AL25" s="12">
        <v>0.29630000000000001</v>
      </c>
      <c r="AM25" s="11">
        <v>18</v>
      </c>
      <c r="AN25" s="11">
        <v>27</v>
      </c>
      <c r="AO25" s="12">
        <v>0.66669999999999996</v>
      </c>
      <c r="AP25" s="11">
        <v>13</v>
      </c>
      <c r="AQ25" s="11">
        <v>28</v>
      </c>
      <c r="AR25" s="11">
        <v>41</v>
      </c>
      <c r="AS25" s="11">
        <v>18</v>
      </c>
      <c r="AT25" s="11">
        <v>9</v>
      </c>
      <c r="AU25" s="11">
        <v>2</v>
      </c>
      <c r="AV25" s="11">
        <v>9</v>
      </c>
      <c r="AW25" s="11">
        <v>19</v>
      </c>
      <c r="AX25" s="12">
        <v>0.51949999999999996</v>
      </c>
      <c r="AY25" s="12">
        <v>0.49120000000000003</v>
      </c>
      <c r="AZ25" s="12">
        <v>0.28210000000000002</v>
      </c>
      <c r="BA25" s="12">
        <v>0.6905</v>
      </c>
      <c r="BB25" s="12">
        <v>0.49380000000000002</v>
      </c>
      <c r="BC25" s="4">
        <v>70.09</v>
      </c>
      <c r="BD25" s="12">
        <v>0.66669999999999996</v>
      </c>
      <c r="BE25" s="12">
        <v>0.193</v>
      </c>
      <c r="BF25" s="12">
        <v>0.1988</v>
      </c>
      <c r="BG25" s="4">
        <v>96.2</v>
      </c>
      <c r="BH25" s="4">
        <v>109.1</v>
      </c>
      <c r="BI25" s="4">
        <v>69.668499999999995</v>
      </c>
      <c r="BJ25" s="12">
        <v>0.51429999999999998</v>
      </c>
      <c r="BK25" s="12">
        <v>0.4677</v>
      </c>
      <c r="BL25" s="12">
        <v>0.3095</v>
      </c>
      <c r="BM25" s="12">
        <v>0.71789999999999998</v>
      </c>
      <c r="BN25" s="12">
        <v>0.50619999999999998</v>
      </c>
      <c r="BO25" s="4">
        <v>69.247</v>
      </c>
      <c r="BP25" s="12">
        <v>0.72</v>
      </c>
      <c r="BQ25" s="12">
        <v>0.2903</v>
      </c>
      <c r="BR25" s="12">
        <v>0.1086</v>
      </c>
      <c r="BS25" s="4">
        <v>109.1</v>
      </c>
      <c r="BT25" s="4">
        <v>96.2</v>
      </c>
      <c r="BU25" s="11">
        <v>17</v>
      </c>
      <c r="BV25" s="11">
        <v>12</v>
      </c>
      <c r="BW25" s="11">
        <v>14</v>
      </c>
      <c r="BX25" s="11">
        <v>24</v>
      </c>
      <c r="BY25" s="11">
        <v>20</v>
      </c>
      <c r="BZ25" s="11">
        <v>14</v>
      </c>
      <c r="CA25" s="11">
        <v>26</v>
      </c>
      <c r="CB25" s="11">
        <v>16</v>
      </c>
      <c r="CC25" s="11">
        <v>29</v>
      </c>
      <c r="CD25" s="11">
        <v>38</v>
      </c>
      <c r="CE25" s="11">
        <v>34</v>
      </c>
      <c r="CF25" s="11">
        <v>42</v>
      </c>
      <c r="CG25" s="4">
        <v>1.41</v>
      </c>
      <c r="CH25" s="13">
        <v>2.95</v>
      </c>
      <c r="CI25" s="4">
        <v>-6</v>
      </c>
      <c r="CJ25" s="4">
        <v>-6</v>
      </c>
      <c r="CK25" s="4">
        <v>163.5</v>
      </c>
      <c r="CL25" s="2" t="s">
        <v>528</v>
      </c>
      <c r="CM25" s="4" t="str">
        <f>VLOOKUP(saintQ[[#This Row],[Away_team]],all[[Full name]:[Abbr]],3,FALSE)</f>
        <v>NAN</v>
      </c>
      <c r="CN25" s="4">
        <f>IF(OR(saintQ[[#This Row],[Result]]="w",saintQ[[#This Row],[Result]]="dw"),saintQ[[#This Row],[win]]-1,-1)</f>
        <v>-1</v>
      </c>
      <c r="CO25" s="4">
        <f>IF(OR(saintQ[[#This Row],[Result]]="L",saintQ[[#This Row],[Result]]="dl"),saintQ[[#This Row],[lose]]-1,-1)</f>
        <v>1.9500000000000002</v>
      </c>
      <c r="CP25" s="4">
        <f>IF(OR((saintQ[[#This Row],[Home_scored]]+saintQ[[#This Row],[Away_scored]])&gt;saintQ[[#This Row],[total]],OR(saintQ[[#This Row],[Result]]="dw",saintQ[[#This Row],[Result]]="dl")),1,0)</f>
        <v>0</v>
      </c>
      <c r="CQ25" s="4">
        <f>ABS((saintQ[[#This Row],[Home_scored]]+saintQ[[#This Row],[Away_scored]])-saintQ[[#This Row],[total]])+0.5</f>
        <v>21</v>
      </c>
    </row>
    <row r="26" spans="1:95" x14ac:dyDescent="0.25">
      <c r="A26" s="2" t="s">
        <v>349</v>
      </c>
      <c r="B26" s="2" t="s">
        <v>342</v>
      </c>
      <c r="C26" s="3" t="s">
        <v>73</v>
      </c>
      <c r="D26" s="3">
        <v>45745</v>
      </c>
      <c r="E26" s="2" t="s">
        <v>74</v>
      </c>
      <c r="F26" s="2" t="s">
        <v>311</v>
      </c>
      <c r="G26" s="2" t="s">
        <v>75</v>
      </c>
      <c r="H26" s="11">
        <v>85</v>
      </c>
      <c r="I26" s="11">
        <v>72</v>
      </c>
      <c r="J26" s="11">
        <v>29</v>
      </c>
      <c r="K26" s="11">
        <v>58</v>
      </c>
      <c r="L26" s="12">
        <v>0.5</v>
      </c>
      <c r="M26" s="11">
        <v>14</v>
      </c>
      <c r="N26" s="11">
        <v>27</v>
      </c>
      <c r="O26" s="12">
        <v>0.51849999999999996</v>
      </c>
      <c r="P26" s="11">
        <v>15</v>
      </c>
      <c r="Q26" s="11">
        <v>31</v>
      </c>
      <c r="R26" s="12">
        <v>0.4839</v>
      </c>
      <c r="S26" s="11">
        <v>12</v>
      </c>
      <c r="T26" s="11">
        <v>17</v>
      </c>
      <c r="U26" s="12">
        <v>0.70589999999999997</v>
      </c>
      <c r="V26" s="11">
        <v>11</v>
      </c>
      <c r="W26" s="11">
        <v>26</v>
      </c>
      <c r="X26" s="11">
        <v>37</v>
      </c>
      <c r="Y26" s="11">
        <v>22</v>
      </c>
      <c r="Z26" s="11">
        <v>6</v>
      </c>
      <c r="AA26" s="11">
        <v>2</v>
      </c>
      <c r="AB26" s="11">
        <v>18</v>
      </c>
      <c r="AC26" s="11">
        <v>22</v>
      </c>
      <c r="AD26" s="11">
        <v>23</v>
      </c>
      <c r="AE26" s="11">
        <v>52</v>
      </c>
      <c r="AF26" s="12">
        <v>0.44230000000000003</v>
      </c>
      <c r="AG26" s="11">
        <v>22</v>
      </c>
      <c r="AH26" s="11">
        <v>36</v>
      </c>
      <c r="AI26" s="12">
        <v>0.61109999999999998</v>
      </c>
      <c r="AJ26" s="11">
        <v>1</v>
      </c>
      <c r="AK26" s="11">
        <v>16</v>
      </c>
      <c r="AL26" s="12">
        <v>6.25E-2</v>
      </c>
      <c r="AM26" s="11">
        <v>25</v>
      </c>
      <c r="AN26" s="11">
        <v>26</v>
      </c>
      <c r="AO26" s="12">
        <v>0.96150000000000002</v>
      </c>
      <c r="AP26" s="11">
        <v>4</v>
      </c>
      <c r="AQ26" s="11">
        <v>19</v>
      </c>
      <c r="AR26" s="11">
        <v>23</v>
      </c>
      <c r="AS26" s="11">
        <v>23</v>
      </c>
      <c r="AT26" s="11">
        <v>10</v>
      </c>
      <c r="AU26" s="11">
        <v>2</v>
      </c>
      <c r="AV26" s="11">
        <v>12</v>
      </c>
      <c r="AW26" s="11">
        <v>15</v>
      </c>
      <c r="AX26" s="12">
        <v>0.64910000000000001</v>
      </c>
      <c r="AY26" s="12">
        <v>0.62929999999999997</v>
      </c>
      <c r="AZ26" s="12">
        <v>0.36670000000000003</v>
      </c>
      <c r="BA26" s="12">
        <v>0.86670000000000003</v>
      </c>
      <c r="BB26" s="12">
        <v>0.61670000000000003</v>
      </c>
      <c r="BC26" s="4">
        <v>73.575000000000003</v>
      </c>
      <c r="BD26" s="12">
        <v>0.75860000000000005</v>
      </c>
      <c r="BE26" s="12">
        <v>0.2069</v>
      </c>
      <c r="BF26" s="12">
        <v>0.21560000000000001</v>
      </c>
      <c r="BG26" s="4">
        <v>119.2</v>
      </c>
      <c r="BH26" s="4">
        <v>101</v>
      </c>
      <c r="BI26" s="4">
        <v>71.289000000000001</v>
      </c>
      <c r="BJ26" s="12">
        <v>0.5675</v>
      </c>
      <c r="BK26" s="12">
        <v>0.45190000000000002</v>
      </c>
      <c r="BL26" s="12">
        <v>0.1333</v>
      </c>
      <c r="BM26" s="12">
        <v>0.63329999999999997</v>
      </c>
      <c r="BN26" s="12">
        <v>0.38329999999999997</v>
      </c>
      <c r="BO26" s="4">
        <v>69.003</v>
      </c>
      <c r="BP26" s="12">
        <v>1</v>
      </c>
      <c r="BQ26" s="12">
        <v>0.48080000000000001</v>
      </c>
      <c r="BR26" s="12">
        <v>0.15909999999999999</v>
      </c>
      <c r="BS26" s="4">
        <v>101</v>
      </c>
      <c r="BT26" s="4">
        <v>119.2</v>
      </c>
      <c r="BU26" s="11">
        <v>20</v>
      </c>
      <c r="BV26" s="11">
        <v>21</v>
      </c>
      <c r="BW26" s="11">
        <v>23</v>
      </c>
      <c r="BX26" s="11">
        <v>21</v>
      </c>
      <c r="BY26" s="11">
        <v>14</v>
      </c>
      <c r="BZ26" s="11">
        <v>22</v>
      </c>
      <c r="CA26" s="11">
        <v>12</v>
      </c>
      <c r="CB26" s="11">
        <v>24</v>
      </c>
      <c r="CC26" s="11">
        <v>41</v>
      </c>
      <c r="CD26" s="11">
        <v>44</v>
      </c>
      <c r="CE26" s="11">
        <v>36</v>
      </c>
      <c r="CF26" s="11">
        <v>36</v>
      </c>
      <c r="CG26" s="4">
        <v>1.65</v>
      </c>
      <c r="CH26" s="13">
        <v>2.1</v>
      </c>
      <c r="CI26" s="4">
        <v>-4.5</v>
      </c>
      <c r="CJ26" s="4">
        <v>4.5</v>
      </c>
      <c r="CK26" s="4">
        <v>159.5</v>
      </c>
      <c r="CL26" s="2" t="s">
        <v>534</v>
      </c>
      <c r="CM26" s="4" t="str">
        <f>VLOOKUP(saintQ[[#This Row],[Away_team]],all[[Full name]:[Abbr]],3,FALSE)</f>
        <v>DIJ</v>
      </c>
      <c r="CN26" s="4">
        <f>IF(OR(saintQ[[#This Row],[Result]]="w",saintQ[[#This Row],[Result]]="dw"),saintQ[[#This Row],[win]]-1,-1)</f>
        <v>0.64999999999999991</v>
      </c>
      <c r="CO26" s="4">
        <f>IF(OR(saintQ[[#This Row],[Result]]="L",saintQ[[#This Row],[Result]]="dl"),saintQ[[#This Row],[lose]]-1,-1)</f>
        <v>-1</v>
      </c>
      <c r="CP26" s="4">
        <f>IF(OR((saintQ[[#This Row],[Home_scored]]+saintQ[[#This Row],[Away_scored]])&gt;saintQ[[#This Row],[total]],OR(saintQ[[#This Row],[Result]]="dw",saintQ[[#This Row],[Result]]="dl")),1,0)</f>
        <v>0</v>
      </c>
      <c r="CQ26" s="4">
        <f>ABS((saintQ[[#This Row],[Home_scored]]+saintQ[[#This Row],[Away_scored]])-saintQ[[#This Row],[total]])+0.5</f>
        <v>3</v>
      </c>
    </row>
    <row r="27" spans="1:95" x14ac:dyDescent="0.25">
      <c r="A27" s="2" t="s">
        <v>349</v>
      </c>
      <c r="B27" s="2" t="s">
        <v>342</v>
      </c>
      <c r="C27" s="3" t="s">
        <v>73</v>
      </c>
      <c r="D27" s="3">
        <v>45753</v>
      </c>
      <c r="E27" s="2" t="s">
        <v>140</v>
      </c>
      <c r="F27" s="2" t="s">
        <v>327</v>
      </c>
      <c r="G27" s="2" t="s">
        <v>139</v>
      </c>
      <c r="H27" s="11">
        <v>75</v>
      </c>
      <c r="I27" s="11">
        <v>81</v>
      </c>
      <c r="J27" s="11">
        <v>22</v>
      </c>
      <c r="K27" s="11">
        <v>55</v>
      </c>
      <c r="L27" s="12">
        <v>0.4</v>
      </c>
      <c r="M27" s="11">
        <v>12</v>
      </c>
      <c r="N27" s="11">
        <v>28</v>
      </c>
      <c r="O27" s="12">
        <v>0.42859999999999998</v>
      </c>
      <c r="P27" s="11">
        <v>10</v>
      </c>
      <c r="Q27" s="11">
        <v>27</v>
      </c>
      <c r="R27" s="12">
        <v>0.37040000000000001</v>
      </c>
      <c r="S27" s="11">
        <v>21</v>
      </c>
      <c r="T27" s="11">
        <v>25</v>
      </c>
      <c r="U27" s="12">
        <v>0.84</v>
      </c>
      <c r="V27" s="11">
        <v>11</v>
      </c>
      <c r="W27" s="11">
        <v>20</v>
      </c>
      <c r="X27" s="11">
        <v>31</v>
      </c>
      <c r="Y27" s="11">
        <v>16</v>
      </c>
      <c r="Z27" s="11">
        <v>10</v>
      </c>
      <c r="AA27" s="11">
        <v>2</v>
      </c>
      <c r="AB27" s="11">
        <v>22</v>
      </c>
      <c r="AC27" s="11">
        <v>32</v>
      </c>
      <c r="AD27" s="11">
        <v>21</v>
      </c>
      <c r="AE27" s="11">
        <v>46</v>
      </c>
      <c r="AF27" s="12">
        <v>0.45650000000000002</v>
      </c>
      <c r="AG27" s="11">
        <v>12</v>
      </c>
      <c r="AH27" s="11">
        <v>18</v>
      </c>
      <c r="AI27" s="12">
        <v>0.66669999999999996</v>
      </c>
      <c r="AJ27" s="11">
        <v>9</v>
      </c>
      <c r="AK27" s="11">
        <v>28</v>
      </c>
      <c r="AL27" s="12">
        <v>0.32140000000000002</v>
      </c>
      <c r="AM27" s="11">
        <v>30</v>
      </c>
      <c r="AN27" s="11">
        <v>36</v>
      </c>
      <c r="AO27" s="12">
        <v>0.83330000000000004</v>
      </c>
      <c r="AP27" s="11">
        <v>6</v>
      </c>
      <c r="AQ27" s="11">
        <v>25</v>
      </c>
      <c r="AR27" s="11">
        <v>31</v>
      </c>
      <c r="AS27" s="11">
        <v>16</v>
      </c>
      <c r="AT27" s="11">
        <v>9</v>
      </c>
      <c r="AU27" s="11">
        <v>0</v>
      </c>
      <c r="AV27" s="11">
        <v>22</v>
      </c>
      <c r="AW27" s="11">
        <v>20</v>
      </c>
      <c r="AX27" s="12">
        <v>0.56820000000000004</v>
      </c>
      <c r="AY27" s="12">
        <v>0.4909</v>
      </c>
      <c r="AZ27" s="12">
        <v>0.30559999999999998</v>
      </c>
      <c r="BA27" s="12">
        <v>0.76919999999999999</v>
      </c>
      <c r="BB27" s="12">
        <v>0.5</v>
      </c>
      <c r="BC27" s="4">
        <v>74.471000000000004</v>
      </c>
      <c r="BD27" s="12">
        <v>0.72729999999999995</v>
      </c>
      <c r="BE27" s="12">
        <v>0.38179999999999997</v>
      </c>
      <c r="BF27" s="12">
        <v>0.25</v>
      </c>
      <c r="BG27" s="4">
        <v>98.9</v>
      </c>
      <c r="BH27" s="4">
        <v>106.8</v>
      </c>
      <c r="BI27" s="4">
        <v>75.846999999999994</v>
      </c>
      <c r="BJ27" s="12">
        <v>0.65490000000000004</v>
      </c>
      <c r="BK27" s="12">
        <v>0.55430000000000001</v>
      </c>
      <c r="BL27" s="12">
        <v>0.23080000000000001</v>
      </c>
      <c r="BM27" s="12">
        <v>0.69440000000000002</v>
      </c>
      <c r="BN27" s="12">
        <v>0.5</v>
      </c>
      <c r="BO27" s="4">
        <v>77.222999999999999</v>
      </c>
      <c r="BP27" s="12">
        <v>0.76190000000000002</v>
      </c>
      <c r="BQ27" s="12">
        <v>0.6522</v>
      </c>
      <c r="BR27" s="12">
        <v>0.26240000000000002</v>
      </c>
      <c r="BS27" s="4">
        <v>106.8</v>
      </c>
      <c r="BT27" s="4">
        <v>98.9</v>
      </c>
      <c r="BU27" s="11">
        <v>20</v>
      </c>
      <c r="BV27" s="11">
        <v>21</v>
      </c>
      <c r="BW27" s="11">
        <v>18</v>
      </c>
      <c r="BX27" s="11">
        <v>16</v>
      </c>
      <c r="BY27" s="11">
        <v>27</v>
      </c>
      <c r="BZ27" s="11">
        <v>12</v>
      </c>
      <c r="CA27" s="11">
        <v>15</v>
      </c>
      <c r="CB27" s="11">
        <v>27</v>
      </c>
      <c r="CC27" s="11">
        <v>41</v>
      </c>
      <c r="CD27" s="11">
        <v>34</v>
      </c>
      <c r="CE27" s="11">
        <v>39</v>
      </c>
      <c r="CF27" s="11">
        <v>42</v>
      </c>
      <c r="CG27" s="4">
        <v>5</v>
      </c>
      <c r="CH27" s="13">
        <v>1.18</v>
      </c>
      <c r="CI27" s="4">
        <v>10.5</v>
      </c>
      <c r="CJ27" s="4">
        <v>-10.5</v>
      </c>
      <c r="CK27" s="4">
        <v>167.5</v>
      </c>
      <c r="CL27" s="2" t="s">
        <v>545</v>
      </c>
      <c r="CM27" s="4" t="str">
        <f>VLOOKUP(saintQ[[#This Row],[Away_team]],all[[Full name]:[Abbr]],3,FALSE)</f>
        <v>LYO</v>
      </c>
      <c r="CN27" s="4">
        <f>IF(OR(saintQ[[#This Row],[Result]]="w",saintQ[[#This Row],[Result]]="dw"),saintQ[[#This Row],[win]]-1,-1)</f>
        <v>-1</v>
      </c>
      <c r="CO27" s="4">
        <f>IF(OR(saintQ[[#This Row],[Result]]="L",saintQ[[#This Row],[Result]]="dl"),saintQ[[#This Row],[lose]]-1,-1)</f>
        <v>0.17999999999999994</v>
      </c>
      <c r="CP27" s="4">
        <f>IF(OR((saintQ[[#This Row],[Home_scored]]+saintQ[[#This Row],[Away_scored]])&gt;saintQ[[#This Row],[total]],OR(saintQ[[#This Row],[Result]]="dw",saintQ[[#This Row],[Result]]="dl")),1,0)</f>
        <v>0</v>
      </c>
      <c r="CQ27" s="4">
        <f>ABS((saintQ[[#This Row],[Home_scored]]+saintQ[[#This Row],[Away_scored]])-saintQ[[#This Row],[total]])+0.5</f>
        <v>12</v>
      </c>
    </row>
    <row r="28" spans="1:95" x14ac:dyDescent="0.25">
      <c r="A28" s="2" t="s">
        <v>349</v>
      </c>
      <c r="B28" s="2" t="s">
        <v>342</v>
      </c>
      <c r="C28" s="3" t="s">
        <v>73</v>
      </c>
      <c r="D28" s="3">
        <v>45759</v>
      </c>
      <c r="E28" s="2" t="s">
        <v>140</v>
      </c>
      <c r="F28" s="2" t="s">
        <v>330</v>
      </c>
      <c r="G28" s="2" t="s">
        <v>139</v>
      </c>
      <c r="H28" s="11">
        <v>72</v>
      </c>
      <c r="I28" s="11">
        <v>86</v>
      </c>
      <c r="J28" s="11">
        <v>25</v>
      </c>
      <c r="K28" s="11">
        <v>67</v>
      </c>
      <c r="L28" s="12">
        <v>0.37309999999999999</v>
      </c>
      <c r="M28" s="11">
        <v>13</v>
      </c>
      <c r="N28" s="11">
        <v>35</v>
      </c>
      <c r="O28" s="12">
        <v>0.37140000000000001</v>
      </c>
      <c r="P28" s="11">
        <v>12</v>
      </c>
      <c r="Q28" s="11">
        <v>32</v>
      </c>
      <c r="R28" s="12">
        <v>0.375</v>
      </c>
      <c r="S28" s="11">
        <v>10</v>
      </c>
      <c r="T28" s="11">
        <v>17</v>
      </c>
      <c r="U28" s="12">
        <v>0.58819999999999995</v>
      </c>
      <c r="V28" s="11">
        <v>16</v>
      </c>
      <c r="W28" s="11">
        <v>19</v>
      </c>
      <c r="X28" s="11">
        <v>35</v>
      </c>
      <c r="Y28" s="11">
        <v>19</v>
      </c>
      <c r="Z28" s="11">
        <v>9</v>
      </c>
      <c r="AA28" s="11">
        <v>0</v>
      </c>
      <c r="AB28" s="11">
        <v>14</v>
      </c>
      <c r="AC28" s="11">
        <v>27</v>
      </c>
      <c r="AD28" s="11">
        <v>25</v>
      </c>
      <c r="AE28" s="11">
        <v>47</v>
      </c>
      <c r="AF28" s="12">
        <v>0.53190000000000004</v>
      </c>
      <c r="AG28" s="11">
        <v>12</v>
      </c>
      <c r="AH28" s="11">
        <v>21</v>
      </c>
      <c r="AI28" s="12">
        <v>0.57140000000000002</v>
      </c>
      <c r="AJ28" s="11">
        <v>13</v>
      </c>
      <c r="AK28" s="11">
        <v>26</v>
      </c>
      <c r="AL28" s="12">
        <v>0.5</v>
      </c>
      <c r="AM28" s="11">
        <v>23</v>
      </c>
      <c r="AN28" s="11">
        <v>29</v>
      </c>
      <c r="AO28" s="12">
        <v>0.79310000000000003</v>
      </c>
      <c r="AP28" s="11">
        <v>6</v>
      </c>
      <c r="AQ28" s="11">
        <v>27</v>
      </c>
      <c r="AR28" s="11">
        <v>33</v>
      </c>
      <c r="AS28" s="11">
        <v>24</v>
      </c>
      <c r="AT28" s="11">
        <v>7</v>
      </c>
      <c r="AU28" s="11">
        <v>4</v>
      </c>
      <c r="AV28" s="11">
        <v>18</v>
      </c>
      <c r="AW28" s="11">
        <v>20</v>
      </c>
      <c r="AX28" s="12">
        <v>0.4834</v>
      </c>
      <c r="AY28" s="12">
        <v>0.4627</v>
      </c>
      <c r="AZ28" s="12">
        <v>0.37209999999999999</v>
      </c>
      <c r="BA28" s="12">
        <v>0.76</v>
      </c>
      <c r="BB28" s="12">
        <v>0.51470000000000005</v>
      </c>
      <c r="BC28" s="4">
        <v>67.256</v>
      </c>
      <c r="BD28" s="12">
        <v>0.76</v>
      </c>
      <c r="BE28" s="12">
        <v>0.14929999999999999</v>
      </c>
      <c r="BF28" s="12">
        <v>0.15820000000000001</v>
      </c>
      <c r="BG28" s="4">
        <v>103.2</v>
      </c>
      <c r="BH28" s="4">
        <v>123.2</v>
      </c>
      <c r="BI28" s="4">
        <v>69.787999999999997</v>
      </c>
      <c r="BJ28" s="12">
        <v>0.71950000000000003</v>
      </c>
      <c r="BK28" s="12">
        <v>0.67020000000000002</v>
      </c>
      <c r="BL28" s="12">
        <v>0.24</v>
      </c>
      <c r="BM28" s="12">
        <v>0.62790000000000001</v>
      </c>
      <c r="BN28" s="12">
        <v>0.48530000000000001</v>
      </c>
      <c r="BO28" s="4">
        <v>72.319999999999993</v>
      </c>
      <c r="BP28" s="12">
        <v>0.96</v>
      </c>
      <c r="BQ28" s="12">
        <v>0.4894</v>
      </c>
      <c r="BR28" s="12">
        <v>0.23150000000000001</v>
      </c>
      <c r="BS28" s="4">
        <v>123.2</v>
      </c>
      <c r="BT28" s="4">
        <v>103.2</v>
      </c>
      <c r="BU28" s="11">
        <v>10</v>
      </c>
      <c r="BV28" s="11">
        <v>22</v>
      </c>
      <c r="BW28" s="11">
        <v>19</v>
      </c>
      <c r="BX28" s="11">
        <v>21</v>
      </c>
      <c r="BY28" s="11">
        <v>24</v>
      </c>
      <c r="BZ28" s="11">
        <v>25</v>
      </c>
      <c r="CA28" s="11">
        <v>22</v>
      </c>
      <c r="CB28" s="11">
        <v>15</v>
      </c>
      <c r="CC28" s="11">
        <v>32</v>
      </c>
      <c r="CD28" s="11">
        <v>40</v>
      </c>
      <c r="CE28" s="11">
        <v>49</v>
      </c>
      <c r="CF28" s="11">
        <v>37</v>
      </c>
      <c r="CG28" s="4">
        <v>6.75</v>
      </c>
      <c r="CH28" s="13">
        <v>1.1100000000000001</v>
      </c>
      <c r="CI28" s="4">
        <v>12.5</v>
      </c>
      <c r="CJ28" s="4">
        <v>-12.5</v>
      </c>
      <c r="CK28" s="4">
        <v>162.5</v>
      </c>
      <c r="CL28" s="2" t="s">
        <v>548</v>
      </c>
      <c r="CM28" s="4" t="str">
        <f>VLOOKUP(saintQ[[#This Row],[Away_team]],all[[Full name]:[Abbr]],3,FALSE)</f>
        <v>MON</v>
      </c>
      <c r="CN28" s="4">
        <f>IF(OR(saintQ[[#This Row],[Result]]="w",saintQ[[#This Row],[Result]]="dw"),saintQ[[#This Row],[win]]-1,-1)</f>
        <v>-1</v>
      </c>
      <c r="CO28" s="4">
        <f>IF(OR(saintQ[[#This Row],[Result]]="L",saintQ[[#This Row],[Result]]="dl"),saintQ[[#This Row],[lose]]-1,-1)</f>
        <v>0.1100000000000001</v>
      </c>
      <c r="CP28" s="4">
        <f>IF(OR((saintQ[[#This Row],[Home_scored]]+saintQ[[#This Row],[Away_scored]])&gt;saintQ[[#This Row],[total]],OR(saintQ[[#This Row],[Result]]="dw",saintQ[[#This Row],[Result]]="dl")),1,0)</f>
        <v>0</v>
      </c>
      <c r="CQ28" s="4">
        <f>ABS((saintQ[[#This Row],[Home_scored]]+saintQ[[#This Row],[Away_scored]])-saintQ[[#This Row],[total]])+0.5</f>
        <v>5</v>
      </c>
    </row>
    <row r="29" spans="1:95" x14ac:dyDescent="0.25">
      <c r="A29" s="2" t="s">
        <v>349</v>
      </c>
      <c r="B29" s="2" t="s">
        <v>342</v>
      </c>
      <c r="C29" s="3" t="s">
        <v>73</v>
      </c>
      <c r="D29" s="3">
        <v>45766</v>
      </c>
      <c r="E29" s="2" t="s">
        <v>74</v>
      </c>
      <c r="F29" s="2" t="s">
        <v>308</v>
      </c>
      <c r="G29" s="2" t="s">
        <v>139</v>
      </c>
      <c r="H29" s="11">
        <v>71</v>
      </c>
      <c r="I29" s="11">
        <v>77</v>
      </c>
      <c r="J29" s="11">
        <v>24</v>
      </c>
      <c r="K29" s="11">
        <v>58</v>
      </c>
      <c r="L29" s="12">
        <v>0.4138</v>
      </c>
      <c r="M29" s="11">
        <v>14</v>
      </c>
      <c r="N29" s="11">
        <v>28</v>
      </c>
      <c r="O29" s="12">
        <v>0.5</v>
      </c>
      <c r="P29" s="11">
        <v>10</v>
      </c>
      <c r="Q29" s="11">
        <v>30</v>
      </c>
      <c r="R29" s="12">
        <v>0.33329999999999999</v>
      </c>
      <c r="S29" s="11">
        <v>13</v>
      </c>
      <c r="T29" s="11">
        <v>25</v>
      </c>
      <c r="U29" s="12">
        <v>0.52</v>
      </c>
      <c r="V29" s="11">
        <v>13</v>
      </c>
      <c r="W29" s="11">
        <v>25</v>
      </c>
      <c r="X29" s="11">
        <v>38</v>
      </c>
      <c r="Y29" s="11">
        <v>23</v>
      </c>
      <c r="Z29" s="11">
        <v>8</v>
      </c>
      <c r="AA29" s="11">
        <v>4</v>
      </c>
      <c r="AB29" s="11">
        <v>16</v>
      </c>
      <c r="AC29" s="11">
        <v>23</v>
      </c>
      <c r="AD29" s="11">
        <v>27</v>
      </c>
      <c r="AE29" s="11">
        <v>60</v>
      </c>
      <c r="AF29" s="12">
        <v>0.45</v>
      </c>
      <c r="AG29" s="11">
        <v>16</v>
      </c>
      <c r="AH29" s="11">
        <v>29</v>
      </c>
      <c r="AI29" s="12">
        <v>0.55169999999999997</v>
      </c>
      <c r="AJ29" s="11">
        <v>11</v>
      </c>
      <c r="AK29" s="11">
        <v>31</v>
      </c>
      <c r="AL29" s="12">
        <v>0.3548</v>
      </c>
      <c r="AM29" s="11">
        <v>12</v>
      </c>
      <c r="AN29" s="11">
        <v>17</v>
      </c>
      <c r="AO29" s="12">
        <v>0.70589999999999997</v>
      </c>
      <c r="AP29" s="11">
        <v>10</v>
      </c>
      <c r="AQ29" s="11">
        <v>24</v>
      </c>
      <c r="AR29" s="11">
        <v>34</v>
      </c>
      <c r="AS29" s="11">
        <v>18</v>
      </c>
      <c r="AT29" s="11">
        <v>12</v>
      </c>
      <c r="AU29" s="11">
        <v>1</v>
      </c>
      <c r="AV29" s="11">
        <v>17</v>
      </c>
      <c r="AW29" s="11">
        <v>23</v>
      </c>
      <c r="AX29" s="12">
        <v>0.51449999999999996</v>
      </c>
      <c r="AY29" s="12">
        <v>0.5</v>
      </c>
      <c r="AZ29" s="12">
        <v>0.35139999999999999</v>
      </c>
      <c r="BA29" s="12">
        <v>0.71430000000000005</v>
      </c>
      <c r="BB29" s="12">
        <v>0.52780000000000005</v>
      </c>
      <c r="BC29" s="4">
        <v>71.554000000000002</v>
      </c>
      <c r="BD29" s="12">
        <v>0.95830000000000004</v>
      </c>
      <c r="BE29" s="12">
        <v>0.22409999999999999</v>
      </c>
      <c r="BF29" s="12">
        <v>0.18820000000000001</v>
      </c>
      <c r="BG29" s="4">
        <v>98</v>
      </c>
      <c r="BH29" s="4">
        <v>106.2</v>
      </c>
      <c r="BI29" s="4">
        <v>72.484499999999997</v>
      </c>
      <c r="BJ29" s="12">
        <v>0.57050000000000001</v>
      </c>
      <c r="BK29" s="12">
        <v>0.54169999999999996</v>
      </c>
      <c r="BL29" s="12">
        <v>0.28570000000000001</v>
      </c>
      <c r="BM29" s="12">
        <v>0.64859999999999995</v>
      </c>
      <c r="BN29" s="12">
        <v>0.47220000000000001</v>
      </c>
      <c r="BO29" s="4">
        <v>73.415000000000006</v>
      </c>
      <c r="BP29" s="12">
        <v>0.66669999999999996</v>
      </c>
      <c r="BQ29" s="12">
        <v>0.2</v>
      </c>
      <c r="BR29" s="12">
        <v>0.20119999999999999</v>
      </c>
      <c r="BS29" s="4">
        <v>106.2</v>
      </c>
      <c r="BT29" s="4">
        <v>98</v>
      </c>
      <c r="BU29" s="11">
        <v>22</v>
      </c>
      <c r="BV29" s="11">
        <v>15</v>
      </c>
      <c r="BW29" s="11">
        <v>15</v>
      </c>
      <c r="BX29" s="11">
        <v>19</v>
      </c>
      <c r="BY29" s="11">
        <v>23</v>
      </c>
      <c r="BZ29" s="11">
        <v>16</v>
      </c>
      <c r="CA29" s="11">
        <v>20</v>
      </c>
      <c r="CB29" s="11">
        <v>18</v>
      </c>
      <c r="CC29" s="11">
        <v>37</v>
      </c>
      <c r="CD29" s="11">
        <v>34</v>
      </c>
      <c r="CE29" s="11">
        <v>39</v>
      </c>
      <c r="CF29" s="11">
        <v>38</v>
      </c>
      <c r="CG29" s="4">
        <v>1.8</v>
      </c>
      <c r="CH29" s="13">
        <v>2.0499999999999998</v>
      </c>
      <c r="CI29" s="4">
        <v>-1.5</v>
      </c>
      <c r="CJ29" s="4">
        <v>1.5</v>
      </c>
      <c r="CK29" s="4">
        <v>161.5</v>
      </c>
      <c r="CL29" s="2" t="s">
        <v>556</v>
      </c>
      <c r="CM29" s="4" t="str">
        <f>VLOOKUP(saintQ[[#This Row],[Away_team]],all[[Full name]:[Abbr]],3,FALSE)</f>
        <v>CHO</v>
      </c>
      <c r="CN29" s="4">
        <f>IF(OR(saintQ[[#This Row],[Result]]="w",saintQ[[#This Row],[Result]]="dw"),saintQ[[#This Row],[win]]-1,-1)</f>
        <v>-1</v>
      </c>
      <c r="CO29" s="4">
        <f>IF(OR(saintQ[[#This Row],[Result]]="L",saintQ[[#This Row],[Result]]="dl"),saintQ[[#This Row],[lose]]-1,-1)</f>
        <v>1.0499999999999998</v>
      </c>
      <c r="CP29" s="4">
        <f>IF(OR((saintQ[[#This Row],[Home_scored]]+saintQ[[#This Row],[Away_scored]])&gt;saintQ[[#This Row],[total]],OR(saintQ[[#This Row],[Result]]="dw",saintQ[[#This Row],[Result]]="dl")),1,0)</f>
        <v>0</v>
      </c>
      <c r="CQ29" s="4">
        <f>ABS((saintQ[[#This Row],[Home_scored]]+saintQ[[#This Row],[Away_scored]])-saintQ[[#This Row],[total]])+0.5</f>
        <v>14</v>
      </c>
    </row>
    <row r="30" spans="1:95" x14ac:dyDescent="0.25">
      <c r="A30" s="2" t="s">
        <v>349</v>
      </c>
      <c r="B30" s="2" t="s">
        <v>342</v>
      </c>
      <c r="C30" s="3" t="s">
        <v>73</v>
      </c>
      <c r="D30" s="3">
        <v>45774</v>
      </c>
      <c r="E30" s="2" t="s">
        <v>140</v>
      </c>
      <c r="F30" s="2" t="s">
        <v>314</v>
      </c>
      <c r="G30" s="2" t="s">
        <v>139</v>
      </c>
      <c r="H30" s="11">
        <v>75</v>
      </c>
      <c r="I30" s="11">
        <v>91</v>
      </c>
      <c r="J30" s="11">
        <v>28</v>
      </c>
      <c r="K30" s="11">
        <v>70</v>
      </c>
      <c r="L30" s="12">
        <v>0.4</v>
      </c>
      <c r="M30" s="11">
        <v>20</v>
      </c>
      <c r="N30" s="11">
        <v>44</v>
      </c>
      <c r="O30" s="12">
        <v>0.45450000000000002</v>
      </c>
      <c r="P30" s="11">
        <v>8</v>
      </c>
      <c r="Q30" s="11">
        <v>26</v>
      </c>
      <c r="R30" s="12">
        <v>0.30769999999999997</v>
      </c>
      <c r="S30" s="11">
        <v>11</v>
      </c>
      <c r="T30" s="11">
        <v>11</v>
      </c>
      <c r="U30" s="12">
        <v>1</v>
      </c>
      <c r="V30" s="11">
        <v>12</v>
      </c>
      <c r="W30" s="11">
        <v>28</v>
      </c>
      <c r="X30" s="11">
        <v>40</v>
      </c>
      <c r="Y30" s="11">
        <v>17</v>
      </c>
      <c r="Z30" s="11">
        <v>3</v>
      </c>
      <c r="AA30" s="11">
        <v>2</v>
      </c>
      <c r="AB30" s="11">
        <v>12</v>
      </c>
      <c r="AC30" s="11">
        <v>26</v>
      </c>
      <c r="AD30" s="11">
        <v>29</v>
      </c>
      <c r="AE30" s="11">
        <v>60</v>
      </c>
      <c r="AF30" s="12">
        <v>0.48330000000000001</v>
      </c>
      <c r="AG30" s="11">
        <v>15</v>
      </c>
      <c r="AH30" s="11">
        <v>26</v>
      </c>
      <c r="AI30" s="12">
        <v>0.57689999999999997</v>
      </c>
      <c r="AJ30" s="11">
        <v>14</v>
      </c>
      <c r="AK30" s="11">
        <v>34</v>
      </c>
      <c r="AL30" s="12">
        <v>0.4118</v>
      </c>
      <c r="AM30" s="11">
        <v>19</v>
      </c>
      <c r="AN30" s="11">
        <v>28</v>
      </c>
      <c r="AO30" s="12">
        <v>0.67859999999999998</v>
      </c>
      <c r="AP30" s="11">
        <v>7</v>
      </c>
      <c r="AQ30" s="11">
        <v>28</v>
      </c>
      <c r="AR30" s="11">
        <v>35</v>
      </c>
      <c r="AS30" s="11">
        <v>25</v>
      </c>
      <c r="AT30" s="11">
        <v>5</v>
      </c>
      <c r="AU30" s="11">
        <v>2</v>
      </c>
      <c r="AV30" s="11">
        <v>2</v>
      </c>
      <c r="AW30" s="11">
        <v>16</v>
      </c>
      <c r="AX30" s="12">
        <v>0.50109999999999999</v>
      </c>
      <c r="AY30" s="12">
        <v>0.45710000000000001</v>
      </c>
      <c r="AZ30" s="12">
        <v>0.3</v>
      </c>
      <c r="BA30" s="12">
        <v>0.8</v>
      </c>
      <c r="BB30" s="12">
        <v>0.5333</v>
      </c>
      <c r="BC30" s="4">
        <v>72.918000000000006</v>
      </c>
      <c r="BD30" s="12">
        <v>0.60709999999999997</v>
      </c>
      <c r="BE30" s="12">
        <v>0.15709999999999999</v>
      </c>
      <c r="BF30" s="12">
        <v>0.13819999999999999</v>
      </c>
      <c r="BG30" s="4">
        <v>107.5</v>
      </c>
      <c r="BH30" s="4">
        <v>130.5</v>
      </c>
      <c r="BI30" s="4">
        <v>69.742000000000004</v>
      </c>
      <c r="BJ30" s="12">
        <v>0.62909999999999999</v>
      </c>
      <c r="BK30" s="12">
        <v>0.6</v>
      </c>
      <c r="BL30" s="12">
        <v>0.2</v>
      </c>
      <c r="BM30" s="12">
        <v>0.7</v>
      </c>
      <c r="BN30" s="12">
        <v>0.4667</v>
      </c>
      <c r="BO30" s="4">
        <v>66.566000000000003</v>
      </c>
      <c r="BP30" s="12">
        <v>0.86209999999999998</v>
      </c>
      <c r="BQ30" s="12">
        <v>0.31669999999999998</v>
      </c>
      <c r="BR30" s="12">
        <v>2.69E-2</v>
      </c>
      <c r="BS30" s="4">
        <v>130.5</v>
      </c>
      <c r="BT30" s="4">
        <v>107.5</v>
      </c>
      <c r="BU30" s="11">
        <v>14</v>
      </c>
      <c r="BV30" s="11">
        <v>23</v>
      </c>
      <c r="BW30" s="11">
        <v>20</v>
      </c>
      <c r="BX30" s="11">
        <v>18</v>
      </c>
      <c r="BY30" s="11">
        <v>33</v>
      </c>
      <c r="BZ30" s="11">
        <v>21</v>
      </c>
      <c r="CA30" s="11">
        <v>25</v>
      </c>
      <c r="CB30" s="11">
        <v>12</v>
      </c>
      <c r="CC30" s="11">
        <v>37</v>
      </c>
      <c r="CD30" s="11">
        <v>38</v>
      </c>
      <c r="CE30" s="11">
        <v>54</v>
      </c>
      <c r="CF30" s="11">
        <v>37</v>
      </c>
      <c r="CG30" s="4">
        <v>2.0499999999999998</v>
      </c>
      <c r="CH30" s="13">
        <v>1.8</v>
      </c>
      <c r="CI30" s="4">
        <v>1.5</v>
      </c>
      <c r="CJ30" s="4">
        <v>-1.5</v>
      </c>
      <c r="CK30" s="4">
        <v>162.5</v>
      </c>
      <c r="CL30" s="2" t="s">
        <v>566</v>
      </c>
      <c r="CM30" s="4" t="str">
        <f>VLOOKUP(saintQ[[#This Row],[Away_team]],all[[Full name]:[Abbr]],3,FALSE)</f>
        <v>DUN</v>
      </c>
      <c r="CN30" s="4">
        <f>IF(OR(saintQ[[#This Row],[Result]]="w",saintQ[[#This Row],[Result]]="dw"),saintQ[[#This Row],[win]]-1,-1)</f>
        <v>-1</v>
      </c>
      <c r="CO30" s="4">
        <f>IF(OR(saintQ[[#This Row],[Result]]="L",saintQ[[#This Row],[Result]]="dl"),saintQ[[#This Row],[lose]]-1,-1)</f>
        <v>0.8</v>
      </c>
      <c r="CP30" s="4">
        <f>IF(OR((saintQ[[#This Row],[Home_scored]]+saintQ[[#This Row],[Away_scored]])&gt;saintQ[[#This Row],[total]],OR(saintQ[[#This Row],[Result]]="dw",saintQ[[#This Row],[Result]]="dl")),1,0)</f>
        <v>1</v>
      </c>
      <c r="CQ30" s="4">
        <f>ABS((saintQ[[#This Row],[Home_scored]]+saintQ[[#This Row],[Away_scored]])-saintQ[[#This Row],[total]])+0.5</f>
        <v>4</v>
      </c>
    </row>
    <row r="31" spans="1:95" x14ac:dyDescent="0.25">
      <c r="A31" s="2" t="s">
        <v>349</v>
      </c>
      <c r="B31" s="2" t="s">
        <v>342</v>
      </c>
      <c r="C31" s="3" t="s">
        <v>73</v>
      </c>
      <c r="D31" s="3">
        <v>45780</v>
      </c>
      <c r="E31" s="2" t="s">
        <v>74</v>
      </c>
      <c r="F31" s="2" t="s">
        <v>317</v>
      </c>
      <c r="G31" s="2" t="s">
        <v>139</v>
      </c>
      <c r="H31" s="11">
        <v>89</v>
      </c>
      <c r="I31" s="11">
        <v>91</v>
      </c>
      <c r="J31" s="11">
        <v>31</v>
      </c>
      <c r="K31" s="11">
        <v>69</v>
      </c>
      <c r="L31" s="12">
        <v>0.44929999999999998</v>
      </c>
      <c r="M31" s="11">
        <v>18</v>
      </c>
      <c r="N31" s="11">
        <v>38</v>
      </c>
      <c r="O31" s="12">
        <v>0.47370000000000001</v>
      </c>
      <c r="P31" s="11">
        <v>13</v>
      </c>
      <c r="Q31" s="11">
        <v>31</v>
      </c>
      <c r="R31" s="12">
        <v>0.4194</v>
      </c>
      <c r="S31" s="11">
        <v>14</v>
      </c>
      <c r="T31" s="11">
        <v>17</v>
      </c>
      <c r="U31" s="12">
        <v>0.82350000000000001</v>
      </c>
      <c r="V31" s="11">
        <v>17</v>
      </c>
      <c r="W31" s="11">
        <v>19</v>
      </c>
      <c r="X31" s="11">
        <v>36</v>
      </c>
      <c r="Y31" s="11">
        <v>19</v>
      </c>
      <c r="Z31" s="11">
        <v>6</v>
      </c>
      <c r="AA31" s="11">
        <v>3</v>
      </c>
      <c r="AB31" s="11">
        <v>10</v>
      </c>
      <c r="AC31" s="11">
        <v>28</v>
      </c>
      <c r="AD31" s="11">
        <v>30</v>
      </c>
      <c r="AE31" s="11">
        <v>66</v>
      </c>
      <c r="AF31" s="12">
        <v>0.45450000000000002</v>
      </c>
      <c r="AG31" s="11">
        <v>18</v>
      </c>
      <c r="AH31" s="11">
        <v>37</v>
      </c>
      <c r="AI31" s="12">
        <v>0.48649999999999999</v>
      </c>
      <c r="AJ31" s="11">
        <v>12</v>
      </c>
      <c r="AK31" s="11">
        <v>29</v>
      </c>
      <c r="AL31" s="12">
        <v>0.4138</v>
      </c>
      <c r="AM31" s="11">
        <v>19</v>
      </c>
      <c r="AN31" s="11">
        <v>35</v>
      </c>
      <c r="AO31" s="12">
        <v>0.54290000000000005</v>
      </c>
      <c r="AP31" s="11">
        <v>25</v>
      </c>
      <c r="AQ31" s="11">
        <v>21</v>
      </c>
      <c r="AR31" s="11">
        <v>46</v>
      </c>
      <c r="AS31" s="11">
        <v>16</v>
      </c>
      <c r="AT31" s="11">
        <v>4</v>
      </c>
      <c r="AU31" s="11">
        <v>0</v>
      </c>
      <c r="AV31" s="11">
        <v>13</v>
      </c>
      <c r="AW31" s="11">
        <v>19</v>
      </c>
      <c r="AX31" s="12">
        <v>0.58189999999999997</v>
      </c>
      <c r="AY31" s="12">
        <v>0.54349999999999998</v>
      </c>
      <c r="AZ31" s="12">
        <v>0.44740000000000002</v>
      </c>
      <c r="BA31" s="12">
        <v>0.43180000000000002</v>
      </c>
      <c r="BB31" s="12">
        <v>0.439</v>
      </c>
      <c r="BC31" s="4">
        <v>66.599000000000004</v>
      </c>
      <c r="BD31" s="12">
        <v>0.6129</v>
      </c>
      <c r="BE31" s="12">
        <v>0.2029</v>
      </c>
      <c r="BF31" s="12">
        <v>0.11559999999999999</v>
      </c>
      <c r="BG31" s="4">
        <v>128.4</v>
      </c>
      <c r="BH31" s="4">
        <v>131.30000000000001</v>
      </c>
      <c r="BI31" s="4">
        <v>69.331999999999994</v>
      </c>
      <c r="BJ31" s="12">
        <v>0.55900000000000005</v>
      </c>
      <c r="BK31" s="12">
        <v>0.54549999999999998</v>
      </c>
      <c r="BL31" s="12">
        <v>0.56820000000000004</v>
      </c>
      <c r="BM31" s="12">
        <v>0.55259999999999998</v>
      </c>
      <c r="BN31" s="12">
        <v>0.56100000000000005</v>
      </c>
      <c r="BO31" s="4">
        <v>72.064999999999998</v>
      </c>
      <c r="BP31" s="12">
        <v>0.5333</v>
      </c>
      <c r="BQ31" s="12">
        <v>0.28789999999999999</v>
      </c>
      <c r="BR31" s="12">
        <v>0.13769999999999999</v>
      </c>
      <c r="BS31" s="4">
        <v>131.30000000000001</v>
      </c>
      <c r="BT31" s="4">
        <v>128.4</v>
      </c>
      <c r="BU31" s="11">
        <v>21</v>
      </c>
      <c r="BV31" s="11">
        <v>25</v>
      </c>
      <c r="BW31" s="11">
        <v>26</v>
      </c>
      <c r="BX31" s="11">
        <v>17</v>
      </c>
      <c r="BY31" s="11">
        <v>20</v>
      </c>
      <c r="BZ31" s="11">
        <v>25</v>
      </c>
      <c r="CA31" s="11">
        <v>26</v>
      </c>
      <c r="CB31" s="11">
        <v>20</v>
      </c>
      <c r="CC31" s="11">
        <v>46</v>
      </c>
      <c r="CD31" s="11">
        <v>43</v>
      </c>
      <c r="CE31" s="11">
        <v>45</v>
      </c>
      <c r="CF31" s="11">
        <v>46</v>
      </c>
      <c r="CG31" s="4">
        <v>1.55</v>
      </c>
      <c r="CH31" s="13">
        <v>2.5</v>
      </c>
      <c r="CI31" s="4">
        <v>-3.5</v>
      </c>
      <c r="CJ31" s="4">
        <v>3.5</v>
      </c>
      <c r="CK31" s="4">
        <v>164.5</v>
      </c>
      <c r="CL31" s="2" t="s">
        <v>571</v>
      </c>
      <c r="CM31" s="4" t="str">
        <f>VLOOKUP(saintQ[[#This Row],[Away_team]],all[[Full name]:[Abbr]],3,FALSE)</f>
        <v>LEM</v>
      </c>
      <c r="CN31" s="4">
        <f>IF(OR(saintQ[[#This Row],[Result]]="w",saintQ[[#This Row],[Result]]="dw"),saintQ[[#This Row],[win]]-1,-1)</f>
        <v>-1</v>
      </c>
      <c r="CO31" s="4">
        <f>IF(OR(saintQ[[#This Row],[Result]]="L",saintQ[[#This Row],[Result]]="dl"),saintQ[[#This Row],[lose]]-1,-1)</f>
        <v>1.5</v>
      </c>
      <c r="CP31" s="4">
        <f>IF(OR((saintQ[[#This Row],[Home_scored]]+saintQ[[#This Row],[Away_scored]])&gt;saintQ[[#This Row],[total]],OR(saintQ[[#This Row],[Result]]="dw",saintQ[[#This Row],[Result]]="dl")),1,0)</f>
        <v>1</v>
      </c>
      <c r="CQ31" s="4">
        <f>ABS((saintQ[[#This Row],[Home_scored]]+saintQ[[#This Row],[Away_scored]])-saintQ[[#This Row],[total]])+0.5</f>
        <v>16</v>
      </c>
    </row>
    <row r="32" spans="1:95" x14ac:dyDescent="0.25">
      <c r="A32" s="2" t="s">
        <v>349</v>
      </c>
      <c r="B32" s="2" t="s">
        <v>342</v>
      </c>
      <c r="C32" s="28" t="s">
        <v>73</v>
      </c>
      <c r="D32" s="28">
        <v>45786</v>
      </c>
      <c r="E32" s="2" t="s">
        <v>74</v>
      </c>
      <c r="F32" s="2" t="s">
        <v>323</v>
      </c>
      <c r="G32" s="2" t="s">
        <v>75</v>
      </c>
      <c r="H32" s="11">
        <v>75</v>
      </c>
      <c r="I32" s="11">
        <v>59</v>
      </c>
      <c r="J32" s="11">
        <v>29</v>
      </c>
      <c r="K32" s="11">
        <v>61</v>
      </c>
      <c r="L32" s="12">
        <v>0.47539999999999999</v>
      </c>
      <c r="M32" s="11">
        <v>23</v>
      </c>
      <c r="N32" s="11">
        <v>36</v>
      </c>
      <c r="O32" s="12">
        <v>0.63890000000000002</v>
      </c>
      <c r="P32" s="11">
        <v>6</v>
      </c>
      <c r="Q32" s="11">
        <v>25</v>
      </c>
      <c r="R32" s="12">
        <v>0.24</v>
      </c>
      <c r="S32" s="11">
        <v>11</v>
      </c>
      <c r="T32" s="11">
        <v>16</v>
      </c>
      <c r="U32" s="12">
        <v>0.6875</v>
      </c>
      <c r="V32" s="11">
        <v>11</v>
      </c>
      <c r="W32" s="11">
        <v>28</v>
      </c>
      <c r="X32" s="11">
        <v>39</v>
      </c>
      <c r="Y32" s="11">
        <v>18</v>
      </c>
      <c r="Z32" s="11">
        <v>7</v>
      </c>
      <c r="AA32" s="11">
        <v>4</v>
      </c>
      <c r="AB32" s="11">
        <v>15</v>
      </c>
      <c r="AC32" s="11">
        <v>22</v>
      </c>
      <c r="AD32" s="11">
        <v>16</v>
      </c>
      <c r="AE32" s="11">
        <v>51</v>
      </c>
      <c r="AF32" s="12">
        <v>0.31369999999999998</v>
      </c>
      <c r="AG32" s="11">
        <v>8</v>
      </c>
      <c r="AH32" s="11">
        <v>24</v>
      </c>
      <c r="AI32" s="12">
        <v>0.33329999999999999</v>
      </c>
      <c r="AJ32" s="11">
        <v>8</v>
      </c>
      <c r="AK32" s="11">
        <v>27</v>
      </c>
      <c r="AL32" s="12">
        <v>0.29630000000000001</v>
      </c>
      <c r="AM32" s="11">
        <v>19</v>
      </c>
      <c r="AN32" s="11">
        <v>25</v>
      </c>
      <c r="AO32" s="12">
        <v>0.76</v>
      </c>
      <c r="AP32" s="11">
        <v>11</v>
      </c>
      <c r="AQ32" s="11">
        <v>21</v>
      </c>
      <c r="AR32" s="11">
        <v>32</v>
      </c>
      <c r="AS32" s="11">
        <v>18</v>
      </c>
      <c r="AT32" s="11">
        <v>6</v>
      </c>
      <c r="AU32" s="11">
        <v>1</v>
      </c>
      <c r="AV32" s="11">
        <v>19</v>
      </c>
      <c r="AW32" s="11">
        <v>20</v>
      </c>
      <c r="AX32" s="12">
        <v>0.55110000000000003</v>
      </c>
      <c r="AY32" s="12">
        <v>0.52459999999999996</v>
      </c>
      <c r="AZ32" s="12">
        <v>0.34379999999999999</v>
      </c>
      <c r="BA32" s="12">
        <v>0.71789999999999998</v>
      </c>
      <c r="BB32" s="12">
        <v>0.54930000000000001</v>
      </c>
      <c r="BC32" s="4">
        <v>72.742999999999995</v>
      </c>
      <c r="BD32" s="12">
        <v>0.62070000000000003</v>
      </c>
      <c r="BE32" s="12">
        <v>0.18029999999999999</v>
      </c>
      <c r="BF32" s="12">
        <v>0.18060000000000001</v>
      </c>
      <c r="BG32" s="4">
        <v>107.2</v>
      </c>
      <c r="BH32" s="4">
        <v>84.4</v>
      </c>
      <c r="BI32" s="4">
        <v>69.935000000000002</v>
      </c>
      <c r="BJ32" s="12">
        <v>0.4758</v>
      </c>
      <c r="BK32" s="12">
        <v>0.39219999999999999</v>
      </c>
      <c r="BL32" s="12">
        <v>0.28210000000000002</v>
      </c>
      <c r="BM32" s="12">
        <v>0.65629999999999999</v>
      </c>
      <c r="BN32" s="12">
        <v>0.45069999999999999</v>
      </c>
      <c r="BO32" s="4">
        <v>67.126999999999995</v>
      </c>
      <c r="BP32" s="12">
        <v>1.125</v>
      </c>
      <c r="BQ32" s="12">
        <v>0.3725</v>
      </c>
      <c r="BR32" s="12">
        <v>0.2346</v>
      </c>
      <c r="BS32" s="4">
        <v>84.4</v>
      </c>
      <c r="BT32" s="4">
        <v>107.2</v>
      </c>
      <c r="BU32" s="11">
        <v>11</v>
      </c>
      <c r="BV32" s="11">
        <v>20</v>
      </c>
      <c r="BW32" s="11">
        <v>21</v>
      </c>
      <c r="BX32" s="11">
        <v>23</v>
      </c>
      <c r="BY32" s="11">
        <v>20</v>
      </c>
      <c r="BZ32" s="11">
        <v>16</v>
      </c>
      <c r="CA32" s="11">
        <v>9</v>
      </c>
      <c r="CB32" s="11">
        <v>14</v>
      </c>
      <c r="CC32" s="11">
        <v>31</v>
      </c>
      <c r="CD32" s="11">
        <v>44</v>
      </c>
      <c r="CE32" s="11">
        <v>36</v>
      </c>
      <c r="CF32" s="11">
        <v>23</v>
      </c>
      <c r="CG32" s="4">
        <v>1.1599999999999999</v>
      </c>
      <c r="CH32" s="13">
        <v>5.5</v>
      </c>
      <c r="CI32" s="4">
        <v>-11</v>
      </c>
      <c r="CJ32" s="4">
        <v>-11</v>
      </c>
      <c r="CK32" s="4">
        <v>153.5</v>
      </c>
      <c r="CL32" s="2" t="s">
        <v>576</v>
      </c>
      <c r="CM32" s="4" t="e">
        <f>VLOOKUP(saintQ[[#This Row],[Away_team]],all[[Full name]:[Abbr]],3,FALSE)</f>
        <v>#N/A</v>
      </c>
      <c r="CN32" s="4">
        <f>IF(OR(saintQ[[#This Row],[Result]]="w",saintQ[[#This Row],[Result]]="dw"),saintQ[[#This Row],[win]]-1,-1)</f>
        <v>0.15999999999999992</v>
      </c>
      <c r="CO32" s="4">
        <f>IF(OR(saintQ[[#This Row],[Result]]="L",saintQ[[#This Row],[Result]]="dl"),saintQ[[#This Row],[lose]]-1,-1)</f>
        <v>-1</v>
      </c>
      <c r="CP32" s="4">
        <f>IF(OR((saintQ[[#This Row],[Home_scored]]+saintQ[[#This Row],[Away_scored]])&gt;saintQ[[#This Row],[total]],OR(saintQ[[#This Row],[Result]]="dw",saintQ[[#This Row],[Result]]="dl")),1,0)</f>
        <v>0</v>
      </c>
      <c r="CQ32" s="4">
        <f>ABS((saintQ[[#This Row],[Home_scored]]+saintQ[[#This Row],[Away_scored]])-saintQ[[#This Row],[total]])+0.5</f>
        <v>20</v>
      </c>
    </row>
    <row r="33" spans="1:95" x14ac:dyDescent="0.25">
      <c r="A33" s="2" t="s">
        <v>349</v>
      </c>
      <c r="B33" s="2" t="s">
        <v>342</v>
      </c>
      <c r="C33" s="28" t="s">
        <v>73</v>
      </c>
      <c r="D33" s="28">
        <v>45794</v>
      </c>
      <c r="E33" s="2" t="s">
        <v>140</v>
      </c>
      <c r="F33" s="2" t="s">
        <v>324</v>
      </c>
      <c r="G33" s="2" t="s">
        <v>139</v>
      </c>
      <c r="H33" s="11">
        <v>70</v>
      </c>
      <c r="I33" s="11">
        <v>74</v>
      </c>
      <c r="J33" s="11">
        <v>26</v>
      </c>
      <c r="K33" s="11">
        <v>62</v>
      </c>
      <c r="L33" s="12">
        <v>0.4194</v>
      </c>
      <c r="M33" s="11">
        <v>17</v>
      </c>
      <c r="N33" s="11">
        <v>36</v>
      </c>
      <c r="O33" s="12">
        <v>0.47220000000000001</v>
      </c>
      <c r="P33" s="11">
        <v>9</v>
      </c>
      <c r="Q33" s="11">
        <v>26</v>
      </c>
      <c r="R33" s="12">
        <v>0.34620000000000001</v>
      </c>
      <c r="S33" s="11">
        <v>9</v>
      </c>
      <c r="T33" s="11">
        <v>13</v>
      </c>
      <c r="U33" s="12">
        <v>0.69230000000000003</v>
      </c>
      <c r="V33" s="11">
        <v>13</v>
      </c>
      <c r="W33" s="11">
        <v>25</v>
      </c>
      <c r="X33" s="11">
        <v>38</v>
      </c>
      <c r="Y33" s="11">
        <v>13</v>
      </c>
      <c r="Z33" s="11">
        <v>2</v>
      </c>
      <c r="AA33" s="11">
        <v>2</v>
      </c>
      <c r="AB33" s="11">
        <v>12</v>
      </c>
      <c r="AC33" s="11">
        <v>16</v>
      </c>
      <c r="AD33" s="11">
        <v>26</v>
      </c>
      <c r="AE33" s="11">
        <v>60</v>
      </c>
      <c r="AF33" s="12">
        <v>0.43330000000000002</v>
      </c>
      <c r="AG33" s="11">
        <v>17</v>
      </c>
      <c r="AH33" s="11">
        <v>34</v>
      </c>
      <c r="AI33" s="12">
        <v>0.5</v>
      </c>
      <c r="AJ33" s="11">
        <v>9</v>
      </c>
      <c r="AK33" s="11">
        <v>26</v>
      </c>
      <c r="AL33" s="12">
        <v>0.34620000000000001</v>
      </c>
      <c r="AM33" s="11">
        <v>13</v>
      </c>
      <c r="AN33" s="11">
        <v>16</v>
      </c>
      <c r="AO33" s="12">
        <v>0.8125</v>
      </c>
      <c r="AP33" s="11">
        <v>11</v>
      </c>
      <c r="AQ33" s="11">
        <v>21</v>
      </c>
      <c r="AR33" s="11">
        <v>32</v>
      </c>
      <c r="AS33" s="11">
        <v>20</v>
      </c>
      <c r="AT33" s="11">
        <v>5</v>
      </c>
      <c r="AU33" s="11">
        <v>4</v>
      </c>
      <c r="AV33" s="11">
        <v>8</v>
      </c>
      <c r="AW33" s="11">
        <v>18</v>
      </c>
      <c r="AX33" s="12">
        <v>0.51680000000000004</v>
      </c>
      <c r="AY33" s="12">
        <v>0.4919</v>
      </c>
      <c r="AZ33" s="12">
        <v>0.38240000000000002</v>
      </c>
      <c r="BA33" s="12">
        <v>0.69440000000000002</v>
      </c>
      <c r="BB33" s="12">
        <v>0.54290000000000005</v>
      </c>
      <c r="BC33" s="4">
        <v>66.022000000000006</v>
      </c>
      <c r="BD33" s="12">
        <v>0.5</v>
      </c>
      <c r="BE33" s="12">
        <v>0.1452</v>
      </c>
      <c r="BF33" s="12">
        <v>0.15049999999999999</v>
      </c>
      <c r="BG33" s="4">
        <v>109.4</v>
      </c>
      <c r="BH33" s="4">
        <v>115.7</v>
      </c>
      <c r="BI33" s="4">
        <v>63.957999999999998</v>
      </c>
      <c r="BJ33" s="12">
        <v>0.55189999999999995</v>
      </c>
      <c r="BK33" s="12">
        <v>0.50829999999999997</v>
      </c>
      <c r="BL33" s="12">
        <v>0.30559999999999998</v>
      </c>
      <c r="BM33" s="12">
        <v>0.61760000000000004</v>
      </c>
      <c r="BN33" s="12">
        <v>0.45710000000000001</v>
      </c>
      <c r="BO33" s="4">
        <v>61.893999999999998</v>
      </c>
      <c r="BP33" s="12">
        <v>0.76919999999999999</v>
      </c>
      <c r="BQ33" s="12">
        <v>0.2167</v>
      </c>
      <c r="BR33" s="12">
        <v>0.1066</v>
      </c>
      <c r="BS33" s="4">
        <v>115.7</v>
      </c>
      <c r="BT33" s="4">
        <v>109.4</v>
      </c>
      <c r="BU33" s="11">
        <v>24</v>
      </c>
      <c r="BV33" s="11">
        <v>22</v>
      </c>
      <c r="BW33" s="11">
        <v>15</v>
      </c>
      <c r="BX33" s="11">
        <v>9</v>
      </c>
      <c r="BY33" s="11">
        <v>17</v>
      </c>
      <c r="BZ33" s="11">
        <v>25</v>
      </c>
      <c r="CA33" s="11">
        <v>12</v>
      </c>
      <c r="CB33" s="11">
        <v>20</v>
      </c>
      <c r="CC33" s="11">
        <v>46</v>
      </c>
      <c r="CD33" s="11">
        <v>24</v>
      </c>
      <c r="CE33" s="11">
        <v>42</v>
      </c>
      <c r="CF33" s="11">
        <v>32</v>
      </c>
      <c r="CG33" s="4">
        <v>1.38</v>
      </c>
      <c r="CH33" s="13">
        <v>3.1</v>
      </c>
      <c r="CI33" s="4">
        <v>-6.5</v>
      </c>
      <c r="CJ33" s="4">
        <v>6.5</v>
      </c>
      <c r="CK33" s="4">
        <v>157.5</v>
      </c>
      <c r="CL33" s="2" t="s">
        <v>590</v>
      </c>
      <c r="CM33" s="4" t="str">
        <f>VLOOKUP(saintQ[[#This Row],[Away_team]],all[[Full name]:[Abbr]],3,FALSE)</f>
        <v>LIM</v>
      </c>
      <c r="CN33" s="4">
        <f>IF(OR(saintQ[[#This Row],[Result]]="w",saintQ[[#This Row],[Result]]="dw"),saintQ[[#This Row],[win]]-1,-1)</f>
        <v>-1</v>
      </c>
      <c r="CO33" s="4">
        <f>IF(OR(saintQ[[#This Row],[Result]]="L",saintQ[[#This Row],[Result]]="dl"),saintQ[[#This Row],[lose]]-1,-1)</f>
        <v>2.1</v>
      </c>
      <c r="CP33" s="4">
        <f>IF(OR((saintQ[[#This Row],[Home_scored]]+saintQ[[#This Row],[Away_scored]])&gt;saintQ[[#This Row],[total]],OR(saintQ[[#This Row],[Result]]="dw",saintQ[[#This Row],[Result]]="dl")),1,0)</f>
        <v>0</v>
      </c>
      <c r="CQ33" s="4">
        <f>ABS((saintQ[[#This Row],[Home_scored]]+saintQ[[#This Row],[Away_scored]])-saintQ[[#This Row],[total]])+0.5</f>
        <v>14</v>
      </c>
    </row>
    <row r="34" spans="1:95" x14ac:dyDescent="0.25">
      <c r="A34" s="2" t="s">
        <v>349</v>
      </c>
      <c r="B34" s="2" t="s">
        <v>342</v>
      </c>
      <c r="C34" s="28" t="s">
        <v>594</v>
      </c>
      <c r="D34" s="28">
        <v>45797</v>
      </c>
      <c r="E34" s="2" t="s">
        <v>140</v>
      </c>
      <c r="F34" s="2" t="s">
        <v>333</v>
      </c>
      <c r="G34" s="2" t="s">
        <v>75</v>
      </c>
      <c r="H34" s="11">
        <v>88</v>
      </c>
      <c r="I34" s="11">
        <v>81</v>
      </c>
      <c r="J34" s="11">
        <v>30</v>
      </c>
      <c r="K34" s="11">
        <v>73</v>
      </c>
      <c r="L34" s="12">
        <v>0.41099999999999998</v>
      </c>
      <c r="M34" s="11">
        <v>17</v>
      </c>
      <c r="N34" s="11">
        <v>37</v>
      </c>
      <c r="O34" s="12">
        <v>0.45950000000000002</v>
      </c>
      <c r="P34" s="11">
        <v>13</v>
      </c>
      <c r="Q34" s="11">
        <v>36</v>
      </c>
      <c r="R34" s="12">
        <v>0.36109999999999998</v>
      </c>
      <c r="S34" s="11">
        <v>15</v>
      </c>
      <c r="T34" s="11">
        <v>22</v>
      </c>
      <c r="U34" s="12">
        <v>0.68179999999999996</v>
      </c>
      <c r="V34" s="11">
        <v>19</v>
      </c>
      <c r="W34" s="11">
        <v>27</v>
      </c>
      <c r="X34" s="11">
        <v>46</v>
      </c>
      <c r="Y34" s="11">
        <v>20</v>
      </c>
      <c r="Z34" s="11">
        <v>2</v>
      </c>
      <c r="AA34" s="11">
        <v>8</v>
      </c>
      <c r="AB34" s="11">
        <v>6</v>
      </c>
      <c r="AC34" s="11">
        <v>21</v>
      </c>
      <c r="AD34" s="11">
        <v>31</v>
      </c>
      <c r="AE34" s="11">
        <v>63</v>
      </c>
      <c r="AF34" s="12">
        <v>0.49209999999999998</v>
      </c>
      <c r="AG34" s="11">
        <v>22</v>
      </c>
      <c r="AH34" s="11">
        <v>42</v>
      </c>
      <c r="AI34" s="12">
        <v>0.52380000000000004</v>
      </c>
      <c r="AJ34" s="11">
        <v>9</v>
      </c>
      <c r="AK34" s="11">
        <v>21</v>
      </c>
      <c r="AL34" s="12">
        <v>0.42859999999999998</v>
      </c>
      <c r="AM34" s="11">
        <v>10</v>
      </c>
      <c r="AN34" s="11">
        <v>20</v>
      </c>
      <c r="AO34" s="12">
        <v>0.5</v>
      </c>
      <c r="AP34" s="11">
        <v>11</v>
      </c>
      <c r="AQ34" s="11">
        <v>27</v>
      </c>
      <c r="AR34" s="11">
        <v>38</v>
      </c>
      <c r="AS34" s="11">
        <v>18</v>
      </c>
      <c r="AT34" s="11">
        <v>3</v>
      </c>
      <c r="AU34" s="11">
        <v>9</v>
      </c>
      <c r="AV34" s="11">
        <v>3</v>
      </c>
      <c r="AW34" s="11">
        <v>19</v>
      </c>
      <c r="AX34" s="12">
        <v>0.53220000000000001</v>
      </c>
      <c r="AY34" s="12">
        <v>0.5</v>
      </c>
      <c r="AZ34" s="12">
        <v>0.41299999999999998</v>
      </c>
      <c r="BA34" s="12">
        <v>0.71050000000000002</v>
      </c>
      <c r="BB34" s="12">
        <v>0.54759999999999998</v>
      </c>
      <c r="BC34" s="4">
        <v>68.796000000000006</v>
      </c>
      <c r="BD34" s="12">
        <v>0.66669999999999996</v>
      </c>
      <c r="BE34" s="12">
        <v>0.20549999999999999</v>
      </c>
      <c r="BF34" s="12">
        <v>6.7699999999999996E-2</v>
      </c>
      <c r="BG34" s="4">
        <v>132.4</v>
      </c>
      <c r="BH34" s="4">
        <v>121.9</v>
      </c>
      <c r="BI34" s="4">
        <v>66.441999999999993</v>
      </c>
      <c r="BJ34" s="12">
        <v>0.56410000000000005</v>
      </c>
      <c r="BK34" s="12">
        <v>0.5635</v>
      </c>
      <c r="BL34" s="12">
        <v>0.28949999999999998</v>
      </c>
      <c r="BM34" s="12">
        <v>0.58699999999999997</v>
      </c>
      <c r="BN34" s="12">
        <v>0.45240000000000002</v>
      </c>
      <c r="BO34" s="4">
        <v>64.087999999999994</v>
      </c>
      <c r="BP34" s="12">
        <v>0.5806</v>
      </c>
      <c r="BQ34" s="12">
        <v>0.15870000000000001</v>
      </c>
      <c r="BR34" s="12">
        <v>4.0099999999999997E-2</v>
      </c>
      <c r="BS34" s="4">
        <v>121.9</v>
      </c>
      <c r="BT34" s="4">
        <v>132.4</v>
      </c>
      <c r="BU34" s="11">
        <v>31</v>
      </c>
      <c r="BV34" s="11">
        <v>20</v>
      </c>
      <c r="BW34" s="11">
        <v>20</v>
      </c>
      <c r="BX34" s="11">
        <v>17</v>
      </c>
      <c r="BY34" s="11">
        <v>23</v>
      </c>
      <c r="BZ34" s="11">
        <v>22</v>
      </c>
      <c r="CA34" s="11">
        <v>16</v>
      </c>
      <c r="CB34" s="11">
        <v>20</v>
      </c>
      <c r="CC34" s="11">
        <v>51</v>
      </c>
      <c r="CD34" s="11">
        <v>37</v>
      </c>
      <c r="CE34" s="11">
        <v>45</v>
      </c>
      <c r="CF34" s="11">
        <v>36</v>
      </c>
      <c r="CG34" s="4">
        <v>2.15</v>
      </c>
      <c r="CH34" s="13">
        <v>1.74</v>
      </c>
      <c r="CI34" s="4">
        <v>-2</v>
      </c>
      <c r="CJ34" s="4">
        <v>-2</v>
      </c>
      <c r="CK34" s="4">
        <v>162.5</v>
      </c>
      <c r="CL34" s="2" t="s">
        <v>596</v>
      </c>
      <c r="CM34" s="4" t="str">
        <f>VLOOKUP(saintQ[[#This Row],[Away_team]],all[[Full name]:[Abbr]],3,FALSE)</f>
        <v>NCY</v>
      </c>
      <c r="CN34" s="4">
        <f>IF(OR(saintQ[[#This Row],[Result]]="w",saintQ[[#This Row],[Result]]="dw"),saintQ[[#This Row],[win]]-1,-1)</f>
        <v>1.1499999999999999</v>
      </c>
      <c r="CO34" s="4">
        <f>IF(OR(saintQ[[#This Row],[Result]]="L",saintQ[[#This Row],[Result]]="dl"),saintQ[[#This Row],[lose]]-1,-1)</f>
        <v>-1</v>
      </c>
      <c r="CP34" s="4">
        <f>IF(OR((saintQ[[#This Row],[Home_scored]]+saintQ[[#This Row],[Away_scored]])&gt;saintQ[[#This Row],[total]],OR(saintQ[[#This Row],[Result]]="dw",saintQ[[#This Row],[Result]]="dl")),1,0)</f>
        <v>1</v>
      </c>
      <c r="CQ34" s="4">
        <f>ABS((saintQ[[#This Row],[Home_scored]]+saintQ[[#This Row],[Away_scored]])-saintQ[[#This Row],[total]])+0.5</f>
        <v>7</v>
      </c>
    </row>
    <row r="35" spans="1:95" x14ac:dyDescent="0.25">
      <c r="A35" s="2" t="s">
        <v>349</v>
      </c>
      <c r="B35" s="2" t="s">
        <v>342</v>
      </c>
      <c r="C35" s="28" t="s">
        <v>594</v>
      </c>
      <c r="D35" s="28">
        <v>45800</v>
      </c>
      <c r="E35" s="2" t="s">
        <v>140</v>
      </c>
      <c r="F35" s="2" t="s">
        <v>311</v>
      </c>
      <c r="G35" s="2" t="s">
        <v>139</v>
      </c>
      <c r="H35" s="11">
        <v>79</v>
      </c>
      <c r="I35" s="11">
        <v>92</v>
      </c>
      <c r="J35" s="11">
        <v>24</v>
      </c>
      <c r="K35" s="11">
        <v>58</v>
      </c>
      <c r="L35" s="12">
        <v>0.4138</v>
      </c>
      <c r="M35" s="11">
        <v>13</v>
      </c>
      <c r="N35" s="11">
        <v>21</v>
      </c>
      <c r="O35" s="12">
        <v>0.61899999999999999</v>
      </c>
      <c r="P35" s="11">
        <v>11</v>
      </c>
      <c r="Q35" s="11">
        <v>37</v>
      </c>
      <c r="R35" s="12">
        <v>0.29730000000000001</v>
      </c>
      <c r="S35" s="11">
        <v>20</v>
      </c>
      <c r="T35" s="11">
        <v>26</v>
      </c>
      <c r="U35" s="12">
        <v>0.76919999999999999</v>
      </c>
      <c r="V35" s="11">
        <v>12</v>
      </c>
      <c r="W35" s="11">
        <v>21</v>
      </c>
      <c r="X35" s="11">
        <v>33</v>
      </c>
      <c r="Y35" s="11">
        <v>18</v>
      </c>
      <c r="Z35" s="11">
        <v>3</v>
      </c>
      <c r="AA35" s="11">
        <v>1</v>
      </c>
      <c r="AB35" s="11">
        <v>12</v>
      </c>
      <c r="AC35" s="11">
        <v>24</v>
      </c>
      <c r="AD35" s="11">
        <v>30</v>
      </c>
      <c r="AE35" s="11">
        <v>54</v>
      </c>
      <c r="AF35" s="12">
        <v>0.55559999999999998</v>
      </c>
      <c r="AG35" s="11">
        <v>20</v>
      </c>
      <c r="AH35" s="11">
        <v>31</v>
      </c>
      <c r="AI35" s="12">
        <v>0.6452</v>
      </c>
      <c r="AJ35" s="11">
        <v>10</v>
      </c>
      <c r="AK35" s="11">
        <v>23</v>
      </c>
      <c r="AL35" s="12">
        <v>0.43480000000000002</v>
      </c>
      <c r="AM35" s="11">
        <v>22</v>
      </c>
      <c r="AN35" s="11">
        <v>27</v>
      </c>
      <c r="AO35" s="12">
        <v>0.81479999999999997</v>
      </c>
      <c r="AP35" s="11">
        <v>4</v>
      </c>
      <c r="AQ35" s="11">
        <v>26</v>
      </c>
      <c r="AR35" s="11">
        <v>30</v>
      </c>
      <c r="AS35" s="11">
        <v>23</v>
      </c>
      <c r="AT35" s="11">
        <v>6</v>
      </c>
      <c r="AU35" s="11">
        <v>3</v>
      </c>
      <c r="AV35" s="11">
        <v>8</v>
      </c>
      <c r="AW35" s="11">
        <v>25</v>
      </c>
      <c r="AX35" s="12">
        <v>0.56879999999999997</v>
      </c>
      <c r="AY35" s="12">
        <v>0.50860000000000005</v>
      </c>
      <c r="AZ35" s="12">
        <v>0.31580000000000003</v>
      </c>
      <c r="BA35" s="12">
        <v>0.84</v>
      </c>
      <c r="BB35" s="12">
        <v>0.52380000000000004</v>
      </c>
      <c r="BC35" s="4">
        <v>67.171000000000006</v>
      </c>
      <c r="BD35" s="12">
        <v>0.75</v>
      </c>
      <c r="BE35" s="12">
        <v>0.3448</v>
      </c>
      <c r="BF35" s="12">
        <v>0.14729999999999999</v>
      </c>
      <c r="BG35" s="4">
        <v>115.7</v>
      </c>
      <c r="BH35" s="4">
        <v>134.80000000000001</v>
      </c>
      <c r="BI35" s="4">
        <v>68.273499999999999</v>
      </c>
      <c r="BJ35" s="12">
        <v>0.69820000000000004</v>
      </c>
      <c r="BK35" s="12">
        <v>0.64810000000000001</v>
      </c>
      <c r="BL35" s="12">
        <v>0.16</v>
      </c>
      <c r="BM35" s="12">
        <v>0.68420000000000003</v>
      </c>
      <c r="BN35" s="12">
        <v>0.47620000000000001</v>
      </c>
      <c r="BO35" s="4">
        <v>69.376000000000005</v>
      </c>
      <c r="BP35" s="12">
        <v>0.76670000000000005</v>
      </c>
      <c r="BQ35" s="12">
        <v>0.40739999999999998</v>
      </c>
      <c r="BR35" s="12">
        <v>0.10829999999999999</v>
      </c>
      <c r="BS35" s="4">
        <v>134.80000000000001</v>
      </c>
      <c r="BT35" s="4">
        <v>115.7</v>
      </c>
      <c r="BU35" s="11">
        <v>26</v>
      </c>
      <c r="BV35" s="11">
        <v>15</v>
      </c>
      <c r="BW35" s="11">
        <v>21</v>
      </c>
      <c r="BX35" s="11">
        <v>17</v>
      </c>
      <c r="BY35" s="11">
        <v>29</v>
      </c>
      <c r="BZ35" s="11">
        <v>23</v>
      </c>
      <c r="CA35" s="11">
        <v>20</v>
      </c>
      <c r="CB35" s="11">
        <v>20</v>
      </c>
      <c r="CC35" s="11">
        <v>41</v>
      </c>
      <c r="CD35" s="11">
        <v>38</v>
      </c>
      <c r="CE35" s="11">
        <v>52</v>
      </c>
      <c r="CF35" s="11">
        <v>40</v>
      </c>
      <c r="CG35" s="4">
        <v>2.4</v>
      </c>
      <c r="CH35" s="13">
        <v>1.6</v>
      </c>
      <c r="CI35" s="4">
        <v>3.5</v>
      </c>
      <c r="CJ35" s="4">
        <v>-3.5</v>
      </c>
      <c r="CK35" s="4">
        <v>163.5</v>
      </c>
      <c r="CL35" s="2" t="s">
        <v>597</v>
      </c>
      <c r="CM35" s="4" t="str">
        <f>VLOOKUP(saintQ[[#This Row],[Away_team]],all[[Full name]:[Abbr]],3,FALSE)</f>
        <v>DIJ</v>
      </c>
      <c r="CN35" s="4">
        <f>IF(OR(saintQ[[#This Row],[Result]]="w",saintQ[[#This Row],[Result]]="dw"),saintQ[[#This Row],[win]]-1,-1)</f>
        <v>-1</v>
      </c>
      <c r="CO35" s="4">
        <f>IF(OR(saintQ[[#This Row],[Result]]="L",saintQ[[#This Row],[Result]]="dl"),saintQ[[#This Row],[lose]]-1,-1)</f>
        <v>0.60000000000000009</v>
      </c>
      <c r="CP35" s="4">
        <f>IF(OR((saintQ[[#This Row],[Home_scored]]+saintQ[[#This Row],[Away_scored]])&gt;saintQ[[#This Row],[total]],OR(saintQ[[#This Row],[Result]]="dw",saintQ[[#This Row],[Result]]="dl")),1,0)</f>
        <v>1</v>
      </c>
      <c r="CQ35" s="4">
        <f>ABS((saintQ[[#This Row],[Home_scored]]+saintQ[[#This Row],[Away_scored]])-saintQ[[#This Row],[total]])+0.5</f>
        <v>8</v>
      </c>
    </row>
  </sheetData>
  <conditionalFormatting sqref="A4:A35">
    <cfRule type="expression" dxfId="333" priority="1">
      <formula>SUMPRODUCT(--ISERROR(B4:CL4))&gt;0</formula>
    </cfRule>
  </conditionalFormatting>
  <conditionalFormatting sqref="B4:B35">
    <cfRule type="uniqueValues" dxfId="332" priority="494"/>
  </conditionalFormatting>
  <conditionalFormatting sqref="D4:D35">
    <cfRule type="duplicateValues" dxfId="331" priority="495"/>
  </conditionalFormatting>
  <conditionalFormatting sqref="H4:H35">
    <cfRule type="expression" dxfId="330" priority="3">
      <formula>H4=BU4+BV4+BW4+BX4</formula>
    </cfRule>
  </conditionalFormatting>
  <conditionalFormatting sqref="I4:I35">
    <cfRule type="expression" dxfId="329" priority="2">
      <formula>I4=BY4+BZ4+CA4+CB4</formula>
    </cfRule>
  </conditionalFormatting>
  <hyperlinks>
    <hyperlink ref="A1" location="all_data!A1" display="ratings" xr:uid="{12E70EB8-1292-403B-BD28-611AD5A55A8D}"/>
  </hyperlink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3A66-26A8-45CF-B034-E71FFFA0D738}">
  <sheetPr codeName="Sheet19"/>
  <dimension ref="A1:CQ33"/>
  <sheetViews>
    <sheetView topLeftCell="A3" zoomScale="80" zoomScaleNormal="80" workbookViewId="0">
      <selection activeCell="A34" sqref="A34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349</v>
      </c>
      <c r="B4" s="2" t="s">
        <v>345</v>
      </c>
      <c r="C4" s="3" t="s">
        <v>73</v>
      </c>
      <c r="D4" s="3">
        <v>45556</v>
      </c>
      <c r="E4" s="2" t="s">
        <v>74</v>
      </c>
      <c r="F4" s="2" t="s">
        <v>305</v>
      </c>
      <c r="G4" s="2" t="s">
        <v>75</v>
      </c>
      <c r="H4" s="2">
        <v>83</v>
      </c>
      <c r="I4" s="2">
        <v>80</v>
      </c>
      <c r="J4" s="2">
        <v>30</v>
      </c>
      <c r="K4" s="2">
        <v>62</v>
      </c>
      <c r="L4" s="2">
        <v>0.4839</v>
      </c>
      <c r="M4" s="2">
        <v>18</v>
      </c>
      <c r="N4" s="2">
        <v>33</v>
      </c>
      <c r="O4" s="2">
        <v>0.54549999999999998</v>
      </c>
      <c r="P4" s="2">
        <v>12</v>
      </c>
      <c r="Q4" s="2">
        <v>29</v>
      </c>
      <c r="R4" s="2">
        <v>0.4138</v>
      </c>
      <c r="S4" s="2">
        <v>11</v>
      </c>
      <c r="T4" s="2">
        <v>15</v>
      </c>
      <c r="U4" s="2">
        <v>0.73329999999999995</v>
      </c>
      <c r="V4" s="2">
        <v>12</v>
      </c>
      <c r="W4" s="2">
        <v>20</v>
      </c>
      <c r="X4" s="2">
        <v>32</v>
      </c>
      <c r="Y4" s="2">
        <v>20</v>
      </c>
      <c r="Z4" s="2">
        <v>8</v>
      </c>
      <c r="AA4" s="2">
        <v>0</v>
      </c>
      <c r="AB4" s="2">
        <v>15</v>
      </c>
      <c r="AC4" s="2">
        <v>24</v>
      </c>
      <c r="AD4" s="2">
        <v>30</v>
      </c>
      <c r="AE4" s="2">
        <v>66</v>
      </c>
      <c r="AF4" s="2">
        <v>0.45450000000000002</v>
      </c>
      <c r="AG4" s="2">
        <v>22</v>
      </c>
      <c r="AH4" s="2">
        <v>43</v>
      </c>
      <c r="AI4" s="2">
        <v>0.51160000000000005</v>
      </c>
      <c r="AJ4" s="2">
        <v>8</v>
      </c>
      <c r="AK4" s="2">
        <v>23</v>
      </c>
      <c r="AL4" s="2">
        <v>0.3478</v>
      </c>
      <c r="AM4" s="2">
        <v>12</v>
      </c>
      <c r="AN4" s="2">
        <v>22</v>
      </c>
      <c r="AO4" s="2">
        <v>0.54549999999999998</v>
      </c>
      <c r="AP4" s="2">
        <v>19</v>
      </c>
      <c r="AQ4" s="2">
        <v>21</v>
      </c>
      <c r="AR4" s="2">
        <v>40</v>
      </c>
      <c r="AS4" s="2">
        <v>20</v>
      </c>
      <c r="AT4" s="2">
        <v>7</v>
      </c>
      <c r="AU4" s="2">
        <v>4</v>
      </c>
      <c r="AV4" s="2">
        <v>14</v>
      </c>
      <c r="AW4" s="2">
        <v>21</v>
      </c>
      <c r="AX4" s="2">
        <v>0.60499999999999998</v>
      </c>
      <c r="AY4" s="2">
        <v>0.5806</v>
      </c>
      <c r="AZ4" s="2">
        <v>0.36359999999999998</v>
      </c>
      <c r="BA4" s="2">
        <v>0.51280000000000003</v>
      </c>
      <c r="BB4" s="2">
        <v>0.44440000000000002</v>
      </c>
      <c r="BC4" s="4">
        <v>70.16</v>
      </c>
      <c r="BD4" s="2">
        <v>0.66669999999999996</v>
      </c>
      <c r="BE4" s="2">
        <v>0.1774</v>
      </c>
      <c r="BF4" s="2">
        <v>0.1794</v>
      </c>
      <c r="BG4" s="2">
        <v>118</v>
      </c>
      <c r="BH4" s="2">
        <v>113.7</v>
      </c>
      <c r="BI4" s="2">
        <v>70.331500000000005</v>
      </c>
      <c r="BJ4" s="2">
        <v>0.52849999999999997</v>
      </c>
      <c r="BK4" s="2">
        <v>0.51519999999999999</v>
      </c>
      <c r="BL4" s="2">
        <v>0.48720000000000002</v>
      </c>
      <c r="BM4" s="2">
        <v>0.63639999999999997</v>
      </c>
      <c r="BN4" s="2">
        <v>0.55559999999999998</v>
      </c>
      <c r="BO4" s="4">
        <v>70.503</v>
      </c>
      <c r="BP4" s="2">
        <v>0.66669999999999996</v>
      </c>
      <c r="BQ4" s="2">
        <v>0.18179999999999999</v>
      </c>
      <c r="BR4" s="2">
        <v>0.15609999999999999</v>
      </c>
      <c r="BS4" s="2">
        <v>113.7</v>
      </c>
      <c r="BT4" s="2">
        <v>118</v>
      </c>
      <c r="BU4" s="2">
        <v>21</v>
      </c>
      <c r="BV4" s="2">
        <v>21</v>
      </c>
      <c r="BW4" s="2">
        <v>26</v>
      </c>
      <c r="BX4" s="2">
        <v>15</v>
      </c>
      <c r="BY4" s="2">
        <v>17</v>
      </c>
      <c r="BZ4" s="2">
        <v>23</v>
      </c>
      <c r="CA4" s="2">
        <v>18</v>
      </c>
      <c r="CB4" s="2">
        <v>22</v>
      </c>
      <c r="CC4" s="2">
        <v>42</v>
      </c>
      <c r="CD4" s="2">
        <v>41</v>
      </c>
      <c r="CE4" s="2">
        <v>40</v>
      </c>
      <c r="CF4" s="2">
        <v>40</v>
      </c>
      <c r="CG4" s="2">
        <v>1.26</v>
      </c>
      <c r="CH4" s="2">
        <v>4</v>
      </c>
      <c r="CI4" s="2">
        <v>-8.5</v>
      </c>
      <c r="CJ4" s="2">
        <v>8.5</v>
      </c>
      <c r="CK4" s="2">
        <v>160.5</v>
      </c>
      <c r="CL4" s="2" t="s">
        <v>361</v>
      </c>
      <c r="CM4" s="4" t="str">
        <f>VLOOKUP(strasbourg[[#This Row],[Away_team]],all[[Full name]:[Abbr]],3,FALSE)</f>
        <v>CHA</v>
      </c>
      <c r="CN4" s="4">
        <f>IF(OR(strasbourg[[#This Row],[Result]]="w",strasbourg[[#This Row],[Result]]="dw"),strasbourg[[#This Row],[win]]-1,-1)</f>
        <v>0.26</v>
      </c>
      <c r="CO4" s="4">
        <f>IF(OR(strasbourg[[#This Row],[Result]]="L",strasbourg[[#This Row],[Result]]="dl"),strasbourg[[#This Row],[lose]]-1,-1)</f>
        <v>-1</v>
      </c>
      <c r="CP4" s="4">
        <f>IF(OR((strasbourg[[#This Row],[Home_scored]]+strasbourg[[#This Row],[Away_scored]])&gt;strasbourg[[#This Row],[total]],OR(strasbourg[[#This Row],[Result]]="dw",strasbourg[[#This Row],[Result]]="dl")),1,0)</f>
        <v>1</v>
      </c>
      <c r="CQ4" s="4">
        <f>ABS((strasbourg[[#This Row],[Home_scored]]+strasbourg[[#This Row],[Away_scored]])-strasbourg[[#This Row],[total]])+0.5</f>
        <v>3</v>
      </c>
    </row>
    <row r="5" spans="1:95" x14ac:dyDescent="0.25">
      <c r="A5" s="2" t="s">
        <v>349</v>
      </c>
      <c r="B5" s="2" t="s">
        <v>345</v>
      </c>
      <c r="C5" s="3" t="s">
        <v>73</v>
      </c>
      <c r="D5" s="3">
        <v>45564</v>
      </c>
      <c r="E5" s="2" t="s">
        <v>140</v>
      </c>
      <c r="F5" s="2" t="s">
        <v>330</v>
      </c>
      <c r="G5" s="2" t="s">
        <v>139</v>
      </c>
      <c r="H5" s="11">
        <v>65</v>
      </c>
      <c r="I5" s="11">
        <v>77</v>
      </c>
      <c r="J5" s="11">
        <v>25</v>
      </c>
      <c r="K5" s="11">
        <v>63</v>
      </c>
      <c r="L5" s="12">
        <v>0.39679999999999999</v>
      </c>
      <c r="M5" s="11">
        <v>20</v>
      </c>
      <c r="N5" s="11">
        <v>39</v>
      </c>
      <c r="O5" s="12">
        <v>0.51280000000000003</v>
      </c>
      <c r="P5" s="11">
        <v>5</v>
      </c>
      <c r="Q5" s="11">
        <v>24</v>
      </c>
      <c r="R5" s="12">
        <v>0.20830000000000001</v>
      </c>
      <c r="S5" s="11">
        <v>10</v>
      </c>
      <c r="T5" s="11">
        <v>21</v>
      </c>
      <c r="U5" s="12">
        <v>0.47620000000000001</v>
      </c>
      <c r="V5" s="11">
        <v>12</v>
      </c>
      <c r="W5" s="11">
        <v>27</v>
      </c>
      <c r="X5" s="11">
        <v>39</v>
      </c>
      <c r="Y5" s="11">
        <v>19</v>
      </c>
      <c r="Z5" s="11">
        <v>11</v>
      </c>
      <c r="AA5" s="11">
        <v>0</v>
      </c>
      <c r="AB5" s="11">
        <v>17</v>
      </c>
      <c r="AC5" s="11">
        <v>27</v>
      </c>
      <c r="AD5" s="11">
        <v>27</v>
      </c>
      <c r="AE5" s="11">
        <v>58</v>
      </c>
      <c r="AF5" s="12">
        <v>0.46550000000000002</v>
      </c>
      <c r="AG5" s="11">
        <v>22</v>
      </c>
      <c r="AH5" s="11">
        <v>32</v>
      </c>
      <c r="AI5" s="12">
        <v>0.6875</v>
      </c>
      <c r="AJ5" s="11">
        <v>5</v>
      </c>
      <c r="AK5" s="11">
        <v>26</v>
      </c>
      <c r="AL5" s="12">
        <v>0.1923</v>
      </c>
      <c r="AM5" s="11">
        <v>18</v>
      </c>
      <c r="AN5" s="11">
        <v>28</v>
      </c>
      <c r="AO5" s="12">
        <v>0.64290000000000003</v>
      </c>
      <c r="AP5" s="11">
        <v>10</v>
      </c>
      <c r="AQ5" s="11">
        <v>28</v>
      </c>
      <c r="AR5" s="11">
        <v>38</v>
      </c>
      <c r="AS5" s="11">
        <v>12</v>
      </c>
      <c r="AT5" s="11">
        <v>11</v>
      </c>
      <c r="AU5" s="11">
        <v>6</v>
      </c>
      <c r="AV5" s="11">
        <v>17</v>
      </c>
      <c r="AW5" s="11">
        <v>22</v>
      </c>
      <c r="AX5" s="12">
        <v>0.44990000000000002</v>
      </c>
      <c r="AY5" s="12">
        <v>0.4365</v>
      </c>
      <c r="AZ5" s="12">
        <v>0.3</v>
      </c>
      <c r="BA5" s="12">
        <v>0.72970000000000002</v>
      </c>
      <c r="BB5" s="12">
        <v>0.50649999999999995</v>
      </c>
      <c r="BC5" s="4">
        <v>75.888999999999996</v>
      </c>
      <c r="BD5" s="12">
        <v>0.76</v>
      </c>
      <c r="BE5" s="12">
        <v>0.15870000000000001</v>
      </c>
      <c r="BF5" s="12">
        <v>0.1905</v>
      </c>
      <c r="BG5" s="4">
        <v>84.8</v>
      </c>
      <c r="BH5" s="4">
        <v>100.4</v>
      </c>
      <c r="BI5" s="4">
        <v>76.680000000000007</v>
      </c>
      <c r="BJ5" s="12">
        <v>0.54749999999999999</v>
      </c>
      <c r="BK5" s="12">
        <v>0.50860000000000005</v>
      </c>
      <c r="BL5" s="12">
        <v>0.27029999999999998</v>
      </c>
      <c r="BM5" s="12">
        <v>0.7</v>
      </c>
      <c r="BN5" s="12">
        <v>0.49349999999999999</v>
      </c>
      <c r="BO5" s="4">
        <v>77.471000000000004</v>
      </c>
      <c r="BP5" s="12">
        <v>0.44440000000000002</v>
      </c>
      <c r="BQ5" s="12">
        <v>0.31030000000000002</v>
      </c>
      <c r="BR5" s="12">
        <v>0.19470000000000001</v>
      </c>
      <c r="BS5" s="4">
        <v>100.4</v>
      </c>
      <c r="BT5" s="4">
        <v>84.8</v>
      </c>
      <c r="BU5" s="11">
        <v>24</v>
      </c>
      <c r="BV5" s="11">
        <v>16</v>
      </c>
      <c r="BW5" s="11">
        <v>12</v>
      </c>
      <c r="BX5" s="11">
        <v>13</v>
      </c>
      <c r="BY5" s="11">
        <v>19</v>
      </c>
      <c r="BZ5" s="11">
        <v>16</v>
      </c>
      <c r="CA5" s="11">
        <v>20</v>
      </c>
      <c r="CB5" s="11">
        <v>22</v>
      </c>
      <c r="CC5" s="11">
        <v>40</v>
      </c>
      <c r="CD5" s="11">
        <v>25</v>
      </c>
      <c r="CE5" s="11">
        <v>35</v>
      </c>
      <c r="CF5" s="11">
        <v>42</v>
      </c>
      <c r="CG5" s="4">
        <v>5</v>
      </c>
      <c r="CH5" s="13">
        <v>1.18</v>
      </c>
      <c r="CI5" s="4">
        <v>10.5</v>
      </c>
      <c r="CJ5" s="4">
        <v>-10.5</v>
      </c>
      <c r="CK5" s="4">
        <v>159.5</v>
      </c>
      <c r="CL5" s="2" t="s">
        <v>423</v>
      </c>
      <c r="CM5" s="4" t="str">
        <f>VLOOKUP(strasbourg[[#This Row],[Away_team]],all[[Full name]:[Abbr]],3,FALSE)</f>
        <v>MON</v>
      </c>
      <c r="CN5" s="4">
        <f>IF(OR(strasbourg[[#This Row],[Result]]="w",strasbourg[[#This Row],[Result]]="dw"),strasbourg[[#This Row],[win]]-1,-1)</f>
        <v>-1</v>
      </c>
      <c r="CO5" s="4">
        <f>IF(OR(strasbourg[[#This Row],[Result]]="L",strasbourg[[#This Row],[Result]]="dl"),strasbourg[[#This Row],[lose]]-1,-1)</f>
        <v>0.17999999999999994</v>
      </c>
      <c r="CP5" s="4">
        <f>IF(OR((strasbourg[[#This Row],[Home_scored]]+strasbourg[[#This Row],[Away_scored]])&gt;strasbourg[[#This Row],[total]],OR(strasbourg[[#This Row],[Result]]="dw",strasbourg[[#This Row],[Result]]="dl")),1,0)</f>
        <v>0</v>
      </c>
      <c r="CQ5" s="4">
        <f>ABS((strasbourg[[#This Row],[Home_scored]]+strasbourg[[#This Row],[Away_scored]])-strasbourg[[#This Row],[total]])+0.5</f>
        <v>18</v>
      </c>
    </row>
    <row r="6" spans="1:95" x14ac:dyDescent="0.25">
      <c r="A6" s="2" t="s">
        <v>349</v>
      </c>
      <c r="B6" s="2" t="s">
        <v>345</v>
      </c>
      <c r="C6" s="3" t="s">
        <v>73</v>
      </c>
      <c r="D6" s="3">
        <v>45569</v>
      </c>
      <c r="E6" s="2" t="s">
        <v>74</v>
      </c>
      <c r="F6" s="2" t="s">
        <v>317</v>
      </c>
      <c r="G6" s="2" t="s">
        <v>139</v>
      </c>
      <c r="H6" s="11">
        <v>88</v>
      </c>
      <c r="I6" s="11">
        <v>95</v>
      </c>
      <c r="J6" s="11">
        <v>27</v>
      </c>
      <c r="K6" s="11">
        <v>47</v>
      </c>
      <c r="L6" s="12">
        <v>0.57450000000000001</v>
      </c>
      <c r="M6" s="11">
        <v>14</v>
      </c>
      <c r="N6" s="11">
        <v>21</v>
      </c>
      <c r="O6" s="12">
        <v>0.66669999999999996</v>
      </c>
      <c r="P6" s="11">
        <v>13</v>
      </c>
      <c r="Q6" s="11">
        <v>26</v>
      </c>
      <c r="R6" s="12">
        <v>0.5</v>
      </c>
      <c r="S6" s="11">
        <v>21</v>
      </c>
      <c r="T6" s="11">
        <v>27</v>
      </c>
      <c r="U6" s="12">
        <v>0.77780000000000005</v>
      </c>
      <c r="V6" s="11">
        <v>5</v>
      </c>
      <c r="W6" s="11">
        <v>15</v>
      </c>
      <c r="X6" s="11">
        <v>20</v>
      </c>
      <c r="Y6" s="11">
        <v>23</v>
      </c>
      <c r="Z6" s="11">
        <v>5</v>
      </c>
      <c r="AA6" s="11">
        <v>2</v>
      </c>
      <c r="AB6" s="11">
        <v>18</v>
      </c>
      <c r="AC6" s="11">
        <v>20</v>
      </c>
      <c r="AD6" s="11">
        <v>34</v>
      </c>
      <c r="AE6" s="11">
        <v>60</v>
      </c>
      <c r="AF6" s="12">
        <v>0.56669999999999998</v>
      </c>
      <c r="AG6" s="11">
        <v>22</v>
      </c>
      <c r="AH6" s="11">
        <v>36</v>
      </c>
      <c r="AI6" s="12">
        <v>0.61109999999999998</v>
      </c>
      <c r="AJ6" s="11">
        <v>12</v>
      </c>
      <c r="AK6" s="11">
        <v>24</v>
      </c>
      <c r="AL6" s="12">
        <v>0.5</v>
      </c>
      <c r="AM6" s="11">
        <v>15</v>
      </c>
      <c r="AN6" s="11">
        <v>17</v>
      </c>
      <c r="AO6" s="12">
        <v>0.88239999999999996</v>
      </c>
      <c r="AP6" s="11">
        <v>10</v>
      </c>
      <c r="AQ6" s="11">
        <v>14</v>
      </c>
      <c r="AR6" s="11">
        <v>24</v>
      </c>
      <c r="AS6" s="11">
        <v>23</v>
      </c>
      <c r="AT6" s="11">
        <v>9</v>
      </c>
      <c r="AU6" s="11">
        <v>1</v>
      </c>
      <c r="AV6" s="11">
        <v>15</v>
      </c>
      <c r="AW6" s="11">
        <v>23</v>
      </c>
      <c r="AX6" s="12">
        <v>0.74729999999999996</v>
      </c>
      <c r="AY6" s="12">
        <v>0.71279999999999999</v>
      </c>
      <c r="AZ6" s="12">
        <v>0.26319999999999999</v>
      </c>
      <c r="BA6" s="12">
        <v>0.6</v>
      </c>
      <c r="BB6" s="12">
        <v>0.45450000000000002</v>
      </c>
      <c r="BC6" s="4">
        <v>70.45</v>
      </c>
      <c r="BD6" s="12">
        <v>0.85189999999999999</v>
      </c>
      <c r="BE6" s="12">
        <v>0.44679999999999997</v>
      </c>
      <c r="BF6" s="12">
        <v>0.2341</v>
      </c>
      <c r="BG6" s="4">
        <v>125.1</v>
      </c>
      <c r="BH6" s="4">
        <v>135.1</v>
      </c>
      <c r="BI6" s="4">
        <v>70.328999999999994</v>
      </c>
      <c r="BJ6" s="12">
        <v>0.70389999999999997</v>
      </c>
      <c r="BK6" s="12">
        <v>0.66669999999999996</v>
      </c>
      <c r="BL6" s="12">
        <v>0.4</v>
      </c>
      <c r="BM6" s="12">
        <v>0.73680000000000001</v>
      </c>
      <c r="BN6" s="12">
        <v>0.54549999999999998</v>
      </c>
      <c r="BO6" s="4">
        <v>70.207999999999998</v>
      </c>
      <c r="BP6" s="12">
        <v>0.67649999999999999</v>
      </c>
      <c r="BQ6" s="12">
        <v>0.25</v>
      </c>
      <c r="BR6" s="12">
        <v>0.18190000000000001</v>
      </c>
      <c r="BS6" s="4">
        <v>135.1</v>
      </c>
      <c r="BT6" s="4">
        <v>125.1</v>
      </c>
      <c r="BU6" s="11">
        <v>12</v>
      </c>
      <c r="BV6" s="11">
        <v>20</v>
      </c>
      <c r="BW6" s="11">
        <v>24</v>
      </c>
      <c r="BX6" s="11">
        <v>32</v>
      </c>
      <c r="BY6" s="11">
        <v>23</v>
      </c>
      <c r="BZ6" s="11">
        <v>20</v>
      </c>
      <c r="CA6" s="11">
        <v>20</v>
      </c>
      <c r="CB6" s="11">
        <v>32</v>
      </c>
      <c r="CC6" s="11">
        <v>32</v>
      </c>
      <c r="CD6" s="11">
        <v>56</v>
      </c>
      <c r="CE6" s="11">
        <v>43</v>
      </c>
      <c r="CF6" s="11">
        <v>52</v>
      </c>
      <c r="CG6" s="4">
        <v>1.48</v>
      </c>
      <c r="CH6" s="13">
        <v>2.75</v>
      </c>
      <c r="CI6" s="4">
        <v>-5</v>
      </c>
      <c r="CJ6" s="4">
        <v>-5</v>
      </c>
      <c r="CK6" s="4">
        <v>154.5</v>
      </c>
      <c r="CL6" s="2" t="s">
        <v>396</v>
      </c>
      <c r="CM6" s="4" t="str">
        <f>VLOOKUP(strasbourg[[#This Row],[Away_team]],all[[Full name]:[Abbr]],3,FALSE)</f>
        <v>LEM</v>
      </c>
      <c r="CN6" s="4">
        <f>IF(OR(strasbourg[[#This Row],[Result]]="w",strasbourg[[#This Row],[Result]]="dw"),strasbourg[[#This Row],[win]]-1,-1)</f>
        <v>-1</v>
      </c>
      <c r="CO6" s="4">
        <f>IF(OR(strasbourg[[#This Row],[Result]]="L",strasbourg[[#This Row],[Result]]="dl"),strasbourg[[#This Row],[lose]]-1,-1)</f>
        <v>1.75</v>
      </c>
      <c r="CP6" s="4">
        <f>IF(OR((strasbourg[[#This Row],[Home_scored]]+strasbourg[[#This Row],[Away_scored]])&gt;strasbourg[[#This Row],[total]],OR(strasbourg[[#This Row],[Result]]="dw",strasbourg[[#This Row],[Result]]="dl")),1,0)</f>
        <v>1</v>
      </c>
      <c r="CQ6" s="4">
        <f>ABS((strasbourg[[#This Row],[Home_scored]]+strasbourg[[#This Row],[Away_scored]])-strasbourg[[#This Row],[total]])+0.5</f>
        <v>29</v>
      </c>
    </row>
    <row r="7" spans="1:95" x14ac:dyDescent="0.25">
      <c r="A7" s="2" t="s">
        <v>349</v>
      </c>
      <c r="B7" s="2" t="s">
        <v>345</v>
      </c>
      <c r="C7" s="3" t="s">
        <v>73</v>
      </c>
      <c r="D7" s="3">
        <v>45578</v>
      </c>
      <c r="E7" s="2" t="s">
        <v>140</v>
      </c>
      <c r="F7" s="2" t="s">
        <v>314</v>
      </c>
      <c r="G7" s="2" t="s">
        <v>139</v>
      </c>
      <c r="H7" s="11">
        <v>72</v>
      </c>
      <c r="I7" s="11">
        <v>78</v>
      </c>
      <c r="J7" s="11">
        <v>26</v>
      </c>
      <c r="K7" s="11">
        <v>58</v>
      </c>
      <c r="L7" s="12">
        <v>0.44829999999999998</v>
      </c>
      <c r="M7" s="11">
        <v>19</v>
      </c>
      <c r="N7" s="11">
        <v>32</v>
      </c>
      <c r="O7" s="12">
        <v>0.59379999999999999</v>
      </c>
      <c r="P7" s="11">
        <v>7</v>
      </c>
      <c r="Q7" s="11">
        <v>26</v>
      </c>
      <c r="R7" s="12">
        <v>0.26919999999999999</v>
      </c>
      <c r="S7" s="11">
        <v>13</v>
      </c>
      <c r="T7" s="11">
        <v>20</v>
      </c>
      <c r="U7" s="12">
        <v>0.65</v>
      </c>
      <c r="V7" s="11">
        <v>8</v>
      </c>
      <c r="W7" s="11">
        <v>27</v>
      </c>
      <c r="X7" s="11">
        <v>35</v>
      </c>
      <c r="Y7" s="11">
        <v>16</v>
      </c>
      <c r="Z7" s="11">
        <v>2</v>
      </c>
      <c r="AA7" s="11">
        <v>1</v>
      </c>
      <c r="AB7" s="11">
        <v>12</v>
      </c>
      <c r="AC7" s="11">
        <v>20</v>
      </c>
      <c r="AD7" s="11">
        <v>28</v>
      </c>
      <c r="AE7" s="11">
        <v>60</v>
      </c>
      <c r="AF7" s="12">
        <v>0.4667</v>
      </c>
      <c r="AG7" s="11">
        <v>24</v>
      </c>
      <c r="AH7" s="11">
        <v>40</v>
      </c>
      <c r="AI7" s="12">
        <v>0.6</v>
      </c>
      <c r="AJ7" s="11">
        <v>4</v>
      </c>
      <c r="AK7" s="11">
        <v>20</v>
      </c>
      <c r="AL7" s="12">
        <v>0.2</v>
      </c>
      <c r="AM7" s="11">
        <v>18</v>
      </c>
      <c r="AN7" s="11">
        <v>22</v>
      </c>
      <c r="AO7" s="12">
        <v>0.81820000000000004</v>
      </c>
      <c r="AP7" s="11">
        <v>5</v>
      </c>
      <c r="AQ7" s="11">
        <v>24</v>
      </c>
      <c r="AR7" s="11">
        <v>29</v>
      </c>
      <c r="AS7" s="11">
        <v>19</v>
      </c>
      <c r="AT7" s="11">
        <v>7</v>
      </c>
      <c r="AU7" s="11">
        <v>1</v>
      </c>
      <c r="AV7" s="11">
        <v>1</v>
      </c>
      <c r="AW7" s="11">
        <v>18</v>
      </c>
      <c r="AX7" s="12">
        <v>0.53890000000000005</v>
      </c>
      <c r="AY7" s="12">
        <v>0.50860000000000005</v>
      </c>
      <c r="AZ7" s="12">
        <v>0.25</v>
      </c>
      <c r="BA7" s="12">
        <v>0.84379999999999999</v>
      </c>
      <c r="BB7" s="12">
        <v>0.54690000000000005</v>
      </c>
      <c r="BC7" s="4">
        <v>70.174000000000007</v>
      </c>
      <c r="BD7" s="12">
        <v>0.61539999999999995</v>
      </c>
      <c r="BE7" s="12">
        <v>0.22409999999999999</v>
      </c>
      <c r="BF7" s="12">
        <v>0.15229999999999999</v>
      </c>
      <c r="BG7" s="4">
        <v>107.4</v>
      </c>
      <c r="BH7" s="4">
        <v>116.4</v>
      </c>
      <c r="BI7" s="4">
        <v>67.035499999999999</v>
      </c>
      <c r="BJ7" s="12">
        <v>0.55969999999999998</v>
      </c>
      <c r="BK7" s="12">
        <v>0.5</v>
      </c>
      <c r="BL7" s="12">
        <v>0.15629999999999999</v>
      </c>
      <c r="BM7" s="12">
        <v>0.75</v>
      </c>
      <c r="BN7" s="12">
        <v>0.4531</v>
      </c>
      <c r="BO7" s="4">
        <v>63.896999999999998</v>
      </c>
      <c r="BP7" s="12">
        <v>0.67859999999999998</v>
      </c>
      <c r="BQ7" s="12">
        <v>0.3</v>
      </c>
      <c r="BR7" s="12">
        <v>1.41E-2</v>
      </c>
      <c r="BS7" s="4">
        <v>116.4</v>
      </c>
      <c r="BT7" s="4">
        <v>107.4</v>
      </c>
      <c r="BU7" s="11">
        <v>21</v>
      </c>
      <c r="BV7" s="11">
        <v>15</v>
      </c>
      <c r="BW7" s="11">
        <v>22</v>
      </c>
      <c r="BX7" s="11">
        <v>14</v>
      </c>
      <c r="BY7" s="11">
        <v>23</v>
      </c>
      <c r="BZ7" s="11">
        <v>15</v>
      </c>
      <c r="CA7" s="11">
        <v>19</v>
      </c>
      <c r="CB7" s="11">
        <v>21</v>
      </c>
      <c r="CC7" s="11">
        <v>36</v>
      </c>
      <c r="CD7" s="11">
        <v>36</v>
      </c>
      <c r="CE7" s="11">
        <v>38</v>
      </c>
      <c r="CF7" s="11">
        <v>40</v>
      </c>
      <c r="CG7" s="4">
        <v>2.5</v>
      </c>
      <c r="CH7" s="13">
        <v>1.56</v>
      </c>
      <c r="CI7" s="4">
        <v>-4</v>
      </c>
      <c r="CJ7" s="4">
        <v>-4</v>
      </c>
      <c r="CK7" s="4">
        <v>156.5</v>
      </c>
      <c r="CL7" s="2" t="s">
        <v>387</v>
      </c>
      <c r="CM7" s="4" t="str">
        <f>VLOOKUP(strasbourg[[#This Row],[Away_team]],all[[Full name]:[Abbr]],3,FALSE)</f>
        <v>DUN</v>
      </c>
      <c r="CN7" s="4">
        <f>IF(OR(strasbourg[[#This Row],[Result]]="w",strasbourg[[#This Row],[Result]]="dw"),strasbourg[[#This Row],[win]]-1,-1)</f>
        <v>-1</v>
      </c>
      <c r="CO7" s="4">
        <f>IF(OR(strasbourg[[#This Row],[Result]]="L",strasbourg[[#This Row],[Result]]="dl"),strasbourg[[#This Row],[lose]]-1,-1)</f>
        <v>0.56000000000000005</v>
      </c>
      <c r="CP7" s="4">
        <f>IF(OR((strasbourg[[#This Row],[Home_scored]]+strasbourg[[#This Row],[Away_scored]])&gt;strasbourg[[#This Row],[total]],OR(strasbourg[[#This Row],[Result]]="dw",strasbourg[[#This Row],[Result]]="dl")),1,0)</f>
        <v>0</v>
      </c>
      <c r="CQ7" s="4">
        <f>ABS((strasbourg[[#This Row],[Home_scored]]+strasbourg[[#This Row],[Away_scored]])-strasbourg[[#This Row],[total]])+0.5</f>
        <v>7</v>
      </c>
    </row>
    <row r="8" spans="1:95" x14ac:dyDescent="0.25">
      <c r="A8" s="2" t="s">
        <v>349</v>
      </c>
      <c r="B8" s="2" t="s">
        <v>345</v>
      </c>
      <c r="C8" s="3" t="s">
        <v>73</v>
      </c>
      <c r="D8" s="3">
        <v>45584</v>
      </c>
      <c r="E8" s="2" t="s">
        <v>74</v>
      </c>
      <c r="F8" s="2" t="s">
        <v>333</v>
      </c>
      <c r="G8" s="2" t="s">
        <v>75</v>
      </c>
      <c r="H8" s="11">
        <v>96</v>
      </c>
      <c r="I8" s="11">
        <v>76</v>
      </c>
      <c r="J8" s="11">
        <v>35</v>
      </c>
      <c r="K8" s="11">
        <v>65</v>
      </c>
      <c r="L8" s="12">
        <v>0.53849999999999998</v>
      </c>
      <c r="M8" s="11">
        <v>24</v>
      </c>
      <c r="N8" s="11">
        <v>41</v>
      </c>
      <c r="O8" s="12">
        <v>0.58540000000000003</v>
      </c>
      <c r="P8" s="11">
        <v>11</v>
      </c>
      <c r="Q8" s="11">
        <v>24</v>
      </c>
      <c r="R8" s="12">
        <v>0.45829999999999999</v>
      </c>
      <c r="S8" s="11">
        <v>15</v>
      </c>
      <c r="T8" s="11">
        <v>20</v>
      </c>
      <c r="U8" s="12">
        <v>0.75</v>
      </c>
      <c r="V8" s="11">
        <v>7</v>
      </c>
      <c r="W8" s="11">
        <v>27</v>
      </c>
      <c r="X8" s="11">
        <v>34</v>
      </c>
      <c r="Y8" s="11">
        <v>22</v>
      </c>
      <c r="Z8" s="11">
        <v>10</v>
      </c>
      <c r="AA8" s="11">
        <v>7</v>
      </c>
      <c r="AB8" s="11">
        <v>12</v>
      </c>
      <c r="AC8" s="11">
        <v>18</v>
      </c>
      <c r="AD8" s="11">
        <v>32</v>
      </c>
      <c r="AE8" s="11">
        <v>79</v>
      </c>
      <c r="AF8" s="12">
        <v>0.40510000000000002</v>
      </c>
      <c r="AG8" s="11">
        <v>28</v>
      </c>
      <c r="AH8" s="11">
        <v>59</v>
      </c>
      <c r="AI8" s="12">
        <v>0.47460000000000002</v>
      </c>
      <c r="AJ8" s="11">
        <v>4</v>
      </c>
      <c r="AK8" s="11">
        <v>20</v>
      </c>
      <c r="AL8" s="12">
        <v>0.2</v>
      </c>
      <c r="AM8" s="11">
        <v>8</v>
      </c>
      <c r="AN8" s="11">
        <v>12</v>
      </c>
      <c r="AO8" s="12">
        <v>0.66669999999999996</v>
      </c>
      <c r="AP8" s="11">
        <v>20</v>
      </c>
      <c r="AQ8" s="11">
        <v>25</v>
      </c>
      <c r="AR8" s="11">
        <v>45</v>
      </c>
      <c r="AS8" s="11">
        <v>16</v>
      </c>
      <c r="AT8" s="11">
        <v>7</v>
      </c>
      <c r="AU8" s="11">
        <v>2</v>
      </c>
      <c r="AV8" s="11">
        <v>15</v>
      </c>
      <c r="AW8" s="11">
        <v>16</v>
      </c>
      <c r="AX8" s="12">
        <v>0.65039999999999998</v>
      </c>
      <c r="AY8" s="12">
        <v>0.62309999999999999</v>
      </c>
      <c r="AZ8" s="12">
        <v>0.21879999999999999</v>
      </c>
      <c r="BA8" s="12">
        <v>0.57450000000000001</v>
      </c>
      <c r="BB8" s="12">
        <v>0.4304</v>
      </c>
      <c r="BC8" s="4">
        <v>78.391000000000005</v>
      </c>
      <c r="BD8" s="12">
        <v>0.62860000000000005</v>
      </c>
      <c r="BE8" s="12">
        <v>0.23080000000000001</v>
      </c>
      <c r="BF8" s="12">
        <v>0.1399</v>
      </c>
      <c r="BG8" s="4">
        <v>124</v>
      </c>
      <c r="BH8" s="4">
        <v>98.2</v>
      </c>
      <c r="BI8" s="4">
        <v>77.42</v>
      </c>
      <c r="BJ8" s="12">
        <v>0.45090000000000002</v>
      </c>
      <c r="BK8" s="12">
        <v>0.4304</v>
      </c>
      <c r="BL8" s="12">
        <v>0.42549999999999999</v>
      </c>
      <c r="BM8" s="12">
        <v>0.78129999999999999</v>
      </c>
      <c r="BN8" s="12">
        <v>0.5696</v>
      </c>
      <c r="BO8" s="4">
        <v>76.448999999999998</v>
      </c>
      <c r="BP8" s="12">
        <v>0.5</v>
      </c>
      <c r="BQ8" s="12">
        <v>0.1013</v>
      </c>
      <c r="BR8" s="12">
        <v>0.15110000000000001</v>
      </c>
      <c r="BS8" s="4">
        <v>98.2</v>
      </c>
      <c r="BT8" s="4">
        <v>124</v>
      </c>
      <c r="BU8" s="11">
        <v>26</v>
      </c>
      <c r="BV8" s="11">
        <v>23</v>
      </c>
      <c r="BW8" s="11">
        <v>23</v>
      </c>
      <c r="BX8" s="11">
        <v>24</v>
      </c>
      <c r="BY8" s="11">
        <v>19</v>
      </c>
      <c r="BZ8" s="11">
        <v>15</v>
      </c>
      <c r="CA8" s="11">
        <v>17</v>
      </c>
      <c r="CB8" s="11">
        <v>25</v>
      </c>
      <c r="CC8" s="11">
        <v>49</v>
      </c>
      <c r="CD8" s="11">
        <v>47</v>
      </c>
      <c r="CE8" s="11">
        <v>34</v>
      </c>
      <c r="CF8" s="11">
        <v>42</v>
      </c>
      <c r="CG8" s="4">
        <v>1.53</v>
      </c>
      <c r="CH8" s="13">
        <v>2.6</v>
      </c>
      <c r="CI8" s="4">
        <v>-4.5</v>
      </c>
      <c r="CJ8" s="4">
        <v>4.5</v>
      </c>
      <c r="CK8" s="4">
        <v>161.5</v>
      </c>
      <c r="CL8" s="2" t="s">
        <v>426</v>
      </c>
      <c r="CM8" s="4" t="str">
        <f>VLOOKUP(strasbourg[[#This Row],[Away_team]],all[[Full name]:[Abbr]],3,FALSE)</f>
        <v>NCY</v>
      </c>
      <c r="CN8" s="4">
        <f>IF(OR(strasbourg[[#This Row],[Result]]="w",strasbourg[[#This Row],[Result]]="dw"),strasbourg[[#This Row],[win]]-1,-1)</f>
        <v>0.53</v>
      </c>
      <c r="CO8" s="4">
        <f>IF(OR(strasbourg[[#This Row],[Result]]="L",strasbourg[[#This Row],[Result]]="dl"),strasbourg[[#This Row],[lose]]-1,-1)</f>
        <v>-1</v>
      </c>
      <c r="CP8" s="4">
        <f>IF(OR((strasbourg[[#This Row],[Home_scored]]+strasbourg[[#This Row],[Away_scored]])&gt;strasbourg[[#This Row],[total]],OR(strasbourg[[#This Row],[Result]]="dw",strasbourg[[#This Row],[Result]]="dl")),1,0)</f>
        <v>1</v>
      </c>
      <c r="CQ8" s="4">
        <f>ABS((strasbourg[[#This Row],[Home_scored]]+strasbourg[[#This Row],[Away_scored]])-strasbourg[[#This Row],[total]])+0.5</f>
        <v>11</v>
      </c>
    </row>
    <row r="9" spans="1:95" x14ac:dyDescent="0.25">
      <c r="A9" s="2" t="s">
        <v>349</v>
      </c>
      <c r="B9" s="2" t="s">
        <v>345</v>
      </c>
      <c r="C9" s="3" t="s">
        <v>73</v>
      </c>
      <c r="D9" s="3">
        <v>45590</v>
      </c>
      <c r="E9" s="2" t="s">
        <v>74</v>
      </c>
      <c r="F9" s="2" t="s">
        <v>324</v>
      </c>
      <c r="G9" s="2" t="s">
        <v>75</v>
      </c>
      <c r="H9" s="11">
        <v>110</v>
      </c>
      <c r="I9" s="11">
        <v>90</v>
      </c>
      <c r="J9" s="11">
        <v>38</v>
      </c>
      <c r="K9" s="11">
        <v>65</v>
      </c>
      <c r="L9" s="12">
        <v>0.58460000000000001</v>
      </c>
      <c r="M9" s="11">
        <v>27</v>
      </c>
      <c r="N9" s="11">
        <v>36</v>
      </c>
      <c r="O9" s="12">
        <v>0.75</v>
      </c>
      <c r="P9" s="11">
        <v>11</v>
      </c>
      <c r="Q9" s="11">
        <v>29</v>
      </c>
      <c r="R9" s="12">
        <v>0.37930000000000003</v>
      </c>
      <c r="S9" s="11">
        <v>23</v>
      </c>
      <c r="T9" s="11">
        <v>32</v>
      </c>
      <c r="U9" s="12">
        <v>0.71879999999999999</v>
      </c>
      <c r="V9" s="11">
        <v>9</v>
      </c>
      <c r="W9" s="11">
        <v>27</v>
      </c>
      <c r="X9" s="11">
        <v>36</v>
      </c>
      <c r="Y9" s="11">
        <v>29</v>
      </c>
      <c r="Z9" s="11">
        <v>3</v>
      </c>
      <c r="AA9" s="11">
        <v>1</v>
      </c>
      <c r="AB9" s="11">
        <v>9</v>
      </c>
      <c r="AC9" s="11">
        <v>24</v>
      </c>
      <c r="AD9" s="11">
        <v>33</v>
      </c>
      <c r="AE9" s="11">
        <v>61</v>
      </c>
      <c r="AF9" s="12">
        <v>0.54100000000000004</v>
      </c>
      <c r="AG9" s="11">
        <v>25</v>
      </c>
      <c r="AH9" s="11">
        <v>41</v>
      </c>
      <c r="AI9" s="12">
        <v>0.60980000000000001</v>
      </c>
      <c r="AJ9" s="11">
        <v>8</v>
      </c>
      <c r="AK9" s="11">
        <v>20</v>
      </c>
      <c r="AL9" s="12">
        <v>0.4</v>
      </c>
      <c r="AM9" s="11">
        <v>16</v>
      </c>
      <c r="AN9" s="11">
        <v>23</v>
      </c>
      <c r="AO9" s="12">
        <v>0.69569999999999999</v>
      </c>
      <c r="AP9" s="11">
        <v>4</v>
      </c>
      <c r="AQ9" s="11">
        <v>20</v>
      </c>
      <c r="AR9" s="11">
        <v>24</v>
      </c>
      <c r="AS9" s="11">
        <v>19</v>
      </c>
      <c r="AT9" s="11">
        <v>5</v>
      </c>
      <c r="AU9" s="11">
        <v>2</v>
      </c>
      <c r="AV9" s="11">
        <v>10</v>
      </c>
      <c r="AW9" s="11">
        <v>24</v>
      </c>
      <c r="AX9" s="12">
        <v>0.69550000000000001</v>
      </c>
      <c r="AY9" s="12">
        <v>0.66920000000000002</v>
      </c>
      <c r="AZ9" s="12">
        <v>0.31030000000000002</v>
      </c>
      <c r="BA9" s="12">
        <v>0.871</v>
      </c>
      <c r="BB9" s="12">
        <v>0.6</v>
      </c>
      <c r="BC9" s="4">
        <v>79.578000000000003</v>
      </c>
      <c r="BD9" s="12">
        <v>0.76319999999999999</v>
      </c>
      <c r="BE9" s="12">
        <v>0.3538</v>
      </c>
      <c r="BF9" s="12">
        <v>0.1022</v>
      </c>
      <c r="BG9" s="4">
        <v>142.1</v>
      </c>
      <c r="BH9" s="4">
        <v>116.3</v>
      </c>
      <c r="BI9" s="4">
        <v>77.392499999999998</v>
      </c>
      <c r="BJ9" s="12">
        <v>0.63270000000000004</v>
      </c>
      <c r="BK9" s="12">
        <v>0.60660000000000003</v>
      </c>
      <c r="BL9" s="12">
        <v>0.129</v>
      </c>
      <c r="BM9" s="12">
        <v>0.68969999999999998</v>
      </c>
      <c r="BN9" s="12">
        <v>0.4</v>
      </c>
      <c r="BO9" s="4">
        <v>75.206999999999994</v>
      </c>
      <c r="BP9" s="12">
        <v>0.57579999999999998</v>
      </c>
      <c r="BQ9" s="12">
        <v>0.26229999999999998</v>
      </c>
      <c r="BR9" s="12">
        <v>0.12330000000000001</v>
      </c>
      <c r="BS9" s="4">
        <v>116.3</v>
      </c>
      <c r="BT9" s="4">
        <v>142.1</v>
      </c>
      <c r="BU9" s="11">
        <v>26</v>
      </c>
      <c r="BV9" s="11">
        <v>25</v>
      </c>
      <c r="BW9" s="11">
        <v>22</v>
      </c>
      <c r="BX9" s="11">
        <v>37</v>
      </c>
      <c r="BY9" s="11">
        <v>19</v>
      </c>
      <c r="BZ9" s="11">
        <v>17</v>
      </c>
      <c r="CA9" s="11">
        <v>22</v>
      </c>
      <c r="CB9" s="11">
        <v>32</v>
      </c>
      <c r="CC9" s="11">
        <v>51</v>
      </c>
      <c r="CD9" s="11">
        <v>59</v>
      </c>
      <c r="CE9" s="11">
        <v>36</v>
      </c>
      <c r="CF9" s="11">
        <v>54</v>
      </c>
      <c r="CG9" s="4">
        <v>1.56</v>
      </c>
      <c r="CH9" s="13">
        <v>2.5</v>
      </c>
      <c r="CI9" s="4">
        <v>-4</v>
      </c>
      <c r="CJ9" s="4">
        <v>-4</v>
      </c>
      <c r="CK9" s="4">
        <v>159.5</v>
      </c>
      <c r="CL9" s="2" t="s">
        <v>415</v>
      </c>
      <c r="CM9" s="4" t="str">
        <f>VLOOKUP(strasbourg[[#This Row],[Away_team]],all[[Full name]:[Abbr]],3,FALSE)</f>
        <v>LIM</v>
      </c>
      <c r="CN9" s="4">
        <f>IF(OR(strasbourg[[#This Row],[Result]]="w",strasbourg[[#This Row],[Result]]="dw"),strasbourg[[#This Row],[win]]-1,-1)</f>
        <v>0.56000000000000005</v>
      </c>
      <c r="CO9" s="4">
        <f>IF(OR(strasbourg[[#This Row],[Result]]="L",strasbourg[[#This Row],[Result]]="dl"),strasbourg[[#This Row],[lose]]-1,-1)</f>
        <v>-1</v>
      </c>
      <c r="CP9" s="4">
        <f>IF(OR((strasbourg[[#This Row],[Home_scored]]+strasbourg[[#This Row],[Away_scored]])&gt;strasbourg[[#This Row],[total]],OR(strasbourg[[#This Row],[Result]]="dw",strasbourg[[#This Row],[Result]]="dl")),1,0)</f>
        <v>1</v>
      </c>
      <c r="CQ9" s="4">
        <f>ABS((strasbourg[[#This Row],[Home_scored]]+strasbourg[[#This Row],[Away_scored]])-strasbourg[[#This Row],[total]])+0.5</f>
        <v>41</v>
      </c>
    </row>
    <row r="10" spans="1:95" x14ac:dyDescent="0.25">
      <c r="A10" s="2" t="s">
        <v>349</v>
      </c>
      <c r="B10" s="2" t="s">
        <v>345</v>
      </c>
      <c r="C10" s="3" t="s">
        <v>73</v>
      </c>
      <c r="D10" s="3">
        <v>45598</v>
      </c>
      <c r="E10" s="2" t="s">
        <v>140</v>
      </c>
      <c r="F10" s="2" t="s">
        <v>302</v>
      </c>
      <c r="G10" s="2" t="s">
        <v>75</v>
      </c>
      <c r="H10" s="11">
        <v>96</v>
      </c>
      <c r="I10" s="11">
        <v>89</v>
      </c>
      <c r="J10" s="11">
        <v>33</v>
      </c>
      <c r="K10" s="11">
        <v>61</v>
      </c>
      <c r="L10" s="12">
        <v>0.54100000000000004</v>
      </c>
      <c r="M10" s="11">
        <v>25</v>
      </c>
      <c r="N10" s="11">
        <v>39</v>
      </c>
      <c r="O10" s="12">
        <v>0.64100000000000001</v>
      </c>
      <c r="P10" s="11">
        <v>8</v>
      </c>
      <c r="Q10" s="11">
        <v>22</v>
      </c>
      <c r="R10" s="12">
        <v>0.36359999999999998</v>
      </c>
      <c r="S10" s="11">
        <v>22</v>
      </c>
      <c r="T10" s="11">
        <v>28</v>
      </c>
      <c r="U10" s="12">
        <v>0.78569999999999995</v>
      </c>
      <c r="V10" s="11">
        <v>12</v>
      </c>
      <c r="W10" s="11">
        <v>25</v>
      </c>
      <c r="X10" s="11">
        <v>37</v>
      </c>
      <c r="Y10" s="11">
        <v>21</v>
      </c>
      <c r="Z10" s="11">
        <v>5</v>
      </c>
      <c r="AA10" s="11">
        <v>4</v>
      </c>
      <c r="AB10" s="11">
        <v>16</v>
      </c>
      <c r="AC10" s="11">
        <v>28</v>
      </c>
      <c r="AD10" s="11">
        <v>27</v>
      </c>
      <c r="AE10" s="11">
        <v>65</v>
      </c>
      <c r="AF10" s="12">
        <v>0.41539999999999999</v>
      </c>
      <c r="AG10" s="11">
        <v>20</v>
      </c>
      <c r="AH10" s="11">
        <v>44</v>
      </c>
      <c r="AI10" s="12">
        <v>0.45450000000000002</v>
      </c>
      <c r="AJ10" s="11">
        <v>7</v>
      </c>
      <c r="AK10" s="11">
        <v>21</v>
      </c>
      <c r="AL10" s="12">
        <v>0.33329999999999999</v>
      </c>
      <c r="AM10" s="11">
        <v>28</v>
      </c>
      <c r="AN10" s="11">
        <v>36</v>
      </c>
      <c r="AO10" s="12">
        <v>0.77780000000000005</v>
      </c>
      <c r="AP10" s="11">
        <v>16</v>
      </c>
      <c r="AQ10" s="11">
        <v>21</v>
      </c>
      <c r="AR10" s="11">
        <v>37</v>
      </c>
      <c r="AS10" s="11">
        <v>19</v>
      </c>
      <c r="AT10" s="11">
        <v>6</v>
      </c>
      <c r="AU10" s="11">
        <v>4</v>
      </c>
      <c r="AV10" s="11">
        <v>14</v>
      </c>
      <c r="AW10" s="11">
        <v>26</v>
      </c>
      <c r="AX10" s="12">
        <v>0.65469999999999995</v>
      </c>
      <c r="AY10" s="12">
        <v>0.60660000000000003</v>
      </c>
      <c r="AZ10" s="12">
        <v>0.36359999999999998</v>
      </c>
      <c r="BA10" s="12">
        <v>0.60980000000000001</v>
      </c>
      <c r="BB10" s="12">
        <v>0.5</v>
      </c>
      <c r="BC10" s="4">
        <v>78.483000000000004</v>
      </c>
      <c r="BD10" s="12">
        <v>0.63639999999999997</v>
      </c>
      <c r="BE10" s="12">
        <v>0.36070000000000002</v>
      </c>
      <c r="BF10" s="12">
        <v>0.17910000000000001</v>
      </c>
      <c r="BG10" s="4">
        <v>124.4</v>
      </c>
      <c r="BH10" s="4">
        <v>115.4</v>
      </c>
      <c r="BI10" s="4">
        <v>77.150000000000006</v>
      </c>
      <c r="BJ10" s="12">
        <v>0.55049999999999999</v>
      </c>
      <c r="BK10" s="12">
        <v>0.46920000000000001</v>
      </c>
      <c r="BL10" s="12">
        <v>0.39019999999999999</v>
      </c>
      <c r="BM10" s="12">
        <v>0.63639999999999997</v>
      </c>
      <c r="BN10" s="12">
        <v>0.5</v>
      </c>
      <c r="BO10" s="4">
        <v>75.816999999999993</v>
      </c>
      <c r="BP10" s="12">
        <v>0.70369999999999999</v>
      </c>
      <c r="BQ10" s="12">
        <v>0.43080000000000002</v>
      </c>
      <c r="BR10" s="12">
        <v>0.14760000000000001</v>
      </c>
      <c r="BS10" s="4">
        <v>115.4</v>
      </c>
      <c r="BT10" s="4">
        <v>124.4</v>
      </c>
      <c r="BU10" s="11">
        <v>17</v>
      </c>
      <c r="BV10" s="11">
        <v>27</v>
      </c>
      <c r="BW10" s="11">
        <v>24</v>
      </c>
      <c r="BX10" s="11">
        <v>28</v>
      </c>
      <c r="BY10" s="11">
        <v>16</v>
      </c>
      <c r="BZ10" s="11">
        <v>29</v>
      </c>
      <c r="CA10" s="11">
        <v>20</v>
      </c>
      <c r="CB10" s="11">
        <v>24</v>
      </c>
      <c r="CC10" s="11">
        <v>44</v>
      </c>
      <c r="CD10" s="11">
        <v>52</v>
      </c>
      <c r="CE10" s="11">
        <v>45</v>
      </c>
      <c r="CF10" s="11">
        <v>44</v>
      </c>
      <c r="CG10" s="4">
        <v>4</v>
      </c>
      <c r="CH10" s="13">
        <v>1.26</v>
      </c>
      <c r="CI10" s="4">
        <v>8.5</v>
      </c>
      <c r="CJ10" s="4">
        <v>-8.5</v>
      </c>
      <c r="CK10" s="4">
        <v>163.5</v>
      </c>
      <c r="CL10" s="2" t="s">
        <v>356</v>
      </c>
      <c r="CM10" s="4" t="str">
        <f>VLOOKUP(strasbourg[[#This Row],[Away_team]],all[[Full name]:[Abbr]],3,FALSE)</f>
        <v>BUR</v>
      </c>
      <c r="CN10" s="4">
        <f>IF(OR(strasbourg[[#This Row],[Result]]="w",strasbourg[[#This Row],[Result]]="dw"),strasbourg[[#This Row],[win]]-1,-1)</f>
        <v>3</v>
      </c>
      <c r="CO10" s="4">
        <f>IF(OR(strasbourg[[#This Row],[Result]]="L",strasbourg[[#This Row],[Result]]="dl"),strasbourg[[#This Row],[lose]]-1,-1)</f>
        <v>-1</v>
      </c>
      <c r="CP10" s="4">
        <f>IF(OR((strasbourg[[#This Row],[Home_scored]]+strasbourg[[#This Row],[Away_scored]])&gt;strasbourg[[#This Row],[total]],OR(strasbourg[[#This Row],[Result]]="dw",strasbourg[[#This Row],[Result]]="dl")),1,0)</f>
        <v>1</v>
      </c>
      <c r="CQ10" s="4">
        <f>ABS((strasbourg[[#This Row],[Home_scored]]+strasbourg[[#This Row],[Away_scored]])-strasbourg[[#This Row],[total]])+0.5</f>
        <v>22</v>
      </c>
    </row>
    <row r="11" spans="1:95" x14ac:dyDescent="0.25">
      <c r="A11" s="2" t="s">
        <v>349</v>
      </c>
      <c r="B11" s="2" t="s">
        <v>345</v>
      </c>
      <c r="C11" s="3" t="s">
        <v>73</v>
      </c>
      <c r="D11" s="3">
        <v>45604</v>
      </c>
      <c r="E11" s="2" t="s">
        <v>74</v>
      </c>
      <c r="F11" s="2" t="s">
        <v>320</v>
      </c>
      <c r="G11" s="2" t="s">
        <v>143</v>
      </c>
      <c r="H11" s="11">
        <v>72</v>
      </c>
      <c r="I11" s="11">
        <v>72</v>
      </c>
      <c r="J11" s="11">
        <v>26</v>
      </c>
      <c r="K11" s="11">
        <v>54</v>
      </c>
      <c r="L11" s="12">
        <v>0.48149999999999998</v>
      </c>
      <c r="M11" s="11">
        <v>16</v>
      </c>
      <c r="N11" s="11">
        <v>28</v>
      </c>
      <c r="O11" s="12">
        <v>0.57140000000000002</v>
      </c>
      <c r="P11" s="11">
        <v>10</v>
      </c>
      <c r="Q11" s="11">
        <v>26</v>
      </c>
      <c r="R11" s="12">
        <v>0.3846</v>
      </c>
      <c r="S11" s="11">
        <v>10</v>
      </c>
      <c r="T11" s="11">
        <v>13</v>
      </c>
      <c r="U11" s="12">
        <v>0.76919999999999999</v>
      </c>
      <c r="V11" s="11">
        <v>10</v>
      </c>
      <c r="W11" s="11">
        <v>25</v>
      </c>
      <c r="X11" s="11">
        <v>35</v>
      </c>
      <c r="Y11" s="11">
        <v>18</v>
      </c>
      <c r="Z11" s="11">
        <v>3</v>
      </c>
      <c r="AA11" s="11">
        <v>5</v>
      </c>
      <c r="AB11" s="11">
        <v>18</v>
      </c>
      <c r="AC11" s="11">
        <v>16</v>
      </c>
      <c r="AD11" s="11">
        <v>25</v>
      </c>
      <c r="AE11" s="11">
        <v>57</v>
      </c>
      <c r="AF11" s="12">
        <v>0.43859999999999999</v>
      </c>
      <c r="AG11" s="11">
        <v>13</v>
      </c>
      <c r="AH11" s="11">
        <v>30</v>
      </c>
      <c r="AI11" s="12">
        <v>0.43330000000000002</v>
      </c>
      <c r="AJ11" s="11">
        <v>12</v>
      </c>
      <c r="AK11" s="11">
        <v>27</v>
      </c>
      <c r="AL11" s="12">
        <v>0.44440000000000002</v>
      </c>
      <c r="AM11" s="11">
        <v>10</v>
      </c>
      <c r="AN11" s="11">
        <v>12</v>
      </c>
      <c r="AO11" s="12">
        <v>0.83330000000000004</v>
      </c>
      <c r="AP11" s="11">
        <v>7</v>
      </c>
      <c r="AQ11" s="11">
        <v>20</v>
      </c>
      <c r="AR11" s="11">
        <v>27</v>
      </c>
      <c r="AS11" s="11">
        <v>14</v>
      </c>
      <c r="AT11" s="11">
        <v>7</v>
      </c>
      <c r="AU11" s="11">
        <v>1</v>
      </c>
      <c r="AV11" s="11">
        <v>14</v>
      </c>
      <c r="AW11" s="11">
        <v>17</v>
      </c>
      <c r="AX11" s="12">
        <v>0.6028</v>
      </c>
      <c r="AY11" s="12">
        <v>0.57410000000000005</v>
      </c>
      <c r="AZ11" s="12">
        <v>0.33329999999999999</v>
      </c>
      <c r="BA11" s="12">
        <v>0.78129999999999999</v>
      </c>
      <c r="BB11" s="12">
        <v>0.5645</v>
      </c>
      <c r="BC11" s="4">
        <v>68.64</v>
      </c>
      <c r="BD11" s="12">
        <v>0.69230000000000003</v>
      </c>
      <c r="BE11" s="12">
        <v>0.1852</v>
      </c>
      <c r="BF11" s="12">
        <v>0.2316</v>
      </c>
      <c r="BG11" s="4">
        <v>106.2</v>
      </c>
      <c r="BH11" s="4">
        <v>106.2</v>
      </c>
      <c r="BI11" s="4">
        <v>67.781499999999994</v>
      </c>
      <c r="BJ11" s="12">
        <v>0.57799999999999996</v>
      </c>
      <c r="BK11" s="12">
        <v>0.54390000000000005</v>
      </c>
      <c r="BL11" s="12">
        <v>0.21879999999999999</v>
      </c>
      <c r="BM11" s="12">
        <v>0.66669999999999996</v>
      </c>
      <c r="BN11" s="12">
        <v>0.4355</v>
      </c>
      <c r="BO11" s="4">
        <v>66.923000000000002</v>
      </c>
      <c r="BP11" s="12">
        <v>0.56000000000000005</v>
      </c>
      <c r="BQ11" s="12">
        <v>0.1754</v>
      </c>
      <c r="BR11" s="12">
        <v>0.1835</v>
      </c>
      <c r="BS11" s="4">
        <v>106.2</v>
      </c>
      <c r="BT11" s="4">
        <v>106.2</v>
      </c>
      <c r="BU11" s="11">
        <v>13</v>
      </c>
      <c r="BV11" s="11">
        <v>26</v>
      </c>
      <c r="BW11" s="11">
        <v>15</v>
      </c>
      <c r="BX11" s="11">
        <v>18</v>
      </c>
      <c r="BY11" s="11">
        <v>15</v>
      </c>
      <c r="BZ11" s="11">
        <v>18</v>
      </c>
      <c r="CA11" s="11">
        <v>18</v>
      </c>
      <c r="CB11" s="11">
        <v>21</v>
      </c>
      <c r="CC11" s="11">
        <v>39</v>
      </c>
      <c r="CD11" s="11">
        <v>33</v>
      </c>
      <c r="CE11" s="11">
        <v>33</v>
      </c>
      <c r="CF11" s="11">
        <v>39</v>
      </c>
      <c r="CG11" s="4">
        <v>1.29</v>
      </c>
      <c r="CH11" s="13">
        <v>3.7</v>
      </c>
      <c r="CI11" s="4">
        <v>-8</v>
      </c>
      <c r="CJ11" s="4">
        <v>-8</v>
      </c>
      <c r="CK11" s="4">
        <v>160.5</v>
      </c>
      <c r="CL11" s="2" t="s">
        <v>406</v>
      </c>
      <c r="CM11" s="4" t="str">
        <f>VLOOKUP(strasbourg[[#This Row],[Away_team]],all[[Full name]:[Abbr]],3,FALSE)</f>
        <v>POR</v>
      </c>
      <c r="CN11" s="4">
        <f>IF(OR(strasbourg[[#This Row],[Result]]="w",strasbourg[[#This Row],[Result]]="dw"),strasbourg[[#This Row],[win]]-1,-1)</f>
        <v>-1</v>
      </c>
      <c r="CO11" s="4">
        <f>IF(OR(strasbourg[[#This Row],[Result]]="L",strasbourg[[#This Row],[Result]]="dl"),strasbourg[[#This Row],[lose]]-1,-1)</f>
        <v>2.7</v>
      </c>
      <c r="CP11" s="4">
        <f>IF(OR((strasbourg[[#This Row],[Home_scored]]+strasbourg[[#This Row],[Away_scored]])&gt;strasbourg[[#This Row],[total]],OR(strasbourg[[#This Row],[Result]]="dw",strasbourg[[#This Row],[Result]]="dl")),1,0)</f>
        <v>1</v>
      </c>
      <c r="CQ11" s="4">
        <f>ABS((strasbourg[[#This Row],[Home_scored]]+strasbourg[[#This Row],[Away_scored]])-strasbourg[[#This Row],[total]])+0.5</f>
        <v>17</v>
      </c>
    </row>
    <row r="12" spans="1:95" x14ac:dyDescent="0.25">
      <c r="A12" s="2" t="s">
        <v>349</v>
      </c>
      <c r="B12" s="2" t="s">
        <v>345</v>
      </c>
      <c r="C12" s="3" t="s">
        <v>73</v>
      </c>
      <c r="D12" s="3">
        <v>45613</v>
      </c>
      <c r="E12" s="2" t="s">
        <v>140</v>
      </c>
      <c r="F12" s="2" t="s">
        <v>339</v>
      </c>
      <c r="G12" s="2" t="s">
        <v>139</v>
      </c>
      <c r="H12" s="11">
        <v>74</v>
      </c>
      <c r="I12" s="11">
        <v>106</v>
      </c>
      <c r="J12" s="11">
        <v>30</v>
      </c>
      <c r="K12" s="11">
        <v>69</v>
      </c>
      <c r="L12" s="12">
        <v>0.43480000000000002</v>
      </c>
      <c r="M12" s="11">
        <v>19</v>
      </c>
      <c r="N12" s="11">
        <v>41</v>
      </c>
      <c r="O12" s="12">
        <v>0.46339999999999998</v>
      </c>
      <c r="P12" s="11">
        <v>11</v>
      </c>
      <c r="Q12" s="11">
        <v>28</v>
      </c>
      <c r="R12" s="12">
        <v>0.39290000000000003</v>
      </c>
      <c r="S12" s="11">
        <v>3</v>
      </c>
      <c r="T12" s="11">
        <v>5</v>
      </c>
      <c r="U12" s="12">
        <v>0.6</v>
      </c>
      <c r="V12" s="11">
        <v>10</v>
      </c>
      <c r="W12" s="11">
        <v>20</v>
      </c>
      <c r="X12" s="11">
        <v>30</v>
      </c>
      <c r="Y12" s="11">
        <v>19</v>
      </c>
      <c r="Z12" s="11">
        <v>7</v>
      </c>
      <c r="AA12" s="11">
        <v>1</v>
      </c>
      <c r="AB12" s="11">
        <v>16</v>
      </c>
      <c r="AC12" s="11">
        <v>17</v>
      </c>
      <c r="AD12" s="11">
        <v>40</v>
      </c>
      <c r="AE12" s="11">
        <v>69</v>
      </c>
      <c r="AF12" s="12">
        <v>0.57969999999999999</v>
      </c>
      <c r="AG12" s="11">
        <v>22</v>
      </c>
      <c r="AH12" s="11">
        <v>29</v>
      </c>
      <c r="AI12" s="12">
        <v>0.75860000000000005</v>
      </c>
      <c r="AJ12" s="11">
        <v>18</v>
      </c>
      <c r="AK12" s="11">
        <v>40</v>
      </c>
      <c r="AL12" s="12">
        <v>0.45</v>
      </c>
      <c r="AM12" s="11">
        <v>8</v>
      </c>
      <c r="AN12" s="11">
        <v>8</v>
      </c>
      <c r="AO12" s="12">
        <v>1</v>
      </c>
      <c r="AP12" s="11">
        <v>9</v>
      </c>
      <c r="AQ12" s="11">
        <v>28</v>
      </c>
      <c r="AR12" s="11">
        <v>37</v>
      </c>
      <c r="AS12" s="11">
        <v>27</v>
      </c>
      <c r="AT12" s="11">
        <v>9</v>
      </c>
      <c r="AU12" s="11">
        <v>6</v>
      </c>
      <c r="AV12" s="11">
        <v>11</v>
      </c>
      <c r="AW12" s="11">
        <v>12</v>
      </c>
      <c r="AX12" s="12">
        <v>0.51970000000000005</v>
      </c>
      <c r="AY12" s="12">
        <v>0.51449999999999996</v>
      </c>
      <c r="AZ12" s="12">
        <v>0.26319999999999999</v>
      </c>
      <c r="BA12" s="12">
        <v>0.68969999999999998</v>
      </c>
      <c r="BB12" s="12">
        <v>0.44779999999999998</v>
      </c>
      <c r="BC12" s="4">
        <v>73.09</v>
      </c>
      <c r="BD12" s="12">
        <v>0.63329999999999997</v>
      </c>
      <c r="BE12" s="12">
        <v>4.3499999999999997E-2</v>
      </c>
      <c r="BF12" s="12">
        <v>0.1835</v>
      </c>
      <c r="BG12" s="4">
        <v>99.5</v>
      </c>
      <c r="BH12" s="4">
        <v>142.5</v>
      </c>
      <c r="BI12" s="4">
        <v>74.370999999999995</v>
      </c>
      <c r="BJ12" s="12">
        <v>0.73080000000000001</v>
      </c>
      <c r="BK12" s="12">
        <v>0.71009999999999995</v>
      </c>
      <c r="BL12" s="12">
        <v>0.31030000000000002</v>
      </c>
      <c r="BM12" s="12">
        <v>0.73680000000000001</v>
      </c>
      <c r="BN12" s="12">
        <v>0.55220000000000002</v>
      </c>
      <c r="BO12" s="4">
        <v>75.652000000000001</v>
      </c>
      <c r="BP12" s="12">
        <v>0.67500000000000004</v>
      </c>
      <c r="BQ12" s="12">
        <v>0.1159</v>
      </c>
      <c r="BR12" s="12">
        <v>0.13170000000000001</v>
      </c>
      <c r="BS12" s="4">
        <v>142.5</v>
      </c>
      <c r="BT12" s="4">
        <v>99.5</v>
      </c>
      <c r="BU12" s="11">
        <v>16</v>
      </c>
      <c r="BV12" s="11">
        <v>16</v>
      </c>
      <c r="BW12" s="11">
        <v>21</v>
      </c>
      <c r="BX12" s="11">
        <v>21</v>
      </c>
      <c r="BY12" s="11">
        <v>22</v>
      </c>
      <c r="BZ12" s="11">
        <v>31</v>
      </c>
      <c r="CA12" s="11">
        <v>24</v>
      </c>
      <c r="CB12" s="11">
        <v>29</v>
      </c>
      <c r="CC12" s="11">
        <v>32</v>
      </c>
      <c r="CD12" s="11">
        <v>42</v>
      </c>
      <c r="CE12" s="11">
        <v>53</v>
      </c>
      <c r="CF12" s="11">
        <v>53</v>
      </c>
      <c r="CG12" s="4">
        <v>4.5</v>
      </c>
      <c r="CH12" s="13">
        <v>1.22</v>
      </c>
      <c r="CI12" s="4">
        <v>9.5</v>
      </c>
      <c r="CJ12" s="4">
        <v>-9.5</v>
      </c>
      <c r="CK12" s="4">
        <v>172.5</v>
      </c>
      <c r="CL12" s="2" t="s">
        <v>431</v>
      </c>
      <c r="CM12" s="4" t="str">
        <f>VLOOKUP(strasbourg[[#This Row],[Away_team]],all[[Full name]:[Abbr]],3,FALSE)</f>
        <v>PAR</v>
      </c>
      <c r="CN12" s="4">
        <f>IF(OR(strasbourg[[#This Row],[Result]]="w",strasbourg[[#This Row],[Result]]="dw"),strasbourg[[#This Row],[win]]-1,-1)</f>
        <v>-1</v>
      </c>
      <c r="CO12" s="4">
        <f>IF(OR(strasbourg[[#This Row],[Result]]="L",strasbourg[[#This Row],[Result]]="dl"),strasbourg[[#This Row],[lose]]-1,-1)</f>
        <v>0.21999999999999997</v>
      </c>
      <c r="CP12" s="4">
        <f>IF(OR((strasbourg[[#This Row],[Home_scored]]+strasbourg[[#This Row],[Away_scored]])&gt;strasbourg[[#This Row],[total]],OR(strasbourg[[#This Row],[Result]]="dw",strasbourg[[#This Row],[Result]]="dl")),1,0)</f>
        <v>1</v>
      </c>
      <c r="CQ12" s="4">
        <f>ABS((strasbourg[[#This Row],[Home_scored]]+strasbourg[[#This Row],[Away_scored]])-strasbourg[[#This Row],[total]])+0.5</f>
        <v>8</v>
      </c>
    </row>
    <row r="13" spans="1:95" x14ac:dyDescent="0.25">
      <c r="A13" s="2" t="s">
        <v>349</v>
      </c>
      <c r="B13" s="2" t="s">
        <v>345</v>
      </c>
      <c r="C13" s="3" t="s">
        <v>73</v>
      </c>
      <c r="D13" s="3">
        <v>45627</v>
      </c>
      <c r="E13" s="2" t="s">
        <v>74</v>
      </c>
      <c r="F13" s="2" t="s">
        <v>327</v>
      </c>
      <c r="G13" s="2" t="s">
        <v>75</v>
      </c>
      <c r="H13" s="11">
        <v>77</v>
      </c>
      <c r="I13" s="11">
        <v>75</v>
      </c>
      <c r="J13" s="11">
        <v>27</v>
      </c>
      <c r="K13" s="11">
        <v>56</v>
      </c>
      <c r="L13" s="12">
        <v>0.48209999999999997</v>
      </c>
      <c r="M13" s="11">
        <v>17</v>
      </c>
      <c r="N13" s="11">
        <v>30</v>
      </c>
      <c r="O13" s="12">
        <v>0.56669999999999998</v>
      </c>
      <c r="P13" s="11">
        <v>10</v>
      </c>
      <c r="Q13" s="11">
        <v>26</v>
      </c>
      <c r="R13" s="12">
        <v>0.3846</v>
      </c>
      <c r="S13" s="11">
        <v>13</v>
      </c>
      <c r="T13" s="11">
        <v>18</v>
      </c>
      <c r="U13" s="12">
        <v>0.72219999999999995</v>
      </c>
      <c r="V13" s="11">
        <v>11</v>
      </c>
      <c r="W13" s="11">
        <v>27</v>
      </c>
      <c r="X13" s="11">
        <v>38</v>
      </c>
      <c r="Y13" s="11">
        <v>21</v>
      </c>
      <c r="Z13" s="11">
        <v>5</v>
      </c>
      <c r="AA13" s="11">
        <v>6</v>
      </c>
      <c r="AB13" s="11">
        <v>18</v>
      </c>
      <c r="AC13" s="11">
        <v>22</v>
      </c>
      <c r="AD13" s="11">
        <v>27</v>
      </c>
      <c r="AE13" s="11">
        <v>66</v>
      </c>
      <c r="AF13" s="12">
        <v>0.40910000000000002</v>
      </c>
      <c r="AG13" s="11">
        <v>20</v>
      </c>
      <c r="AH13" s="11">
        <v>35</v>
      </c>
      <c r="AI13" s="12">
        <v>0.57140000000000002</v>
      </c>
      <c r="AJ13" s="11">
        <v>7</v>
      </c>
      <c r="AK13" s="11">
        <v>31</v>
      </c>
      <c r="AL13" s="12">
        <v>0.2258</v>
      </c>
      <c r="AM13" s="11">
        <v>14</v>
      </c>
      <c r="AN13" s="11">
        <v>19</v>
      </c>
      <c r="AO13" s="12">
        <v>0.73680000000000001</v>
      </c>
      <c r="AP13" s="11">
        <v>15</v>
      </c>
      <c r="AQ13" s="11">
        <v>20</v>
      </c>
      <c r="AR13" s="11">
        <v>35</v>
      </c>
      <c r="AS13" s="11">
        <v>19</v>
      </c>
      <c r="AT13" s="11">
        <v>6</v>
      </c>
      <c r="AU13" s="11">
        <v>3</v>
      </c>
      <c r="AV13" s="11">
        <v>13</v>
      </c>
      <c r="AW13" s="11">
        <v>22</v>
      </c>
      <c r="AX13" s="12">
        <v>0.60229999999999995</v>
      </c>
      <c r="AY13" s="12">
        <v>0.57140000000000002</v>
      </c>
      <c r="AZ13" s="12">
        <v>0.3548</v>
      </c>
      <c r="BA13" s="12">
        <v>0.64290000000000003</v>
      </c>
      <c r="BB13" s="12">
        <v>0.52049999999999996</v>
      </c>
      <c r="BC13" s="4">
        <v>72.218000000000004</v>
      </c>
      <c r="BD13" s="12">
        <v>0.77780000000000005</v>
      </c>
      <c r="BE13" s="12">
        <v>0.2321</v>
      </c>
      <c r="BF13" s="12">
        <v>0.21970000000000001</v>
      </c>
      <c r="BG13" s="4">
        <v>109.3</v>
      </c>
      <c r="BH13" s="4">
        <v>106.4</v>
      </c>
      <c r="BI13" s="4">
        <v>70.466999999999999</v>
      </c>
      <c r="BJ13" s="12">
        <v>0.50429999999999997</v>
      </c>
      <c r="BK13" s="12">
        <v>0.46210000000000001</v>
      </c>
      <c r="BL13" s="12">
        <v>0.35709999999999997</v>
      </c>
      <c r="BM13" s="12">
        <v>0.6452</v>
      </c>
      <c r="BN13" s="12">
        <v>0.47949999999999998</v>
      </c>
      <c r="BO13" s="4">
        <v>68.715999999999994</v>
      </c>
      <c r="BP13" s="12">
        <v>0.70369999999999999</v>
      </c>
      <c r="BQ13" s="12">
        <v>0.21210000000000001</v>
      </c>
      <c r="BR13" s="12">
        <v>0.14879999999999999</v>
      </c>
      <c r="BS13" s="4">
        <v>106.4</v>
      </c>
      <c r="BT13" s="4">
        <v>109.3</v>
      </c>
      <c r="BU13" s="11">
        <v>24</v>
      </c>
      <c r="BV13" s="11">
        <v>22</v>
      </c>
      <c r="BW13" s="11">
        <v>16</v>
      </c>
      <c r="BX13" s="11">
        <v>15</v>
      </c>
      <c r="BY13" s="11">
        <v>19</v>
      </c>
      <c r="BZ13" s="11">
        <v>13</v>
      </c>
      <c r="CA13" s="11">
        <v>19</v>
      </c>
      <c r="CB13" s="11">
        <v>24</v>
      </c>
      <c r="CC13" s="11">
        <v>46</v>
      </c>
      <c r="CD13" s="11">
        <v>31</v>
      </c>
      <c r="CE13" s="11">
        <v>32</v>
      </c>
      <c r="CF13" s="11">
        <v>43</v>
      </c>
      <c r="CG13" s="4">
        <v>2.8</v>
      </c>
      <c r="CH13" s="13">
        <v>1.45</v>
      </c>
      <c r="CI13" s="4">
        <v>5.5</v>
      </c>
      <c r="CJ13" s="4">
        <v>-5.5</v>
      </c>
      <c r="CK13" s="4">
        <v>166.5</v>
      </c>
      <c r="CL13" s="2" t="s">
        <v>421</v>
      </c>
      <c r="CM13" s="4" t="str">
        <f>VLOOKUP(strasbourg[[#This Row],[Away_team]],all[[Full name]:[Abbr]],3,FALSE)</f>
        <v>LYO</v>
      </c>
      <c r="CN13" s="4">
        <f>IF(OR(strasbourg[[#This Row],[Result]]="w",strasbourg[[#This Row],[Result]]="dw"),strasbourg[[#This Row],[win]]-1,-1)</f>
        <v>1.7999999999999998</v>
      </c>
      <c r="CO13" s="4">
        <f>IF(OR(strasbourg[[#This Row],[Result]]="L",strasbourg[[#This Row],[Result]]="dl"),strasbourg[[#This Row],[lose]]-1,-1)</f>
        <v>-1</v>
      </c>
      <c r="CP13" s="4">
        <f>IF(OR((strasbourg[[#This Row],[Home_scored]]+strasbourg[[#This Row],[Away_scored]])&gt;strasbourg[[#This Row],[total]],OR(strasbourg[[#This Row],[Result]]="dw",strasbourg[[#This Row],[Result]]="dl")),1,0)</f>
        <v>0</v>
      </c>
      <c r="CQ13" s="4">
        <f>ABS((strasbourg[[#This Row],[Home_scored]]+strasbourg[[#This Row],[Away_scored]])-strasbourg[[#This Row],[total]])+0.5</f>
        <v>15</v>
      </c>
    </row>
    <row r="14" spans="1:95" x14ac:dyDescent="0.25">
      <c r="A14" s="2" t="s">
        <v>349</v>
      </c>
      <c r="B14" s="2" t="s">
        <v>345</v>
      </c>
      <c r="C14" s="3" t="s">
        <v>73</v>
      </c>
      <c r="D14" s="3">
        <v>45633</v>
      </c>
      <c r="E14" s="2" t="s">
        <v>74</v>
      </c>
      <c r="F14" s="2" t="s">
        <v>308</v>
      </c>
      <c r="G14" s="2" t="s">
        <v>139</v>
      </c>
      <c r="H14" s="11">
        <v>83</v>
      </c>
      <c r="I14" s="11">
        <v>94</v>
      </c>
      <c r="J14" s="11">
        <v>27</v>
      </c>
      <c r="K14" s="11">
        <v>57</v>
      </c>
      <c r="L14" s="12">
        <v>0.47370000000000001</v>
      </c>
      <c r="M14" s="11">
        <v>14</v>
      </c>
      <c r="N14" s="11">
        <v>28</v>
      </c>
      <c r="O14" s="12">
        <v>0.5</v>
      </c>
      <c r="P14" s="11">
        <v>13</v>
      </c>
      <c r="Q14" s="11">
        <v>29</v>
      </c>
      <c r="R14" s="12">
        <v>0.44829999999999998</v>
      </c>
      <c r="S14" s="11">
        <v>16</v>
      </c>
      <c r="T14" s="11">
        <v>19</v>
      </c>
      <c r="U14" s="12">
        <v>0.84209999999999996</v>
      </c>
      <c r="V14" s="11">
        <v>8</v>
      </c>
      <c r="W14" s="11">
        <v>26</v>
      </c>
      <c r="X14" s="11">
        <v>34</v>
      </c>
      <c r="Y14" s="11">
        <v>20</v>
      </c>
      <c r="Z14" s="11">
        <v>3</v>
      </c>
      <c r="AA14" s="11">
        <v>5</v>
      </c>
      <c r="AB14" s="11">
        <v>20</v>
      </c>
      <c r="AC14" s="11">
        <v>28</v>
      </c>
      <c r="AD14" s="11">
        <v>31</v>
      </c>
      <c r="AE14" s="11">
        <v>68</v>
      </c>
      <c r="AF14" s="12">
        <v>0.45590000000000003</v>
      </c>
      <c r="AG14" s="11">
        <v>22</v>
      </c>
      <c r="AH14" s="11">
        <v>37</v>
      </c>
      <c r="AI14" s="12">
        <v>0.59460000000000002</v>
      </c>
      <c r="AJ14" s="11">
        <v>9</v>
      </c>
      <c r="AK14" s="11">
        <v>31</v>
      </c>
      <c r="AL14" s="12">
        <v>0.2903</v>
      </c>
      <c r="AM14" s="11">
        <v>23</v>
      </c>
      <c r="AN14" s="11">
        <v>30</v>
      </c>
      <c r="AO14" s="12">
        <v>0.76670000000000005</v>
      </c>
      <c r="AP14" s="11">
        <v>13</v>
      </c>
      <c r="AQ14" s="11">
        <v>19</v>
      </c>
      <c r="AR14" s="11">
        <v>32</v>
      </c>
      <c r="AS14" s="11">
        <v>16</v>
      </c>
      <c r="AT14" s="11">
        <v>13</v>
      </c>
      <c r="AU14" s="11">
        <v>6</v>
      </c>
      <c r="AV14" s="11">
        <v>5</v>
      </c>
      <c r="AW14" s="11">
        <v>20</v>
      </c>
      <c r="AX14" s="12">
        <v>0.63490000000000002</v>
      </c>
      <c r="AY14" s="12">
        <v>0.5877</v>
      </c>
      <c r="AZ14" s="12">
        <v>0.29630000000000001</v>
      </c>
      <c r="BA14" s="12">
        <v>0.66669999999999996</v>
      </c>
      <c r="BB14" s="12">
        <v>0.51519999999999999</v>
      </c>
      <c r="BC14" s="4">
        <v>77.046999999999997</v>
      </c>
      <c r="BD14" s="12">
        <v>0.74070000000000003</v>
      </c>
      <c r="BE14" s="12">
        <v>0.28070000000000001</v>
      </c>
      <c r="BF14" s="12">
        <v>0.23430000000000001</v>
      </c>
      <c r="BG14" s="4">
        <v>113.7</v>
      </c>
      <c r="BH14" s="4">
        <v>128.80000000000001</v>
      </c>
      <c r="BI14" s="4">
        <v>72.981999999999999</v>
      </c>
      <c r="BJ14" s="12">
        <v>0.57879999999999998</v>
      </c>
      <c r="BK14" s="12">
        <v>0.52210000000000001</v>
      </c>
      <c r="BL14" s="12">
        <v>0.33329999999999999</v>
      </c>
      <c r="BM14" s="12">
        <v>0.70369999999999999</v>
      </c>
      <c r="BN14" s="12">
        <v>0.48480000000000001</v>
      </c>
      <c r="BO14" s="4">
        <v>68.917000000000002</v>
      </c>
      <c r="BP14" s="12">
        <v>0.5161</v>
      </c>
      <c r="BQ14" s="12">
        <v>0.3382</v>
      </c>
      <c r="BR14" s="12">
        <v>5.8000000000000003E-2</v>
      </c>
      <c r="BS14" s="4">
        <v>128.80000000000001</v>
      </c>
      <c r="BT14" s="4">
        <v>113.7</v>
      </c>
      <c r="BU14" s="11">
        <v>17</v>
      </c>
      <c r="BV14" s="11">
        <v>21</v>
      </c>
      <c r="BW14" s="11">
        <v>20</v>
      </c>
      <c r="BX14" s="11">
        <v>25</v>
      </c>
      <c r="BY14" s="11">
        <v>13</v>
      </c>
      <c r="BZ14" s="11">
        <v>28</v>
      </c>
      <c r="CA14" s="11">
        <v>30</v>
      </c>
      <c r="CB14" s="11">
        <v>23</v>
      </c>
      <c r="CC14" s="11">
        <v>38</v>
      </c>
      <c r="CD14" s="11">
        <v>45</v>
      </c>
      <c r="CE14" s="11">
        <v>41</v>
      </c>
      <c r="CF14" s="11">
        <v>53</v>
      </c>
      <c r="CG14" s="4">
        <v>1.87</v>
      </c>
      <c r="CH14" s="13">
        <v>1.95</v>
      </c>
      <c r="CI14" s="4">
        <v>-1</v>
      </c>
      <c r="CJ14" s="4">
        <v>-1</v>
      </c>
      <c r="CK14" s="4">
        <v>162.5</v>
      </c>
      <c r="CL14" s="2" t="s">
        <v>437</v>
      </c>
      <c r="CM14" s="4" t="str">
        <f>VLOOKUP(strasbourg[[#This Row],[Away_team]],all[[Full name]:[Abbr]],3,FALSE)</f>
        <v>CHO</v>
      </c>
      <c r="CN14" s="4">
        <f>IF(OR(strasbourg[[#This Row],[Result]]="w",strasbourg[[#This Row],[Result]]="dw"),strasbourg[[#This Row],[win]]-1,-1)</f>
        <v>-1</v>
      </c>
      <c r="CO14" s="4">
        <f>IF(OR(strasbourg[[#This Row],[Result]]="L",strasbourg[[#This Row],[Result]]="dl"),strasbourg[[#This Row],[lose]]-1,-1)</f>
        <v>0.95</v>
      </c>
      <c r="CP14" s="4">
        <f>IF(OR((strasbourg[[#This Row],[Home_scored]]+strasbourg[[#This Row],[Away_scored]])&gt;strasbourg[[#This Row],[total]],OR(strasbourg[[#This Row],[Result]]="dw",strasbourg[[#This Row],[Result]]="dl")),1,0)</f>
        <v>1</v>
      </c>
      <c r="CQ14" s="4">
        <f>ABS((strasbourg[[#This Row],[Home_scored]]+strasbourg[[#This Row],[Away_scored]])-strasbourg[[#This Row],[total]])+0.5</f>
        <v>15</v>
      </c>
    </row>
    <row r="15" spans="1:95" x14ac:dyDescent="0.25">
      <c r="A15" s="2" t="s">
        <v>349</v>
      </c>
      <c r="B15" s="2" t="s">
        <v>345</v>
      </c>
      <c r="C15" s="3" t="s">
        <v>73</v>
      </c>
      <c r="D15" s="3">
        <v>45639</v>
      </c>
      <c r="E15" s="2" t="s">
        <v>140</v>
      </c>
      <c r="F15" s="2" t="s">
        <v>323</v>
      </c>
      <c r="G15" s="2" t="s">
        <v>75</v>
      </c>
      <c r="H15" s="11">
        <v>78</v>
      </c>
      <c r="I15" s="11">
        <v>71</v>
      </c>
      <c r="J15" s="11">
        <v>25</v>
      </c>
      <c r="K15" s="11">
        <v>61</v>
      </c>
      <c r="L15" s="12">
        <v>0.4098</v>
      </c>
      <c r="M15" s="11">
        <v>15</v>
      </c>
      <c r="N15" s="11">
        <v>34</v>
      </c>
      <c r="O15" s="12">
        <v>0.44119999999999998</v>
      </c>
      <c r="P15" s="11">
        <v>10</v>
      </c>
      <c r="Q15" s="11">
        <v>27</v>
      </c>
      <c r="R15" s="12">
        <v>0.37040000000000001</v>
      </c>
      <c r="S15" s="11">
        <v>18</v>
      </c>
      <c r="T15" s="11">
        <v>23</v>
      </c>
      <c r="U15" s="12">
        <v>0.78259999999999996</v>
      </c>
      <c r="V15" s="11">
        <v>11</v>
      </c>
      <c r="W15" s="11">
        <v>26</v>
      </c>
      <c r="X15" s="11">
        <v>37</v>
      </c>
      <c r="Y15" s="11">
        <v>21</v>
      </c>
      <c r="Z15" s="11">
        <v>8</v>
      </c>
      <c r="AA15" s="11">
        <v>3</v>
      </c>
      <c r="AB15" s="11">
        <v>11</v>
      </c>
      <c r="AC15" s="11">
        <v>23</v>
      </c>
      <c r="AD15" s="11">
        <v>27</v>
      </c>
      <c r="AE15" s="11">
        <v>57</v>
      </c>
      <c r="AF15" s="12">
        <v>0.47370000000000001</v>
      </c>
      <c r="AG15" s="11">
        <v>20</v>
      </c>
      <c r="AH15" s="11">
        <v>37</v>
      </c>
      <c r="AI15" s="12">
        <v>0.54049999999999998</v>
      </c>
      <c r="AJ15" s="11">
        <v>7</v>
      </c>
      <c r="AK15" s="11">
        <v>20</v>
      </c>
      <c r="AL15" s="12">
        <v>0.35</v>
      </c>
      <c r="AM15" s="11">
        <v>10</v>
      </c>
      <c r="AN15" s="11">
        <v>16</v>
      </c>
      <c r="AO15" s="12">
        <v>0.625</v>
      </c>
      <c r="AP15" s="11">
        <v>6</v>
      </c>
      <c r="AQ15" s="11">
        <v>26</v>
      </c>
      <c r="AR15" s="11">
        <v>32</v>
      </c>
      <c r="AS15" s="11">
        <v>21</v>
      </c>
      <c r="AT15" s="11">
        <v>5</v>
      </c>
      <c r="AU15" s="11">
        <v>4</v>
      </c>
      <c r="AV15" s="11">
        <v>15</v>
      </c>
      <c r="AW15" s="11">
        <v>24</v>
      </c>
      <c r="AX15" s="12">
        <v>0.5484</v>
      </c>
      <c r="AY15" s="12">
        <v>0.49180000000000001</v>
      </c>
      <c r="AZ15" s="12">
        <v>0.29730000000000001</v>
      </c>
      <c r="BA15" s="12">
        <v>0.8125</v>
      </c>
      <c r="BB15" s="12">
        <v>0.53620000000000001</v>
      </c>
      <c r="BC15" s="4">
        <v>69.748000000000005</v>
      </c>
      <c r="BD15" s="12">
        <v>0.84</v>
      </c>
      <c r="BE15" s="12">
        <v>0.29509999999999997</v>
      </c>
      <c r="BF15" s="12">
        <v>0.13400000000000001</v>
      </c>
      <c r="BG15" s="4">
        <v>109.8</v>
      </c>
      <c r="BH15" s="4">
        <v>99.9</v>
      </c>
      <c r="BI15" s="4">
        <v>71.064499999999995</v>
      </c>
      <c r="BJ15" s="12">
        <v>0.55430000000000001</v>
      </c>
      <c r="BK15" s="12">
        <v>0.53510000000000002</v>
      </c>
      <c r="BL15" s="12">
        <v>0.1875</v>
      </c>
      <c r="BM15" s="12">
        <v>0.70269999999999999</v>
      </c>
      <c r="BN15" s="12">
        <v>0.46379999999999999</v>
      </c>
      <c r="BO15" s="4">
        <v>72.381</v>
      </c>
      <c r="BP15" s="12">
        <v>0.77780000000000005</v>
      </c>
      <c r="BQ15" s="12">
        <v>0.1754</v>
      </c>
      <c r="BR15" s="12">
        <v>0.1898</v>
      </c>
      <c r="BS15" s="4">
        <v>99.9</v>
      </c>
      <c r="BT15" s="4">
        <v>109.8</v>
      </c>
      <c r="BU15" s="11">
        <v>17</v>
      </c>
      <c r="BV15" s="11">
        <v>26</v>
      </c>
      <c r="BW15" s="11">
        <v>11</v>
      </c>
      <c r="BX15" s="11">
        <v>24</v>
      </c>
      <c r="BY15" s="11">
        <v>20</v>
      </c>
      <c r="BZ15" s="11">
        <v>16</v>
      </c>
      <c r="CA15" s="11">
        <v>17</v>
      </c>
      <c r="CB15" s="11">
        <v>18</v>
      </c>
      <c r="CC15" s="11">
        <v>43</v>
      </c>
      <c r="CD15" s="11">
        <v>35</v>
      </c>
      <c r="CE15" s="11">
        <v>36</v>
      </c>
      <c r="CF15" s="11">
        <v>35</v>
      </c>
      <c r="CG15" s="4">
        <v>1.42</v>
      </c>
      <c r="CH15" s="13">
        <v>2.95</v>
      </c>
      <c r="CI15" s="4">
        <v>-6</v>
      </c>
      <c r="CJ15" s="4">
        <v>6</v>
      </c>
      <c r="CK15" s="4">
        <v>158.5</v>
      </c>
      <c r="CL15" s="2" t="s">
        <v>441</v>
      </c>
      <c r="CM15" s="4" t="e">
        <f>VLOOKUP(strasbourg[[#This Row],[Away_team]],all[[Full name]:[Abbr]],3,FALSE)</f>
        <v>#N/A</v>
      </c>
      <c r="CN15" s="4">
        <f>IF(OR(strasbourg[[#This Row],[Result]]="w",strasbourg[[#This Row],[Result]]="dw"),strasbourg[[#This Row],[win]]-1,-1)</f>
        <v>0.41999999999999993</v>
      </c>
      <c r="CO15" s="4">
        <f>IF(OR(strasbourg[[#This Row],[Result]]="L",strasbourg[[#This Row],[Result]]="dl"),strasbourg[[#This Row],[lose]]-1,-1)</f>
        <v>-1</v>
      </c>
      <c r="CP15" s="4">
        <f>IF(OR((strasbourg[[#This Row],[Home_scored]]+strasbourg[[#This Row],[Away_scored]])&gt;strasbourg[[#This Row],[total]],OR(strasbourg[[#This Row],[Result]]="dw",strasbourg[[#This Row],[Result]]="dl")),1,0)</f>
        <v>0</v>
      </c>
      <c r="CQ15" s="4">
        <f>ABS((strasbourg[[#This Row],[Home_scored]]+strasbourg[[#This Row],[Away_scored]])-strasbourg[[#This Row],[total]])+0.5</f>
        <v>10</v>
      </c>
    </row>
    <row r="16" spans="1:95" x14ac:dyDescent="0.25">
      <c r="A16" s="2" t="s">
        <v>349</v>
      </c>
      <c r="B16" s="2" t="s">
        <v>345</v>
      </c>
      <c r="C16" s="3" t="s">
        <v>73</v>
      </c>
      <c r="D16" s="3">
        <v>45646</v>
      </c>
      <c r="E16" s="2" t="s">
        <v>140</v>
      </c>
      <c r="F16" s="2" t="s">
        <v>311</v>
      </c>
      <c r="G16" s="2" t="s">
        <v>75</v>
      </c>
      <c r="H16" s="11">
        <v>94</v>
      </c>
      <c r="I16" s="11">
        <v>91</v>
      </c>
      <c r="J16" s="11">
        <v>33</v>
      </c>
      <c r="K16" s="11">
        <v>65</v>
      </c>
      <c r="L16" s="12">
        <v>0.50770000000000004</v>
      </c>
      <c r="M16" s="11">
        <v>25</v>
      </c>
      <c r="N16" s="11">
        <v>40</v>
      </c>
      <c r="O16" s="12">
        <v>0.625</v>
      </c>
      <c r="P16" s="11">
        <v>8</v>
      </c>
      <c r="Q16" s="11">
        <v>25</v>
      </c>
      <c r="R16" s="12">
        <v>0.32</v>
      </c>
      <c r="S16" s="11">
        <v>20</v>
      </c>
      <c r="T16" s="11">
        <v>26</v>
      </c>
      <c r="U16" s="12">
        <v>0.76919999999999999</v>
      </c>
      <c r="V16" s="11">
        <v>14</v>
      </c>
      <c r="W16" s="11">
        <v>23</v>
      </c>
      <c r="X16" s="11">
        <v>37</v>
      </c>
      <c r="Y16" s="11">
        <v>20</v>
      </c>
      <c r="Z16" s="11">
        <v>4</v>
      </c>
      <c r="AA16" s="11">
        <v>2</v>
      </c>
      <c r="AB16" s="11">
        <v>12</v>
      </c>
      <c r="AC16" s="11">
        <v>24</v>
      </c>
      <c r="AD16" s="11">
        <v>31</v>
      </c>
      <c r="AE16" s="11">
        <v>62</v>
      </c>
      <c r="AF16" s="12">
        <v>0.5</v>
      </c>
      <c r="AG16" s="11">
        <v>22</v>
      </c>
      <c r="AH16" s="11">
        <v>38</v>
      </c>
      <c r="AI16" s="12">
        <v>0.57889999999999997</v>
      </c>
      <c r="AJ16" s="11">
        <v>9</v>
      </c>
      <c r="AK16" s="11">
        <v>24</v>
      </c>
      <c r="AL16" s="12">
        <v>0.375</v>
      </c>
      <c r="AM16" s="11">
        <v>20</v>
      </c>
      <c r="AN16" s="11">
        <v>23</v>
      </c>
      <c r="AO16" s="12">
        <v>0.86960000000000004</v>
      </c>
      <c r="AP16" s="11">
        <v>7</v>
      </c>
      <c r="AQ16" s="11">
        <v>22</v>
      </c>
      <c r="AR16" s="11">
        <v>29</v>
      </c>
      <c r="AS16" s="11">
        <v>23</v>
      </c>
      <c r="AT16" s="11">
        <v>5</v>
      </c>
      <c r="AU16" s="11">
        <v>1</v>
      </c>
      <c r="AV16" s="11">
        <v>8</v>
      </c>
      <c r="AW16" s="11">
        <v>26</v>
      </c>
      <c r="AX16" s="12">
        <v>0.6149</v>
      </c>
      <c r="AY16" s="12">
        <v>0.56920000000000004</v>
      </c>
      <c r="AZ16" s="12">
        <v>0.38890000000000002</v>
      </c>
      <c r="BA16" s="12">
        <v>0.76670000000000005</v>
      </c>
      <c r="BB16" s="12">
        <v>0.56059999999999999</v>
      </c>
      <c r="BC16" s="4">
        <v>74.444000000000003</v>
      </c>
      <c r="BD16" s="12">
        <v>0.60609999999999997</v>
      </c>
      <c r="BE16" s="12">
        <v>0.30769999999999997</v>
      </c>
      <c r="BF16" s="12">
        <v>0.13569999999999999</v>
      </c>
      <c r="BG16" s="4">
        <v>129.1</v>
      </c>
      <c r="BH16" s="4">
        <v>125</v>
      </c>
      <c r="BI16" s="4">
        <v>72.8185</v>
      </c>
      <c r="BJ16" s="12">
        <v>0.63090000000000002</v>
      </c>
      <c r="BK16" s="12">
        <v>0.5726</v>
      </c>
      <c r="BL16" s="12">
        <v>0.23330000000000001</v>
      </c>
      <c r="BM16" s="12">
        <v>0.61109999999999998</v>
      </c>
      <c r="BN16" s="12">
        <v>0.43940000000000001</v>
      </c>
      <c r="BO16" s="4">
        <v>71.192999999999998</v>
      </c>
      <c r="BP16" s="12">
        <v>0.7419</v>
      </c>
      <c r="BQ16" s="12">
        <v>0.3226</v>
      </c>
      <c r="BR16" s="12">
        <v>9.9900000000000003E-2</v>
      </c>
      <c r="BS16" s="4">
        <v>125</v>
      </c>
      <c r="BT16" s="4">
        <v>129.1</v>
      </c>
      <c r="BU16" s="11">
        <v>25</v>
      </c>
      <c r="BV16" s="11">
        <v>17</v>
      </c>
      <c r="BW16" s="11">
        <v>24</v>
      </c>
      <c r="BX16" s="11">
        <v>28</v>
      </c>
      <c r="BY16" s="11">
        <v>16</v>
      </c>
      <c r="BZ16" s="11">
        <v>22</v>
      </c>
      <c r="CA16" s="11">
        <v>24</v>
      </c>
      <c r="CB16" s="11">
        <v>29</v>
      </c>
      <c r="CC16" s="11">
        <v>42</v>
      </c>
      <c r="CD16" s="11">
        <v>52</v>
      </c>
      <c r="CE16" s="11">
        <v>38</v>
      </c>
      <c r="CF16" s="11">
        <v>53</v>
      </c>
      <c r="CG16" s="4">
        <v>2.4</v>
      </c>
      <c r="CH16" s="13">
        <v>1.61</v>
      </c>
      <c r="CI16" s="4">
        <v>3.5</v>
      </c>
      <c r="CJ16" s="4">
        <v>-3.5</v>
      </c>
      <c r="CK16" s="4">
        <v>167.5</v>
      </c>
      <c r="CL16" s="2" t="s">
        <v>450</v>
      </c>
      <c r="CM16" s="4" t="str">
        <f>VLOOKUP(strasbourg[[#This Row],[Away_team]],all[[Full name]:[Abbr]],3,FALSE)</f>
        <v>DIJ</v>
      </c>
      <c r="CN16" s="4">
        <f>IF(OR(strasbourg[[#This Row],[Result]]="w",strasbourg[[#This Row],[Result]]="dw"),strasbourg[[#This Row],[win]]-1,-1)</f>
        <v>1.4</v>
      </c>
      <c r="CO16" s="4">
        <f>IF(OR(strasbourg[[#This Row],[Result]]="L",strasbourg[[#This Row],[Result]]="dl"),strasbourg[[#This Row],[lose]]-1,-1)</f>
        <v>-1</v>
      </c>
      <c r="CP16" s="4">
        <f>IF(OR((strasbourg[[#This Row],[Home_scored]]+strasbourg[[#This Row],[Away_scored]])&gt;strasbourg[[#This Row],[total]],OR(strasbourg[[#This Row],[Result]]="dw",strasbourg[[#This Row],[Result]]="dl")),1,0)</f>
        <v>1</v>
      </c>
      <c r="CQ16" s="4">
        <f>ABS((strasbourg[[#This Row],[Home_scored]]+strasbourg[[#This Row],[Away_scored]])-strasbourg[[#This Row],[total]])+0.5</f>
        <v>18</v>
      </c>
    </row>
    <row r="17" spans="1:95" x14ac:dyDescent="0.25">
      <c r="A17" s="2" t="s">
        <v>349</v>
      </c>
      <c r="B17" s="2" t="s">
        <v>345</v>
      </c>
      <c r="C17" s="3" t="s">
        <v>73</v>
      </c>
      <c r="D17" s="3">
        <v>45652</v>
      </c>
      <c r="E17" s="2" t="s">
        <v>74</v>
      </c>
      <c r="F17" s="2" t="s">
        <v>336</v>
      </c>
      <c r="G17" s="2" t="s">
        <v>139</v>
      </c>
      <c r="H17" s="11">
        <v>88</v>
      </c>
      <c r="I17" s="11">
        <v>95</v>
      </c>
      <c r="J17" s="11">
        <v>33</v>
      </c>
      <c r="K17" s="11">
        <v>65</v>
      </c>
      <c r="L17" s="12">
        <v>0.50770000000000004</v>
      </c>
      <c r="M17" s="11">
        <v>22</v>
      </c>
      <c r="N17" s="11">
        <v>35</v>
      </c>
      <c r="O17" s="12">
        <v>0.62860000000000005</v>
      </c>
      <c r="P17" s="11">
        <v>11</v>
      </c>
      <c r="Q17" s="11">
        <v>30</v>
      </c>
      <c r="R17" s="12">
        <v>0.36670000000000003</v>
      </c>
      <c r="S17" s="11">
        <v>11</v>
      </c>
      <c r="T17" s="11">
        <v>15</v>
      </c>
      <c r="U17" s="12">
        <v>0.73329999999999995</v>
      </c>
      <c r="V17" s="11">
        <v>9</v>
      </c>
      <c r="W17" s="11">
        <v>25</v>
      </c>
      <c r="X17" s="11">
        <v>34</v>
      </c>
      <c r="Y17" s="11">
        <v>19</v>
      </c>
      <c r="Z17" s="11">
        <v>8</v>
      </c>
      <c r="AA17" s="11">
        <v>1</v>
      </c>
      <c r="AB17" s="11">
        <v>17</v>
      </c>
      <c r="AC17" s="11">
        <v>21</v>
      </c>
      <c r="AD17" s="11">
        <v>36</v>
      </c>
      <c r="AE17" s="11">
        <v>68</v>
      </c>
      <c r="AF17" s="12">
        <v>0.52939999999999998</v>
      </c>
      <c r="AG17" s="11">
        <v>27</v>
      </c>
      <c r="AH17" s="11">
        <v>45</v>
      </c>
      <c r="AI17" s="12">
        <v>0.6</v>
      </c>
      <c r="AJ17" s="11">
        <v>9</v>
      </c>
      <c r="AK17" s="11">
        <v>23</v>
      </c>
      <c r="AL17" s="12">
        <v>0.39129999999999998</v>
      </c>
      <c r="AM17" s="11">
        <v>14</v>
      </c>
      <c r="AN17" s="11">
        <v>19</v>
      </c>
      <c r="AO17" s="12">
        <v>0.73680000000000001</v>
      </c>
      <c r="AP17" s="11">
        <v>9</v>
      </c>
      <c r="AQ17" s="11">
        <v>25</v>
      </c>
      <c r="AR17" s="11">
        <v>34</v>
      </c>
      <c r="AS17" s="11">
        <v>25</v>
      </c>
      <c r="AT17" s="11">
        <v>9</v>
      </c>
      <c r="AU17" s="11">
        <v>3</v>
      </c>
      <c r="AV17" s="11">
        <v>11</v>
      </c>
      <c r="AW17" s="11">
        <v>21</v>
      </c>
      <c r="AX17" s="12">
        <v>0.61450000000000005</v>
      </c>
      <c r="AY17" s="12">
        <v>0.59230000000000005</v>
      </c>
      <c r="AZ17" s="12">
        <v>0.26469999999999999</v>
      </c>
      <c r="BA17" s="12">
        <v>0.73529999999999995</v>
      </c>
      <c r="BB17" s="12">
        <v>0.5</v>
      </c>
      <c r="BC17" s="4">
        <v>78.936000000000007</v>
      </c>
      <c r="BD17" s="12">
        <v>0.57579999999999998</v>
      </c>
      <c r="BE17" s="12">
        <v>0.16919999999999999</v>
      </c>
      <c r="BF17" s="12">
        <v>0.19189999999999999</v>
      </c>
      <c r="BG17" s="4">
        <v>112.5</v>
      </c>
      <c r="BH17" s="4">
        <v>121.4</v>
      </c>
      <c r="BI17" s="4">
        <v>78.236000000000004</v>
      </c>
      <c r="BJ17" s="12">
        <v>0.62209999999999999</v>
      </c>
      <c r="BK17" s="12">
        <v>0.59560000000000002</v>
      </c>
      <c r="BL17" s="12">
        <v>0.26469999999999999</v>
      </c>
      <c r="BM17" s="12">
        <v>0.73529999999999995</v>
      </c>
      <c r="BN17" s="12">
        <v>0.5</v>
      </c>
      <c r="BO17" s="4">
        <v>77.536000000000001</v>
      </c>
      <c r="BP17" s="12">
        <v>0.69440000000000002</v>
      </c>
      <c r="BQ17" s="12">
        <v>0.2059</v>
      </c>
      <c r="BR17" s="12">
        <v>0.12590000000000001</v>
      </c>
      <c r="BS17" s="4">
        <v>121.4</v>
      </c>
      <c r="BT17" s="4">
        <v>112.5</v>
      </c>
      <c r="BU17" s="11">
        <v>20</v>
      </c>
      <c r="BV17" s="11">
        <v>23</v>
      </c>
      <c r="BW17" s="11">
        <v>21</v>
      </c>
      <c r="BX17" s="11">
        <v>24</v>
      </c>
      <c r="BY17" s="11">
        <v>21</v>
      </c>
      <c r="BZ17" s="11">
        <v>28</v>
      </c>
      <c r="CA17" s="11">
        <v>28</v>
      </c>
      <c r="CB17" s="11">
        <v>18</v>
      </c>
      <c r="CC17" s="11">
        <v>43</v>
      </c>
      <c r="CD17" s="11">
        <v>45</v>
      </c>
      <c r="CE17" s="11">
        <v>49</v>
      </c>
      <c r="CF17" s="11">
        <v>46</v>
      </c>
      <c r="CG17" s="4">
        <v>1.49</v>
      </c>
      <c r="CH17" s="13">
        <v>2.7</v>
      </c>
      <c r="CI17" s="4">
        <v>-5</v>
      </c>
      <c r="CJ17" s="4">
        <v>-5</v>
      </c>
      <c r="CK17" s="4">
        <v>169.5</v>
      </c>
      <c r="CL17" s="2" t="s">
        <v>459</v>
      </c>
      <c r="CM17" s="4" t="str">
        <f>VLOOKUP(strasbourg[[#This Row],[Away_team]],all[[Full name]:[Abbr]],3,FALSE)</f>
        <v>NAN</v>
      </c>
      <c r="CN17" s="4">
        <f>IF(OR(strasbourg[[#This Row],[Result]]="w",strasbourg[[#This Row],[Result]]="dw"),strasbourg[[#This Row],[win]]-1,-1)</f>
        <v>-1</v>
      </c>
      <c r="CO17" s="4">
        <f>IF(OR(strasbourg[[#This Row],[Result]]="L",strasbourg[[#This Row],[Result]]="dl"),strasbourg[[#This Row],[lose]]-1,-1)</f>
        <v>1.7000000000000002</v>
      </c>
      <c r="CP17" s="4">
        <f>IF(OR((strasbourg[[#This Row],[Home_scored]]+strasbourg[[#This Row],[Away_scored]])&gt;strasbourg[[#This Row],[total]],OR(strasbourg[[#This Row],[Result]]="dw",strasbourg[[#This Row],[Result]]="dl")),1,0)</f>
        <v>1</v>
      </c>
      <c r="CQ17" s="4">
        <f>ABS((strasbourg[[#This Row],[Home_scored]]+strasbourg[[#This Row],[Away_scored]])-strasbourg[[#This Row],[total]])+0.5</f>
        <v>14</v>
      </c>
    </row>
    <row r="18" spans="1:95" x14ac:dyDescent="0.25">
      <c r="A18" s="2" t="s">
        <v>349</v>
      </c>
      <c r="B18" s="2" t="s">
        <v>345</v>
      </c>
      <c r="C18" s="3" t="s">
        <v>73</v>
      </c>
      <c r="D18" s="3">
        <v>45668</v>
      </c>
      <c r="E18" s="2" t="s">
        <v>140</v>
      </c>
      <c r="F18" s="2" t="s">
        <v>342</v>
      </c>
      <c r="G18" s="2" t="s">
        <v>139</v>
      </c>
      <c r="H18" s="11">
        <v>70</v>
      </c>
      <c r="I18" s="11">
        <v>81</v>
      </c>
      <c r="J18" s="11">
        <v>23</v>
      </c>
      <c r="K18" s="11">
        <v>54</v>
      </c>
      <c r="L18" s="12">
        <v>0.4259</v>
      </c>
      <c r="M18" s="11">
        <v>10</v>
      </c>
      <c r="N18" s="11">
        <v>23</v>
      </c>
      <c r="O18" s="12">
        <v>0.43480000000000002</v>
      </c>
      <c r="P18" s="11">
        <v>13</v>
      </c>
      <c r="Q18" s="11">
        <v>31</v>
      </c>
      <c r="R18" s="12">
        <v>0.4194</v>
      </c>
      <c r="S18" s="11">
        <v>11</v>
      </c>
      <c r="T18" s="11">
        <v>17</v>
      </c>
      <c r="U18" s="12">
        <v>0.64710000000000001</v>
      </c>
      <c r="V18" s="11">
        <v>9</v>
      </c>
      <c r="W18" s="11">
        <v>23</v>
      </c>
      <c r="X18" s="11">
        <v>32</v>
      </c>
      <c r="Y18" s="11">
        <v>18</v>
      </c>
      <c r="Z18" s="11">
        <v>4</v>
      </c>
      <c r="AA18" s="11">
        <v>5</v>
      </c>
      <c r="AB18" s="11">
        <v>17</v>
      </c>
      <c r="AC18" s="11">
        <v>21</v>
      </c>
      <c r="AD18" s="11">
        <v>28</v>
      </c>
      <c r="AE18" s="11">
        <v>67</v>
      </c>
      <c r="AF18" s="12">
        <v>0.41789999999999999</v>
      </c>
      <c r="AG18" s="11">
        <v>21</v>
      </c>
      <c r="AH18" s="11">
        <v>39</v>
      </c>
      <c r="AI18" s="12">
        <v>0.53849999999999998</v>
      </c>
      <c r="AJ18" s="11">
        <v>7</v>
      </c>
      <c r="AK18" s="11">
        <v>28</v>
      </c>
      <c r="AL18" s="12">
        <v>0.25</v>
      </c>
      <c r="AM18" s="11">
        <v>18</v>
      </c>
      <c r="AN18" s="11">
        <v>22</v>
      </c>
      <c r="AO18" s="12">
        <v>0.81820000000000004</v>
      </c>
      <c r="AP18" s="11">
        <v>17</v>
      </c>
      <c r="AQ18" s="11">
        <v>22</v>
      </c>
      <c r="AR18" s="11">
        <v>39</v>
      </c>
      <c r="AS18" s="11">
        <v>21</v>
      </c>
      <c r="AT18" s="11">
        <v>8</v>
      </c>
      <c r="AU18" s="11">
        <v>1</v>
      </c>
      <c r="AV18" s="11">
        <v>10</v>
      </c>
      <c r="AW18" s="11">
        <v>18</v>
      </c>
      <c r="AX18" s="12">
        <v>0.56930000000000003</v>
      </c>
      <c r="AY18" s="12">
        <v>0.54630000000000001</v>
      </c>
      <c r="AZ18" s="12">
        <v>0.2903</v>
      </c>
      <c r="BA18" s="12">
        <v>0.57499999999999996</v>
      </c>
      <c r="BB18" s="12">
        <v>0.45069999999999999</v>
      </c>
      <c r="BC18" s="4">
        <v>68.471000000000004</v>
      </c>
      <c r="BD18" s="12">
        <v>0.78259999999999996</v>
      </c>
      <c r="BE18" s="12">
        <v>0.20369999999999999</v>
      </c>
      <c r="BF18" s="12">
        <v>0.21659999999999999</v>
      </c>
      <c r="BG18" s="4">
        <v>102.9</v>
      </c>
      <c r="BH18" s="4">
        <v>119</v>
      </c>
      <c r="BI18" s="4">
        <v>68.040499999999994</v>
      </c>
      <c r="BJ18" s="12">
        <v>0.5282</v>
      </c>
      <c r="BK18" s="12">
        <v>0.47010000000000002</v>
      </c>
      <c r="BL18" s="12">
        <v>0.42499999999999999</v>
      </c>
      <c r="BM18" s="12">
        <v>0.7097</v>
      </c>
      <c r="BN18" s="12">
        <v>0.54930000000000001</v>
      </c>
      <c r="BO18" s="4">
        <v>67.61</v>
      </c>
      <c r="BP18" s="12">
        <v>0.75</v>
      </c>
      <c r="BQ18" s="12">
        <v>0.26869999999999999</v>
      </c>
      <c r="BR18" s="12">
        <v>0.1154</v>
      </c>
      <c r="BS18" s="4">
        <v>119</v>
      </c>
      <c r="BT18" s="4">
        <v>102.9</v>
      </c>
      <c r="BU18" s="11">
        <v>18</v>
      </c>
      <c r="BV18" s="11">
        <v>16</v>
      </c>
      <c r="BW18" s="11">
        <v>19</v>
      </c>
      <c r="BX18" s="11">
        <v>17</v>
      </c>
      <c r="BY18" s="11">
        <v>16</v>
      </c>
      <c r="BZ18" s="11">
        <v>12</v>
      </c>
      <c r="CA18" s="11">
        <v>23</v>
      </c>
      <c r="CB18" s="11">
        <v>30</v>
      </c>
      <c r="CC18" s="11">
        <v>34</v>
      </c>
      <c r="CD18" s="11">
        <v>36</v>
      </c>
      <c r="CE18" s="11">
        <v>28</v>
      </c>
      <c r="CF18" s="11">
        <v>53</v>
      </c>
      <c r="CG18" s="4">
        <v>2.4</v>
      </c>
      <c r="CH18" s="13">
        <v>1.61</v>
      </c>
      <c r="CI18" s="4">
        <v>3.5</v>
      </c>
      <c r="CJ18" s="4">
        <v>-3.5</v>
      </c>
      <c r="CK18" s="4">
        <v>160.5</v>
      </c>
      <c r="CL18" s="2" t="s">
        <v>469</v>
      </c>
      <c r="CM18" s="4" t="str">
        <f>VLOOKUP(strasbourg[[#This Row],[Away_team]],all[[Full name]:[Abbr]],3,FALSE)</f>
        <v>SQU</v>
      </c>
      <c r="CN18" s="4">
        <f>IF(OR(strasbourg[[#This Row],[Result]]="w",strasbourg[[#This Row],[Result]]="dw"),strasbourg[[#This Row],[win]]-1,-1)</f>
        <v>-1</v>
      </c>
      <c r="CO18" s="4">
        <f>IF(OR(strasbourg[[#This Row],[Result]]="L",strasbourg[[#This Row],[Result]]="dl"),strasbourg[[#This Row],[lose]]-1,-1)</f>
        <v>0.6100000000000001</v>
      </c>
      <c r="CP18" s="4">
        <f>IF(OR((strasbourg[[#This Row],[Home_scored]]+strasbourg[[#This Row],[Away_scored]])&gt;strasbourg[[#This Row],[total]],OR(strasbourg[[#This Row],[Result]]="dw",strasbourg[[#This Row],[Result]]="dl")),1,0)</f>
        <v>0</v>
      </c>
      <c r="CQ18" s="4">
        <f>ABS((strasbourg[[#This Row],[Home_scored]]+strasbourg[[#This Row],[Away_scored]])-strasbourg[[#This Row],[total]])+0.5</f>
        <v>10</v>
      </c>
    </row>
    <row r="19" spans="1:95" x14ac:dyDescent="0.25">
      <c r="A19" s="2" t="s">
        <v>349</v>
      </c>
      <c r="B19" s="2" t="s">
        <v>345</v>
      </c>
      <c r="C19" s="3" t="s">
        <v>73</v>
      </c>
      <c r="D19" s="3">
        <v>45674</v>
      </c>
      <c r="E19" s="2" t="s">
        <v>74</v>
      </c>
      <c r="F19" s="2" t="s">
        <v>302</v>
      </c>
      <c r="G19" s="2" t="s">
        <v>139</v>
      </c>
      <c r="H19" s="11">
        <v>70</v>
      </c>
      <c r="I19" s="11">
        <v>76</v>
      </c>
      <c r="J19" s="11">
        <v>25</v>
      </c>
      <c r="K19" s="11">
        <v>70</v>
      </c>
      <c r="L19" s="12">
        <v>0.35709999999999997</v>
      </c>
      <c r="M19" s="11">
        <v>17</v>
      </c>
      <c r="N19" s="11">
        <v>41</v>
      </c>
      <c r="O19" s="12">
        <v>0.41460000000000002</v>
      </c>
      <c r="P19" s="11">
        <v>8</v>
      </c>
      <c r="Q19" s="11">
        <v>29</v>
      </c>
      <c r="R19" s="12">
        <v>0.27589999999999998</v>
      </c>
      <c r="S19" s="11">
        <v>12</v>
      </c>
      <c r="T19" s="11">
        <v>18</v>
      </c>
      <c r="U19" s="12">
        <v>0.66669999999999996</v>
      </c>
      <c r="V19" s="11">
        <v>20</v>
      </c>
      <c r="W19" s="11">
        <v>23</v>
      </c>
      <c r="X19" s="11">
        <v>43</v>
      </c>
      <c r="Y19" s="11">
        <v>18</v>
      </c>
      <c r="Z19" s="11">
        <v>12</v>
      </c>
      <c r="AA19" s="11">
        <v>3</v>
      </c>
      <c r="AB19" s="11">
        <v>17</v>
      </c>
      <c r="AC19" s="11">
        <v>26</v>
      </c>
      <c r="AD19" s="11">
        <v>24</v>
      </c>
      <c r="AE19" s="11">
        <v>56</v>
      </c>
      <c r="AF19" s="12">
        <v>0.42859999999999998</v>
      </c>
      <c r="AG19" s="11">
        <v>20</v>
      </c>
      <c r="AH19" s="11">
        <v>33</v>
      </c>
      <c r="AI19" s="12">
        <v>0.60609999999999997</v>
      </c>
      <c r="AJ19" s="11">
        <v>4</v>
      </c>
      <c r="AK19" s="11">
        <v>23</v>
      </c>
      <c r="AL19" s="12">
        <v>0.1739</v>
      </c>
      <c r="AM19" s="11">
        <v>24</v>
      </c>
      <c r="AN19" s="11">
        <v>32</v>
      </c>
      <c r="AO19" s="12">
        <v>0.75</v>
      </c>
      <c r="AP19" s="11">
        <v>11</v>
      </c>
      <c r="AQ19" s="11">
        <v>26</v>
      </c>
      <c r="AR19" s="11">
        <v>37</v>
      </c>
      <c r="AS19" s="11">
        <v>17</v>
      </c>
      <c r="AT19" s="11">
        <v>11</v>
      </c>
      <c r="AU19" s="11">
        <v>4</v>
      </c>
      <c r="AV19" s="11">
        <v>18</v>
      </c>
      <c r="AW19" s="11">
        <v>19</v>
      </c>
      <c r="AX19" s="12">
        <v>0.44919999999999999</v>
      </c>
      <c r="AY19" s="12">
        <v>0.4143</v>
      </c>
      <c r="AZ19" s="12">
        <v>0.43480000000000002</v>
      </c>
      <c r="BA19" s="12">
        <v>0.67649999999999999</v>
      </c>
      <c r="BB19" s="12">
        <v>0.53749999999999998</v>
      </c>
      <c r="BC19" s="4">
        <v>71.805000000000007</v>
      </c>
      <c r="BD19" s="12">
        <v>0.72</v>
      </c>
      <c r="BE19" s="12">
        <v>0.1714</v>
      </c>
      <c r="BF19" s="12">
        <v>0.17910000000000001</v>
      </c>
      <c r="BG19" s="4">
        <v>94.3</v>
      </c>
      <c r="BH19" s="4">
        <v>102.4</v>
      </c>
      <c r="BI19" s="4">
        <v>74.212999999999994</v>
      </c>
      <c r="BJ19" s="12">
        <v>0.54220000000000002</v>
      </c>
      <c r="BK19" s="12">
        <v>0.46429999999999999</v>
      </c>
      <c r="BL19" s="12">
        <v>0.32350000000000001</v>
      </c>
      <c r="BM19" s="12">
        <v>0.56520000000000004</v>
      </c>
      <c r="BN19" s="12">
        <v>0.46250000000000002</v>
      </c>
      <c r="BO19" s="4">
        <v>76.620999999999995</v>
      </c>
      <c r="BP19" s="12">
        <v>0.70830000000000004</v>
      </c>
      <c r="BQ19" s="12">
        <v>0.42859999999999998</v>
      </c>
      <c r="BR19" s="12">
        <v>0.2044</v>
      </c>
      <c r="BS19" s="4">
        <v>102.4</v>
      </c>
      <c r="BT19" s="4">
        <v>94.3</v>
      </c>
      <c r="BU19" s="11">
        <v>14</v>
      </c>
      <c r="BV19" s="11">
        <v>18</v>
      </c>
      <c r="BW19" s="11">
        <v>25</v>
      </c>
      <c r="BX19" s="11">
        <v>13</v>
      </c>
      <c r="BY19" s="11">
        <v>21</v>
      </c>
      <c r="BZ19" s="11">
        <v>16</v>
      </c>
      <c r="CA19" s="11">
        <v>23</v>
      </c>
      <c r="CB19" s="11">
        <v>16</v>
      </c>
      <c r="CC19" s="11">
        <v>32</v>
      </c>
      <c r="CD19" s="11">
        <v>38</v>
      </c>
      <c r="CE19" s="11">
        <v>37</v>
      </c>
      <c r="CF19" s="11">
        <v>39</v>
      </c>
      <c r="CG19" s="4">
        <v>2.4</v>
      </c>
      <c r="CH19" s="13">
        <v>1.61</v>
      </c>
      <c r="CI19" s="4">
        <v>3.5</v>
      </c>
      <c r="CJ19" s="4">
        <v>-3.5</v>
      </c>
      <c r="CK19" s="4">
        <v>168.5</v>
      </c>
      <c r="CL19" s="2" t="s">
        <v>475</v>
      </c>
      <c r="CM19" s="4" t="str">
        <f>VLOOKUP(strasbourg[[#This Row],[Away_team]],all[[Full name]:[Abbr]],3,FALSE)</f>
        <v>BUR</v>
      </c>
      <c r="CN19" s="4">
        <f>IF(OR(strasbourg[[#This Row],[Result]]="w",strasbourg[[#This Row],[Result]]="dw"),strasbourg[[#This Row],[win]]-1,-1)</f>
        <v>-1</v>
      </c>
      <c r="CO19" s="4">
        <f>IF(OR(strasbourg[[#This Row],[Result]]="L",strasbourg[[#This Row],[Result]]="dl"),strasbourg[[#This Row],[lose]]-1,-1)</f>
        <v>0.6100000000000001</v>
      </c>
      <c r="CP19" s="4">
        <f>IF(OR((strasbourg[[#This Row],[Home_scored]]+strasbourg[[#This Row],[Away_scored]])&gt;strasbourg[[#This Row],[total]],OR(strasbourg[[#This Row],[Result]]="dw",strasbourg[[#This Row],[Result]]="dl")),1,0)</f>
        <v>0</v>
      </c>
      <c r="CQ19" s="4">
        <f>ABS((strasbourg[[#This Row],[Home_scored]]+strasbourg[[#This Row],[Away_scored]])-strasbourg[[#This Row],[total]])+0.5</f>
        <v>23</v>
      </c>
    </row>
    <row r="20" spans="1:95" x14ac:dyDescent="0.25">
      <c r="A20" s="2" t="s">
        <v>349</v>
      </c>
      <c r="B20" s="2" t="s">
        <v>345</v>
      </c>
      <c r="C20" s="3" t="s">
        <v>73</v>
      </c>
      <c r="D20" s="3">
        <v>45683</v>
      </c>
      <c r="E20" s="2" t="s">
        <v>140</v>
      </c>
      <c r="F20" s="2" t="s">
        <v>327</v>
      </c>
      <c r="G20" s="2" t="s">
        <v>139</v>
      </c>
      <c r="H20" s="11">
        <v>70</v>
      </c>
      <c r="I20" s="11">
        <v>95</v>
      </c>
      <c r="J20" s="11">
        <v>25</v>
      </c>
      <c r="K20" s="11">
        <v>59</v>
      </c>
      <c r="L20" s="12">
        <v>0.42370000000000002</v>
      </c>
      <c r="M20" s="11">
        <v>19</v>
      </c>
      <c r="N20" s="11">
        <v>35</v>
      </c>
      <c r="O20" s="12">
        <v>0.54290000000000005</v>
      </c>
      <c r="P20" s="11">
        <v>6</v>
      </c>
      <c r="Q20" s="11">
        <v>24</v>
      </c>
      <c r="R20" s="12">
        <v>0.25</v>
      </c>
      <c r="S20" s="11">
        <v>14</v>
      </c>
      <c r="T20" s="11">
        <v>19</v>
      </c>
      <c r="U20" s="12">
        <v>0.73680000000000001</v>
      </c>
      <c r="V20" s="11">
        <v>3</v>
      </c>
      <c r="W20" s="11">
        <v>20</v>
      </c>
      <c r="X20" s="11">
        <v>23</v>
      </c>
      <c r="Y20" s="11">
        <v>16</v>
      </c>
      <c r="Z20" s="11">
        <v>9</v>
      </c>
      <c r="AA20" s="11">
        <v>3</v>
      </c>
      <c r="AB20" s="11">
        <v>16</v>
      </c>
      <c r="AC20" s="11">
        <v>23</v>
      </c>
      <c r="AD20" s="11">
        <v>33</v>
      </c>
      <c r="AE20" s="11">
        <v>61</v>
      </c>
      <c r="AF20" s="12">
        <v>0.54100000000000004</v>
      </c>
      <c r="AG20" s="11">
        <v>23</v>
      </c>
      <c r="AH20" s="11">
        <v>35</v>
      </c>
      <c r="AI20" s="12">
        <v>0.65710000000000002</v>
      </c>
      <c r="AJ20" s="11">
        <v>10</v>
      </c>
      <c r="AK20" s="11">
        <v>26</v>
      </c>
      <c r="AL20" s="12">
        <v>0.3846</v>
      </c>
      <c r="AM20" s="11">
        <v>19</v>
      </c>
      <c r="AN20" s="11">
        <v>25</v>
      </c>
      <c r="AO20" s="12">
        <v>0.76</v>
      </c>
      <c r="AP20" s="11">
        <v>13</v>
      </c>
      <c r="AQ20" s="11">
        <v>34</v>
      </c>
      <c r="AR20" s="11">
        <v>47</v>
      </c>
      <c r="AS20" s="11">
        <v>29</v>
      </c>
      <c r="AT20" s="11">
        <v>6</v>
      </c>
      <c r="AU20" s="11">
        <v>2</v>
      </c>
      <c r="AV20" s="11">
        <v>19</v>
      </c>
      <c r="AW20" s="11">
        <v>20</v>
      </c>
      <c r="AX20" s="12">
        <v>0.51959999999999995</v>
      </c>
      <c r="AY20" s="12">
        <v>0.47460000000000002</v>
      </c>
      <c r="AZ20" s="12">
        <v>8.1100000000000005E-2</v>
      </c>
      <c r="BA20" s="12">
        <v>0.60609999999999997</v>
      </c>
      <c r="BB20" s="12">
        <v>0.3286</v>
      </c>
      <c r="BC20" s="4">
        <v>77.855000000000004</v>
      </c>
      <c r="BD20" s="12">
        <v>0.64</v>
      </c>
      <c r="BE20" s="12">
        <v>0.23730000000000001</v>
      </c>
      <c r="BF20" s="12">
        <v>0.19189999999999999</v>
      </c>
      <c r="BG20" s="4">
        <v>87.7</v>
      </c>
      <c r="BH20" s="4">
        <v>119.1</v>
      </c>
      <c r="BI20" s="4">
        <v>79.784000000000006</v>
      </c>
      <c r="BJ20" s="12">
        <v>0.65969999999999995</v>
      </c>
      <c r="BK20" s="12">
        <v>0.623</v>
      </c>
      <c r="BL20" s="12">
        <v>0.39389999999999997</v>
      </c>
      <c r="BM20" s="12">
        <v>0.91890000000000005</v>
      </c>
      <c r="BN20" s="12">
        <v>0.6714</v>
      </c>
      <c r="BO20" s="4">
        <v>81.712999999999994</v>
      </c>
      <c r="BP20" s="12">
        <v>0.87880000000000003</v>
      </c>
      <c r="BQ20" s="12">
        <v>0.3115</v>
      </c>
      <c r="BR20" s="12">
        <v>0.20880000000000001</v>
      </c>
      <c r="BS20" s="4">
        <v>119.1</v>
      </c>
      <c r="BT20" s="4">
        <v>87.7</v>
      </c>
      <c r="BU20" s="11">
        <v>21</v>
      </c>
      <c r="BV20" s="11">
        <v>14</v>
      </c>
      <c r="BW20" s="11">
        <v>13</v>
      </c>
      <c r="BX20" s="11">
        <v>22</v>
      </c>
      <c r="BY20" s="11">
        <v>17</v>
      </c>
      <c r="BZ20" s="11">
        <v>30</v>
      </c>
      <c r="CA20" s="11">
        <v>22</v>
      </c>
      <c r="CB20" s="11">
        <v>26</v>
      </c>
      <c r="CC20" s="11">
        <v>35</v>
      </c>
      <c r="CD20" s="11">
        <v>35</v>
      </c>
      <c r="CE20" s="11">
        <v>47</v>
      </c>
      <c r="CF20" s="11">
        <v>48</v>
      </c>
      <c r="CG20" s="4">
        <v>5</v>
      </c>
      <c r="CH20" s="13">
        <v>1.18</v>
      </c>
      <c r="CI20" s="4">
        <v>10.5</v>
      </c>
      <c r="CJ20" s="4">
        <v>-10.5</v>
      </c>
      <c r="CK20" s="4">
        <v>167.5</v>
      </c>
      <c r="CL20" s="2" t="s">
        <v>489</v>
      </c>
      <c r="CM20" s="4" t="str">
        <f>VLOOKUP(strasbourg[[#This Row],[Away_team]],all[[Full name]:[Abbr]],3,FALSE)</f>
        <v>LYO</v>
      </c>
      <c r="CN20" s="4">
        <f>IF(OR(strasbourg[[#This Row],[Result]]="w",strasbourg[[#This Row],[Result]]="dw"),strasbourg[[#This Row],[win]]-1,-1)</f>
        <v>-1</v>
      </c>
      <c r="CO20" s="4">
        <f>IF(OR(strasbourg[[#This Row],[Result]]="L",strasbourg[[#This Row],[Result]]="dl"),strasbourg[[#This Row],[lose]]-1,-1)</f>
        <v>0.17999999999999994</v>
      </c>
      <c r="CP20" s="4">
        <f>IF(OR((strasbourg[[#This Row],[Home_scored]]+strasbourg[[#This Row],[Away_scored]])&gt;strasbourg[[#This Row],[total]],OR(strasbourg[[#This Row],[Result]]="dw",strasbourg[[#This Row],[Result]]="dl")),1,0)</f>
        <v>0</v>
      </c>
      <c r="CQ20" s="4">
        <f>ABS((strasbourg[[#This Row],[Home_scored]]+strasbourg[[#This Row],[Away_scored]])-strasbourg[[#This Row],[total]])+0.5</f>
        <v>3</v>
      </c>
    </row>
    <row r="21" spans="1:95" x14ac:dyDescent="0.25">
      <c r="A21" s="2" t="s">
        <v>349</v>
      </c>
      <c r="B21" s="2" t="s">
        <v>345</v>
      </c>
      <c r="C21" s="3" t="s">
        <v>73</v>
      </c>
      <c r="D21" s="3">
        <v>45690</v>
      </c>
      <c r="E21" s="2" t="s">
        <v>140</v>
      </c>
      <c r="F21" s="2" t="s">
        <v>308</v>
      </c>
      <c r="G21" s="2" t="s">
        <v>139</v>
      </c>
      <c r="H21" s="11">
        <v>75</v>
      </c>
      <c r="I21" s="11">
        <v>105</v>
      </c>
      <c r="J21" s="11">
        <v>22</v>
      </c>
      <c r="K21" s="11">
        <v>53</v>
      </c>
      <c r="L21" s="12">
        <v>0.41510000000000002</v>
      </c>
      <c r="M21" s="11">
        <v>16</v>
      </c>
      <c r="N21" s="11">
        <v>30</v>
      </c>
      <c r="O21" s="12">
        <v>0.5333</v>
      </c>
      <c r="P21" s="11">
        <v>6</v>
      </c>
      <c r="Q21" s="11">
        <v>23</v>
      </c>
      <c r="R21" s="12">
        <v>0.26090000000000002</v>
      </c>
      <c r="S21" s="11">
        <v>25</v>
      </c>
      <c r="T21" s="11">
        <v>29</v>
      </c>
      <c r="U21" s="12">
        <v>0.86209999999999998</v>
      </c>
      <c r="V21" s="11">
        <v>7</v>
      </c>
      <c r="W21" s="11">
        <v>13</v>
      </c>
      <c r="X21" s="11">
        <v>20</v>
      </c>
      <c r="Y21" s="11">
        <v>11</v>
      </c>
      <c r="Z21" s="11">
        <v>6</v>
      </c>
      <c r="AA21" s="11">
        <v>6</v>
      </c>
      <c r="AB21" s="11">
        <v>21</v>
      </c>
      <c r="AC21" s="11">
        <v>18</v>
      </c>
      <c r="AD21" s="11">
        <v>42</v>
      </c>
      <c r="AE21" s="11">
        <v>71</v>
      </c>
      <c r="AF21" s="12">
        <v>0.59150000000000003</v>
      </c>
      <c r="AG21" s="11">
        <v>29</v>
      </c>
      <c r="AH21" s="11">
        <v>42</v>
      </c>
      <c r="AI21" s="12">
        <v>0.6905</v>
      </c>
      <c r="AJ21" s="11">
        <v>13</v>
      </c>
      <c r="AK21" s="11">
        <v>29</v>
      </c>
      <c r="AL21" s="12">
        <v>0.44829999999999998</v>
      </c>
      <c r="AM21" s="11">
        <v>8</v>
      </c>
      <c r="AN21" s="11">
        <v>8</v>
      </c>
      <c r="AO21" s="12">
        <v>1</v>
      </c>
      <c r="AP21" s="11">
        <v>15</v>
      </c>
      <c r="AQ21" s="11">
        <v>25</v>
      </c>
      <c r="AR21" s="11">
        <v>40</v>
      </c>
      <c r="AS21" s="11">
        <v>36</v>
      </c>
      <c r="AT21" s="11">
        <v>8</v>
      </c>
      <c r="AU21" s="11">
        <v>1</v>
      </c>
      <c r="AV21" s="11">
        <v>20</v>
      </c>
      <c r="AW21" s="11">
        <v>27</v>
      </c>
      <c r="AX21" s="12">
        <v>0.57030000000000003</v>
      </c>
      <c r="AY21" s="12">
        <v>0.47170000000000001</v>
      </c>
      <c r="AZ21" s="12">
        <v>0.21879999999999999</v>
      </c>
      <c r="BA21" s="12">
        <v>0.46429999999999999</v>
      </c>
      <c r="BB21" s="12">
        <v>0.33329999999999999</v>
      </c>
      <c r="BC21" s="4">
        <v>73.991</v>
      </c>
      <c r="BD21" s="12">
        <v>0.5</v>
      </c>
      <c r="BE21" s="12">
        <v>0.47170000000000001</v>
      </c>
      <c r="BF21" s="12">
        <v>0.24199999999999999</v>
      </c>
      <c r="BG21" s="4">
        <v>95.8</v>
      </c>
      <c r="BH21" s="4">
        <v>134.1</v>
      </c>
      <c r="BI21" s="4">
        <v>78.277500000000003</v>
      </c>
      <c r="BJ21" s="12">
        <v>0.70450000000000002</v>
      </c>
      <c r="BK21" s="12">
        <v>0.68310000000000004</v>
      </c>
      <c r="BL21" s="12">
        <v>0.53569999999999995</v>
      </c>
      <c r="BM21" s="12">
        <v>0.78129999999999999</v>
      </c>
      <c r="BN21" s="12">
        <v>0.66669999999999996</v>
      </c>
      <c r="BO21" s="4">
        <v>82.563999999999993</v>
      </c>
      <c r="BP21" s="12">
        <v>0.85709999999999997</v>
      </c>
      <c r="BQ21" s="12">
        <v>0.11269999999999999</v>
      </c>
      <c r="BR21" s="12">
        <v>0.21160000000000001</v>
      </c>
      <c r="BS21" s="4">
        <v>134.1</v>
      </c>
      <c r="BT21" s="4">
        <v>95.8</v>
      </c>
      <c r="BU21" s="11">
        <v>13</v>
      </c>
      <c r="BV21" s="11">
        <v>27</v>
      </c>
      <c r="BW21" s="11">
        <v>17</v>
      </c>
      <c r="BX21" s="11">
        <v>18</v>
      </c>
      <c r="BY21" s="11">
        <v>33</v>
      </c>
      <c r="BZ21" s="11">
        <v>29</v>
      </c>
      <c r="CA21" s="11">
        <v>21</v>
      </c>
      <c r="CB21" s="11">
        <v>22</v>
      </c>
      <c r="CC21" s="11">
        <v>40</v>
      </c>
      <c r="CD21" s="11">
        <v>35</v>
      </c>
      <c r="CE21" s="11">
        <v>62</v>
      </c>
      <c r="CF21" s="11">
        <v>43</v>
      </c>
      <c r="CG21" s="4">
        <v>3.3</v>
      </c>
      <c r="CH21" s="13">
        <v>1.36</v>
      </c>
      <c r="CI21" s="4">
        <v>-7</v>
      </c>
      <c r="CJ21" s="4">
        <v>-7</v>
      </c>
      <c r="CK21" s="4">
        <v>166.5</v>
      </c>
      <c r="CL21" s="2" t="s">
        <v>496</v>
      </c>
      <c r="CM21" s="4" t="str">
        <f>VLOOKUP(strasbourg[[#This Row],[Away_team]],all[[Full name]:[Abbr]],3,FALSE)</f>
        <v>CHO</v>
      </c>
      <c r="CN21" s="4">
        <f>IF(OR(strasbourg[[#This Row],[Result]]="w",strasbourg[[#This Row],[Result]]="dw"),strasbourg[[#This Row],[win]]-1,-1)</f>
        <v>-1</v>
      </c>
      <c r="CO21" s="4">
        <f>IF(OR(strasbourg[[#This Row],[Result]]="L",strasbourg[[#This Row],[Result]]="dl"),strasbourg[[#This Row],[lose]]-1,-1)</f>
        <v>0.3600000000000001</v>
      </c>
      <c r="CP21" s="4">
        <f>IF(OR((strasbourg[[#This Row],[Home_scored]]+strasbourg[[#This Row],[Away_scored]])&gt;strasbourg[[#This Row],[total]],OR(strasbourg[[#This Row],[Result]]="dw",strasbourg[[#This Row],[Result]]="dl")),1,0)</f>
        <v>1</v>
      </c>
      <c r="CQ21" s="4">
        <f>ABS((strasbourg[[#This Row],[Home_scored]]+strasbourg[[#This Row],[Away_scored]])-strasbourg[[#This Row],[total]])+0.5</f>
        <v>14</v>
      </c>
    </row>
    <row r="22" spans="1:95" x14ac:dyDescent="0.25">
      <c r="A22" s="2" t="s">
        <v>349</v>
      </c>
      <c r="B22" s="2" t="s">
        <v>345</v>
      </c>
      <c r="C22" s="3" t="s">
        <v>73</v>
      </c>
      <c r="D22" s="3">
        <v>45697</v>
      </c>
      <c r="E22" s="2" t="s">
        <v>74</v>
      </c>
      <c r="F22" s="2" t="s">
        <v>330</v>
      </c>
      <c r="G22" s="2" t="s">
        <v>139</v>
      </c>
      <c r="H22" s="11">
        <v>81</v>
      </c>
      <c r="I22" s="11">
        <v>95</v>
      </c>
      <c r="J22" s="11">
        <v>28</v>
      </c>
      <c r="K22" s="11">
        <v>65</v>
      </c>
      <c r="L22" s="12">
        <v>0.43080000000000002</v>
      </c>
      <c r="M22" s="11">
        <v>19</v>
      </c>
      <c r="N22" s="11">
        <v>37</v>
      </c>
      <c r="O22" s="12">
        <v>0.51349999999999996</v>
      </c>
      <c r="P22" s="11">
        <v>9</v>
      </c>
      <c r="Q22" s="11">
        <v>28</v>
      </c>
      <c r="R22" s="12">
        <v>0.32140000000000002</v>
      </c>
      <c r="S22" s="11">
        <v>16</v>
      </c>
      <c r="T22" s="11">
        <v>17</v>
      </c>
      <c r="U22" s="12">
        <v>0.94120000000000004</v>
      </c>
      <c r="V22" s="11">
        <v>12</v>
      </c>
      <c r="W22" s="11">
        <v>26</v>
      </c>
      <c r="X22" s="11">
        <v>38</v>
      </c>
      <c r="Y22" s="11">
        <v>10</v>
      </c>
      <c r="Z22" s="11">
        <v>2</v>
      </c>
      <c r="AA22" s="11">
        <v>1</v>
      </c>
      <c r="AB22" s="11">
        <v>15</v>
      </c>
      <c r="AC22" s="11">
        <v>23</v>
      </c>
      <c r="AD22" s="11">
        <v>36</v>
      </c>
      <c r="AE22" s="11">
        <v>68</v>
      </c>
      <c r="AF22" s="12">
        <v>0.52939999999999998</v>
      </c>
      <c r="AG22" s="11">
        <v>25</v>
      </c>
      <c r="AH22" s="11">
        <v>41</v>
      </c>
      <c r="AI22" s="12">
        <v>0.60980000000000001</v>
      </c>
      <c r="AJ22" s="11">
        <v>11</v>
      </c>
      <c r="AK22" s="11">
        <v>27</v>
      </c>
      <c r="AL22" s="12">
        <v>0.40739999999999998</v>
      </c>
      <c r="AM22" s="11">
        <v>12</v>
      </c>
      <c r="AN22" s="11">
        <v>19</v>
      </c>
      <c r="AO22" s="12">
        <v>0.63160000000000005</v>
      </c>
      <c r="AP22" s="11">
        <v>11</v>
      </c>
      <c r="AQ22" s="11">
        <v>24</v>
      </c>
      <c r="AR22" s="11">
        <v>35</v>
      </c>
      <c r="AS22" s="11">
        <v>24</v>
      </c>
      <c r="AT22" s="11">
        <v>4</v>
      </c>
      <c r="AU22" s="11">
        <v>5</v>
      </c>
      <c r="AV22" s="11">
        <v>7</v>
      </c>
      <c r="AW22" s="11">
        <v>19</v>
      </c>
      <c r="AX22" s="12">
        <v>0.55879999999999996</v>
      </c>
      <c r="AY22" s="12">
        <v>0.5</v>
      </c>
      <c r="AZ22" s="12">
        <v>0.33329999999999999</v>
      </c>
      <c r="BA22" s="12">
        <v>0.70269999999999999</v>
      </c>
      <c r="BB22" s="12">
        <v>0.52049999999999996</v>
      </c>
      <c r="BC22" s="4">
        <v>74.298000000000002</v>
      </c>
      <c r="BD22" s="12">
        <v>0.35709999999999997</v>
      </c>
      <c r="BE22" s="12">
        <v>0.2462</v>
      </c>
      <c r="BF22" s="12">
        <v>0.17150000000000001</v>
      </c>
      <c r="BG22" s="4">
        <v>110.9</v>
      </c>
      <c r="BH22" s="4">
        <v>130</v>
      </c>
      <c r="BI22" s="4">
        <v>73.0685</v>
      </c>
      <c r="BJ22" s="12">
        <v>0.62209999999999999</v>
      </c>
      <c r="BK22" s="12">
        <v>0.61029999999999995</v>
      </c>
      <c r="BL22" s="12">
        <v>0.29730000000000001</v>
      </c>
      <c r="BM22" s="12">
        <v>0.66669999999999996</v>
      </c>
      <c r="BN22" s="12">
        <v>0.47949999999999998</v>
      </c>
      <c r="BO22" s="4">
        <v>71.838999999999999</v>
      </c>
      <c r="BP22" s="12">
        <v>0.66669999999999996</v>
      </c>
      <c r="BQ22" s="12">
        <v>0.17649999999999999</v>
      </c>
      <c r="BR22" s="12">
        <v>8.4000000000000005E-2</v>
      </c>
      <c r="BS22" s="4">
        <v>130</v>
      </c>
      <c r="BT22" s="4">
        <v>110.9</v>
      </c>
      <c r="BU22" s="11">
        <v>17</v>
      </c>
      <c r="BV22" s="11">
        <v>22</v>
      </c>
      <c r="BW22" s="11">
        <v>20</v>
      </c>
      <c r="BX22" s="11">
        <v>22</v>
      </c>
      <c r="BY22" s="11">
        <v>25</v>
      </c>
      <c r="BZ22" s="11">
        <v>17</v>
      </c>
      <c r="CA22" s="11">
        <v>25</v>
      </c>
      <c r="CB22" s="11">
        <v>28</v>
      </c>
      <c r="CC22" s="11">
        <v>39</v>
      </c>
      <c r="CD22" s="11">
        <v>42</v>
      </c>
      <c r="CE22" s="11">
        <v>42</v>
      </c>
      <c r="CF22" s="11">
        <v>53</v>
      </c>
      <c r="CG22" s="4">
        <v>3.7</v>
      </c>
      <c r="CH22" s="13">
        <v>1.29</v>
      </c>
      <c r="CI22" s="4">
        <v>8</v>
      </c>
      <c r="CJ22" s="4">
        <v>-8</v>
      </c>
      <c r="CK22" s="4">
        <v>164.5</v>
      </c>
      <c r="CL22" s="2" t="s">
        <v>505</v>
      </c>
      <c r="CM22" s="4" t="str">
        <f>VLOOKUP(strasbourg[[#This Row],[Away_team]],all[[Full name]:[Abbr]],3,FALSE)</f>
        <v>MON</v>
      </c>
      <c r="CN22" s="4">
        <f>IF(OR(strasbourg[[#This Row],[Result]]="w",strasbourg[[#This Row],[Result]]="dw"),strasbourg[[#This Row],[win]]-1,-1)</f>
        <v>-1</v>
      </c>
      <c r="CO22" s="4">
        <f>IF(OR(strasbourg[[#This Row],[Result]]="L",strasbourg[[#This Row],[Result]]="dl"),strasbourg[[#This Row],[lose]]-1,-1)</f>
        <v>0.29000000000000004</v>
      </c>
      <c r="CP22" s="4">
        <f>IF(OR((strasbourg[[#This Row],[Home_scored]]+strasbourg[[#This Row],[Away_scored]])&gt;strasbourg[[#This Row],[total]],OR(strasbourg[[#This Row],[Result]]="dw",strasbourg[[#This Row],[Result]]="dl")),1,0)</f>
        <v>1</v>
      </c>
      <c r="CQ22" s="4">
        <f>ABS((strasbourg[[#This Row],[Home_scored]]+strasbourg[[#This Row],[Away_scored]])-strasbourg[[#This Row],[total]])+0.5</f>
        <v>12</v>
      </c>
    </row>
    <row r="23" spans="1:95" x14ac:dyDescent="0.25">
      <c r="A23" s="2" t="s">
        <v>349</v>
      </c>
      <c r="B23" s="2" t="s">
        <v>345</v>
      </c>
      <c r="C23" s="3" t="s">
        <v>73</v>
      </c>
      <c r="D23" s="3">
        <v>45716</v>
      </c>
      <c r="E23" s="2" t="s">
        <v>140</v>
      </c>
      <c r="F23" s="2" t="s">
        <v>320</v>
      </c>
      <c r="G23" s="2" t="s">
        <v>139</v>
      </c>
      <c r="H23" s="11">
        <v>65</v>
      </c>
      <c r="I23" s="11">
        <v>67</v>
      </c>
      <c r="J23" s="11">
        <v>25</v>
      </c>
      <c r="K23" s="11">
        <v>65</v>
      </c>
      <c r="L23" s="12">
        <v>0.3846</v>
      </c>
      <c r="M23" s="11">
        <v>19</v>
      </c>
      <c r="N23" s="11">
        <v>40</v>
      </c>
      <c r="O23" s="12">
        <v>0.47499999999999998</v>
      </c>
      <c r="P23" s="11">
        <v>6</v>
      </c>
      <c r="Q23" s="11">
        <v>25</v>
      </c>
      <c r="R23" s="12">
        <v>0.24</v>
      </c>
      <c r="S23" s="11">
        <v>9</v>
      </c>
      <c r="T23" s="11">
        <v>11</v>
      </c>
      <c r="U23" s="12">
        <v>0.81820000000000004</v>
      </c>
      <c r="V23" s="11">
        <v>18</v>
      </c>
      <c r="W23" s="11">
        <v>21</v>
      </c>
      <c r="X23" s="11">
        <v>39</v>
      </c>
      <c r="Y23" s="11">
        <v>21</v>
      </c>
      <c r="Z23" s="11">
        <v>6</v>
      </c>
      <c r="AA23" s="11">
        <v>1</v>
      </c>
      <c r="AB23" s="11">
        <v>14</v>
      </c>
      <c r="AC23" s="11">
        <v>18</v>
      </c>
      <c r="AD23" s="11">
        <v>25</v>
      </c>
      <c r="AE23" s="11">
        <v>52</v>
      </c>
      <c r="AF23" s="12">
        <v>0.48080000000000001</v>
      </c>
      <c r="AG23" s="11">
        <v>18</v>
      </c>
      <c r="AH23" s="11">
        <v>31</v>
      </c>
      <c r="AI23" s="12">
        <v>0.5806</v>
      </c>
      <c r="AJ23" s="11">
        <v>7</v>
      </c>
      <c r="AK23" s="11">
        <v>21</v>
      </c>
      <c r="AL23" s="12">
        <v>0.33329999999999999</v>
      </c>
      <c r="AM23" s="11">
        <v>10</v>
      </c>
      <c r="AN23" s="11">
        <v>15</v>
      </c>
      <c r="AO23" s="12">
        <v>0.66669999999999996</v>
      </c>
      <c r="AP23" s="11">
        <v>8</v>
      </c>
      <c r="AQ23" s="11">
        <v>22</v>
      </c>
      <c r="AR23" s="11">
        <v>30</v>
      </c>
      <c r="AS23" s="11">
        <v>18</v>
      </c>
      <c r="AT23" s="11">
        <v>9</v>
      </c>
      <c r="AU23" s="11">
        <v>4</v>
      </c>
      <c r="AV23" s="11">
        <v>16</v>
      </c>
      <c r="AW23" s="11">
        <v>19</v>
      </c>
      <c r="AX23" s="12">
        <v>0.46529999999999999</v>
      </c>
      <c r="AY23" s="12">
        <v>0.43080000000000002</v>
      </c>
      <c r="AZ23" s="12">
        <v>0.45</v>
      </c>
      <c r="BA23" s="12">
        <v>0.72409999999999997</v>
      </c>
      <c r="BB23" s="12">
        <v>0.56520000000000004</v>
      </c>
      <c r="BC23" s="4">
        <v>63.646000000000001</v>
      </c>
      <c r="BD23" s="12">
        <v>0.84</v>
      </c>
      <c r="BE23" s="12">
        <v>0.13850000000000001</v>
      </c>
      <c r="BF23" s="12">
        <v>0.16700000000000001</v>
      </c>
      <c r="BG23" s="4">
        <v>100</v>
      </c>
      <c r="BH23" s="4">
        <v>103.1</v>
      </c>
      <c r="BI23" s="4">
        <v>64.971000000000004</v>
      </c>
      <c r="BJ23" s="12">
        <v>0.57169999999999999</v>
      </c>
      <c r="BK23" s="12">
        <v>0.54810000000000003</v>
      </c>
      <c r="BL23" s="12">
        <v>0.27589999999999998</v>
      </c>
      <c r="BM23" s="12">
        <v>0.55000000000000004</v>
      </c>
      <c r="BN23" s="12">
        <v>0.43480000000000002</v>
      </c>
      <c r="BO23" s="4">
        <v>66.296000000000006</v>
      </c>
      <c r="BP23" s="12">
        <v>0.72</v>
      </c>
      <c r="BQ23" s="12">
        <v>0.1923</v>
      </c>
      <c r="BR23" s="12">
        <v>0.2145</v>
      </c>
      <c r="BS23" s="4">
        <v>103.1</v>
      </c>
      <c r="BT23" s="4">
        <v>100</v>
      </c>
      <c r="BU23" s="11">
        <v>22</v>
      </c>
      <c r="BV23" s="11">
        <v>17</v>
      </c>
      <c r="BW23" s="11">
        <v>16</v>
      </c>
      <c r="BX23" s="11">
        <v>10</v>
      </c>
      <c r="BY23" s="11">
        <v>14</v>
      </c>
      <c r="BZ23" s="11">
        <v>19</v>
      </c>
      <c r="CA23" s="11">
        <v>13</v>
      </c>
      <c r="CB23" s="11">
        <v>21</v>
      </c>
      <c r="CC23" s="11">
        <v>39</v>
      </c>
      <c r="CD23" s="11">
        <v>26</v>
      </c>
      <c r="CE23" s="11">
        <v>33</v>
      </c>
      <c r="CF23" s="11">
        <v>34</v>
      </c>
      <c r="CG23" s="4">
        <v>1.9</v>
      </c>
      <c r="CH23" s="13">
        <v>1.9</v>
      </c>
      <c r="CI23" s="4">
        <v>-1</v>
      </c>
      <c r="CJ23" s="4">
        <v>-1</v>
      </c>
      <c r="CK23" s="4">
        <v>160.5</v>
      </c>
      <c r="CL23" s="2" t="s">
        <v>507</v>
      </c>
      <c r="CM23" s="4" t="str">
        <f>VLOOKUP(strasbourg[[#This Row],[Away_team]],all[[Full name]:[Abbr]],3,FALSE)</f>
        <v>POR</v>
      </c>
      <c r="CN23" s="4">
        <f>IF(OR(strasbourg[[#This Row],[Result]]="w",strasbourg[[#This Row],[Result]]="dw"),strasbourg[[#This Row],[win]]-1,-1)</f>
        <v>-1</v>
      </c>
      <c r="CO23" s="4">
        <f>IF(OR(strasbourg[[#This Row],[Result]]="L",strasbourg[[#This Row],[Result]]="dl"),strasbourg[[#This Row],[lose]]-1,-1)</f>
        <v>0.89999999999999991</v>
      </c>
      <c r="CP23" s="4">
        <f>IF(OR((strasbourg[[#This Row],[Home_scored]]+strasbourg[[#This Row],[Away_scored]])&gt;strasbourg[[#This Row],[total]],OR(strasbourg[[#This Row],[Result]]="dw",strasbourg[[#This Row],[Result]]="dl")),1,0)</f>
        <v>0</v>
      </c>
      <c r="CQ23" s="4">
        <f>ABS((strasbourg[[#This Row],[Home_scored]]+strasbourg[[#This Row],[Away_scored]])-strasbourg[[#This Row],[total]])+0.5</f>
        <v>29</v>
      </c>
    </row>
    <row r="24" spans="1:95" x14ac:dyDescent="0.25">
      <c r="A24" s="2" t="s">
        <v>349</v>
      </c>
      <c r="B24" s="2" t="s">
        <v>345</v>
      </c>
      <c r="C24" s="3" t="s">
        <v>73</v>
      </c>
      <c r="D24" s="3">
        <v>45724</v>
      </c>
      <c r="E24" s="2" t="s">
        <v>74</v>
      </c>
      <c r="F24" s="2" t="s">
        <v>342</v>
      </c>
      <c r="G24" s="2" t="s">
        <v>75</v>
      </c>
      <c r="H24" s="11">
        <v>83</v>
      </c>
      <c r="I24" s="11">
        <v>69</v>
      </c>
      <c r="J24" s="11">
        <v>25</v>
      </c>
      <c r="K24" s="11">
        <v>51</v>
      </c>
      <c r="L24" s="12">
        <v>0.49020000000000002</v>
      </c>
      <c r="M24" s="11">
        <v>13</v>
      </c>
      <c r="N24" s="11">
        <v>24</v>
      </c>
      <c r="O24" s="12">
        <v>0.54169999999999996</v>
      </c>
      <c r="P24" s="11">
        <v>12</v>
      </c>
      <c r="Q24" s="11">
        <v>27</v>
      </c>
      <c r="R24" s="12">
        <v>0.44440000000000002</v>
      </c>
      <c r="S24" s="11">
        <v>21</v>
      </c>
      <c r="T24" s="11">
        <v>26</v>
      </c>
      <c r="U24" s="12">
        <v>0.80769999999999997</v>
      </c>
      <c r="V24" s="11">
        <v>9</v>
      </c>
      <c r="W24" s="11">
        <v>25</v>
      </c>
      <c r="X24" s="11">
        <v>34</v>
      </c>
      <c r="Y24" s="11">
        <v>18</v>
      </c>
      <c r="Z24" s="11">
        <v>6</v>
      </c>
      <c r="AA24" s="11">
        <v>0</v>
      </c>
      <c r="AB24" s="11">
        <v>12</v>
      </c>
      <c r="AC24" s="11">
        <v>20</v>
      </c>
      <c r="AD24" s="11">
        <v>24</v>
      </c>
      <c r="AE24" s="11">
        <v>55</v>
      </c>
      <c r="AF24" s="12">
        <v>0.43640000000000001</v>
      </c>
      <c r="AG24" s="11">
        <v>15</v>
      </c>
      <c r="AH24" s="11">
        <v>26</v>
      </c>
      <c r="AI24" s="12">
        <v>0.57689999999999997</v>
      </c>
      <c r="AJ24" s="11">
        <v>9</v>
      </c>
      <c r="AK24" s="11">
        <v>29</v>
      </c>
      <c r="AL24" s="12">
        <v>0.31030000000000002</v>
      </c>
      <c r="AM24" s="11">
        <v>12</v>
      </c>
      <c r="AN24" s="11">
        <v>17</v>
      </c>
      <c r="AO24" s="12">
        <v>0.70589999999999997</v>
      </c>
      <c r="AP24" s="11">
        <v>9</v>
      </c>
      <c r="AQ24" s="11">
        <v>19</v>
      </c>
      <c r="AR24" s="11">
        <v>28</v>
      </c>
      <c r="AS24" s="11">
        <v>14</v>
      </c>
      <c r="AT24" s="11">
        <v>7</v>
      </c>
      <c r="AU24" s="11">
        <v>2</v>
      </c>
      <c r="AV24" s="11">
        <v>13</v>
      </c>
      <c r="AW24" s="11">
        <v>26</v>
      </c>
      <c r="AX24" s="12">
        <v>0.66459999999999997</v>
      </c>
      <c r="AY24" s="12">
        <v>0.60780000000000001</v>
      </c>
      <c r="AZ24" s="12">
        <v>0.32140000000000002</v>
      </c>
      <c r="BA24" s="12">
        <v>0.73529999999999995</v>
      </c>
      <c r="BB24" s="12">
        <v>0.5484</v>
      </c>
      <c r="BC24" s="4">
        <v>66.036000000000001</v>
      </c>
      <c r="BD24" s="12">
        <v>0.72</v>
      </c>
      <c r="BE24" s="12">
        <v>0.4118</v>
      </c>
      <c r="BF24" s="12">
        <v>0.16120000000000001</v>
      </c>
      <c r="BG24" s="4">
        <v>127.5</v>
      </c>
      <c r="BH24" s="4">
        <v>106</v>
      </c>
      <c r="BI24" s="4">
        <v>65.087000000000003</v>
      </c>
      <c r="BJ24" s="12">
        <v>0.55220000000000002</v>
      </c>
      <c r="BK24" s="12">
        <v>0.51819999999999999</v>
      </c>
      <c r="BL24" s="12">
        <v>0.26469999999999999</v>
      </c>
      <c r="BM24" s="12">
        <v>0.67859999999999998</v>
      </c>
      <c r="BN24" s="12">
        <v>0.4516</v>
      </c>
      <c r="BO24" s="4">
        <v>64.138000000000005</v>
      </c>
      <c r="BP24" s="12">
        <v>0.58330000000000004</v>
      </c>
      <c r="BQ24" s="12">
        <v>0.21820000000000001</v>
      </c>
      <c r="BR24" s="12">
        <v>0.17219999999999999</v>
      </c>
      <c r="BS24" s="4">
        <v>106</v>
      </c>
      <c r="BT24" s="4">
        <v>127.5</v>
      </c>
      <c r="BU24" s="11">
        <v>18</v>
      </c>
      <c r="BV24" s="11">
        <v>24</v>
      </c>
      <c r="BW24" s="11">
        <v>20</v>
      </c>
      <c r="BX24" s="11">
        <v>21</v>
      </c>
      <c r="BY24" s="11">
        <v>23</v>
      </c>
      <c r="BZ24" s="11">
        <v>10</v>
      </c>
      <c r="CA24" s="11">
        <v>22</v>
      </c>
      <c r="CB24" s="11">
        <v>14</v>
      </c>
      <c r="CC24" s="11">
        <v>42</v>
      </c>
      <c r="CD24" s="11">
        <v>41</v>
      </c>
      <c r="CE24" s="11">
        <v>33</v>
      </c>
      <c r="CF24" s="11">
        <v>36</v>
      </c>
      <c r="CG24" s="4">
        <v>1.86</v>
      </c>
      <c r="CH24" s="13">
        <v>1.95</v>
      </c>
      <c r="CI24" s="4">
        <v>-1</v>
      </c>
      <c r="CJ24" s="4">
        <v>-1</v>
      </c>
      <c r="CK24" s="4">
        <v>160.5</v>
      </c>
      <c r="CL24" s="2" t="s">
        <v>517</v>
      </c>
      <c r="CM24" s="4" t="str">
        <f>VLOOKUP(strasbourg[[#This Row],[Away_team]],all[[Full name]:[Abbr]],3,FALSE)</f>
        <v>SQU</v>
      </c>
      <c r="CN24" s="4">
        <f>IF(OR(strasbourg[[#This Row],[Result]]="w",strasbourg[[#This Row],[Result]]="dw"),strasbourg[[#This Row],[win]]-1,-1)</f>
        <v>0.8600000000000001</v>
      </c>
      <c r="CO24" s="4">
        <f>IF(OR(strasbourg[[#This Row],[Result]]="L",strasbourg[[#This Row],[Result]]="dl"),strasbourg[[#This Row],[lose]]-1,-1)</f>
        <v>-1</v>
      </c>
      <c r="CP24" s="4">
        <f>IF(OR((strasbourg[[#This Row],[Home_scored]]+strasbourg[[#This Row],[Away_scored]])&gt;strasbourg[[#This Row],[total]],OR(strasbourg[[#This Row],[Result]]="dw",strasbourg[[#This Row],[Result]]="dl")),1,0)</f>
        <v>0</v>
      </c>
      <c r="CQ24" s="4">
        <f>ABS((strasbourg[[#This Row],[Home_scored]]+strasbourg[[#This Row],[Away_scored]])-strasbourg[[#This Row],[total]])+0.5</f>
        <v>9</v>
      </c>
    </row>
    <row r="25" spans="1:95" x14ac:dyDescent="0.25">
      <c r="A25" s="2" t="s">
        <v>349</v>
      </c>
      <c r="B25" s="2" t="s">
        <v>345</v>
      </c>
      <c r="C25" s="3" t="s">
        <v>73</v>
      </c>
      <c r="D25" s="3">
        <v>45737</v>
      </c>
      <c r="E25" s="2" t="s">
        <v>74</v>
      </c>
      <c r="F25" s="2" t="s">
        <v>339</v>
      </c>
      <c r="G25" s="2" t="s">
        <v>139</v>
      </c>
      <c r="H25" s="11">
        <v>79</v>
      </c>
      <c r="I25" s="11">
        <v>87</v>
      </c>
      <c r="J25" s="11">
        <v>29</v>
      </c>
      <c r="K25" s="11">
        <v>60</v>
      </c>
      <c r="L25" s="12">
        <v>0.48330000000000001</v>
      </c>
      <c r="M25" s="11">
        <v>24</v>
      </c>
      <c r="N25" s="11">
        <v>40</v>
      </c>
      <c r="O25" s="12">
        <v>0.6</v>
      </c>
      <c r="P25" s="11">
        <v>5</v>
      </c>
      <c r="Q25" s="11">
        <v>20</v>
      </c>
      <c r="R25" s="12">
        <v>0.25</v>
      </c>
      <c r="S25" s="11">
        <v>16</v>
      </c>
      <c r="T25" s="11">
        <v>22</v>
      </c>
      <c r="U25" s="12">
        <v>0.72729999999999995</v>
      </c>
      <c r="V25" s="11">
        <v>11</v>
      </c>
      <c r="W25" s="11">
        <v>23</v>
      </c>
      <c r="X25" s="11">
        <v>34</v>
      </c>
      <c r="Y25" s="11">
        <v>19</v>
      </c>
      <c r="Z25" s="11">
        <v>4</v>
      </c>
      <c r="AA25" s="11">
        <v>2</v>
      </c>
      <c r="AB25" s="11">
        <v>19</v>
      </c>
      <c r="AC25" s="11">
        <v>23</v>
      </c>
      <c r="AD25" s="11">
        <v>28</v>
      </c>
      <c r="AE25" s="11">
        <v>62</v>
      </c>
      <c r="AF25" s="12">
        <v>0.4516</v>
      </c>
      <c r="AG25" s="11">
        <v>18</v>
      </c>
      <c r="AH25" s="11">
        <v>35</v>
      </c>
      <c r="AI25" s="12">
        <v>0.51429999999999998</v>
      </c>
      <c r="AJ25" s="11">
        <v>10</v>
      </c>
      <c r="AK25" s="11">
        <v>27</v>
      </c>
      <c r="AL25" s="12">
        <v>0.37040000000000001</v>
      </c>
      <c r="AM25" s="11">
        <v>21</v>
      </c>
      <c r="AN25" s="11">
        <v>25</v>
      </c>
      <c r="AO25" s="12">
        <v>0.84</v>
      </c>
      <c r="AP25" s="11">
        <v>13</v>
      </c>
      <c r="AQ25" s="11">
        <v>22</v>
      </c>
      <c r="AR25" s="11">
        <v>35</v>
      </c>
      <c r="AS25" s="11">
        <v>16</v>
      </c>
      <c r="AT25" s="11">
        <v>9</v>
      </c>
      <c r="AU25" s="11">
        <v>2</v>
      </c>
      <c r="AV25" s="11">
        <v>13</v>
      </c>
      <c r="AW25" s="11">
        <v>27</v>
      </c>
      <c r="AX25" s="12">
        <v>0.56689999999999996</v>
      </c>
      <c r="AY25" s="12">
        <v>0.52500000000000002</v>
      </c>
      <c r="AZ25" s="12">
        <v>0.33329999999999999</v>
      </c>
      <c r="BA25" s="12">
        <v>0.63890000000000002</v>
      </c>
      <c r="BB25" s="12">
        <v>0.49280000000000002</v>
      </c>
      <c r="BC25" s="4">
        <v>77.069000000000003</v>
      </c>
      <c r="BD25" s="12">
        <v>0.6552</v>
      </c>
      <c r="BE25" s="12">
        <v>0.26669999999999999</v>
      </c>
      <c r="BF25" s="12">
        <v>0.21429999999999999</v>
      </c>
      <c r="BG25" s="4">
        <v>106.4</v>
      </c>
      <c r="BH25" s="4">
        <v>117.1</v>
      </c>
      <c r="BI25" s="4">
        <v>74.278000000000006</v>
      </c>
      <c r="BJ25" s="12">
        <v>0.59589999999999999</v>
      </c>
      <c r="BK25" s="12">
        <v>0.5323</v>
      </c>
      <c r="BL25" s="12">
        <v>0.36109999999999998</v>
      </c>
      <c r="BM25" s="12">
        <v>0.66669999999999996</v>
      </c>
      <c r="BN25" s="12">
        <v>0.50719999999999998</v>
      </c>
      <c r="BO25" s="4">
        <v>71.486999999999995</v>
      </c>
      <c r="BP25" s="12">
        <v>0.57140000000000002</v>
      </c>
      <c r="BQ25" s="12">
        <v>0.3387</v>
      </c>
      <c r="BR25" s="12">
        <v>0.1512</v>
      </c>
      <c r="BS25" s="4">
        <v>117.1</v>
      </c>
      <c r="BT25" s="4">
        <v>106.4</v>
      </c>
      <c r="BU25" s="11">
        <v>17</v>
      </c>
      <c r="BV25" s="11">
        <v>24</v>
      </c>
      <c r="BW25" s="11">
        <v>20</v>
      </c>
      <c r="BX25" s="11">
        <v>18</v>
      </c>
      <c r="BY25" s="11">
        <v>17</v>
      </c>
      <c r="BZ25" s="11">
        <v>18</v>
      </c>
      <c r="CA25" s="11">
        <v>26</v>
      </c>
      <c r="CB25" s="11">
        <v>26</v>
      </c>
      <c r="CC25" s="11">
        <v>41</v>
      </c>
      <c r="CD25" s="11">
        <v>38</v>
      </c>
      <c r="CE25" s="11">
        <v>35</v>
      </c>
      <c r="CF25" s="11">
        <v>52</v>
      </c>
      <c r="CG25" s="4">
        <v>2.8</v>
      </c>
      <c r="CH25" s="13">
        <v>1.45</v>
      </c>
      <c r="CI25" s="4">
        <v>5.5</v>
      </c>
      <c r="CJ25" s="4">
        <v>-5.5</v>
      </c>
      <c r="CK25" s="4">
        <v>172.5</v>
      </c>
      <c r="CL25" s="2" t="s">
        <v>523</v>
      </c>
      <c r="CM25" s="4" t="str">
        <f>VLOOKUP(strasbourg[[#This Row],[Away_team]],all[[Full name]:[Abbr]],3,FALSE)</f>
        <v>PAR</v>
      </c>
      <c r="CN25" s="4">
        <f>IF(OR(strasbourg[[#This Row],[Result]]="w",strasbourg[[#This Row],[Result]]="dw"),strasbourg[[#This Row],[win]]-1,-1)</f>
        <v>-1</v>
      </c>
      <c r="CO25" s="4">
        <f>IF(OR(strasbourg[[#This Row],[Result]]="L",strasbourg[[#This Row],[Result]]="dl"),strasbourg[[#This Row],[lose]]-1,-1)</f>
        <v>0.44999999999999996</v>
      </c>
      <c r="CP25" s="4">
        <f>IF(OR((strasbourg[[#This Row],[Home_scored]]+strasbourg[[#This Row],[Away_scored]])&gt;strasbourg[[#This Row],[total]],OR(strasbourg[[#This Row],[Result]]="dw",strasbourg[[#This Row],[Result]]="dl")),1,0)</f>
        <v>0</v>
      </c>
      <c r="CQ25" s="4">
        <f>ABS((strasbourg[[#This Row],[Home_scored]]+strasbourg[[#This Row],[Away_scored]])-strasbourg[[#This Row],[total]])+0.5</f>
        <v>7</v>
      </c>
    </row>
    <row r="26" spans="1:95" x14ac:dyDescent="0.25">
      <c r="A26" s="2" t="s">
        <v>349</v>
      </c>
      <c r="B26" s="2" t="s">
        <v>345</v>
      </c>
      <c r="C26" s="3" t="s">
        <v>73</v>
      </c>
      <c r="D26" s="3">
        <v>45745</v>
      </c>
      <c r="E26" s="2" t="s">
        <v>140</v>
      </c>
      <c r="F26" s="2" t="s">
        <v>333</v>
      </c>
      <c r="G26" s="2" t="s">
        <v>75</v>
      </c>
      <c r="H26" s="11">
        <v>80</v>
      </c>
      <c r="I26" s="11">
        <v>74</v>
      </c>
      <c r="J26" s="11">
        <v>29</v>
      </c>
      <c r="K26" s="11">
        <v>65</v>
      </c>
      <c r="L26" s="12">
        <v>0.44619999999999999</v>
      </c>
      <c r="M26" s="11">
        <v>19</v>
      </c>
      <c r="N26" s="11">
        <v>37</v>
      </c>
      <c r="O26" s="12">
        <v>0.51349999999999996</v>
      </c>
      <c r="P26" s="11">
        <v>10</v>
      </c>
      <c r="Q26" s="11">
        <v>28</v>
      </c>
      <c r="R26" s="12">
        <v>0.35709999999999997</v>
      </c>
      <c r="S26" s="11">
        <v>12</v>
      </c>
      <c r="T26" s="11">
        <v>16</v>
      </c>
      <c r="U26" s="12">
        <v>0.75</v>
      </c>
      <c r="V26" s="11">
        <v>15</v>
      </c>
      <c r="W26" s="11">
        <v>22</v>
      </c>
      <c r="X26" s="11">
        <v>37</v>
      </c>
      <c r="Y26" s="11">
        <v>16</v>
      </c>
      <c r="Z26" s="11">
        <v>2</v>
      </c>
      <c r="AA26" s="11">
        <v>2</v>
      </c>
      <c r="AB26" s="11">
        <v>8</v>
      </c>
      <c r="AC26" s="11">
        <v>22</v>
      </c>
      <c r="AD26" s="11">
        <v>26</v>
      </c>
      <c r="AE26" s="11">
        <v>55</v>
      </c>
      <c r="AF26" s="12">
        <v>0.47270000000000001</v>
      </c>
      <c r="AG26" s="11">
        <v>18</v>
      </c>
      <c r="AH26" s="11">
        <v>29</v>
      </c>
      <c r="AI26" s="12">
        <v>0.62070000000000003</v>
      </c>
      <c r="AJ26" s="11">
        <v>8</v>
      </c>
      <c r="AK26" s="11">
        <v>26</v>
      </c>
      <c r="AL26" s="12">
        <v>0.30769999999999997</v>
      </c>
      <c r="AM26" s="11">
        <v>14</v>
      </c>
      <c r="AN26" s="11">
        <v>22</v>
      </c>
      <c r="AO26" s="12">
        <v>0.63639999999999997</v>
      </c>
      <c r="AP26" s="11">
        <v>10</v>
      </c>
      <c r="AQ26" s="11">
        <v>23</v>
      </c>
      <c r="AR26" s="11">
        <v>33</v>
      </c>
      <c r="AS26" s="11">
        <v>14</v>
      </c>
      <c r="AT26" s="11">
        <v>1</v>
      </c>
      <c r="AU26" s="11">
        <v>2</v>
      </c>
      <c r="AV26" s="11">
        <v>7</v>
      </c>
      <c r="AW26" s="11">
        <v>21</v>
      </c>
      <c r="AX26" s="12">
        <v>0.55520000000000003</v>
      </c>
      <c r="AY26" s="12">
        <v>0.52310000000000001</v>
      </c>
      <c r="AZ26" s="12">
        <v>0.3947</v>
      </c>
      <c r="BA26" s="12">
        <v>0.6875</v>
      </c>
      <c r="BB26" s="12">
        <v>0.52859999999999996</v>
      </c>
      <c r="BC26" s="4">
        <v>63.783999999999999</v>
      </c>
      <c r="BD26" s="12">
        <v>0.55169999999999997</v>
      </c>
      <c r="BE26" s="12">
        <v>0.18459999999999999</v>
      </c>
      <c r="BF26" s="12">
        <v>0.1</v>
      </c>
      <c r="BG26" s="4">
        <v>127.8</v>
      </c>
      <c r="BH26" s="4">
        <v>118.2</v>
      </c>
      <c r="BI26" s="4">
        <v>62.590499999999999</v>
      </c>
      <c r="BJ26" s="12">
        <v>0.57199999999999995</v>
      </c>
      <c r="BK26" s="12">
        <v>0.54549999999999998</v>
      </c>
      <c r="BL26" s="12">
        <v>0.3125</v>
      </c>
      <c r="BM26" s="12">
        <v>0.60529999999999995</v>
      </c>
      <c r="BN26" s="12">
        <v>0.47139999999999999</v>
      </c>
      <c r="BO26" s="4">
        <v>61.396999999999998</v>
      </c>
      <c r="BP26" s="12">
        <v>0.53849999999999998</v>
      </c>
      <c r="BQ26" s="12">
        <v>0.2545</v>
      </c>
      <c r="BR26" s="12">
        <v>9.7699999999999995E-2</v>
      </c>
      <c r="BS26" s="4">
        <v>118.2</v>
      </c>
      <c r="BT26" s="4">
        <v>127.8</v>
      </c>
      <c r="BU26" s="11">
        <v>19</v>
      </c>
      <c r="BV26" s="11">
        <v>24</v>
      </c>
      <c r="BW26" s="11">
        <v>21</v>
      </c>
      <c r="BX26" s="11">
        <v>16</v>
      </c>
      <c r="BY26" s="11">
        <v>15</v>
      </c>
      <c r="BZ26" s="11">
        <v>16</v>
      </c>
      <c r="CA26" s="11">
        <v>23</v>
      </c>
      <c r="CB26" s="11">
        <v>20</v>
      </c>
      <c r="CC26" s="11">
        <v>43</v>
      </c>
      <c r="CD26" s="11">
        <v>37</v>
      </c>
      <c r="CE26" s="11">
        <v>31</v>
      </c>
      <c r="CF26" s="11">
        <v>43</v>
      </c>
      <c r="CG26" s="4">
        <v>2.6</v>
      </c>
      <c r="CH26" s="13">
        <v>1.52</v>
      </c>
      <c r="CI26" s="4">
        <v>4.5</v>
      </c>
      <c r="CJ26" s="4">
        <v>-4.5</v>
      </c>
      <c r="CK26" s="4">
        <v>166.5</v>
      </c>
      <c r="CL26" s="2" t="s">
        <v>532</v>
      </c>
      <c r="CM26" s="4" t="str">
        <f>VLOOKUP(strasbourg[[#This Row],[Away_team]],all[[Full name]:[Abbr]],3,FALSE)</f>
        <v>NCY</v>
      </c>
      <c r="CN26" s="4">
        <f>IF(OR(strasbourg[[#This Row],[Result]]="w",strasbourg[[#This Row],[Result]]="dw"),strasbourg[[#This Row],[win]]-1,-1)</f>
        <v>1.6</v>
      </c>
      <c r="CO26" s="4">
        <f>IF(OR(strasbourg[[#This Row],[Result]]="L",strasbourg[[#This Row],[Result]]="dl"),strasbourg[[#This Row],[lose]]-1,-1)</f>
        <v>-1</v>
      </c>
      <c r="CP26" s="4">
        <f>IF(OR((strasbourg[[#This Row],[Home_scored]]+strasbourg[[#This Row],[Away_scored]])&gt;strasbourg[[#This Row],[total]],OR(strasbourg[[#This Row],[Result]]="dw",strasbourg[[#This Row],[Result]]="dl")),1,0)</f>
        <v>0</v>
      </c>
      <c r="CQ26" s="4">
        <f>ABS((strasbourg[[#This Row],[Home_scored]]+strasbourg[[#This Row],[Away_scored]])-strasbourg[[#This Row],[total]])+0.5</f>
        <v>13</v>
      </c>
    </row>
    <row r="27" spans="1:95" x14ac:dyDescent="0.25">
      <c r="A27" s="2" t="s">
        <v>349</v>
      </c>
      <c r="B27" s="2" t="s">
        <v>345</v>
      </c>
      <c r="C27" s="3" t="s">
        <v>73</v>
      </c>
      <c r="D27" s="3">
        <v>45752</v>
      </c>
      <c r="E27" s="2" t="s">
        <v>140</v>
      </c>
      <c r="F27" s="2" t="s">
        <v>324</v>
      </c>
      <c r="G27" s="2" t="s">
        <v>75</v>
      </c>
      <c r="H27" s="11">
        <v>87</v>
      </c>
      <c r="I27" s="11">
        <v>80</v>
      </c>
      <c r="J27" s="11">
        <v>31</v>
      </c>
      <c r="K27" s="11">
        <v>59</v>
      </c>
      <c r="L27" s="12">
        <v>0.52539999999999998</v>
      </c>
      <c r="M27" s="11">
        <v>20</v>
      </c>
      <c r="N27" s="11">
        <v>33</v>
      </c>
      <c r="O27" s="12">
        <v>0.60609999999999997</v>
      </c>
      <c r="P27" s="11">
        <v>11</v>
      </c>
      <c r="Q27" s="11">
        <v>26</v>
      </c>
      <c r="R27" s="12">
        <v>0.42309999999999998</v>
      </c>
      <c r="S27" s="11">
        <v>14</v>
      </c>
      <c r="T27" s="11">
        <v>17</v>
      </c>
      <c r="U27" s="12">
        <v>0.82350000000000001</v>
      </c>
      <c r="V27" s="11">
        <v>7</v>
      </c>
      <c r="W27" s="11">
        <v>21</v>
      </c>
      <c r="X27" s="11">
        <v>28</v>
      </c>
      <c r="Y27" s="11">
        <v>23</v>
      </c>
      <c r="Z27" s="11">
        <v>6</v>
      </c>
      <c r="AA27" s="11">
        <v>2</v>
      </c>
      <c r="AB27" s="11">
        <v>15</v>
      </c>
      <c r="AC27" s="11">
        <v>17</v>
      </c>
      <c r="AD27" s="11">
        <v>30</v>
      </c>
      <c r="AE27" s="11">
        <v>61</v>
      </c>
      <c r="AF27" s="12">
        <v>0.49180000000000001</v>
      </c>
      <c r="AG27" s="11">
        <v>22</v>
      </c>
      <c r="AH27" s="11">
        <v>35</v>
      </c>
      <c r="AI27" s="12">
        <v>0.62860000000000005</v>
      </c>
      <c r="AJ27" s="11">
        <v>8</v>
      </c>
      <c r="AK27" s="11">
        <v>26</v>
      </c>
      <c r="AL27" s="12">
        <v>0.30769999999999997</v>
      </c>
      <c r="AM27" s="11">
        <v>12</v>
      </c>
      <c r="AN27" s="11">
        <v>17</v>
      </c>
      <c r="AO27" s="12">
        <v>0.70589999999999997</v>
      </c>
      <c r="AP27" s="11">
        <v>11</v>
      </c>
      <c r="AQ27" s="11">
        <v>22</v>
      </c>
      <c r="AR27" s="11">
        <v>33</v>
      </c>
      <c r="AS27" s="11">
        <v>26</v>
      </c>
      <c r="AT27" s="11">
        <v>7</v>
      </c>
      <c r="AU27" s="11">
        <v>0</v>
      </c>
      <c r="AV27" s="11">
        <v>13</v>
      </c>
      <c r="AW27" s="11">
        <v>19</v>
      </c>
      <c r="AX27" s="12">
        <v>0.65429999999999999</v>
      </c>
      <c r="AY27" s="12">
        <v>0.61860000000000004</v>
      </c>
      <c r="AZ27" s="12">
        <v>0.2414</v>
      </c>
      <c r="BA27" s="12">
        <v>0.65629999999999999</v>
      </c>
      <c r="BB27" s="12">
        <v>0.45900000000000002</v>
      </c>
      <c r="BC27" s="4">
        <v>73.31</v>
      </c>
      <c r="BD27" s="12">
        <v>0.7419</v>
      </c>
      <c r="BE27" s="12">
        <v>0.23730000000000001</v>
      </c>
      <c r="BF27" s="12">
        <v>0.18410000000000001</v>
      </c>
      <c r="BG27" s="4">
        <v>121.6</v>
      </c>
      <c r="BH27" s="4">
        <v>111.8</v>
      </c>
      <c r="BI27" s="4">
        <v>71.526499999999999</v>
      </c>
      <c r="BJ27" s="12">
        <v>0.58409999999999995</v>
      </c>
      <c r="BK27" s="12">
        <v>0.55740000000000001</v>
      </c>
      <c r="BL27" s="12">
        <v>0.34379999999999999</v>
      </c>
      <c r="BM27" s="12">
        <v>0.75860000000000005</v>
      </c>
      <c r="BN27" s="12">
        <v>0.54100000000000004</v>
      </c>
      <c r="BO27" s="4">
        <v>69.742999999999995</v>
      </c>
      <c r="BP27" s="12">
        <v>0.86670000000000003</v>
      </c>
      <c r="BQ27" s="12">
        <v>0.19670000000000001</v>
      </c>
      <c r="BR27" s="12">
        <v>0.1595</v>
      </c>
      <c r="BS27" s="4">
        <v>111.8</v>
      </c>
      <c r="BT27" s="4">
        <v>121.6</v>
      </c>
      <c r="BU27" s="11">
        <v>14</v>
      </c>
      <c r="BV27" s="11">
        <v>21</v>
      </c>
      <c r="BW27" s="11">
        <v>27</v>
      </c>
      <c r="BX27" s="11">
        <v>25</v>
      </c>
      <c r="BY27" s="11">
        <v>18</v>
      </c>
      <c r="BZ27" s="11">
        <v>18</v>
      </c>
      <c r="CA27" s="11">
        <v>20</v>
      </c>
      <c r="CB27" s="11">
        <v>24</v>
      </c>
      <c r="CC27" s="11">
        <v>35</v>
      </c>
      <c r="CD27" s="11">
        <v>52</v>
      </c>
      <c r="CE27" s="11">
        <v>36</v>
      </c>
      <c r="CF27" s="11">
        <v>44</v>
      </c>
      <c r="CG27" s="4">
        <v>2.2000000000000002</v>
      </c>
      <c r="CH27" s="13">
        <v>1.71</v>
      </c>
      <c r="CI27" s="4">
        <v>2.5</v>
      </c>
      <c r="CJ27" s="4">
        <v>-2.5</v>
      </c>
      <c r="CK27" s="4">
        <v>163.5</v>
      </c>
      <c r="CL27" s="2" t="s">
        <v>542</v>
      </c>
      <c r="CM27" s="4" t="str">
        <f>VLOOKUP(strasbourg[[#This Row],[Away_team]],all[[Full name]:[Abbr]],3,FALSE)</f>
        <v>LIM</v>
      </c>
      <c r="CN27" s="4">
        <f>IF(OR(strasbourg[[#This Row],[Result]]="w",strasbourg[[#This Row],[Result]]="dw"),strasbourg[[#This Row],[win]]-1,-1)</f>
        <v>1.2000000000000002</v>
      </c>
      <c r="CO27" s="4">
        <f>IF(OR(strasbourg[[#This Row],[Result]]="L",strasbourg[[#This Row],[Result]]="dl"),strasbourg[[#This Row],[lose]]-1,-1)</f>
        <v>-1</v>
      </c>
      <c r="CP27" s="4">
        <f>IF(OR((strasbourg[[#This Row],[Home_scored]]+strasbourg[[#This Row],[Away_scored]])&gt;strasbourg[[#This Row],[total]],OR(strasbourg[[#This Row],[Result]]="dw",strasbourg[[#This Row],[Result]]="dl")),1,0)</f>
        <v>1</v>
      </c>
      <c r="CQ27" s="4">
        <f>ABS((strasbourg[[#This Row],[Home_scored]]+strasbourg[[#This Row],[Away_scored]])-strasbourg[[#This Row],[total]])+0.5</f>
        <v>4</v>
      </c>
    </row>
    <row r="28" spans="1:95" x14ac:dyDescent="0.25">
      <c r="A28" s="2" t="s">
        <v>349</v>
      </c>
      <c r="B28" s="2" t="s">
        <v>345</v>
      </c>
      <c r="C28" s="3" t="s">
        <v>73</v>
      </c>
      <c r="D28" s="3">
        <v>45759</v>
      </c>
      <c r="E28" s="2" t="s">
        <v>74</v>
      </c>
      <c r="F28" s="2" t="s">
        <v>311</v>
      </c>
      <c r="G28" s="2" t="s">
        <v>139</v>
      </c>
      <c r="H28" s="11">
        <v>58</v>
      </c>
      <c r="I28" s="11">
        <v>77</v>
      </c>
      <c r="J28" s="11">
        <v>22</v>
      </c>
      <c r="K28" s="11">
        <v>55</v>
      </c>
      <c r="L28" s="12">
        <v>0.4</v>
      </c>
      <c r="M28" s="11">
        <v>14</v>
      </c>
      <c r="N28" s="11">
        <v>29</v>
      </c>
      <c r="O28" s="12">
        <v>0.48280000000000001</v>
      </c>
      <c r="P28" s="11">
        <v>8</v>
      </c>
      <c r="Q28" s="11">
        <v>26</v>
      </c>
      <c r="R28" s="12">
        <v>0.30769999999999997</v>
      </c>
      <c r="S28" s="11">
        <v>6</v>
      </c>
      <c r="T28" s="11">
        <v>10</v>
      </c>
      <c r="U28" s="12">
        <v>0.6</v>
      </c>
      <c r="V28" s="11">
        <v>9</v>
      </c>
      <c r="W28" s="11">
        <v>26</v>
      </c>
      <c r="X28" s="11">
        <v>35</v>
      </c>
      <c r="Y28" s="11">
        <v>16</v>
      </c>
      <c r="Z28" s="11">
        <v>3</v>
      </c>
      <c r="AA28" s="11">
        <v>2</v>
      </c>
      <c r="AB28" s="11">
        <v>20</v>
      </c>
      <c r="AC28" s="11">
        <v>18</v>
      </c>
      <c r="AD28" s="11">
        <v>28</v>
      </c>
      <c r="AE28" s="11">
        <v>63</v>
      </c>
      <c r="AF28" s="12">
        <v>0.44440000000000002</v>
      </c>
      <c r="AG28" s="11">
        <v>21</v>
      </c>
      <c r="AH28" s="11">
        <v>42</v>
      </c>
      <c r="AI28" s="12">
        <v>0.5</v>
      </c>
      <c r="AJ28" s="11">
        <v>7</v>
      </c>
      <c r="AK28" s="11">
        <v>21</v>
      </c>
      <c r="AL28" s="12">
        <v>0.33329999999999999</v>
      </c>
      <c r="AM28" s="11">
        <v>14</v>
      </c>
      <c r="AN28" s="11">
        <v>15</v>
      </c>
      <c r="AO28" s="12">
        <v>0.93330000000000002</v>
      </c>
      <c r="AP28" s="11">
        <v>9</v>
      </c>
      <c r="AQ28" s="11">
        <v>29</v>
      </c>
      <c r="AR28" s="11">
        <v>38</v>
      </c>
      <c r="AS28" s="11">
        <v>18</v>
      </c>
      <c r="AT28" s="11">
        <v>11</v>
      </c>
      <c r="AU28" s="11">
        <v>2</v>
      </c>
      <c r="AV28" s="11">
        <v>11</v>
      </c>
      <c r="AW28" s="11">
        <v>18</v>
      </c>
      <c r="AX28" s="12">
        <v>0.48820000000000002</v>
      </c>
      <c r="AY28" s="12">
        <v>0.47270000000000001</v>
      </c>
      <c r="AZ28" s="12">
        <v>0.23680000000000001</v>
      </c>
      <c r="BA28" s="12">
        <v>0.7429</v>
      </c>
      <c r="BB28" s="12">
        <v>0.47949999999999998</v>
      </c>
      <c r="BC28" s="4">
        <v>69.92</v>
      </c>
      <c r="BD28" s="12">
        <v>0.72729999999999995</v>
      </c>
      <c r="BE28" s="12">
        <v>0.1091</v>
      </c>
      <c r="BF28" s="12">
        <v>0.25190000000000001</v>
      </c>
      <c r="BG28" s="4">
        <v>82.2</v>
      </c>
      <c r="BH28" s="4">
        <v>109.2</v>
      </c>
      <c r="BI28" s="4">
        <v>70.525000000000006</v>
      </c>
      <c r="BJ28" s="12">
        <v>0.55320000000000003</v>
      </c>
      <c r="BK28" s="12">
        <v>0.5</v>
      </c>
      <c r="BL28" s="12">
        <v>0.2571</v>
      </c>
      <c r="BM28" s="12">
        <v>0.76319999999999999</v>
      </c>
      <c r="BN28" s="12">
        <v>0.52049999999999996</v>
      </c>
      <c r="BO28" s="4">
        <v>71.13</v>
      </c>
      <c r="BP28" s="12">
        <v>0.64290000000000003</v>
      </c>
      <c r="BQ28" s="12">
        <v>0.22220000000000001</v>
      </c>
      <c r="BR28" s="12">
        <v>0.13650000000000001</v>
      </c>
      <c r="BS28" s="4">
        <v>109.2</v>
      </c>
      <c r="BT28" s="4">
        <v>82.2</v>
      </c>
      <c r="BU28" s="11">
        <v>15</v>
      </c>
      <c r="BV28" s="11">
        <v>5</v>
      </c>
      <c r="BW28" s="11">
        <v>16</v>
      </c>
      <c r="BX28" s="11">
        <v>22</v>
      </c>
      <c r="BY28" s="11">
        <v>16</v>
      </c>
      <c r="BZ28" s="11">
        <v>19</v>
      </c>
      <c r="CA28" s="11">
        <v>19</v>
      </c>
      <c r="CB28" s="11">
        <v>23</v>
      </c>
      <c r="CC28" s="11">
        <v>20</v>
      </c>
      <c r="CD28" s="11">
        <v>38</v>
      </c>
      <c r="CE28" s="11">
        <v>35</v>
      </c>
      <c r="CF28" s="11">
        <v>42</v>
      </c>
      <c r="CG28" s="4">
        <v>1.64</v>
      </c>
      <c r="CH28" s="13">
        <v>2.2999999999999998</v>
      </c>
      <c r="CI28" s="4">
        <v>-3</v>
      </c>
      <c r="CJ28" s="4">
        <v>-3</v>
      </c>
      <c r="CK28" s="4">
        <v>168.5</v>
      </c>
      <c r="CL28" s="2" t="s">
        <v>549</v>
      </c>
      <c r="CM28" s="4" t="str">
        <f>VLOOKUP(strasbourg[[#This Row],[Away_team]],all[[Full name]:[Abbr]],3,FALSE)</f>
        <v>DIJ</v>
      </c>
      <c r="CN28" s="4">
        <f>IF(OR(strasbourg[[#This Row],[Result]]="w",strasbourg[[#This Row],[Result]]="dw"),strasbourg[[#This Row],[win]]-1,-1)</f>
        <v>-1</v>
      </c>
      <c r="CO28" s="4">
        <f>IF(OR(strasbourg[[#This Row],[Result]]="L",strasbourg[[#This Row],[Result]]="dl"),strasbourg[[#This Row],[lose]]-1,-1)</f>
        <v>1.2999999999999998</v>
      </c>
      <c r="CP28" s="4">
        <f>IF(OR((strasbourg[[#This Row],[Home_scored]]+strasbourg[[#This Row],[Away_scored]])&gt;strasbourg[[#This Row],[total]],OR(strasbourg[[#This Row],[Result]]="dw",strasbourg[[#This Row],[Result]]="dl")),1,0)</f>
        <v>0</v>
      </c>
      <c r="CQ28" s="4">
        <f>ABS((strasbourg[[#This Row],[Home_scored]]+strasbourg[[#This Row],[Away_scored]])-strasbourg[[#This Row],[total]])+0.5</f>
        <v>34</v>
      </c>
    </row>
    <row r="29" spans="1:95" x14ac:dyDescent="0.25">
      <c r="A29" s="2" t="s">
        <v>349</v>
      </c>
      <c r="B29" s="2" t="s">
        <v>345</v>
      </c>
      <c r="C29" s="3" t="s">
        <v>73</v>
      </c>
      <c r="D29" s="3">
        <v>45766</v>
      </c>
      <c r="E29" s="2" t="s">
        <v>140</v>
      </c>
      <c r="F29" s="2" t="s">
        <v>317</v>
      </c>
      <c r="G29" s="2" t="s">
        <v>139</v>
      </c>
      <c r="H29" s="11">
        <v>70</v>
      </c>
      <c r="I29" s="11">
        <v>90</v>
      </c>
      <c r="J29" s="11">
        <v>22</v>
      </c>
      <c r="K29" s="11">
        <v>53</v>
      </c>
      <c r="L29" s="12">
        <v>0.41510000000000002</v>
      </c>
      <c r="M29" s="11">
        <v>15</v>
      </c>
      <c r="N29" s="11">
        <v>31</v>
      </c>
      <c r="O29" s="12">
        <v>0.4839</v>
      </c>
      <c r="P29" s="11">
        <v>7</v>
      </c>
      <c r="Q29" s="11">
        <v>22</v>
      </c>
      <c r="R29" s="12">
        <v>0.31819999999999998</v>
      </c>
      <c r="S29" s="11">
        <v>19</v>
      </c>
      <c r="T29" s="11">
        <v>26</v>
      </c>
      <c r="U29" s="12">
        <v>0.73080000000000001</v>
      </c>
      <c r="V29" s="11">
        <v>9</v>
      </c>
      <c r="W29" s="11">
        <v>23</v>
      </c>
      <c r="X29" s="11">
        <v>32</v>
      </c>
      <c r="Y29" s="11">
        <v>16</v>
      </c>
      <c r="Z29" s="11">
        <v>6</v>
      </c>
      <c r="AA29" s="11">
        <v>4</v>
      </c>
      <c r="AB29" s="11">
        <v>16</v>
      </c>
      <c r="AC29" s="11">
        <v>24</v>
      </c>
      <c r="AD29" s="11">
        <v>32</v>
      </c>
      <c r="AE29" s="11">
        <v>66</v>
      </c>
      <c r="AF29" s="12">
        <v>0.48480000000000001</v>
      </c>
      <c r="AG29" s="11">
        <v>20</v>
      </c>
      <c r="AH29" s="11">
        <v>39</v>
      </c>
      <c r="AI29" s="12">
        <v>0.51280000000000003</v>
      </c>
      <c r="AJ29" s="11">
        <v>12</v>
      </c>
      <c r="AK29" s="11">
        <v>27</v>
      </c>
      <c r="AL29" s="12">
        <v>0.44440000000000002</v>
      </c>
      <c r="AM29" s="11">
        <v>14</v>
      </c>
      <c r="AN29" s="11">
        <v>23</v>
      </c>
      <c r="AO29" s="12">
        <v>0.60870000000000002</v>
      </c>
      <c r="AP29" s="11">
        <v>13</v>
      </c>
      <c r="AQ29" s="11">
        <v>27</v>
      </c>
      <c r="AR29" s="11">
        <v>40</v>
      </c>
      <c r="AS29" s="11">
        <v>18</v>
      </c>
      <c r="AT29" s="11">
        <v>4</v>
      </c>
      <c r="AU29" s="11">
        <v>1</v>
      </c>
      <c r="AV29" s="11">
        <v>10</v>
      </c>
      <c r="AW29" s="11">
        <v>24</v>
      </c>
      <c r="AX29" s="12">
        <v>0.54310000000000003</v>
      </c>
      <c r="AY29" s="12">
        <v>0.48110000000000003</v>
      </c>
      <c r="AZ29" s="12">
        <v>0.25</v>
      </c>
      <c r="BA29" s="12">
        <v>0.63890000000000002</v>
      </c>
      <c r="BB29" s="12">
        <v>0.44440000000000002</v>
      </c>
      <c r="BC29" s="4">
        <v>70.070999999999998</v>
      </c>
      <c r="BD29" s="12">
        <v>0.72729999999999995</v>
      </c>
      <c r="BE29" s="12">
        <v>0.35849999999999999</v>
      </c>
      <c r="BF29" s="12">
        <v>0.19889999999999999</v>
      </c>
      <c r="BG29" s="4">
        <v>97.6</v>
      </c>
      <c r="BH29" s="4">
        <v>125.5</v>
      </c>
      <c r="BI29" s="4">
        <v>71.724000000000004</v>
      </c>
      <c r="BJ29" s="12">
        <v>0.59119999999999995</v>
      </c>
      <c r="BK29" s="12">
        <v>0.57579999999999998</v>
      </c>
      <c r="BL29" s="12">
        <v>0.36109999999999998</v>
      </c>
      <c r="BM29" s="12">
        <v>0.75</v>
      </c>
      <c r="BN29" s="12">
        <v>0.55559999999999998</v>
      </c>
      <c r="BO29" s="4">
        <v>73.376999999999995</v>
      </c>
      <c r="BP29" s="12">
        <v>0.5625</v>
      </c>
      <c r="BQ29" s="12">
        <v>0.21210000000000001</v>
      </c>
      <c r="BR29" s="12">
        <v>0.11609999999999999</v>
      </c>
      <c r="BS29" s="4">
        <v>125.5</v>
      </c>
      <c r="BT29" s="4">
        <v>97.6</v>
      </c>
      <c r="BU29" s="11">
        <v>18</v>
      </c>
      <c r="BV29" s="11">
        <v>15</v>
      </c>
      <c r="BW29" s="11">
        <v>18</v>
      </c>
      <c r="BX29" s="11">
        <v>19</v>
      </c>
      <c r="BY29" s="11">
        <v>27</v>
      </c>
      <c r="BZ29" s="11">
        <v>19</v>
      </c>
      <c r="CA29" s="11">
        <v>19</v>
      </c>
      <c r="CB29" s="11">
        <v>25</v>
      </c>
      <c r="CC29" s="11">
        <v>33</v>
      </c>
      <c r="CD29" s="11">
        <v>37</v>
      </c>
      <c r="CE29" s="11">
        <v>46</v>
      </c>
      <c r="CF29" s="11">
        <v>44</v>
      </c>
      <c r="CG29" s="4">
        <v>3.5</v>
      </c>
      <c r="CH29" s="13">
        <v>1.32</v>
      </c>
      <c r="CI29" s="4">
        <v>7.5</v>
      </c>
      <c r="CJ29" s="4">
        <v>-7.5</v>
      </c>
      <c r="CK29" s="4">
        <v>167.5</v>
      </c>
      <c r="CL29" s="2" t="s">
        <v>555</v>
      </c>
      <c r="CM29" s="4" t="str">
        <f>VLOOKUP(strasbourg[[#This Row],[Away_team]],all[[Full name]:[Abbr]],3,FALSE)</f>
        <v>LEM</v>
      </c>
      <c r="CN29" s="4">
        <f>IF(OR(strasbourg[[#This Row],[Result]]="w",strasbourg[[#This Row],[Result]]="dw"),strasbourg[[#This Row],[win]]-1,-1)</f>
        <v>-1</v>
      </c>
      <c r="CO29" s="4">
        <f>IF(OR(strasbourg[[#This Row],[Result]]="L",strasbourg[[#This Row],[Result]]="dl"),strasbourg[[#This Row],[lose]]-1,-1)</f>
        <v>0.32000000000000006</v>
      </c>
      <c r="CP29" s="4">
        <f>IF(OR((strasbourg[[#This Row],[Home_scored]]+strasbourg[[#This Row],[Away_scored]])&gt;strasbourg[[#This Row],[total]],OR(strasbourg[[#This Row],[Result]]="dw",strasbourg[[#This Row],[Result]]="dl")),1,0)</f>
        <v>0</v>
      </c>
      <c r="CQ29" s="4">
        <f>ABS((strasbourg[[#This Row],[Home_scored]]+strasbourg[[#This Row],[Away_scored]])-strasbourg[[#This Row],[total]])+0.5</f>
        <v>8</v>
      </c>
    </row>
    <row r="30" spans="1:95" x14ac:dyDescent="0.25">
      <c r="A30" s="2" t="s">
        <v>349</v>
      </c>
      <c r="B30" s="2" t="s">
        <v>345</v>
      </c>
      <c r="C30" s="3" t="s">
        <v>73</v>
      </c>
      <c r="D30" s="3">
        <v>45772</v>
      </c>
      <c r="E30" s="2" t="s">
        <v>74</v>
      </c>
      <c r="F30" s="2" t="s">
        <v>323</v>
      </c>
      <c r="G30" s="2" t="s">
        <v>75</v>
      </c>
      <c r="H30" s="11">
        <v>71</v>
      </c>
      <c r="I30" s="11">
        <v>63</v>
      </c>
      <c r="J30" s="11">
        <v>28</v>
      </c>
      <c r="K30" s="11">
        <v>59</v>
      </c>
      <c r="L30" s="12">
        <v>0.47460000000000002</v>
      </c>
      <c r="M30" s="11">
        <v>19</v>
      </c>
      <c r="N30" s="11">
        <v>36</v>
      </c>
      <c r="O30" s="12">
        <v>0.52780000000000005</v>
      </c>
      <c r="P30" s="11">
        <v>9</v>
      </c>
      <c r="Q30" s="11">
        <v>23</v>
      </c>
      <c r="R30" s="12">
        <v>0.39129999999999998</v>
      </c>
      <c r="S30" s="11">
        <v>6</v>
      </c>
      <c r="T30" s="11">
        <v>7</v>
      </c>
      <c r="U30" s="12">
        <v>0.85709999999999997</v>
      </c>
      <c r="V30" s="11">
        <v>8</v>
      </c>
      <c r="W30" s="11">
        <v>27</v>
      </c>
      <c r="X30" s="11">
        <v>35</v>
      </c>
      <c r="Y30" s="11">
        <v>15</v>
      </c>
      <c r="Z30" s="11">
        <v>6</v>
      </c>
      <c r="AA30" s="11">
        <v>6</v>
      </c>
      <c r="AB30" s="11">
        <v>13</v>
      </c>
      <c r="AC30" s="11">
        <v>26</v>
      </c>
      <c r="AD30" s="11">
        <v>17</v>
      </c>
      <c r="AE30" s="11">
        <v>51</v>
      </c>
      <c r="AF30" s="12">
        <v>0.33329999999999999</v>
      </c>
      <c r="AG30" s="11">
        <v>11</v>
      </c>
      <c r="AH30" s="11">
        <v>32</v>
      </c>
      <c r="AI30" s="12">
        <v>0.34379999999999999</v>
      </c>
      <c r="AJ30" s="11">
        <v>6</v>
      </c>
      <c r="AK30" s="11">
        <v>19</v>
      </c>
      <c r="AL30" s="12">
        <v>0.31580000000000003</v>
      </c>
      <c r="AM30" s="11">
        <v>23</v>
      </c>
      <c r="AN30" s="11">
        <v>27</v>
      </c>
      <c r="AO30" s="12">
        <v>0.85189999999999999</v>
      </c>
      <c r="AP30" s="11">
        <v>7</v>
      </c>
      <c r="AQ30" s="11">
        <v>22</v>
      </c>
      <c r="AR30" s="11">
        <v>29</v>
      </c>
      <c r="AS30" s="11">
        <v>19</v>
      </c>
      <c r="AT30" s="11">
        <v>7</v>
      </c>
      <c r="AU30" s="11">
        <v>1</v>
      </c>
      <c r="AV30" s="11">
        <v>13</v>
      </c>
      <c r="AW30" s="11">
        <v>17</v>
      </c>
      <c r="AX30" s="12">
        <v>0.57179999999999997</v>
      </c>
      <c r="AY30" s="12">
        <v>0.55079999999999996</v>
      </c>
      <c r="AZ30" s="12">
        <v>0.26669999999999999</v>
      </c>
      <c r="BA30" s="12">
        <v>0.79410000000000003</v>
      </c>
      <c r="BB30" s="12">
        <v>0.54690000000000005</v>
      </c>
      <c r="BC30" s="4">
        <v>67.218000000000004</v>
      </c>
      <c r="BD30" s="12">
        <v>0.53569999999999995</v>
      </c>
      <c r="BE30" s="12">
        <v>0.1017</v>
      </c>
      <c r="BF30" s="12">
        <v>0.1731</v>
      </c>
      <c r="BG30" s="4">
        <v>106.6</v>
      </c>
      <c r="BH30" s="4">
        <v>94.6</v>
      </c>
      <c r="BI30" s="4">
        <v>66.618499999999997</v>
      </c>
      <c r="BJ30" s="12">
        <v>0.501</v>
      </c>
      <c r="BK30" s="12">
        <v>0.39219999999999999</v>
      </c>
      <c r="BL30" s="12">
        <v>0.2059</v>
      </c>
      <c r="BM30" s="12">
        <v>0.73329999999999995</v>
      </c>
      <c r="BN30" s="12">
        <v>0.4531</v>
      </c>
      <c r="BO30" s="4">
        <v>66.019000000000005</v>
      </c>
      <c r="BP30" s="12">
        <v>1.1175999999999999</v>
      </c>
      <c r="BQ30" s="12">
        <v>0.45100000000000001</v>
      </c>
      <c r="BR30" s="12">
        <v>0.17130000000000001</v>
      </c>
      <c r="BS30" s="4">
        <v>94.6</v>
      </c>
      <c r="BT30" s="4">
        <v>106.6</v>
      </c>
      <c r="BU30" s="11">
        <v>13</v>
      </c>
      <c r="BV30" s="11">
        <v>20</v>
      </c>
      <c r="BW30" s="11">
        <v>21</v>
      </c>
      <c r="BX30" s="11">
        <v>17</v>
      </c>
      <c r="BY30" s="11">
        <v>20</v>
      </c>
      <c r="BZ30" s="11">
        <v>16</v>
      </c>
      <c r="CA30" s="11">
        <v>16</v>
      </c>
      <c r="CB30" s="11">
        <v>11</v>
      </c>
      <c r="CC30" s="11">
        <v>33</v>
      </c>
      <c r="CD30" s="11">
        <v>38</v>
      </c>
      <c r="CE30" s="11">
        <v>36</v>
      </c>
      <c r="CF30" s="11">
        <v>27</v>
      </c>
      <c r="CG30" s="4">
        <v>1.26</v>
      </c>
      <c r="CH30" s="13">
        <v>4</v>
      </c>
      <c r="CI30" s="4">
        <v>-8.5</v>
      </c>
      <c r="CJ30" s="4">
        <v>8.5</v>
      </c>
      <c r="CK30" s="4">
        <v>162.5</v>
      </c>
      <c r="CL30" s="2" t="s">
        <v>563</v>
      </c>
      <c r="CM30" s="4" t="e">
        <f>VLOOKUP(strasbourg[[#This Row],[Away_team]],all[[Full name]:[Abbr]],3,FALSE)</f>
        <v>#N/A</v>
      </c>
      <c r="CN30" s="4">
        <f>IF(OR(strasbourg[[#This Row],[Result]]="w",strasbourg[[#This Row],[Result]]="dw"),strasbourg[[#This Row],[win]]-1,-1)</f>
        <v>0.26</v>
      </c>
      <c r="CO30" s="4">
        <f>IF(OR(strasbourg[[#This Row],[Result]]="L",strasbourg[[#This Row],[Result]]="dl"),strasbourg[[#This Row],[lose]]-1,-1)</f>
        <v>-1</v>
      </c>
      <c r="CP30" s="4">
        <f>IF(OR((strasbourg[[#This Row],[Home_scored]]+strasbourg[[#This Row],[Away_scored]])&gt;strasbourg[[#This Row],[total]],OR(strasbourg[[#This Row],[Result]]="dw",strasbourg[[#This Row],[Result]]="dl")),1,0)</f>
        <v>0</v>
      </c>
      <c r="CQ30" s="4">
        <f>ABS((strasbourg[[#This Row],[Home_scored]]+strasbourg[[#This Row],[Away_scored]])-strasbourg[[#This Row],[total]])+0.5</f>
        <v>29</v>
      </c>
    </row>
    <row r="31" spans="1:95" x14ac:dyDescent="0.25">
      <c r="A31" s="2" t="s">
        <v>349</v>
      </c>
      <c r="B31" s="2" t="s">
        <v>345</v>
      </c>
      <c r="C31" s="3" t="s">
        <v>73</v>
      </c>
      <c r="D31" s="3">
        <v>45780</v>
      </c>
      <c r="E31" s="2" t="s">
        <v>140</v>
      </c>
      <c r="F31" s="2" t="s">
        <v>305</v>
      </c>
      <c r="G31" s="2" t="s">
        <v>139</v>
      </c>
      <c r="H31" s="11">
        <v>78</v>
      </c>
      <c r="I31" s="11">
        <v>86</v>
      </c>
      <c r="J31" s="11">
        <v>31</v>
      </c>
      <c r="K31" s="11">
        <v>67</v>
      </c>
      <c r="L31" s="12">
        <v>0.4627</v>
      </c>
      <c r="M31" s="11">
        <v>24</v>
      </c>
      <c r="N31" s="11">
        <v>39</v>
      </c>
      <c r="O31" s="12">
        <v>0.61539999999999995</v>
      </c>
      <c r="P31" s="11">
        <v>7</v>
      </c>
      <c r="Q31" s="11">
        <v>28</v>
      </c>
      <c r="R31" s="12">
        <v>0.25</v>
      </c>
      <c r="S31" s="11">
        <v>9</v>
      </c>
      <c r="T31" s="11">
        <v>13</v>
      </c>
      <c r="U31" s="12">
        <v>0.69230000000000003</v>
      </c>
      <c r="V31" s="11">
        <v>15</v>
      </c>
      <c r="W31" s="11">
        <v>20</v>
      </c>
      <c r="X31" s="11">
        <v>35</v>
      </c>
      <c r="Y31" s="11">
        <v>16</v>
      </c>
      <c r="Z31" s="11">
        <v>7</v>
      </c>
      <c r="AA31" s="11">
        <v>1</v>
      </c>
      <c r="AB31" s="11">
        <v>15</v>
      </c>
      <c r="AC31" s="11">
        <v>25</v>
      </c>
      <c r="AD31" s="11">
        <v>30</v>
      </c>
      <c r="AE31" s="11">
        <v>55</v>
      </c>
      <c r="AF31" s="12">
        <v>0.54549999999999998</v>
      </c>
      <c r="AG31" s="11">
        <v>24</v>
      </c>
      <c r="AH31" s="11">
        <v>37</v>
      </c>
      <c r="AI31" s="12">
        <v>0.64859999999999995</v>
      </c>
      <c r="AJ31" s="11">
        <v>6</v>
      </c>
      <c r="AK31" s="11">
        <v>18</v>
      </c>
      <c r="AL31" s="12">
        <v>0.33329999999999999</v>
      </c>
      <c r="AM31" s="11">
        <v>20</v>
      </c>
      <c r="AN31" s="11">
        <v>31</v>
      </c>
      <c r="AO31" s="12">
        <v>0.6452</v>
      </c>
      <c r="AP31" s="11">
        <v>10</v>
      </c>
      <c r="AQ31" s="11">
        <v>20</v>
      </c>
      <c r="AR31" s="11">
        <v>30</v>
      </c>
      <c r="AS31" s="11">
        <v>25</v>
      </c>
      <c r="AT31" s="11">
        <v>11</v>
      </c>
      <c r="AU31" s="11">
        <v>1</v>
      </c>
      <c r="AV31" s="11">
        <v>15</v>
      </c>
      <c r="AW31" s="11">
        <v>17</v>
      </c>
      <c r="AX31" s="12">
        <v>0.5363</v>
      </c>
      <c r="AY31" s="12">
        <v>0.51490000000000002</v>
      </c>
      <c r="AZ31" s="12">
        <v>0.42859999999999998</v>
      </c>
      <c r="BA31" s="12">
        <v>0.66669999999999996</v>
      </c>
      <c r="BB31" s="12">
        <v>0.53849999999999998</v>
      </c>
      <c r="BC31" s="4">
        <v>70.691000000000003</v>
      </c>
      <c r="BD31" s="12">
        <v>0.5161</v>
      </c>
      <c r="BE31" s="12">
        <v>0.1343</v>
      </c>
      <c r="BF31" s="12">
        <v>0.17100000000000001</v>
      </c>
      <c r="BG31" s="4">
        <v>108.2</v>
      </c>
      <c r="BH31" s="4">
        <v>119.3</v>
      </c>
      <c r="BI31" s="4">
        <v>72.087000000000003</v>
      </c>
      <c r="BJ31" s="12">
        <v>0.62649999999999995</v>
      </c>
      <c r="BK31" s="12">
        <v>0.6</v>
      </c>
      <c r="BL31" s="12">
        <v>0.33329999999999999</v>
      </c>
      <c r="BM31" s="12">
        <v>0.57140000000000002</v>
      </c>
      <c r="BN31" s="12">
        <v>0.46150000000000002</v>
      </c>
      <c r="BO31" s="4">
        <v>73.483000000000004</v>
      </c>
      <c r="BP31" s="12">
        <v>0.83330000000000004</v>
      </c>
      <c r="BQ31" s="12">
        <v>0.36359999999999998</v>
      </c>
      <c r="BR31" s="12">
        <v>0.17929999999999999</v>
      </c>
      <c r="BS31" s="4">
        <v>119.3</v>
      </c>
      <c r="BT31" s="4">
        <v>108.2</v>
      </c>
      <c r="BU31" s="11">
        <v>15</v>
      </c>
      <c r="BV31" s="11">
        <v>20</v>
      </c>
      <c r="BW31" s="11">
        <v>18</v>
      </c>
      <c r="BX31" s="11">
        <v>25</v>
      </c>
      <c r="BY31" s="11">
        <v>21</v>
      </c>
      <c r="BZ31" s="11">
        <v>17</v>
      </c>
      <c r="CA31" s="11">
        <v>21</v>
      </c>
      <c r="CB31" s="11">
        <v>27</v>
      </c>
      <c r="CC31" s="11">
        <v>35</v>
      </c>
      <c r="CD31" s="11">
        <v>43</v>
      </c>
      <c r="CE31" s="11">
        <v>38</v>
      </c>
      <c r="CF31" s="11">
        <v>48</v>
      </c>
      <c r="CG31" s="4">
        <v>3.1</v>
      </c>
      <c r="CH31" s="13">
        <v>1.38</v>
      </c>
      <c r="CI31" s="4">
        <v>6.5</v>
      </c>
      <c r="CJ31" s="4">
        <v>-6.5</v>
      </c>
      <c r="CK31" s="4">
        <v>167.5</v>
      </c>
      <c r="CL31" s="2" t="s">
        <v>570</v>
      </c>
      <c r="CM31" s="4" t="str">
        <f>VLOOKUP(strasbourg[[#This Row],[Away_team]],all[[Full name]:[Abbr]],3,FALSE)</f>
        <v>CHA</v>
      </c>
      <c r="CN31" s="4">
        <f>IF(OR(strasbourg[[#This Row],[Result]]="w",strasbourg[[#This Row],[Result]]="dw"),strasbourg[[#This Row],[win]]-1,-1)</f>
        <v>-1</v>
      </c>
      <c r="CO31" s="4">
        <f>IF(OR(strasbourg[[#This Row],[Result]]="L",strasbourg[[#This Row],[Result]]="dl"),strasbourg[[#This Row],[lose]]-1,-1)</f>
        <v>0.37999999999999989</v>
      </c>
      <c r="CP31" s="4">
        <f>IF(OR((strasbourg[[#This Row],[Home_scored]]+strasbourg[[#This Row],[Away_scored]])&gt;strasbourg[[#This Row],[total]],OR(strasbourg[[#This Row],[Result]]="dw",strasbourg[[#This Row],[Result]]="dl")),1,0)</f>
        <v>0</v>
      </c>
      <c r="CQ31" s="4">
        <f>ABS((strasbourg[[#This Row],[Home_scored]]+strasbourg[[#This Row],[Away_scored]])-strasbourg[[#This Row],[total]])+0.5</f>
        <v>4</v>
      </c>
    </row>
    <row r="32" spans="1:95" x14ac:dyDescent="0.25">
      <c r="A32" s="2" t="s">
        <v>349</v>
      </c>
      <c r="B32" s="2" t="s">
        <v>345</v>
      </c>
      <c r="C32" s="28" t="s">
        <v>73</v>
      </c>
      <c r="D32" s="28">
        <v>45788</v>
      </c>
      <c r="E32" s="2" t="s">
        <v>140</v>
      </c>
      <c r="F32" s="2" t="s">
        <v>336</v>
      </c>
      <c r="G32" s="2" t="s">
        <v>139</v>
      </c>
      <c r="H32" s="11">
        <v>75</v>
      </c>
      <c r="I32" s="11">
        <v>76</v>
      </c>
      <c r="J32" s="11">
        <v>29</v>
      </c>
      <c r="K32" s="11">
        <v>52</v>
      </c>
      <c r="L32" s="12">
        <v>0.55769999999999997</v>
      </c>
      <c r="M32" s="11">
        <v>20</v>
      </c>
      <c r="N32" s="11">
        <v>28</v>
      </c>
      <c r="O32" s="12">
        <v>0.71430000000000005</v>
      </c>
      <c r="P32" s="11">
        <v>9</v>
      </c>
      <c r="Q32" s="11">
        <v>24</v>
      </c>
      <c r="R32" s="12">
        <v>0.375</v>
      </c>
      <c r="S32" s="11">
        <v>8</v>
      </c>
      <c r="T32" s="11">
        <v>14</v>
      </c>
      <c r="U32" s="12">
        <v>0.57140000000000002</v>
      </c>
      <c r="V32" s="11">
        <v>11</v>
      </c>
      <c r="W32" s="11">
        <v>24</v>
      </c>
      <c r="X32" s="11">
        <v>35</v>
      </c>
      <c r="Y32" s="11">
        <v>26</v>
      </c>
      <c r="Z32" s="11">
        <v>5</v>
      </c>
      <c r="AA32" s="11">
        <v>3</v>
      </c>
      <c r="AB32" s="11">
        <v>19</v>
      </c>
      <c r="AC32" s="11">
        <v>19</v>
      </c>
      <c r="AD32" s="11">
        <v>28</v>
      </c>
      <c r="AE32" s="11">
        <v>63</v>
      </c>
      <c r="AF32" s="12">
        <v>0.44440000000000002</v>
      </c>
      <c r="AG32" s="11">
        <v>22</v>
      </c>
      <c r="AH32" s="11">
        <v>43</v>
      </c>
      <c r="AI32" s="12">
        <v>0.51160000000000005</v>
      </c>
      <c r="AJ32" s="11">
        <v>6</v>
      </c>
      <c r="AK32" s="11">
        <v>20</v>
      </c>
      <c r="AL32" s="12">
        <v>0.3</v>
      </c>
      <c r="AM32" s="11">
        <v>14</v>
      </c>
      <c r="AN32" s="11">
        <v>20</v>
      </c>
      <c r="AO32" s="12">
        <v>0.7</v>
      </c>
      <c r="AP32" s="11">
        <v>13</v>
      </c>
      <c r="AQ32" s="11">
        <v>13</v>
      </c>
      <c r="AR32" s="11">
        <v>26</v>
      </c>
      <c r="AS32" s="11">
        <v>18</v>
      </c>
      <c r="AT32" s="11">
        <v>6</v>
      </c>
      <c r="AU32" s="11">
        <v>2</v>
      </c>
      <c r="AV32" s="11">
        <v>10</v>
      </c>
      <c r="AW32" s="11">
        <v>19</v>
      </c>
      <c r="AX32" s="12">
        <v>0.64480000000000004</v>
      </c>
      <c r="AY32" s="12">
        <v>0.64419999999999999</v>
      </c>
      <c r="AZ32" s="12">
        <v>0.45829999999999999</v>
      </c>
      <c r="BA32" s="12">
        <v>0.64859999999999995</v>
      </c>
      <c r="BB32" s="12">
        <v>0.57379999999999998</v>
      </c>
      <c r="BC32" s="4">
        <v>68.864999999999995</v>
      </c>
      <c r="BD32" s="12">
        <v>0.89659999999999995</v>
      </c>
      <c r="BE32" s="12">
        <v>0.15379999999999999</v>
      </c>
      <c r="BF32" s="12">
        <v>0.2462</v>
      </c>
      <c r="BG32" s="4">
        <v>114.4</v>
      </c>
      <c r="BH32" s="4">
        <v>115.9</v>
      </c>
      <c r="BI32" s="4">
        <v>65.569999999999993</v>
      </c>
      <c r="BJ32" s="12">
        <v>0.5292</v>
      </c>
      <c r="BK32" s="12">
        <v>0.49209999999999998</v>
      </c>
      <c r="BL32" s="12">
        <v>0.35139999999999999</v>
      </c>
      <c r="BM32" s="12">
        <v>0.54169999999999996</v>
      </c>
      <c r="BN32" s="12">
        <v>0.42620000000000002</v>
      </c>
      <c r="BO32" s="4">
        <v>62.274999999999999</v>
      </c>
      <c r="BP32" s="12">
        <v>0.64290000000000003</v>
      </c>
      <c r="BQ32" s="12">
        <v>0.22220000000000001</v>
      </c>
      <c r="BR32" s="12">
        <v>0.1222</v>
      </c>
      <c r="BS32" s="4">
        <v>115.9</v>
      </c>
      <c r="BT32" s="4">
        <v>114.4</v>
      </c>
      <c r="BU32" s="11">
        <v>19</v>
      </c>
      <c r="BV32" s="11">
        <v>25</v>
      </c>
      <c r="BW32" s="11">
        <v>21</v>
      </c>
      <c r="BX32" s="11">
        <v>10</v>
      </c>
      <c r="BY32" s="11">
        <v>17</v>
      </c>
      <c r="BZ32" s="11">
        <v>22</v>
      </c>
      <c r="CA32" s="11">
        <v>18</v>
      </c>
      <c r="CB32" s="11">
        <v>19</v>
      </c>
      <c r="CC32" s="11">
        <v>44</v>
      </c>
      <c r="CD32" s="11">
        <v>31</v>
      </c>
      <c r="CE32" s="11">
        <v>39</v>
      </c>
      <c r="CF32" s="11">
        <v>37</v>
      </c>
      <c r="CG32" s="4">
        <v>2.2000000000000002</v>
      </c>
      <c r="CH32" s="13">
        <v>1.71</v>
      </c>
      <c r="CI32" s="4">
        <v>2.5</v>
      </c>
      <c r="CJ32" s="4">
        <v>-2.5</v>
      </c>
      <c r="CK32" s="4">
        <v>168.5</v>
      </c>
      <c r="CL32" s="2" t="s">
        <v>581</v>
      </c>
      <c r="CM32" s="4" t="str">
        <f>VLOOKUP(strasbourg[[#This Row],[Away_team]],all[[Full name]:[Abbr]],3,FALSE)</f>
        <v>NAN</v>
      </c>
      <c r="CN32" s="4">
        <f>IF(OR(strasbourg[[#This Row],[Result]]="w",strasbourg[[#This Row],[Result]]="dw"),strasbourg[[#This Row],[win]]-1,-1)</f>
        <v>-1</v>
      </c>
      <c r="CO32" s="4">
        <f>IF(OR(strasbourg[[#This Row],[Result]]="L",strasbourg[[#This Row],[Result]]="dl"),strasbourg[[#This Row],[lose]]-1,-1)</f>
        <v>0.71</v>
      </c>
      <c r="CP32" s="4">
        <f>IF(OR((strasbourg[[#This Row],[Home_scored]]+strasbourg[[#This Row],[Away_scored]])&gt;strasbourg[[#This Row],[total]],OR(strasbourg[[#This Row],[Result]]="dw",strasbourg[[#This Row],[Result]]="dl")),1,0)</f>
        <v>0</v>
      </c>
      <c r="CQ32" s="4">
        <f>ABS((strasbourg[[#This Row],[Home_scored]]+strasbourg[[#This Row],[Away_scored]])-strasbourg[[#This Row],[total]])+0.5</f>
        <v>18</v>
      </c>
    </row>
    <row r="33" spans="1:95" x14ac:dyDescent="0.25">
      <c r="A33" s="2" t="s">
        <v>349</v>
      </c>
      <c r="B33" s="2" t="s">
        <v>345</v>
      </c>
      <c r="C33" s="28" t="s">
        <v>73</v>
      </c>
      <c r="D33" s="28">
        <v>45794</v>
      </c>
      <c r="E33" s="2" t="s">
        <v>74</v>
      </c>
      <c r="F33" s="2" t="s">
        <v>314</v>
      </c>
      <c r="G33" s="2" t="s">
        <v>75</v>
      </c>
      <c r="H33" s="11">
        <v>91</v>
      </c>
      <c r="I33" s="11">
        <v>88</v>
      </c>
      <c r="J33" s="11">
        <v>34</v>
      </c>
      <c r="K33" s="11">
        <v>64</v>
      </c>
      <c r="L33" s="12">
        <v>0.53129999999999999</v>
      </c>
      <c r="M33" s="11">
        <v>23</v>
      </c>
      <c r="N33" s="11">
        <v>32</v>
      </c>
      <c r="O33" s="12">
        <v>0.71879999999999999</v>
      </c>
      <c r="P33" s="11">
        <v>11</v>
      </c>
      <c r="Q33" s="11">
        <v>32</v>
      </c>
      <c r="R33" s="12">
        <v>0.34379999999999999</v>
      </c>
      <c r="S33" s="11">
        <v>12</v>
      </c>
      <c r="T33" s="11">
        <v>21</v>
      </c>
      <c r="U33" s="12">
        <v>0.57140000000000002</v>
      </c>
      <c r="V33" s="11">
        <v>8</v>
      </c>
      <c r="W33" s="11">
        <v>22</v>
      </c>
      <c r="X33" s="11">
        <v>30</v>
      </c>
      <c r="Y33" s="11">
        <v>24</v>
      </c>
      <c r="Z33" s="11">
        <v>8</v>
      </c>
      <c r="AA33" s="11">
        <v>3</v>
      </c>
      <c r="AB33" s="11">
        <v>11</v>
      </c>
      <c r="AC33" s="11">
        <v>30</v>
      </c>
      <c r="AD33" s="11">
        <v>26</v>
      </c>
      <c r="AE33" s="11">
        <v>56</v>
      </c>
      <c r="AF33" s="12">
        <v>0.46429999999999999</v>
      </c>
      <c r="AG33" s="11">
        <v>16</v>
      </c>
      <c r="AH33" s="11">
        <v>27</v>
      </c>
      <c r="AI33" s="12">
        <v>0.59260000000000002</v>
      </c>
      <c r="AJ33" s="11">
        <v>10</v>
      </c>
      <c r="AK33" s="11">
        <v>29</v>
      </c>
      <c r="AL33" s="12">
        <v>0.3448</v>
      </c>
      <c r="AM33" s="11">
        <v>26</v>
      </c>
      <c r="AN33" s="11">
        <v>31</v>
      </c>
      <c r="AO33" s="12">
        <v>0.8387</v>
      </c>
      <c r="AP33" s="11">
        <v>8</v>
      </c>
      <c r="AQ33" s="11">
        <v>23</v>
      </c>
      <c r="AR33" s="11">
        <v>31</v>
      </c>
      <c r="AS33" s="11">
        <v>9</v>
      </c>
      <c r="AT33" s="11">
        <v>4</v>
      </c>
      <c r="AU33" s="11">
        <v>1</v>
      </c>
      <c r="AV33" s="11">
        <v>14</v>
      </c>
      <c r="AW33" s="11">
        <v>22</v>
      </c>
      <c r="AX33" s="12">
        <v>0.62119999999999997</v>
      </c>
      <c r="AY33" s="12">
        <v>0.61719999999999997</v>
      </c>
      <c r="AZ33" s="12">
        <v>0.2581</v>
      </c>
      <c r="BA33" s="12">
        <v>0.73329999999999995</v>
      </c>
      <c r="BB33" s="12">
        <v>0.49180000000000001</v>
      </c>
      <c r="BC33" s="4">
        <v>74.84</v>
      </c>
      <c r="BD33" s="12">
        <v>0.70589999999999997</v>
      </c>
      <c r="BE33" s="12">
        <v>0.1875</v>
      </c>
      <c r="BF33" s="12">
        <v>0.13059999999999999</v>
      </c>
      <c r="BG33" s="4">
        <v>122.2</v>
      </c>
      <c r="BH33" s="4">
        <v>118.2</v>
      </c>
      <c r="BI33" s="4">
        <v>74.477999999999994</v>
      </c>
      <c r="BJ33" s="12">
        <v>0.63180000000000003</v>
      </c>
      <c r="BK33" s="12">
        <v>0.55359999999999998</v>
      </c>
      <c r="BL33" s="12">
        <v>0.26669999999999999</v>
      </c>
      <c r="BM33" s="12">
        <v>0.7419</v>
      </c>
      <c r="BN33" s="12">
        <v>0.50819999999999999</v>
      </c>
      <c r="BO33" s="4">
        <v>74.116</v>
      </c>
      <c r="BP33" s="12">
        <v>0.34620000000000001</v>
      </c>
      <c r="BQ33" s="12">
        <v>0.46429999999999999</v>
      </c>
      <c r="BR33" s="12">
        <v>0.16739999999999999</v>
      </c>
      <c r="BS33" s="4">
        <v>118.2</v>
      </c>
      <c r="BT33" s="4">
        <v>122.2</v>
      </c>
      <c r="BU33" s="11">
        <v>26</v>
      </c>
      <c r="BV33" s="11">
        <v>24</v>
      </c>
      <c r="BW33" s="11">
        <v>26</v>
      </c>
      <c r="BX33" s="11">
        <v>15</v>
      </c>
      <c r="BY33" s="11">
        <v>22</v>
      </c>
      <c r="BZ33" s="11">
        <v>21</v>
      </c>
      <c r="CA33" s="11">
        <v>19</v>
      </c>
      <c r="CB33" s="11">
        <v>26</v>
      </c>
      <c r="CC33" s="11">
        <v>50</v>
      </c>
      <c r="CD33" s="11">
        <v>41</v>
      </c>
      <c r="CE33" s="11">
        <v>43</v>
      </c>
      <c r="CF33" s="11">
        <v>45</v>
      </c>
      <c r="CG33" s="4">
        <v>2.4</v>
      </c>
      <c r="CH33" s="13">
        <v>1.6</v>
      </c>
      <c r="CI33" s="4">
        <v>3.5</v>
      </c>
      <c r="CJ33" s="4">
        <v>-3.5</v>
      </c>
      <c r="CK33" s="4">
        <v>160.5</v>
      </c>
      <c r="CL33" s="2" t="s">
        <v>593</v>
      </c>
      <c r="CM33" s="4" t="str">
        <f>VLOOKUP(strasbourg[[#This Row],[Away_team]],all[[Full name]:[Abbr]],3,FALSE)</f>
        <v>DUN</v>
      </c>
      <c r="CN33" s="4">
        <f>IF(OR(strasbourg[[#This Row],[Result]]="w",strasbourg[[#This Row],[Result]]="dw"),strasbourg[[#This Row],[win]]-1,-1)</f>
        <v>1.4</v>
      </c>
      <c r="CO33" s="4">
        <f>IF(OR(strasbourg[[#This Row],[Result]]="L",strasbourg[[#This Row],[Result]]="dl"),strasbourg[[#This Row],[lose]]-1,-1)</f>
        <v>-1</v>
      </c>
      <c r="CP33" s="4">
        <f>IF(OR((strasbourg[[#This Row],[Home_scored]]+strasbourg[[#This Row],[Away_scored]])&gt;strasbourg[[#This Row],[total]],OR(strasbourg[[#This Row],[Result]]="dw",strasbourg[[#This Row],[Result]]="dl")),1,0)</f>
        <v>1</v>
      </c>
      <c r="CQ33" s="4">
        <f>ABS((strasbourg[[#This Row],[Home_scored]]+strasbourg[[#This Row],[Away_scored]])-strasbourg[[#This Row],[total]])+0.5</f>
        <v>19</v>
      </c>
    </row>
  </sheetData>
  <conditionalFormatting sqref="A4:A33">
    <cfRule type="expression" dxfId="328" priority="1">
      <formula>SUMPRODUCT(--ISERROR(B4:CL4))&gt;0</formula>
    </cfRule>
  </conditionalFormatting>
  <conditionalFormatting sqref="B4:B33">
    <cfRule type="uniqueValues" dxfId="327" priority="497"/>
  </conditionalFormatting>
  <conditionalFormatting sqref="D4:D33">
    <cfRule type="duplicateValues" dxfId="326" priority="498"/>
  </conditionalFormatting>
  <conditionalFormatting sqref="H4:H33">
    <cfRule type="expression" dxfId="325" priority="3">
      <formula>H4=BU4+BV4+BW4+BX4</formula>
    </cfRule>
  </conditionalFormatting>
  <conditionalFormatting sqref="I4:I33">
    <cfRule type="expression" dxfId="324" priority="2">
      <formula>I4=BY4+BZ4+CA4+CB4</formula>
    </cfRule>
  </conditionalFormatting>
  <hyperlinks>
    <hyperlink ref="A1" location="all_data!A1" display="ratings" xr:uid="{210C6FCE-4065-4422-AAFC-A2059FAB54D9}"/>
  </hyperlink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9A5C6-25EB-4925-9048-14D2DD02FA58}">
  <sheetPr codeName="Sheet1"/>
  <dimension ref="A1:B2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267</v>
      </c>
      <c r="B1" t="s">
        <v>268</v>
      </c>
    </row>
    <row r="2" spans="1:2" x14ac:dyDescent="0.25">
      <c r="A2">
        <v>13</v>
      </c>
      <c r="B2">
        <v>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216A2-46F9-4B60-9BB2-8984C48BD8BD}">
  <sheetPr codeName="Sheet2"/>
  <dimension ref="A1:CW52"/>
  <sheetViews>
    <sheetView zoomScale="90" zoomScaleNormal="90" workbookViewId="0">
      <selection activeCell="I6" sqref="I6"/>
    </sheetView>
  </sheetViews>
  <sheetFormatPr defaultRowHeight="15" x14ac:dyDescent="0.25"/>
  <cols>
    <col min="1" max="1" width="13.140625" customWidth="1"/>
    <col min="2" max="2" width="11.7109375" customWidth="1"/>
    <col min="3" max="3" width="13.28515625" customWidth="1"/>
    <col min="4" max="4" width="11.42578125" customWidth="1"/>
    <col min="5" max="5" width="13.140625" customWidth="1"/>
    <col min="6" max="6" width="11.85546875" customWidth="1"/>
    <col min="7" max="7" width="13.140625" customWidth="1"/>
    <col min="8" max="8" width="12" customWidth="1"/>
    <col min="9" max="9" width="13.140625" customWidth="1"/>
    <col min="10" max="10" width="11.85546875" customWidth="1"/>
    <col min="11" max="11" width="13.140625" customWidth="1"/>
    <col min="12" max="12" width="14.42578125" customWidth="1"/>
    <col min="13" max="13" width="13.140625" customWidth="1"/>
    <col min="14" max="14" width="11.7109375" customWidth="1"/>
    <col min="15" max="15" width="13.140625" customWidth="1"/>
    <col min="16" max="16" width="12" customWidth="1"/>
    <col min="17" max="17" width="12.5703125" customWidth="1"/>
    <col min="18" max="18" width="11" customWidth="1"/>
    <col min="19" max="19" width="11.7109375" customWidth="1"/>
    <col min="20" max="20" width="12.140625" customWidth="1"/>
    <col min="30" max="30" width="9.7109375" customWidth="1"/>
    <col min="33" max="33" width="9.42578125" customWidth="1"/>
    <col min="36" max="36" width="9.42578125" customWidth="1"/>
    <col min="39" max="39" width="9.285156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19" ht="43.5" customHeight="1" x14ac:dyDescent="0.25">
      <c r="A1" s="29" t="s">
        <v>311</v>
      </c>
      <c r="B1" s="29"/>
      <c r="C1" s="29"/>
      <c r="D1" s="29"/>
      <c r="E1" s="29"/>
      <c r="H1" s="23"/>
      <c r="O1" s="29" t="s">
        <v>393</v>
      </c>
      <c r="P1" s="29"/>
      <c r="Q1" s="29"/>
      <c r="R1" s="29"/>
      <c r="S1" s="29"/>
    </row>
    <row r="2" spans="1:19" ht="15.75" x14ac:dyDescent="0.25">
      <c r="A2" s="15" t="str">
        <f ca="1">INDEX(last5[Location],5)</f>
        <v>H</v>
      </c>
      <c r="B2" s="15" t="str">
        <f ca="1">INDEX(last5[Location],4)</f>
        <v>H</v>
      </c>
      <c r="C2" s="15" t="e">
        <f ca="1">INDEX(last5[Location],3)</f>
        <v>#VALUE!</v>
      </c>
      <c r="D2" s="15" t="e">
        <f ca="1">INDEX(last5[Location],2)</f>
        <v>#VALUE!</v>
      </c>
      <c r="E2" s="15" t="e">
        <f ca="1">INDEX(last5[Location],1)</f>
        <v>#VALUE!</v>
      </c>
      <c r="G2" s="17" t="str">
        <f ca="1">INDEX(last5[Home_team],8)&amp;"/"&amp;INDEX(last5[Date],8)</f>
        <v>0/1</v>
      </c>
      <c r="H2" s="14" t="s">
        <v>299</v>
      </c>
      <c r="I2" s="17" t="str">
        <f ca="1">INDEX(last5away[Home_team],8)&amp;"/"&amp;INDEX(last5away[Date],8)</f>
        <v>1/0</v>
      </c>
      <c r="J2" s="17"/>
      <c r="K2" s="25">
        <f ca="1">AVERAGE(INDEX(last5[Home_scored],8),INDEX(last5away[Away_scored],8))</f>
        <v>89</v>
      </c>
      <c r="L2" s="14" t="s">
        <v>161</v>
      </c>
      <c r="M2" s="25">
        <f ca="1">AVERAGE(INDEX(last5away[Home_scored],8),INDEX(last5[Away_scored],8))</f>
        <v>91</v>
      </c>
      <c r="O2" s="15" t="str">
        <f ca="1">INDEX(last5away[Location],5)</f>
        <v>A</v>
      </c>
      <c r="P2" s="15" t="str">
        <f ca="1">INDEX(last5away[Location],4)</f>
        <v>A</v>
      </c>
      <c r="Q2" s="15" t="e">
        <f ca="1">INDEX(last5away[Location],3)</f>
        <v>#VALUE!</v>
      </c>
      <c r="R2" s="15" t="e">
        <f ca="1">INDEX(last5away[Location],2)</f>
        <v>#VALUE!</v>
      </c>
      <c r="S2" s="15" t="e">
        <f ca="1">INDEX(last5away[Location],1)</f>
        <v>#VALUE!</v>
      </c>
    </row>
    <row r="3" spans="1:19" ht="30" customHeight="1" x14ac:dyDescent="0.25">
      <c r="A3" s="14" t="str">
        <f ca="1">INDEX(last5[abbr],5)&amp;" ("&amp;INDEX(last5[Home_scored],5)-INDEX(last5[Away_scored],5)&amp;") "</f>
        <v xml:space="preserve">LEM (-2) </v>
      </c>
      <c r="B3" s="14" t="str">
        <f ca="1">INDEX(last5[abbr],4)&amp;" ("&amp;INDEX(last5[Home_scored],4)-INDEX(last5[Away_scored],4)&amp;")"</f>
        <v>LEM (-2)</v>
      </c>
      <c r="C3" s="14" t="e">
        <f ca="1">INDEX(last5[abbr],3)&amp;" ("&amp;INDEX(last5[Home_scored],3)-INDEX(last5[Away_scored],3)&amp;")"</f>
        <v>#VALUE!</v>
      </c>
      <c r="D3" s="14" t="e">
        <f ca="1">INDEX(last5[abbr],2)&amp;" ("&amp;INDEX(last5[Home_scored],2)-INDEX(last5[Away_scored],2)&amp;")"</f>
        <v>#VALUE!</v>
      </c>
      <c r="E3" s="14" t="e">
        <f ca="1">INDEX(last5[abbr],1)&amp;" ("&amp;INDEX(last5[Home_scored],1)-INDEX(last5[Away_scored],1)&amp;")"</f>
        <v>#VALUE!</v>
      </c>
      <c r="G3" s="18">
        <f ca="1">INDEX(last5[Home_team],8)/(INDEX(last5[Home_team],8)+INDEX(last5[Date],8))</f>
        <v>0</v>
      </c>
      <c r="H3" s="14" t="s">
        <v>159</v>
      </c>
      <c r="I3" s="18">
        <f ca="1">INDEX(last5away[Home_team],8)/(INDEX(last5away[Home_team],8)+INDEX(last5away[Date],8))</f>
        <v>1</v>
      </c>
      <c r="J3" s="17"/>
      <c r="K3" s="25" t="e">
        <f ca="1">AVERAGE(INDEX(last5[Home_scored],6),INDEX(last5away[Away_scored],6))</f>
        <v>#VALUE!</v>
      </c>
      <c r="L3" s="14" t="s">
        <v>162</v>
      </c>
      <c r="M3" s="25" t="e">
        <f ca="1">AVERAGE(INDEX(last5away[Home_scored],6),INDEX(last5[Away_scored],6))</f>
        <v>#VALUE!</v>
      </c>
      <c r="O3" s="14" t="str">
        <f ca="1">INDEX(last5away[abbr],5)&amp;" ("&amp;INDEX(last5away[Home_scored],5)-INDEX(last5away[Away_scored],5)&amp;")"</f>
        <v>DIJ (2)</v>
      </c>
      <c r="P3" s="14" t="str">
        <f ca="1">INDEX(last5away[abbr],4)&amp;" ("&amp;INDEX(last5away[Home_scored],4)-INDEX(last5away[Away_scored],4)&amp;")"</f>
        <v>DIJ (2)</v>
      </c>
      <c r="Q3" s="14" t="e">
        <f ca="1">INDEX(last5away[abbr],3)&amp;" ("&amp;INDEX(last5away[Home_scored],3)-INDEX(last5away[Away_scored],3)&amp;")"</f>
        <v>#VALUE!</v>
      </c>
      <c r="R3" s="14" t="e">
        <f ca="1">INDEX(last5away[abbr],2)&amp;" ("&amp;INDEX(last5away[Home_scored],2)-INDEX(last5away[Away_scored],2)&amp;")"</f>
        <v>#VALUE!</v>
      </c>
      <c r="S3" s="14" t="e">
        <f ca="1">INDEX(last5away[abbr],1)&amp;" ("&amp;INDEX(last5away[Home_scored],1)-INDEX(last5away[Away_scored],1)&amp;")"</f>
        <v>#VALUE!</v>
      </c>
    </row>
    <row r="4" spans="1:19" ht="24.75" customHeight="1" x14ac:dyDescent="0.25">
      <c r="A4" s="20">
        <f ca="1">IF(OR(INDEX(last5[Result],5)="w",INDEX(last5[Result],5)="dw"),INDEX(last5[win],5),INDEX(last5[lose],5))</f>
        <v>2.2000000000000002</v>
      </c>
      <c r="B4" s="20">
        <f ca="1">IF(OR(INDEX(last5[Result],4)="w",INDEX(last5[Result],4)="dw"),INDEX(last5[win],4),INDEX(last5[lose],4))</f>
        <v>2.2000000000000002</v>
      </c>
      <c r="C4" s="20" t="e">
        <f ca="1">IF(OR(INDEX(last5[Result],3)="w",INDEX(last5[Result],3)="dw"),INDEX(last5[win],3),INDEX(last5[lose],3))</f>
        <v>#VALUE!</v>
      </c>
      <c r="D4" s="20" t="e">
        <f ca="1">IF(OR(INDEX(last5[Result],2)="w",INDEX(last5[Result],2)="dw"),INDEX(last5[win],2),INDEX(last5[lose],2))</f>
        <v>#VALUE!</v>
      </c>
      <c r="E4" s="20" t="e">
        <f ca="1">IF(OR(INDEX(last5[Result],1)="w",INDEX(last5[Result],1)="dw"),INDEX(last5[win],1),INDEX(last5[lose],1))</f>
        <v>#VALUE!</v>
      </c>
      <c r="G4" s="18" t="str">
        <f ca="1">_xlfn.RANK.EQ(G3,all[rating])&amp;"["&amp;INDEX(last5[Home_team],9)&amp;"]"</f>
        <v>16[10]</v>
      </c>
      <c r="H4" s="19" t="s">
        <v>300</v>
      </c>
      <c r="I4" s="18" t="str">
        <f ca="1">_xlfn.RANK.EQ(I3,all[rating])&amp;"["&amp;INDEX(last5away[Home_team],9)&amp;"]"</f>
        <v>1[6]</v>
      </c>
      <c r="J4" s="18"/>
      <c r="K4" s="25" t="e">
        <f ca="1">AVERAGE(INDEX(last5[P2A],7),INDEX(last5away[P2Aop],7))*AVERAGE(INDEX(last5[P2p],7),INDEX(last5away[P2pop],7))*2+AVERAGE(INDEX(last5[P3A],7),INDEX(last5away[P3Aop],7))*AVERAGE(INDEX(last5[P3p],7),INDEX(last5away[P3pop],7))*3+AVERAGE(INDEX(last5[FTA],7),INDEX(last5away[FTAop],7))*AVERAGE(INDEX(last5[FTp],7),INDEX(last5away[FTpop],7))</f>
        <v>#VALUE!</v>
      </c>
      <c r="L4" s="14" t="s">
        <v>154</v>
      </c>
      <c r="M4" s="25" t="e">
        <f ca="1">AVERAGE(INDEX(last5away[P2A],7),INDEX(last5[P2Aop],7))*AVERAGE(INDEX(last5away[P2p],7),INDEX(last5[P2pop],7))*2+AVERAGE(INDEX(last5away[P3A],7),INDEX(last5[P3Aop],7))*AVERAGE(INDEX(last5away[P3p],7),INDEX(last5[P3pop],7))*3+AVERAGE(INDEX(last5away[FTA],7),INDEX(last5[FTAop],7))*AVERAGE(INDEX(last5away[FTp],7),INDEX(last5[FTpop],7))</f>
        <v>#VALUE!</v>
      </c>
      <c r="O4" s="20">
        <f ca="1">IF(OR(INDEX(last5away[Result],5)="w",INDEX(last5away[Result],5)="dw"),INDEX(last5away[win],5),INDEX(last5away[lose],5))</f>
        <v>2.2000000000000002</v>
      </c>
      <c r="P4" s="20">
        <f ca="1">IF(OR(INDEX(last5away[Result],4)="w",INDEX(last5away[Result],4)="dw"),INDEX(last5away[win],4),INDEX(last5away[lose],4))</f>
        <v>2.2000000000000002</v>
      </c>
      <c r="Q4" s="20" t="e">
        <f ca="1">IF(OR(INDEX(last5away[Result],3)="w",INDEX(last5away[Result],3)="dw"),INDEX(last5away[win],3),INDEX(last5away[lose],3))</f>
        <v>#VALUE!</v>
      </c>
      <c r="R4" s="20" t="e">
        <f ca="1">IF(OR(INDEX(last5away[Result],2)="w",INDEX(last5away[Result],2)="dw"),INDEX(last5away[win],2),INDEX(last5away[lose],2))</f>
        <v>#VALUE!</v>
      </c>
      <c r="S4" s="20" t="e">
        <f ca="1">IF(OR(INDEX(last5away[Result],1)="w",INDEX(last5away[Result],1)="dw"),INDEX(last5away[win],1),INDEX(last5away[lose],1))</f>
        <v>#VALUE!</v>
      </c>
    </row>
    <row r="5" spans="1:19" ht="31.5" customHeight="1" x14ac:dyDescent="0.25">
      <c r="A5" s="20" t="str">
        <f ca="1">INDEX(last5[total],5)&amp;" ("&amp;INDEX(last5[Home_scored],5)+INDEX(last5[Away_scored],5)-INDEX(last5[total],5)-0.5&amp;")"</f>
        <v>168.5 (11)</v>
      </c>
      <c r="B5" s="20" t="str">
        <f ca="1">INDEX(last5[total],4)&amp;" ("&amp;INDEX(last5[Home_scored],4)+INDEX(last5[Away_scored],4)-INDEX(last5[total],4)-0.5&amp;")"</f>
        <v>168.5 (11)</v>
      </c>
      <c r="C5" s="20" t="e">
        <f ca="1">INDEX(last5[total],3)&amp;" ("&amp;INDEX(last5[Home_scored],3)+INDEX(last5[Away_scored],3)-INDEX(last5[total],3)-0.5&amp;")"</f>
        <v>#VALUE!</v>
      </c>
      <c r="D5" s="20" t="e">
        <f ca="1">INDEX(last5[total],2)&amp;" ("&amp;INDEX(last5[Home_scored],2)+INDEX(last5[Away_scored],2)-INDEX(last5[total],2)-0.5&amp;")"</f>
        <v>#VALUE!</v>
      </c>
      <c r="E5" s="20" t="e">
        <f ca="1">INDEX(last5[total],1)&amp;" ("&amp;INDEX(last5[Home_scored],1)+INDEX(last5[Away_scored],1)-INDEX(last5[total],1)-0.5&amp;")"</f>
        <v>#VALUE!</v>
      </c>
      <c r="G5" s="27" t="e">
        <f ca="1">IF(INDEX(last5[eFG%],8)&gt;INDEX(last5away[eFG%],8),15,0)+IF(INDEX(last5[eFG%op],8)&lt;INDEX(last5away[eFG%op],8),15,0)+IF(INDEX(last5[TOV%],8)&lt;INDEX(last5away[TOV%],8),10,0)+IF(INDEX(last5[TOV%op],8)&gt;INDEX(last5away[TOV%op],8),10,0)+IF(INDEX(last5[ORB%],8)&gt;INDEX(last5away[ORB%],8),10,0)+IF(INDEX(last5[ORB%op],8)&lt;INDEX(last5away[ORB%op],8),10,0)+IF(INDEX(last5[FTFGA%],8)&gt;INDEX(last5away[FTFGA%],8),6,0)+IF(INDEX(last5[FTFGA%op],8)&lt;INDEX(last5away[FTFGA%op],8),6,0)+IF(INDEX(last5[ORtg],8)&gt;INDEX(last5away[ORtg],8),7,0)+IF(INDEX(last5[DRtg],8)&lt;INDEX(last5away[DRtg],8),11,0)&amp;"("&amp;IF(INDEX(last5[eFG%],6)&gt;INDEX(last5away[eFG%],6),15,0)+IF(INDEX(last5[eFG%op],6)&lt;INDEX(last5away[eFG%op],6),15,0)+IF(INDEX(last5[TOV%],6)&lt;INDEX(last5away[TOV%],6),10,0)+IF(INDEX(last5[TOV%op],6)&gt;INDEX(last5away[TOV%op],6),10,0)+IF(INDEX(last5[ORB%],6)&gt;INDEX(last5away[ORB%],6),10,0)+IF(INDEX(last5[ORB%op],6)&lt;INDEX(last5away[ORB%op],6),10,0)+IF(INDEX(last5[FTFGA%],6)&gt;INDEX(last5away[FTFGA%],6),6,0)+IF(INDEX(last5[FTFGA%op],6)&lt;INDEX(last5away[FTFGA%op],6),6,0)+IF(INDEX(last5[ORtg],6)&gt;INDEX(last5away[ORtg],6),7,0)+IF(INDEX(last5[DRtg],6)&lt;INDEX(last5away[DRtg],6),11,0)&amp;")"</f>
        <v>#VALUE!</v>
      </c>
      <c r="H5" s="27" t="s">
        <v>301</v>
      </c>
      <c r="I5" s="27" t="e">
        <f ca="1">IF(INDEX(last5away[eFG%],8)&gt;INDEX(last5[eFG%],8),15,0)+IF(INDEX(last5away[eFG%op],8)&lt;INDEX(last5[eFG%op],8),15,0)+IF(INDEX(last5away[TOV%],8)&lt;INDEX(last5[TOV%],8),10,0)+IF(INDEX(last5away[TOV%op],8)&gt;INDEX(last5[TOV%op],8),10,0)+IF(INDEX(last5away[ORB%],8)&gt;INDEX(last5[ORB%],8),10,0)+IF(INDEX(last5away[ORB%op],8)&lt;INDEX(last5[ORB%op],8),10,0)+IF(INDEX(last5away[FTFGA%],8)&gt;INDEX(last5[FTFGA%],8),6,0)+IF(INDEX(last5away[FTFGA%op],8)&lt;INDEX(last5[FTFGA%op],8),6,0)+IF(INDEX(last5away[ORtg],8)&gt;INDEX(last5[ORtg],8),7,0)+IF(INDEX(last5away[DRtg],8)&lt;INDEX(last5[DRtg],8),11,0)&amp;"("&amp;IF(INDEX(last5away[eFG%],6)&gt;INDEX(last5[eFG%],6),15,0)+IF(INDEX(last5away[eFG%op],6)&lt;INDEX(last5[eFG%op],6),15,0)+IF(INDEX(last5away[TOV%],6)&lt;INDEX(last5[TOV%],6),10,0)+IF(INDEX(last5away[TOV%op],6)&gt;INDEX(last5[TOV%op],6),10,0)+IF(INDEX(last5away[ORB%],6)&gt;INDEX(last5[ORB%],6),10,0)+IF(INDEX(last5away[ORB%op],6)&lt;INDEX(last5[ORB%op],6),10,0)+IF(INDEX(last5away[FTFGA%],6)&gt;INDEX(last5[FTFGA%],6),6,0)+IF(INDEX(last5away[FTFGA%op],6)&lt;INDEX(last5[FTFGA%op],6),6,0)+IF(INDEX(last5away[ORtg],6)&gt;INDEX(last5[ORtg],6),7,0)+IF(INDEX(last5away[DRtg],6)&lt;INDEX(last5[DRtg],6),11,0)&amp;")"</f>
        <v>#VALUE!</v>
      </c>
      <c r="J5" s="17"/>
      <c r="K5" s="25" t="e">
        <f ca="1">AVERAGE(K2:K4)</f>
        <v>#VALUE!</v>
      </c>
      <c r="L5" s="14" t="s">
        <v>163</v>
      </c>
      <c r="M5" s="25" t="e">
        <f ca="1">AVERAGE(M2:M4)</f>
        <v>#VALUE!</v>
      </c>
      <c r="O5" s="20" t="str">
        <f ca="1">INDEX(last5away[total],5)&amp;" ("&amp;INDEX(last5away[Home_scored],5)+INDEX(last5away[Away_scored],5)-INDEX(last5away[total],5)-0.5&amp;")"</f>
        <v>168.5 (11)</v>
      </c>
      <c r="P5" s="20" t="str">
        <f ca="1">INDEX(last5away[total],4)&amp;" ("&amp;INDEX(last5away[Home_scored],4)+INDEX(last5away[Away_scored],4)-INDEX(last5away[total],4)-0.5&amp;")"</f>
        <v>168.5 (11)</v>
      </c>
      <c r="Q5" s="20" t="e">
        <f ca="1">INDEX(last5away[total],3)&amp;" ("&amp;INDEX(last5away[Home_scored],3)+INDEX(last5away[Away_scored],3)-INDEX(last5away[total],3)-0.5&amp;")"</f>
        <v>#VALUE!</v>
      </c>
      <c r="R5" s="20" t="e">
        <f ca="1">INDEX(last5away[total],2)&amp;" ("&amp;INDEX(last5away[Home_scored],2)+INDEX(last5away[Away_scored],2)-INDEX(last5away[total],2)-0.5&amp;")"</f>
        <v>#VALUE!</v>
      </c>
      <c r="S5" s="20" t="e">
        <f ca="1">INDEX(last5away[total],1)&amp;" ("&amp;INDEX(last5away[Home_scored],1)+INDEX(last5away[Away_scored],1)-INDEX(last5away[total],1)-0.5&amp;")"</f>
        <v>#VALUE!</v>
      </c>
    </row>
    <row r="6" spans="1:19" ht="22.5" customHeight="1" x14ac:dyDescent="0.25"/>
    <row r="7" spans="1:19" ht="42" customHeight="1" x14ac:dyDescent="0.25">
      <c r="A7" s="26" t="str">
        <f>INDEX(last5[Home_team],6)</f>
        <v>DIJ</v>
      </c>
      <c r="C7" s="26" t="str">
        <f>INDEX(last5away[Home_team],6)</f>
        <v>LEM</v>
      </c>
      <c r="E7" s="26" t="str">
        <f>INDEX(last5[Home_team],6)</f>
        <v>DIJ</v>
      </c>
      <c r="G7" s="26" t="str">
        <f>INDEX(last5away[Home_team],6)</f>
        <v>LEM</v>
      </c>
      <c r="I7" s="26" t="str">
        <f>INDEX(last5[Home_team],6)</f>
        <v>DIJ</v>
      </c>
      <c r="K7" s="26" t="str">
        <f>INDEX(last5away[Home_team],6)</f>
        <v>LEM</v>
      </c>
      <c r="M7" s="26" t="str">
        <f>INDEX(last5[Home_team],6)</f>
        <v>DIJ</v>
      </c>
      <c r="O7" s="26" t="str">
        <f>INDEX(last5away[Home_team],6)</f>
        <v>LEM</v>
      </c>
    </row>
    <row r="8" spans="1:19" x14ac:dyDescent="0.25">
      <c r="A8" s="24" t="e">
        <f ca="1">TRUNC(INDEX(last5[FGA],8))&amp;"("&amp;ROUND(INDEX(last5[FGA],6)-INDEX(last5[FGA],8),1)&amp;")"&amp;"["&amp;INDEX(last5[FGA],9)&amp;"]"</f>
        <v>#VALUE!</v>
      </c>
      <c r="B8" s="24" t="s">
        <v>166</v>
      </c>
      <c r="C8" s="24" t="e">
        <f ca="1">TRUNC(INDEX(last5away[FGA],8))&amp;"("&amp;ROUND(INDEX(last5away[FGA],6)-INDEX(last5away[FGA],8),1)&amp;")"&amp;"["&amp;INDEX(last5away[FGA],9)&amp;"]"</f>
        <v>#VALUE!</v>
      </c>
      <c r="E8" s="24" t="e">
        <f ca="1">TRUNC(INDEX(last5[TRB],8))&amp;"("&amp;ROUND(INDEX(last5[TRB],6)-INDEX(last5[TRB],8),1)&amp;")"&amp;"["&amp;INDEX(last5[TRB],9)&amp;"]"</f>
        <v>#VALUE!</v>
      </c>
      <c r="F8" s="24" t="s">
        <v>256</v>
      </c>
      <c r="G8" s="24" t="e">
        <f ca="1">TRUNC(INDEX(last5away[TRB],8))&amp;"("&amp;ROUND(INDEX(last5away[TRB],6)-INDEX(last5away[TRB],8),1)&amp;")"&amp;"["&amp;INDEX(last5away[TRB],9)&amp;"]"</f>
        <v>#VALUE!</v>
      </c>
      <c r="I8" s="24" t="e">
        <f ca="1">ROUND(INDEX(last5[eFG%]*100,8),1)&amp;"("&amp;ROUND(INDEX(last5[eFG%],6)*100-INDEX(last5[eFG%],8)*100,1)&amp;")"&amp;"["&amp;INDEX(last5[eFG%],9)&amp;"]"</f>
        <v>#VALUE!</v>
      </c>
      <c r="J8" s="24" t="s">
        <v>33</v>
      </c>
      <c r="K8" s="24" t="e">
        <f ca="1">ROUND(INDEX(last5away[eFG%]*100,8),1)&amp;"("&amp;ROUND(INDEX(last5away[eFG%],6)*100-INDEX(last5away[eFG%],8)*100,1)&amp;")"&amp;"["&amp;INDEX(last5away[eFG%],9)&amp;"]"</f>
        <v>#VALUE!</v>
      </c>
      <c r="M8" s="24" t="str">
        <f ca="1">TRUNC(INDEX(last5[Q1H],8))&amp;"("&amp;TRUNC(INDEX(last5[Q1T],8))&amp;")"&amp;"["&amp;INDEX(last5[Q1T],9)&amp;"]"</f>
        <v>22(38)[15]</v>
      </c>
      <c r="N8" s="24" t="s">
        <v>269</v>
      </c>
      <c r="O8" s="24" t="str">
        <f ca="1">TRUNC(INDEX(last5away[Q1H],8))&amp;"("&amp;TRUNC(INDEX(last5away[Q1T],8))&amp;")"&amp;"["&amp;INDEX(last5away[Q1T],9)&amp;"]"</f>
        <v>16(38)[15]</v>
      </c>
    </row>
    <row r="9" spans="1:19" x14ac:dyDescent="0.25">
      <c r="A9" s="24" t="e">
        <f ca="1">TRUNC(INDEX(last5[FGM],8))&amp;"("&amp;ROUND(INDEX(last5[FGM],6)-INDEX(last5[FGM],8),1)&amp;")"&amp;"["&amp;INDEX(last5[FGM],9)&amp;"]"</f>
        <v>#VALUE!</v>
      </c>
      <c r="B9" s="24" t="s">
        <v>164</v>
      </c>
      <c r="C9" s="24" t="e">
        <f ca="1">TRUNC(INDEX(last5away[FGM],8))&amp;"("&amp;ROUND(INDEX(last5away[FGM],6)-INDEX(last5away[FGM],8),1)&amp;")"&amp;"["&amp;INDEX(last5away[FGM],9)&amp;"]"</f>
        <v>#VALUE!</v>
      </c>
      <c r="E9" s="24" t="e">
        <f ca="1">TRUNC(INDEX(last5[ORB],8))&amp;"("&amp;ROUND(INDEX(last5[ORB],6)-INDEX(last5[ORB],8),1)&amp;")"&amp;"["&amp;INDEX(last5[ORB],9)&amp;"]"</f>
        <v>#VALUE!</v>
      </c>
      <c r="F9" s="24" t="s">
        <v>257</v>
      </c>
      <c r="G9" s="24" t="e">
        <f ca="1">TRUNC(INDEX(last5away[ORB],8))&amp;"("&amp;ROUND(INDEX(last5away[ORB],6)-INDEX(last5away[ORB],8),1)&amp;")"&amp;"["&amp;INDEX(last5away[ORB],9)&amp;"]"</f>
        <v>#VALUE!</v>
      </c>
      <c r="I9" s="24" t="e">
        <f ca="1">ROUND(INDEX(last5[TOV%]*100,8),1)&amp;"("&amp;ROUND(INDEX(last5[TOV%],6)*100-INDEX(last5[TOV%],8)*100,1)&amp;")"&amp;"["&amp;INDEX(last5[TOV%],9)&amp;"]"</f>
        <v>#VALUE!</v>
      </c>
      <c r="J9" s="24" t="s">
        <v>40</v>
      </c>
      <c r="K9" s="24" t="e">
        <f ca="1">ROUND(INDEX(last5away[TOV%]*100,8),1)&amp;"("&amp;ROUND(INDEX(last5away[TOV%],6)*100-INDEX(last5away[TOV%],8)*100,1)&amp;")"&amp;"["&amp;INDEX(last5away[TOV%],9)&amp;"]"</f>
        <v>#VALUE!</v>
      </c>
      <c r="M9" s="24" t="str">
        <f ca="1">TRUNC(INDEX(last5[Q2H],8))&amp;"("&amp;TRUNC(INDEX(last5[Q2T],8))&amp;")"&amp;"["&amp;INDEX(last5[Q2T],9)&amp;"]"</f>
        <v>24(49)[1]</v>
      </c>
      <c r="N9" s="24" t="s">
        <v>270</v>
      </c>
      <c r="O9" s="24" t="str">
        <f ca="1">TRUNC(INDEX(last5away[Q2H],8))&amp;"("&amp;TRUNC(INDEX(last5away[Q2T],8))&amp;")"&amp;"["&amp;INDEX(last5away[Q2T],9)&amp;"]"</f>
        <v>25(49)[1]</v>
      </c>
    </row>
    <row r="10" spans="1:19" x14ac:dyDescent="0.25">
      <c r="A10" s="24" t="e">
        <f ca="1">ROUND(INDEX(last5[FGp]*100,8),1)&amp;"("&amp;ROUND(INDEX(last5[FGp],6)*100-INDEX(last5[FGp],8)*100,1)&amp;")"&amp;"["&amp;INDEX(last5[FGp],9)&amp;"]"</f>
        <v>#VALUE!</v>
      </c>
      <c r="B10" s="24" t="s">
        <v>165</v>
      </c>
      <c r="C10" s="24" t="e">
        <f ca="1">ROUND(INDEX(last5away[FGp]*100,8),1)&amp;"("&amp;ROUND(INDEX(last5away[FGp],6)*100-INDEX(last5away[FGp],8)*100,1)&amp;")"&amp;"["&amp;INDEX(last5away[FGp],9)&amp;"]"</f>
        <v>#VALUE!</v>
      </c>
      <c r="E10" s="24" t="e">
        <f ca="1">TRUNC(INDEX(last5[DRB],8))&amp;"("&amp;ROUND(INDEX(last5[DRB],6)-INDEX(last5[DRB],8),1)&amp;")"&amp;"["&amp;INDEX(last5[DRB],9)&amp;"]"</f>
        <v>#VALUE!</v>
      </c>
      <c r="F10" s="24" t="s">
        <v>258</v>
      </c>
      <c r="G10" s="24" t="e">
        <f ca="1">TRUNC(INDEX(last5away[DRB],8))&amp;"("&amp;ROUND(INDEX(last5away[DRB],6)-INDEX(last5away[DRB],8),1)&amp;")"&amp;"["&amp;INDEX(last5away[DRB],9)&amp;"]"</f>
        <v>#VALUE!</v>
      </c>
      <c r="I10" s="24" t="e">
        <f ca="1">ROUND(INDEX(last5[ORB%]*100,8),1)&amp;"("&amp;ROUND(INDEX(last5[ORB%],6)*100-INDEX(last5[ORB%],8)*100,1)&amp;")"&amp;"["&amp;INDEX(last5[ORB%],9)&amp;"]"</f>
        <v>#VALUE!</v>
      </c>
      <c r="J10" s="24" t="s">
        <v>34</v>
      </c>
      <c r="K10" s="24" t="e">
        <f ca="1">ROUND(INDEX(last5away[ORB%]*100,8),1)&amp;"("&amp;ROUND(INDEX(last5away[ORB%],6)*100-INDEX(last5away[ORB%],8)*100,1)&amp;")"&amp;"["&amp;INDEX(last5away[ORB%],9)&amp;"]"</f>
        <v>#VALUE!</v>
      </c>
      <c r="M10" s="24" t="str">
        <f ca="1">TRUNC(INDEX(last5[Q3H],8))&amp;"("&amp;TRUNC(INDEX(last5[Q3T],8))&amp;")"&amp;"["&amp;INDEX(last5[Q3T],9)&amp;"]"</f>
        <v>20(47)[1]</v>
      </c>
      <c r="N10" s="24" t="s">
        <v>271</v>
      </c>
      <c r="O10" s="24" t="str">
        <f ca="1">TRUNC(INDEX(last5away[Q3H],8))&amp;"("&amp;TRUNC(INDEX(last5away[Q3T],8))&amp;")"&amp;"["&amp;INDEX(last5away[Q3T],9)&amp;"]"</f>
        <v>27(47)[1]</v>
      </c>
    </row>
    <row r="11" spans="1:19" ht="42" customHeight="1" x14ac:dyDescent="0.25">
      <c r="A11" s="24"/>
      <c r="B11" s="24"/>
      <c r="C11" s="24"/>
      <c r="E11" s="24"/>
      <c r="G11" s="24"/>
      <c r="I11" s="24" t="e">
        <f ca="1">ROUND(INDEX(last5[FTFGA%]*100,8),1)&amp;"("&amp;ROUND(INDEX(last5[FTFGA%],6)*100-INDEX(last5[FTFGA%],8)*100,1)&amp;")"&amp;"["&amp;INDEX(last5[FTFGA%],9)&amp;"]"</f>
        <v>#VALUE!</v>
      </c>
      <c r="J11" s="24" t="s">
        <v>264</v>
      </c>
      <c r="K11" s="24" t="e">
        <f ca="1">ROUND(INDEX(last5away[FTFGA%]*100,8),1)&amp;"("&amp;ROUND(INDEX(last5away[FTFGA%],6)*100-INDEX(last5away[FTFGA%],8)*100,1)&amp;")"&amp;"["&amp;INDEX(last5away[FTFGA%],9)&amp;"]"</f>
        <v>#VALUE!</v>
      </c>
      <c r="M11" s="24" t="str">
        <f ca="1">TRUNC(INDEX(last5[Q4H],8))&amp;"("&amp;TRUNC(INDEX(last5[Q4T],8))&amp;")"&amp;"["&amp;INDEX(last5[Q4T],9)&amp;"]"</f>
        <v>23(46)[1]</v>
      </c>
      <c r="N11" s="24" t="s">
        <v>272</v>
      </c>
      <c r="O11" s="24" t="str">
        <f ca="1">TRUNC(INDEX(last5away[Q4H],8))&amp;"("&amp;TRUNC(INDEX(last5away[Q4T],8))&amp;")"&amp;"["&amp;INDEX(last5away[Q4T],9)&amp;"]"</f>
        <v>23(46)[1]</v>
      </c>
    </row>
    <row r="12" spans="1:19" x14ac:dyDescent="0.25">
      <c r="A12" s="24" t="e">
        <f ca="1">TRUNC(INDEX(last5[P2A],8))&amp;"("&amp;ROUND(INDEX(last5[P2A],6)-INDEX(last5[P2A],8),1)&amp;")"&amp;"["&amp;INDEX(last5[P2A],9)&amp;"]"</f>
        <v>#VALUE!</v>
      </c>
      <c r="B12" s="24" t="s">
        <v>167</v>
      </c>
      <c r="C12" s="24" t="e">
        <f ca="1">TRUNC(INDEX(last5away[P2A],8))&amp;"("&amp;ROUND(INDEX(last5away[P2A],6)-INDEX(last5away[P2A],8),1)&amp;")"&amp;"["&amp;INDEX(last5away[P2A],9)&amp;"]"</f>
        <v>#VALUE!</v>
      </c>
      <c r="E12" s="24" t="e">
        <f ca="1">TRUNC(INDEX(last5[BLK],8))&amp;"("&amp;ROUND(INDEX(last5[BLK],6)-INDEX(last5[BLK],8),1)&amp;")"&amp;"["&amp;INDEX(last5[BLK],9)&amp;"]"</f>
        <v>#VALUE!</v>
      </c>
      <c r="F12" s="24" t="s">
        <v>259</v>
      </c>
      <c r="G12" s="24" t="e">
        <f ca="1">TRUNC(INDEX(last5away[BLK],8))&amp;"("&amp;ROUND(INDEX(last5away[BLK],6)-INDEX(last5away[BLK],8),1)&amp;")"&amp;"["&amp;INDEX(last5away[BLK],9)&amp;"]"</f>
        <v>#VALUE!</v>
      </c>
      <c r="I12" s="24" t="e">
        <f ca="1">TRUNC(INDEX(last5[ORtg],8))&amp;"("&amp;ROUND(INDEX(last5[ORtg],6)-INDEX(last5[ORtg],8),1)&amp;")"&amp;"["&amp;INDEX(last5[ORtg],9)&amp;"]"</f>
        <v>#VALUE!</v>
      </c>
      <c r="J12" s="24" t="s">
        <v>41</v>
      </c>
      <c r="K12" s="24" t="e">
        <f ca="1">TRUNC(INDEX(last5away[ORtg],8))&amp;"("&amp;ROUND(INDEX(last5away[ORtg],6)-INDEX(last5away[ORtg],8),1)&amp;")"&amp;"["&amp;INDEX(last5away[ORtg],9)&amp;"]"</f>
        <v>#VALUE!</v>
      </c>
      <c r="M12" s="24" t="str">
        <f ca="1">TRUNC(INDEX(last5[FhalfH],8))&amp;"("&amp;TRUNC(INDEX(last5[FHT],8))&amp;")"&amp;"["&amp;INDEX(last5[FHT],9)&amp;"]"</f>
        <v>46(87)[3]</v>
      </c>
      <c r="N12" s="24" t="s">
        <v>273</v>
      </c>
      <c r="O12" s="24" t="str">
        <f ca="1">TRUNC(INDEX(last5away[FhalfH],8))&amp;"("&amp;TRUNC(INDEX(last5away[FHT],8))&amp;")"&amp;"["&amp;INDEX(last5away[FHT],9)&amp;"]"</f>
        <v>41(87)[3]</v>
      </c>
    </row>
    <row r="13" spans="1:19" x14ac:dyDescent="0.25">
      <c r="A13" s="24" t="e">
        <f ca="1">TRUNC(INDEX(last5[P2M],8))&amp;"("&amp;ROUND(INDEX(last5[P2M],6)-INDEX(last5[P2M],8),1)&amp;")"&amp;"["&amp;INDEX(last5[P2M],9)&amp;"]"</f>
        <v>#VALUE!</v>
      </c>
      <c r="B13" s="24" t="s">
        <v>168</v>
      </c>
      <c r="C13" s="24" t="e">
        <f ca="1">TRUNC(INDEX(last5away[P2M],8))&amp;"("&amp;ROUND(INDEX(last5away[P2M],6)-INDEX(last5away[P2M],8),1)&amp;")"&amp;"["&amp;INDEX(last5away[P2M],9)&amp;"]"</f>
        <v>#VALUE!</v>
      </c>
      <c r="E13" s="24" t="e">
        <f ca="1">TRUNC(INDEX(last5[AST],8))&amp;"("&amp;ROUND(INDEX(last5[AST],6)-INDEX(last5[AST],8),1)&amp;")"&amp;"["&amp;INDEX(last5[AST],9)&amp;"]"</f>
        <v>#VALUE!</v>
      </c>
      <c r="F13" s="24" t="s">
        <v>260</v>
      </c>
      <c r="G13" s="24" t="e">
        <f ca="1">TRUNC(INDEX(last5away[AST],8))&amp;"("&amp;ROUND(INDEX(last5away[AST],6)-INDEX(last5away[AST],8),1)&amp;")"&amp;"["&amp;INDEX(last5away[AST],9)&amp;"]"</f>
        <v>#VALUE!</v>
      </c>
      <c r="I13" s="24" t="e">
        <f ca="1">TRUNC(INDEX(last5[DRtg],8))&amp;"("&amp;ROUND(INDEX(last5[DRtg],6)-INDEX(last5[DRtg],8),1)&amp;")"&amp;"["&amp;INDEX(last5[DRtg],9)&amp;"]"</f>
        <v>#VALUE!</v>
      </c>
      <c r="J13" s="24" t="s">
        <v>42</v>
      </c>
      <c r="K13" s="24" t="e">
        <f ca="1">TRUNC(INDEX(last5away[DRtg],8))&amp;"("&amp;ROUND(INDEX(last5away[DRtg],6)-INDEX(last5away[DRtg],8),1)&amp;")"&amp;"["&amp;INDEX(last5away[DRtg],9)&amp;"]"</f>
        <v>#VALUE!</v>
      </c>
      <c r="M13" s="24" t="str">
        <f ca="1">TRUNC(INDEX(last5[ShalfH],8))&amp;"("&amp;TRUNC(INDEX(last5[SHT],8))&amp;")"&amp;"["&amp;INDEX(last5[SHT],9)&amp;"]"</f>
        <v>43(93)[1]</v>
      </c>
      <c r="N13" s="24" t="s">
        <v>274</v>
      </c>
      <c r="O13" s="24" t="str">
        <f ca="1">TRUNC(INDEX(last5away[ShalfH],8))&amp;"("&amp;TRUNC(INDEX(last5away[SHT],8))&amp;")"&amp;"["&amp;INDEX(last5away[SHT],9)&amp;"]"</f>
        <v>50(93)[1]</v>
      </c>
    </row>
    <row r="14" spans="1:19" x14ac:dyDescent="0.25">
      <c r="A14" s="24" t="e">
        <f ca="1">ROUND(INDEX(last5[P2p]*100,8),1)&amp;"("&amp;ROUND(INDEX(last5[P2p],6)*100-INDEX(last5[P2p],8)*100,1)&amp;")"&amp;"["&amp;INDEX(last5[P2p],9)&amp;"]"</f>
        <v>#VALUE!</v>
      </c>
      <c r="B14" s="24" t="s">
        <v>169</v>
      </c>
      <c r="C14" s="24" t="e">
        <f ca="1">ROUND(INDEX(last5away[P2p]*100,8),1)&amp;"("&amp;ROUND(INDEX(last5away[P2p],6)*100-INDEX(last5away[P2p],8)*100,1)&amp;")"&amp;"["&amp;INDEX(last5away[P2p],9)&amp;"]"</f>
        <v>#VALUE!</v>
      </c>
      <c r="E14" s="24" t="e">
        <f ca="1">TRUNC(INDEX(last5[STL],8))&amp;"("&amp;ROUND(INDEX(last5[STL],6)-INDEX(last5[STL],8),1)&amp;")"&amp;"["&amp;INDEX(last5[STL],9)&amp;"]"</f>
        <v>#VALUE!</v>
      </c>
      <c r="F14" s="24" t="s">
        <v>261</v>
      </c>
      <c r="G14" s="24" t="e">
        <f ca="1">TRUNC(INDEX(last5away[STL],8))&amp;"("&amp;ROUND(INDEX(last5away[STL],6)-INDEX(last5away[STL],8),1)&amp;")"&amp;"["&amp;INDEX(last5away[STL],9)&amp;"]"</f>
        <v>#VALUE!</v>
      </c>
      <c r="I14" s="24" t="e">
        <f ca="1">TRUNC(INDEX(last5[Home_scored],8))&amp;"("&amp;ROUND(INDEX(last5[Home_scored],6)-INDEX(last5[Home_scored],8),1)&amp;")"&amp;"["&amp;INDEX(last5[Home_scored],9)&amp;"]"</f>
        <v>#VALUE!</v>
      </c>
      <c r="J14" s="24" t="s">
        <v>266</v>
      </c>
      <c r="K14" s="24" t="e">
        <f ca="1">TRUNC(INDEX(last5away[Home_scored],8))&amp;"("&amp;ROUND(INDEX(last5away[Home_scored],6)-INDEX(last5away[Home_scored],8),1)&amp;")"&amp;"["&amp;INDEX(last5away[Home_scored],9)&amp;"]"</f>
        <v>#VALUE!</v>
      </c>
    </row>
    <row r="15" spans="1:19" ht="42" customHeight="1" x14ac:dyDescent="0.25">
      <c r="A15" s="24"/>
      <c r="B15" s="24"/>
      <c r="C15" s="24"/>
      <c r="E15" s="24" t="e">
        <f ca="1">TRUNC(INDEX(last5[TOV],8))&amp;"("&amp;ROUND(INDEX(last5[TOV],6)-INDEX(last5[TOV],8),1)&amp;")"&amp;"["&amp;INDEX(last5[TOV],9)&amp;"]"</f>
        <v>#VALUE!</v>
      </c>
      <c r="F15" s="24" t="s">
        <v>262</v>
      </c>
      <c r="G15" s="24" t="e">
        <f ca="1">TRUNC(INDEX(last5away[TOV],8))&amp;"("&amp;ROUND(INDEX(last5away[TOV],6)-INDEX(last5away[TOV],8),1)&amp;")"&amp;"["&amp;INDEX(last5away[TOV],9)&amp;"]"</f>
        <v>#VALUE!</v>
      </c>
      <c r="J15" s="24" t="s">
        <v>265</v>
      </c>
    </row>
    <row r="16" spans="1:19" ht="15" customHeight="1" x14ac:dyDescent="0.25">
      <c r="A16" s="24" t="e">
        <f ca="1">TRUNC(INDEX(last5[P3A],8))&amp;"("&amp;ROUND(INDEX(last5[P3A],6)-INDEX(last5[P3A],8),1)&amp;")"&amp;"["&amp;INDEX(last5[P3A],9)&amp;"]"</f>
        <v>#VALUE!</v>
      </c>
      <c r="B16" s="24" t="s">
        <v>170</v>
      </c>
      <c r="C16" s="24" t="e">
        <f ca="1">TRUNC(INDEX(last5away[P3A],8))&amp;"("&amp;ROUND(INDEX(last5away[P3A],6)-INDEX(last5away[P3A],8),1)&amp;")"&amp;"["&amp;INDEX(last5away[P3A],9)&amp;"]"</f>
        <v>#VALUE!</v>
      </c>
      <c r="E16" s="24" t="e">
        <f ca="1">TRUNC(INDEX(last5[PF],8))&amp;"("&amp;ROUND(INDEX(last5[PF],6)-INDEX(last5[PF],8),1)&amp;")"&amp;"["&amp;INDEX(last5[PF],9)&amp;"]"</f>
        <v>#VALUE!</v>
      </c>
      <c r="F16" s="24" t="s">
        <v>263</v>
      </c>
      <c r="G16" s="24" t="e">
        <f ca="1">TRUNC(INDEX(last5away[PF],8))&amp;"("&amp;ROUND(INDEX(last5away[PF],6)-INDEX(last5away[PF],8),1)&amp;")"&amp;"["&amp;INDEX(last5away[PF],9)&amp;"]"</f>
        <v>#VALUE!</v>
      </c>
      <c r="I16" s="24" t="e">
        <f ca="1">ROUND(INDEX(last5[eFG%op]*100,8),1)&amp;"("&amp;ROUND(INDEX(last5[eFG%op],6)*100-INDEX(last5[eFG%op],8)*100,1)&amp;")"&amp;"["&amp;INDEX(last5[eFG%op],9)&amp;"]"</f>
        <v>#VALUE!</v>
      </c>
      <c r="J16" s="24" t="s">
        <v>33</v>
      </c>
      <c r="K16" s="24" t="e">
        <f ca="1">ROUND(INDEX(last5away[eFG%op]*100,8),1)&amp;"("&amp;ROUND(INDEX(last5away[eFG%op],6)*100-INDEX(last5away[eFG%op],8)*100,1)&amp;")"&amp;"["&amp;INDEX(last5away[eFG%op],9)&amp;"]"</f>
        <v>#VALUE!</v>
      </c>
      <c r="M16" s="24" t="str">
        <f ca="1">ROUND(INDEX(last5[BetH],8),1)&amp;"("&amp;ROUND(INDEX(last5[win],8),1)&amp;")"&amp;"["&amp;INDEX(last5[BetH],9)&amp;"]"</f>
        <v>-1(1.7)[6]</v>
      </c>
      <c r="N16" s="24" t="s">
        <v>296</v>
      </c>
      <c r="O16" s="24" t="str">
        <f ca="1">ROUND(INDEX(last5away[BetH],8),1)&amp;"("&amp;ROUND(INDEX(last5away[win],8),1)&amp;")"&amp;"["&amp;INDEX(last5away[BetH],9)&amp;"]"</f>
        <v>1.2(2.2)[3]</v>
      </c>
    </row>
    <row r="17" spans="1:101" x14ac:dyDescent="0.25">
      <c r="A17" s="24" t="e">
        <f ca="1">TRUNC(INDEX(last5[P3M],8))&amp;"("&amp;ROUND(INDEX(last5[P3M],6)-INDEX(last5[P3M],8),1)&amp;")"&amp;"["&amp;INDEX(last5[P3M],9)&amp;"]"</f>
        <v>#VALUE!</v>
      </c>
      <c r="B17" s="24" t="s">
        <v>171</v>
      </c>
      <c r="C17" s="24" t="e">
        <f ca="1">TRUNC(INDEX(last5away[P3M],8))&amp;"("&amp;ROUND(INDEX(last5away[P3M],6)-INDEX(last5away[P3M],8),1)&amp;")"&amp;"["&amp;INDEX(last5away[P3M],9)&amp;"]"</f>
        <v>#VALUE!</v>
      </c>
      <c r="E17" s="24" t="e">
        <f ca="1">TRUNC(INDEX(last5[Poss],8))&amp;"("&amp;ROUND(INDEX(last5[Poss],6)-INDEX(last5[Poss],8),1)&amp;")"&amp;"["&amp;INDEX(last5[Poss],9)&amp;"]"</f>
        <v>#VALUE!</v>
      </c>
      <c r="F17" s="24" t="s">
        <v>37</v>
      </c>
      <c r="G17" s="24" t="e">
        <f ca="1">TRUNC(INDEX(last5away[Poss],8))&amp;"("&amp;ROUND(INDEX(last5away[Poss],6)-INDEX(last5away[Poss],8),1)&amp;")"&amp;"["&amp;INDEX(last5away[Poss],9)&amp;"]"</f>
        <v>#VALUE!</v>
      </c>
      <c r="I17" s="24" t="e">
        <f ca="1">ROUND(INDEX(last5[TOV%op]*100,8),1)&amp;"("&amp;ROUND(INDEX(last5[TOV%op],6)*100-INDEX(last5[TOV%op],8)*100,1)&amp;")"&amp;"["&amp;INDEX(last5[TOV%op],9)&amp;"]"</f>
        <v>#VALUE!</v>
      </c>
      <c r="J17" s="24" t="s">
        <v>40</v>
      </c>
      <c r="K17" s="24" t="e">
        <f ca="1">ROUND(INDEX(last5away[TOV%op]*100,8),1)&amp;"("&amp;ROUND(INDEX(last5away[TOV%op],6)*100-INDEX(last5away[TOV%op],8)*100,1)&amp;")"&amp;"["&amp;INDEX(last5away[TOV%op],9)&amp;"]"</f>
        <v>#VALUE!</v>
      </c>
      <c r="M17" s="24" t="str">
        <f ca="1">ROUND(INDEX(last5[BetA],8),1)&amp;"("&amp;ROUND(INDEX(last5[lose],8),1)&amp;")"&amp;"["&amp;INDEX(last5[BetA],9)&amp;"]"</f>
        <v>1.2(2.2)[7]</v>
      </c>
      <c r="N17" s="24" t="s">
        <v>297</v>
      </c>
      <c r="O17" s="24" t="str">
        <f ca="1">ROUND(INDEX(last5away[BetA],8),1)&amp;"("&amp;ROUND(INDEX(last5away[lose],8),1)&amp;")"&amp;"["&amp;INDEX(last5away[BetA],9)&amp;"]"</f>
        <v>-1(1.7)[10]</v>
      </c>
    </row>
    <row r="18" spans="1:101" x14ac:dyDescent="0.25">
      <c r="A18" s="24" t="e">
        <f ca="1">ROUND(INDEX(last5[P3p]*100,8),1)&amp;"("&amp;ROUND(INDEX(last5[P3p],6)*100-INDEX(last5[P3p],8)*100,1)&amp;")"&amp;"["&amp;INDEX(last5[P3p],9)&amp;"]"</f>
        <v>#VALUE!</v>
      </c>
      <c r="B18" s="24" t="s">
        <v>172</v>
      </c>
      <c r="C18" s="24" t="e">
        <f ca="1">ROUND(INDEX(last5away[P3p]*100,8),1)&amp;"("&amp;ROUND(INDEX(last5away[P3p],6)*100-INDEX(last5away[P3p],8)*100,1)&amp;")"&amp;"["&amp;INDEX(last5away[P3p],9)&amp;"]"</f>
        <v>#VALUE!</v>
      </c>
      <c r="E18" s="24" t="e">
        <f ca="1">TRUNC(INDEX(last5[Pace],8))&amp;"("&amp;ROUND(INDEX(last5[Pace],6)-INDEX(last5[Pace],8),1)&amp;")"&amp;"["&amp;INDEX(last5[Pace],9)&amp;"]"</f>
        <v>#VALUE!</v>
      </c>
      <c r="F18" s="24" t="s">
        <v>43</v>
      </c>
      <c r="G18" s="24" t="e">
        <f ca="1">TRUNC(INDEX(last5away[Pace],8))&amp;"("&amp;ROUND(INDEX(last5away[Pace],6)-INDEX(last5away[Pace],8),1)&amp;")"&amp;"["&amp;INDEX(last5away[Pace],9)&amp;"]"</f>
        <v>#VALUE!</v>
      </c>
      <c r="I18" s="24" t="e">
        <f ca="1">ROUND(INDEX(last5[ORB%op]*100,8),1)&amp;"("&amp;ROUND(INDEX(last5[ORB%op],6)*100-INDEX(last5[ORB%op],8)*100,1)&amp;")"&amp;"["&amp;INDEX(last5[ORB%op],9)&amp;"]"</f>
        <v>#VALUE!</v>
      </c>
      <c r="J18" s="24" t="s">
        <v>34</v>
      </c>
      <c r="K18" s="24" t="e">
        <f ca="1">ROUND(INDEX(last5away[ORB%op]*100,8),1)&amp;"("&amp;ROUND(INDEX(last5away[ORB%op],6)*100-INDEX(last5away[ORB%op],8)*100,1)&amp;")"&amp;"["&amp;INDEX(last5away[ORB%op],9)&amp;"]"</f>
        <v>#VALUE!</v>
      </c>
      <c r="M18" s="24" t="str">
        <f ca="1">INDEX(last5[Tover],8)&amp;"/"&amp;INDEX(last5[Away_team],8)-INDEX(last5[Tover],8)&amp;"["&amp;INDEX(last5[Tover],9)&amp;"]"</f>
        <v>1/0[15]</v>
      </c>
      <c r="N18" s="24" t="s">
        <v>298</v>
      </c>
      <c r="O18" s="24" t="str">
        <f ca="1">INDEX(last5away[Tover],8)&amp;"/"&amp;INDEX(last5away[Away_team],8)-INDEX(last5away[Tover],8)&amp;"["&amp;INDEX(last5away[Tover],9)&amp;"]"</f>
        <v>1/0[15]</v>
      </c>
    </row>
    <row r="19" spans="1:101" ht="42" customHeight="1" x14ac:dyDescent="0.25">
      <c r="B19" s="24"/>
      <c r="I19" s="24" t="e">
        <f ca="1">ROUND(INDEX(last5[FTFGA%op]*100,8),1)&amp;"("&amp;ROUND(INDEX(last5[FTFGA%op],6)*100-INDEX(last5[FTFGA%op],8)*100,1)&amp;")"&amp;"["&amp;INDEX(last5[FTFGA%op],9)&amp;"]"</f>
        <v>#VALUE!</v>
      </c>
      <c r="J19" s="24" t="s">
        <v>264</v>
      </c>
      <c r="K19" s="24" t="e">
        <f ca="1">ROUND(INDEX(last5away[FTFGA%op]*100,8),1)&amp;"("&amp;ROUND(INDEX(last5away[FTFGA%op],6)*100-INDEX(last5away[FTFGA%op],8)*100,1)&amp;")"&amp;"["&amp;INDEX(last5away[FTFGA%op],9)&amp;"]"</f>
        <v>#VALUE!</v>
      </c>
      <c r="M19" s="24" t="e">
        <f ca="1">ROUND(INDEX(last5[Deviation],8),0)&amp;"("&amp;ROUND(INDEX(last5[Deviation],6)-INDEX(last5[Deviation],8),1)&amp;")"&amp;"["&amp;INDEX(last5[Deviation],9)&amp;"]"</f>
        <v>#VALUE!</v>
      </c>
      <c r="N19" s="24" t="s">
        <v>293</v>
      </c>
      <c r="O19" s="24" t="e">
        <f ca="1">ROUND(INDEX(last5away[Deviation],8),0)&amp;"("&amp;ROUND(INDEX(last5away[Deviation],6)-INDEX(last5away[Deviation],8),1)&amp;")"&amp;"["&amp;INDEX(last5away[Deviation],9)&amp;"]"</f>
        <v>#VALUE!</v>
      </c>
    </row>
    <row r="20" spans="1:101" x14ac:dyDescent="0.25">
      <c r="A20" s="24" t="e">
        <f ca="1">TRUNC(INDEX(last5[FTA],8))&amp;"("&amp;ROUND(INDEX(last5[FTA],6)-INDEX(last5[FTA],8),1)&amp;")"&amp;"["&amp;INDEX(last5[FTA],9)&amp;"]"</f>
        <v>#VALUE!</v>
      </c>
      <c r="B20" s="24" t="s">
        <v>253</v>
      </c>
      <c r="C20" s="24" t="e">
        <f ca="1">TRUNC(INDEX(last5away[FTA],8))&amp;"("&amp;ROUND(INDEX(last5away[FTA],6)-INDEX(last5away[FTA],8),1)&amp;")"&amp;"["&amp;INDEX(last5away[FTA],9)&amp;"]"</f>
        <v>#VALUE!</v>
      </c>
      <c r="E20" s="24" t="e">
        <f ca="1">ROUND(INDEX(last5[TRB%]*100,8),1)&amp;"("&amp;ROUND(INDEX(last5[TRB%],6)*100-INDEX(last5[TRB%],8)*100,1)&amp;")"&amp;"["&amp;INDEX(last5[TRB%],9)&amp;"]"</f>
        <v>#VALUE!</v>
      </c>
      <c r="F20" s="24" t="s">
        <v>36</v>
      </c>
      <c r="G20" s="24" t="e">
        <f ca="1">ROUND(INDEX(last5away[TRB%]*100,8),1)&amp;"("&amp;ROUND(INDEX(last5away[TRB%],6)*100-INDEX(last5away[TRB%],8)*100,1)&amp;")"&amp;"["&amp;INDEX(last5away[TRB%],9)&amp;"]"</f>
        <v>#VALUE!</v>
      </c>
      <c r="I20" s="24" t="e">
        <f ca="1">TRUNC(INDEX(last5[Away_scored],8))&amp;"("&amp;ROUND(INDEX(last5[Away_scored],6)-INDEX(last5[Away_scored],8),1)&amp;")"&amp;"["&amp;INDEX(last5[Away_scored],9)&amp;"]"</f>
        <v>#VALUE!</v>
      </c>
      <c r="J20" s="24" t="s">
        <v>281</v>
      </c>
      <c r="K20" s="24" t="e">
        <f ca="1">TRUNC(INDEX(last5away[Away_scored],8))&amp;"("&amp;ROUND(INDEX(last5away[Away_scored],6)-INDEX(last5away[Away_scored],8),1)&amp;")"&amp;"["&amp;INDEX(last5away[Away_scored],9)&amp;"]"</f>
        <v>#VALUE!</v>
      </c>
    </row>
    <row r="21" spans="1:101" x14ac:dyDescent="0.25">
      <c r="A21" s="24" t="e">
        <f ca="1">TRUNC(INDEX(last5[FTM],8))&amp;"("&amp;ROUND(INDEX(last5[FTM],6)-INDEX(last5[FTM],8),1)&amp;")"&amp;"["&amp;INDEX(last5[FTM],9)&amp;"]"</f>
        <v>#VALUE!</v>
      </c>
      <c r="B21" s="24" t="s">
        <v>254</v>
      </c>
      <c r="C21" s="24" t="e">
        <f ca="1">TRUNC(INDEX(last5away[FTM],8))&amp;"("&amp;ROUND(INDEX(last5away[FTM],6)-INDEX(last5away[FTM],8),1)&amp;")"&amp;"["&amp;INDEX(last5away[FTM],9)&amp;"]"</f>
        <v>#VALUE!</v>
      </c>
      <c r="E21" s="24" t="e">
        <f ca="1">ROUND(INDEX(last5[AST%]*100,8),1)&amp;"("&amp;ROUND(INDEX(last5[AST%],6)*100-INDEX(last5[AST%],8)*100,1)&amp;")"&amp;"["&amp;INDEX(last5[AST%],9)&amp;"]"</f>
        <v>#VALUE!</v>
      </c>
      <c r="F21" s="24" t="s">
        <v>38</v>
      </c>
      <c r="G21" s="24" t="e">
        <f ca="1">ROUND(INDEX(last5away[AST%]*100,8),1)&amp;"("&amp;ROUND(INDEX(last5away[AST%],6)*100-INDEX(last5away[AST%],8)*100,1)&amp;")"&amp;"["&amp;INDEX(last5away[AST%],9)&amp;"]"</f>
        <v>#VALUE!</v>
      </c>
      <c r="I21" s="24"/>
      <c r="J21" s="24"/>
      <c r="K21" s="24"/>
    </row>
    <row r="22" spans="1:101" x14ac:dyDescent="0.25">
      <c r="A22" s="24" t="e">
        <f ca="1">ROUND(INDEX(last5[FTp]*100,8),1)&amp;"("&amp;ROUND(INDEX(last5[FTp],6)*100-INDEX(last5[FTp],8)*100,1)&amp;")"&amp;"["&amp;INDEX(last5[FTp],9)&amp;"]"</f>
        <v>#VALUE!</v>
      </c>
      <c r="B22" s="24" t="s">
        <v>255</v>
      </c>
      <c r="C22" s="24" t="e">
        <f ca="1">ROUND(INDEX(last5away[FTp]*100,8),1)&amp;"("&amp;ROUND(INDEX(last5away[FTp],6)*100-INDEX(last5away[FTp],8)*100,1)&amp;")"&amp;"["&amp;INDEX(last5away[FTp],9)&amp;"]"</f>
        <v>#VALUE!</v>
      </c>
      <c r="E22" s="24" t="e">
        <f ca="1">ROUND(INDEX(last5[TS%]*100,8),1)&amp;"("&amp;ROUND(INDEX(last5[TS%],6)*100-INDEX(last5[TS%],8)*100,1)&amp;")"&amp;"["&amp;INDEX(last5[TS%],9)&amp;"]"</f>
        <v>#VALUE!</v>
      </c>
      <c r="F22" s="24" t="s">
        <v>32</v>
      </c>
      <c r="G22" s="24" t="e">
        <f ca="1">ROUND(INDEX(last5away[TS%]*100,8),1)&amp;"("&amp;ROUND(INDEX(last5away[TS%],6)*100-INDEX(last5away[TS%],8)*100,1)&amp;")"&amp;"["&amp;INDEX(last5away[TS%],9)&amp;"]"</f>
        <v>#VALUE!</v>
      </c>
    </row>
    <row r="26" spans="1:101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80</v>
      </c>
      <c r="K26" t="s">
        <v>9</v>
      </c>
      <c r="L26" t="s">
        <v>82</v>
      </c>
      <c r="M26" t="s">
        <v>77</v>
      </c>
      <c r="N26" t="s">
        <v>10</v>
      </c>
      <c r="O26" t="s">
        <v>81</v>
      </c>
      <c r="P26" t="s">
        <v>83</v>
      </c>
      <c r="Q26" t="s">
        <v>11</v>
      </c>
      <c r="R26" t="s">
        <v>84</v>
      </c>
      <c r="S26" t="s">
        <v>86</v>
      </c>
      <c r="T26" t="s">
        <v>12</v>
      </c>
      <c r="U26" t="s">
        <v>85</v>
      </c>
      <c r="V26" t="s">
        <v>13</v>
      </c>
      <c r="W26" t="s">
        <v>14</v>
      </c>
      <c r="X26" t="s">
        <v>15</v>
      </c>
      <c r="Y26" t="s">
        <v>16</v>
      </c>
      <c r="Z26" t="s">
        <v>17</v>
      </c>
      <c r="AA26" t="s">
        <v>18</v>
      </c>
      <c r="AB26" t="s">
        <v>19</v>
      </c>
      <c r="AC26" t="s">
        <v>20</v>
      </c>
      <c r="AD26" t="s">
        <v>87</v>
      </c>
      <c r="AE26" t="s">
        <v>21</v>
      </c>
      <c r="AF26" t="s">
        <v>88</v>
      </c>
      <c r="AG26" t="s">
        <v>94</v>
      </c>
      <c r="AH26" t="s">
        <v>22</v>
      </c>
      <c r="AI26" t="s">
        <v>89</v>
      </c>
      <c r="AJ26" t="s">
        <v>97</v>
      </c>
      <c r="AK26" t="s">
        <v>23</v>
      </c>
      <c r="AL26" t="s">
        <v>98</v>
      </c>
      <c r="AM26" t="s">
        <v>103</v>
      </c>
      <c r="AN26" t="s">
        <v>24</v>
      </c>
      <c r="AO26" t="s">
        <v>106</v>
      </c>
      <c r="AP26" t="s">
        <v>25</v>
      </c>
      <c r="AQ26" t="s">
        <v>26</v>
      </c>
      <c r="AR26" t="s">
        <v>27</v>
      </c>
      <c r="AS26" t="s">
        <v>28</v>
      </c>
      <c r="AT26" t="s">
        <v>29</v>
      </c>
      <c r="AU26" t="s">
        <v>30</v>
      </c>
      <c r="AV26" t="s">
        <v>31</v>
      </c>
      <c r="AW26" t="s">
        <v>115</v>
      </c>
      <c r="AX26" t="s">
        <v>32</v>
      </c>
      <c r="AY26" t="s">
        <v>33</v>
      </c>
      <c r="AZ26" t="s">
        <v>34</v>
      </c>
      <c r="BA26" t="s">
        <v>35</v>
      </c>
      <c r="BB26" t="s">
        <v>36</v>
      </c>
      <c r="BC26" t="s">
        <v>37</v>
      </c>
      <c r="BD26" t="s">
        <v>38</v>
      </c>
      <c r="BE26" t="s">
        <v>39</v>
      </c>
      <c r="BF26" t="s">
        <v>40</v>
      </c>
      <c r="BG26" t="s">
        <v>41</v>
      </c>
      <c r="BH26" t="s">
        <v>42</v>
      </c>
      <c r="BI26" t="s">
        <v>43</v>
      </c>
      <c r="BJ26" t="s">
        <v>44</v>
      </c>
      <c r="BK26" t="s">
        <v>45</v>
      </c>
      <c r="BL26" t="s">
        <v>46</v>
      </c>
      <c r="BM26" t="s">
        <v>47</v>
      </c>
      <c r="BN26" t="s">
        <v>48</v>
      </c>
      <c r="BO26" t="s">
        <v>49</v>
      </c>
      <c r="BP26" t="s">
        <v>50</v>
      </c>
      <c r="BQ26" t="s">
        <v>51</v>
      </c>
      <c r="BR26" t="s">
        <v>52</v>
      </c>
      <c r="BS26" t="s">
        <v>53</v>
      </c>
      <c r="BT26" t="s">
        <v>54</v>
      </c>
      <c r="BU26" t="s">
        <v>55</v>
      </c>
      <c r="BV26" t="s">
        <v>56</v>
      </c>
      <c r="BW26" t="s">
        <v>57</v>
      </c>
      <c r="BX26" t="s">
        <v>58</v>
      </c>
      <c r="BY26" t="s">
        <v>59</v>
      </c>
      <c r="BZ26" t="s">
        <v>60</v>
      </c>
      <c r="CA26" t="s">
        <v>61</v>
      </c>
      <c r="CB26" t="s">
        <v>62</v>
      </c>
      <c r="CC26" t="s">
        <v>63</v>
      </c>
      <c r="CD26" t="s">
        <v>64</v>
      </c>
      <c r="CE26" t="s">
        <v>65</v>
      </c>
      <c r="CF26" t="s">
        <v>66</v>
      </c>
      <c r="CG26" t="s">
        <v>67</v>
      </c>
      <c r="CH26" t="s">
        <v>68</v>
      </c>
      <c r="CI26" t="s">
        <v>69</v>
      </c>
      <c r="CJ26" t="s">
        <v>70</v>
      </c>
      <c r="CK26" t="s">
        <v>71</v>
      </c>
      <c r="CL26" t="s">
        <v>72</v>
      </c>
      <c r="CM26" t="s">
        <v>149</v>
      </c>
      <c r="CN26" t="s">
        <v>275</v>
      </c>
      <c r="CO26" t="s">
        <v>276</v>
      </c>
      <c r="CP26" t="s">
        <v>277</v>
      </c>
      <c r="CQ26" t="s">
        <v>278</v>
      </c>
      <c r="CR26" t="s">
        <v>279</v>
      </c>
      <c r="CS26" t="s">
        <v>280</v>
      </c>
      <c r="CT26" t="s">
        <v>282</v>
      </c>
      <c r="CU26" t="s">
        <v>283</v>
      </c>
      <c r="CV26" t="s">
        <v>292</v>
      </c>
      <c r="CW26" t="s">
        <v>293</v>
      </c>
    </row>
    <row r="27" spans="1:101" x14ac:dyDescent="0.25">
      <c r="A27" t="e">
        <f ca="1">INDEX(INDIRECT(B33 &amp; "[tournament]"), ROWS(INDIRECT(B33 &amp; "[tournament]")) - 5 + 1)</f>
        <v>#VALUE!</v>
      </c>
      <c r="B27" t="e">
        <f ca="1">INDEX(INDIRECT(B33 &amp; "[Home_team]"), ROWS(INDIRECT(B33 &amp; "[Home_team]")) - 5 + 1)</f>
        <v>#VALUE!</v>
      </c>
      <c r="C27" t="e">
        <f ca="1">INDEX(INDIRECT(B33 &amp; "[Stage]"), ROWS(INDIRECT(B33 &amp; "[Stage]")) - 5 + 1)</f>
        <v>#VALUE!</v>
      </c>
      <c r="D27" s="10" t="e">
        <f ca="1">INDEX(INDIRECT(B33 &amp; "[Date]"), ROWS(INDIRECT(B33 &amp; "[Date]")) - 5 + 1)</f>
        <v>#VALUE!</v>
      </c>
      <c r="E27" t="e">
        <f ca="1">INDEX(INDIRECT(B33 &amp; "[Location]"), ROWS(INDIRECT(B33 &amp; "[Location]")) - 5 + 1)</f>
        <v>#VALUE!</v>
      </c>
      <c r="F27" t="e">
        <f ca="1">INDEX(INDIRECT(B33 &amp; "[Away_team]"), ROWS(INDIRECT(B33 &amp; "[Away_team]")) - 5 + 1)</f>
        <v>#VALUE!</v>
      </c>
      <c r="G27" t="e">
        <f ca="1">INDEX(INDIRECT(B33 &amp; "[Result]"), ROWS(INDIRECT(B33 &amp; "[Result]")) - 5 + 1)</f>
        <v>#VALUE!</v>
      </c>
      <c r="H27" t="e">
        <f ca="1">INDEX(INDIRECT(B33 &amp; "[Home_scored]"), ROWS(INDIRECT(B33 &amp; "[Home_scored]")) - 5 + 1)</f>
        <v>#VALUE!</v>
      </c>
      <c r="I27" t="e">
        <f ca="1">INDEX(INDIRECT(B33 &amp; "[Away_scored]"), ROWS(INDIRECT(B33 &amp; "[Away_scored]")) - 5 + 1)</f>
        <v>#VALUE!</v>
      </c>
      <c r="J27" t="e">
        <f ca="1">INDEX(INDIRECT(B33 &amp; "[FGM]"), ROWS(INDIRECT(B33 &amp; "[FGM]")) - 5 + 1)</f>
        <v>#VALUE!</v>
      </c>
      <c r="K27" t="e">
        <f ca="1">INDEX(INDIRECT(B33 &amp; "[FGA]"), ROWS(INDIRECT(B33 &amp; "[FGA]")) - 5 + 1)</f>
        <v>#VALUE!</v>
      </c>
      <c r="L27" t="e">
        <f ca="1">INDEX(INDIRECT(B33 &amp; "[FGp]"), ROWS(INDIRECT(B33 &amp; "[FGp]")) - 5 + 1)</f>
        <v>#VALUE!</v>
      </c>
      <c r="M27" t="e">
        <f ca="1">INDEX(INDIRECT(B33 &amp; "[P2M]"), ROWS(INDIRECT(B33 &amp; "[P2M]")) - 5 + 1)</f>
        <v>#VALUE!</v>
      </c>
      <c r="N27" t="e">
        <f ca="1">INDEX(INDIRECT(B33 &amp; "[P2A]"), ROWS(INDIRECT(B33 &amp; "[P2A]")) - 5 + 1)</f>
        <v>#VALUE!</v>
      </c>
      <c r="O27" t="e">
        <f ca="1">INDEX(INDIRECT(B33 &amp; "[P2p]"), ROWS(INDIRECT(B33 &amp; "[P2p]")) - 5 + 1)</f>
        <v>#VALUE!</v>
      </c>
      <c r="P27" t="e">
        <f ca="1">INDEX(INDIRECT(B33 &amp; "[P3M]"), ROWS(INDIRECT(B33 &amp; "[P3M]")) - 5 + 1)</f>
        <v>#VALUE!</v>
      </c>
      <c r="Q27" t="e">
        <f ca="1">INDEX(INDIRECT(B33 &amp; "[P3A]"), ROWS(INDIRECT(B33 &amp; "[P3A]")) - 5 + 1)</f>
        <v>#VALUE!</v>
      </c>
      <c r="R27" t="e">
        <f ca="1">INDEX(INDIRECT(B33 &amp; "[P3p]"), ROWS(INDIRECT(B33 &amp; "[P3p]")) - 5 + 1)</f>
        <v>#VALUE!</v>
      </c>
      <c r="S27" t="e">
        <f ca="1">INDEX(INDIRECT(B33 &amp; "[FTM]"), ROWS(INDIRECT(B33 &amp; "[FTM]")) - 5 + 1)</f>
        <v>#VALUE!</v>
      </c>
      <c r="T27" t="e">
        <f ca="1">INDEX(INDIRECT(B33 &amp; "[FTA]"), ROWS(INDIRECT(B33 &amp; "[FTA]")) - 5 + 1)</f>
        <v>#VALUE!</v>
      </c>
      <c r="U27" t="e">
        <f ca="1">INDEX(INDIRECT(B33 &amp; "[FTp]"), ROWS(INDIRECT(B33 &amp; "[FTp]")) - 5 + 1)</f>
        <v>#VALUE!</v>
      </c>
      <c r="V27" t="e">
        <f ca="1">INDEX(INDIRECT(B33 &amp; "[ORB]"), ROWS(INDIRECT(B33 &amp; "[ORB]")) - 5 + 1)</f>
        <v>#VALUE!</v>
      </c>
      <c r="W27" t="e">
        <f ca="1">INDEX(INDIRECT(B33 &amp; "[DRB]"), ROWS(INDIRECT(B33 &amp; "[DRB]")) - 5 + 1)</f>
        <v>#VALUE!</v>
      </c>
      <c r="X27" t="e">
        <f ca="1">INDEX(INDIRECT(B33 &amp; "[TRB]"), ROWS(INDIRECT(B33 &amp; "[TRB]")) - 5 + 1)</f>
        <v>#VALUE!</v>
      </c>
      <c r="Y27" t="e">
        <f ca="1">INDEX(INDIRECT(B33 &amp; "[AST]"), ROWS(INDIRECT(B33 &amp; "[AST]")) - 5 + 1)</f>
        <v>#VALUE!</v>
      </c>
      <c r="Z27" t="e">
        <f ca="1">INDEX(INDIRECT(B33 &amp; "[STL]"), ROWS(INDIRECT(B33 &amp; "[STL]")) - 5 + 1)</f>
        <v>#VALUE!</v>
      </c>
      <c r="AA27" t="e">
        <f ca="1">INDEX(INDIRECT(B33 &amp; "[BLK]"), ROWS(INDIRECT(B33 &amp; "[BLK]")) - 5 + 1)</f>
        <v>#VALUE!</v>
      </c>
      <c r="AB27" t="e">
        <f ca="1">INDEX(INDIRECT(B33 &amp; "[TOV]"), ROWS(INDIRECT(B33 &amp; "[TOV]")) - 5 + 1)</f>
        <v>#VALUE!</v>
      </c>
      <c r="AC27" t="e">
        <f ca="1">INDEX(INDIRECT(B33 &amp; "[PF]"), ROWS(INDIRECT(B33 &amp; "[PF]")) - 5 + 1)</f>
        <v>#VALUE!</v>
      </c>
      <c r="AD27" t="e">
        <f ca="1">INDEX(INDIRECT(B33 &amp; "[FGMop]"), ROWS(INDIRECT(B33 &amp; "[FGMop]")) - 5 + 1)</f>
        <v>#VALUE!</v>
      </c>
      <c r="AE27" t="e">
        <f ca="1">INDEX(INDIRECT(B33 &amp; "[FGAop]"), ROWS(INDIRECT(B33 &amp; "[FGAop]")) - 5 + 1)</f>
        <v>#VALUE!</v>
      </c>
      <c r="AF27" t="e">
        <f ca="1">INDEX(INDIRECT(B33 &amp; "[FGpop]"), ROWS(INDIRECT(B33 &amp; "[FGpop]")) - 5 + 1)</f>
        <v>#VALUE!</v>
      </c>
      <c r="AG27" t="e">
        <f ca="1">INDEX(INDIRECT(B33 &amp; "[P2Mop]"), ROWS(INDIRECT(B33 &amp; "[P2Mop]")) - 5 + 1)</f>
        <v>#VALUE!</v>
      </c>
      <c r="AH27" t="e">
        <f ca="1">INDEX(INDIRECT(B33 &amp; "[P2Aop]"), ROWS(INDIRECT(B33 &amp; "[P2Aop]")) - 5 + 1)</f>
        <v>#VALUE!</v>
      </c>
      <c r="AI27" t="e">
        <f ca="1">INDEX(INDIRECT(B33 &amp; "[P2pop]"), ROWS(INDIRECT(B33 &amp; "[P2pop]")) - 5 + 1)</f>
        <v>#VALUE!</v>
      </c>
      <c r="AJ27" t="e">
        <f ca="1">INDEX(INDIRECT(B33 &amp; "[P3Mop]"), ROWS(INDIRECT(B33 &amp; "[P3Mop]")) - 5 + 1)</f>
        <v>#VALUE!</v>
      </c>
      <c r="AK27" t="e">
        <f ca="1">INDEX(INDIRECT(B33 &amp; "[P3Aop]"), ROWS(INDIRECT(B33 &amp; "[P3Aop]")) - 5 + 1)</f>
        <v>#VALUE!</v>
      </c>
      <c r="AL27" t="e">
        <f ca="1">INDEX(INDIRECT(B33 &amp; "[P3pop]"), ROWS(INDIRECT(B33 &amp; "[P3pop]")) - 5 + 1)</f>
        <v>#VALUE!</v>
      </c>
      <c r="AM27" t="e">
        <f ca="1">INDEX(INDIRECT(B33 &amp; "[FTMop]"), ROWS(INDIRECT(B33 &amp; "[FTMop]")) - 5 + 1)</f>
        <v>#VALUE!</v>
      </c>
      <c r="AN27" t="e">
        <f ca="1">INDEX(INDIRECT(B33 &amp; "[FTAop]"), ROWS(INDIRECT(B33 &amp; "[FTAop]")) - 5 + 1)</f>
        <v>#VALUE!</v>
      </c>
      <c r="AO27" t="e">
        <f ca="1">INDEX(INDIRECT(B33 &amp; "[FTpop]"), ROWS(INDIRECT(B33 &amp; "[FTpop]")) - 5 + 1)</f>
        <v>#VALUE!</v>
      </c>
      <c r="AP27" t="e">
        <f ca="1">INDEX(INDIRECT(B33 &amp; "[ORBop]"), ROWS(INDIRECT(B33 &amp; "[ORBop]")) - 5 + 1)</f>
        <v>#VALUE!</v>
      </c>
      <c r="AQ27" t="e">
        <f ca="1">INDEX(INDIRECT(B33 &amp; "[DRBop]"), ROWS(INDIRECT(B33 &amp; "[DRBop]")) - 5 + 1)</f>
        <v>#VALUE!</v>
      </c>
      <c r="AR27" t="e">
        <f ca="1">INDEX(INDIRECT(B33 &amp; "[TRBop]"), ROWS(INDIRECT(B33 &amp; "[TRBop]")) - 5 + 1)</f>
        <v>#VALUE!</v>
      </c>
      <c r="AS27" t="e">
        <f ca="1">INDEX(INDIRECT(B33 &amp; "[ASTop]"), ROWS(INDIRECT(B33 &amp; "[ASTop]")) - 5 + 1)</f>
        <v>#VALUE!</v>
      </c>
      <c r="AT27" t="e">
        <f ca="1">INDEX(INDIRECT(B33 &amp; "[STLop]"), ROWS(INDIRECT(B33 &amp; "[STLop]")) - 5 + 1)</f>
        <v>#VALUE!</v>
      </c>
      <c r="AU27" t="e">
        <f ca="1">INDEX(INDIRECT(B33 &amp; "[BLKop]"), ROWS(INDIRECT(B33 &amp; "[BLKop]")) - 5 + 1)</f>
        <v>#VALUE!</v>
      </c>
      <c r="AV27" t="e">
        <f ca="1">INDEX(INDIRECT(B33 &amp; "[TOVop]"), ROWS(INDIRECT(B33 &amp; "[TOVop]")) - 5 + 1)</f>
        <v>#VALUE!</v>
      </c>
      <c r="AW27" t="e">
        <f ca="1">INDEX(INDIRECT(B33 &amp; "[PFop]"), ROWS(INDIRECT(B33 &amp; "[PFop]")) - 5 + 1)</f>
        <v>#VALUE!</v>
      </c>
      <c r="AX27" t="e">
        <f ca="1">INDEX(INDIRECT(B33 &amp; "[TS%]"), ROWS(INDIRECT(B33 &amp; "[TS%]")) - 5 + 1)</f>
        <v>#VALUE!</v>
      </c>
      <c r="AY27" t="e">
        <f ca="1">INDEX(INDIRECT(B33 &amp; "[eFG%]"), ROWS(INDIRECT(B33 &amp; "[eFG%]")) - 5 + 1)</f>
        <v>#VALUE!</v>
      </c>
      <c r="AZ27" t="e">
        <f ca="1">INDEX(INDIRECT(B33 &amp; "[ORB%]"), ROWS(INDIRECT(B33 &amp; "[ORB%]")) - 5 + 1)</f>
        <v>#VALUE!</v>
      </c>
      <c r="BA27" t="e">
        <f ca="1">INDEX(INDIRECT(B33 &amp; "[DRB%]"), ROWS(INDIRECT(B33 &amp; "[DRB%]")) - 5 + 1)</f>
        <v>#VALUE!</v>
      </c>
      <c r="BB27" t="e">
        <f ca="1">INDEX(INDIRECT(B33 &amp; "[TRB%]"), ROWS(INDIRECT(B33 &amp; "[TRB%]")) - 5 + 1)</f>
        <v>#VALUE!</v>
      </c>
      <c r="BC27" t="e">
        <f ca="1">INDEX(INDIRECT(B33 &amp; "[Poss]"), ROWS(INDIRECT(B33 &amp; "[Poss]")) - 5 + 1)</f>
        <v>#VALUE!</v>
      </c>
      <c r="BD27" t="e">
        <f ca="1">INDEX(INDIRECT(B33 &amp; "[AST%]"), ROWS(INDIRECT(B33 &amp; "[AST%]")) - 5 + 1)</f>
        <v>#VALUE!</v>
      </c>
      <c r="BE27" t="e">
        <f ca="1">INDEX(INDIRECT(B33 &amp; "[FTFGA%]"), ROWS(INDIRECT(B33 &amp; "[FTFGA%]")) - 5 + 1)</f>
        <v>#VALUE!</v>
      </c>
      <c r="BF27" t="e">
        <f ca="1">INDEX(INDIRECT(B33 &amp; "[TOV%]"), ROWS(INDIRECT(B33 &amp; "[TOV%]")) - 5 + 1)</f>
        <v>#VALUE!</v>
      </c>
      <c r="BG27" t="e">
        <f ca="1">INDEX(INDIRECT(B33 &amp; "[ORtg]"), ROWS(INDIRECT(B33 &amp; "[ORtg]")) - 5 + 1)</f>
        <v>#VALUE!</v>
      </c>
      <c r="BH27" t="e">
        <f ca="1">INDEX(INDIRECT(B33 &amp; "[DRtg]"), ROWS(INDIRECT(B33 &amp; "[DRtg]")) - 5 + 1)</f>
        <v>#VALUE!</v>
      </c>
      <c r="BI27" t="e">
        <f ca="1">INDEX(INDIRECT(B33 &amp; "[Pace]"), ROWS(INDIRECT(B33 &amp; "[Pace]")) - 5 + 1)</f>
        <v>#VALUE!</v>
      </c>
      <c r="BJ27" t="e">
        <f ca="1">INDEX(INDIRECT(B33 &amp; "[TS%op]"), ROWS(INDIRECT(B33 &amp; "[TS%op]")) - 5 + 1)</f>
        <v>#VALUE!</v>
      </c>
      <c r="BK27" t="e">
        <f ca="1">INDEX(INDIRECT(B33 &amp; "[eFG%op]"), ROWS(INDIRECT(B33 &amp; "[eFG%op]")) - 5 + 1)</f>
        <v>#VALUE!</v>
      </c>
      <c r="BL27" t="e">
        <f ca="1">INDEX(INDIRECT(B33 &amp; "[ORB%op]"), ROWS(INDIRECT(B33 &amp; "[ORB%op]")) - 5 + 1)</f>
        <v>#VALUE!</v>
      </c>
      <c r="BM27" t="e">
        <f ca="1">INDEX(INDIRECT(B33 &amp; "[DRB%op]"), ROWS(INDIRECT(B33 &amp; "[DRB%op]")) - 5 + 1)</f>
        <v>#VALUE!</v>
      </c>
      <c r="BN27" t="e">
        <f ca="1">INDEX(INDIRECT(B33 &amp; "[TRB%op]"), ROWS(INDIRECT(B33 &amp; "[TRB%op]")) - 5 + 1)</f>
        <v>#VALUE!</v>
      </c>
      <c r="BO27" t="e">
        <f ca="1">INDEX(INDIRECT(B33 &amp; "[Possop]"), ROWS(INDIRECT(B33 &amp; "[Possop]")) - 5 + 1)</f>
        <v>#VALUE!</v>
      </c>
      <c r="BP27" t="e">
        <f ca="1">INDEX(INDIRECT(B33 &amp; "[AST%op]"), ROWS(INDIRECT(B33 &amp; "[AST%op]")) - 5 + 1)</f>
        <v>#VALUE!</v>
      </c>
      <c r="BQ27" t="e">
        <f ca="1">INDEX(INDIRECT(B33 &amp; "[FTFGA%op]"), ROWS(INDIRECT(B33 &amp; "[FTFGA%op]")) - 5 + 1)</f>
        <v>#VALUE!</v>
      </c>
      <c r="BR27" t="e">
        <f ca="1">INDEX(INDIRECT(B33 &amp; "[TOV%op]"), ROWS(INDIRECT(B33 &amp; "[TOV%op]")) - 5 + 1)</f>
        <v>#VALUE!</v>
      </c>
      <c r="BS27" t="e">
        <f ca="1">INDEX(INDIRECT(B33 &amp; "[ORtgop]"), ROWS(INDIRECT(B33 &amp; "[ORtgop]")) - 5 + 1)</f>
        <v>#VALUE!</v>
      </c>
      <c r="BT27" t="e">
        <f ca="1">INDEX(INDIRECT(B33 &amp; "[DRtgop]"), ROWS(INDIRECT(B33 &amp; "[DRtgop]")) - 5 + 1)</f>
        <v>#VALUE!</v>
      </c>
      <c r="BU27" t="e">
        <f ca="1">INDEX(INDIRECT(B33 &amp; "[Q1H]"), ROWS(INDIRECT(B33 &amp; "[Q1H]")) - 5 + 1)</f>
        <v>#VALUE!</v>
      </c>
      <c r="BV27" t="e">
        <f ca="1">INDEX(INDIRECT(B33 &amp; "[Q2H]"), ROWS(INDIRECT(B33 &amp; "[Q2H]")) - 5 + 1)</f>
        <v>#VALUE!</v>
      </c>
      <c r="BW27" t="e">
        <f ca="1">INDEX(INDIRECT(B33 &amp; "[Q3H]"), ROWS(INDIRECT(B33 &amp; "[Q3H]")) - 5 + 1)</f>
        <v>#VALUE!</v>
      </c>
      <c r="BX27" t="e">
        <f ca="1">INDEX(INDIRECT(B33 &amp; "[Q4H]"), ROWS(INDIRECT(B33 &amp; "[Q4H]")) - 5 + 1)</f>
        <v>#VALUE!</v>
      </c>
      <c r="BY27" t="e">
        <f ca="1">INDEX(INDIRECT(B33 &amp; "[Q1A]"), ROWS(INDIRECT(B33 &amp; "[Q1A]")) - 5 + 1)</f>
        <v>#VALUE!</v>
      </c>
      <c r="BZ27" t="e">
        <f ca="1">INDEX(INDIRECT(B33 &amp; "[Q2A]"), ROWS(INDIRECT(B33 &amp; "[Q2A]")) - 5 + 1)</f>
        <v>#VALUE!</v>
      </c>
      <c r="CA27" t="e">
        <f ca="1">INDEX(INDIRECT(B33 &amp; "[Q3A]"), ROWS(INDIRECT(B33 &amp; "[Q3A]")) - 5 + 1)</f>
        <v>#VALUE!</v>
      </c>
      <c r="CB27" t="e">
        <f ca="1">INDEX(INDIRECT(B33 &amp; "[Q4A]"), ROWS(INDIRECT(B33 &amp; "[Q4A]")) - 5 + 1)</f>
        <v>#VALUE!</v>
      </c>
      <c r="CC27" t="e">
        <f ca="1">INDEX(INDIRECT(B33 &amp; "[FhalfH]"), ROWS(INDIRECT(B33 &amp; "[FhalfH]")) - 5 + 1)</f>
        <v>#VALUE!</v>
      </c>
      <c r="CD27" t="e">
        <f ca="1">INDEX(INDIRECT(B33 &amp; "[ShalfH]"), ROWS(INDIRECT(B33 &amp; "[ShalfH]")) - 5 + 1)</f>
        <v>#VALUE!</v>
      </c>
      <c r="CE27" t="e">
        <f ca="1">INDEX(INDIRECT(B33 &amp; "[FhalfA]"), ROWS(INDIRECT(B33 &amp; "[FhalfA]")) - 5 + 1)</f>
        <v>#VALUE!</v>
      </c>
      <c r="CF27" t="e">
        <f ca="1">INDEX(INDIRECT(B33 &amp; "[ShalfA]"), ROWS(INDIRECT(B33 &amp; "[ShalfA]")) - 5 + 1)</f>
        <v>#VALUE!</v>
      </c>
      <c r="CG27" t="e">
        <f ca="1">INDEX(INDIRECT(B33 &amp; "[win]"), ROWS(INDIRECT(B33 &amp; "[win]")) - 5 + 1)</f>
        <v>#VALUE!</v>
      </c>
      <c r="CH27" t="e">
        <f ca="1">INDEX(INDIRECT(B33 &amp; "[lose]"), ROWS(INDIRECT(B33 &amp; "[lose]")) - 5 + 1)</f>
        <v>#VALUE!</v>
      </c>
      <c r="CI27" t="e">
        <f ca="1">INDEX(INDIRECT(B33 &amp; "[foraH]"), ROWS(INDIRECT(B33 &amp; "[foraH]")) - 5 + 1)</f>
        <v>#VALUE!</v>
      </c>
      <c r="CJ27" t="e">
        <f ca="1">INDEX(INDIRECT(B33 &amp; "[foraA]"), ROWS(INDIRECT(B33 &amp; "[foraA]")) - 5 + 1)</f>
        <v>#VALUE!</v>
      </c>
      <c r="CK27" t="e">
        <f ca="1">INDEX(INDIRECT(B33 &amp; "[total]"), ROWS(INDIRECT(B33 &amp; "[total]")) - 5 + 1)</f>
        <v>#VALUE!</v>
      </c>
      <c r="CL27" t="e">
        <f ca="1">INDEX(INDIRECT(B33 &amp; "[link]"), ROWS(INDIRECT(B33 &amp; "[link]")) - 5 + 1)</f>
        <v>#VALUE!</v>
      </c>
      <c r="CM27" t="e">
        <f ca="1">INDEX(INDIRECT(B33 &amp; "[abbr]"), ROWS(INDIRECT(B33 &amp; "[abbr]")) - 5 + 1)</f>
        <v>#VALUE!</v>
      </c>
      <c r="CN27" t="e">
        <f ca="1">last5[[#This Row],[Q1H]]+last5[[#This Row],[Q1A]]</f>
        <v>#VALUE!</v>
      </c>
      <c r="CO27" t="e">
        <f ca="1">last5[[#This Row],[Q2H]]+last5[[#This Row],[Q2A]]</f>
        <v>#VALUE!</v>
      </c>
      <c r="CP27" t="e">
        <f ca="1">last5[[#This Row],[Q3H]]+last5[[#This Row],[Q3A]]</f>
        <v>#VALUE!</v>
      </c>
      <c r="CQ27" t="e">
        <f ca="1">last5[[#This Row],[Q4H]]+last5[[#This Row],[Q4A]]</f>
        <v>#VALUE!</v>
      </c>
      <c r="CR27" t="e">
        <f ca="1">last5[[#This Row],[FhalfH]]+last5[[#This Row],[FhalfA]]</f>
        <v>#VALUE!</v>
      </c>
      <c r="CS27" t="e">
        <f ca="1">last5[[#This Row],[ShalfH]]+last5[[#This Row],[ShalfA]]</f>
        <v>#VALUE!</v>
      </c>
      <c r="CT27" t="e">
        <f ca="1">INDEX(INDIRECT(B33 &amp; "[BetH]"), ROWS(INDIRECT(B33 &amp; "[BetH]")) - 5 + 1)</f>
        <v>#VALUE!</v>
      </c>
      <c r="CU27" t="e">
        <f ca="1">INDEX(INDIRECT(B33 &amp; "[BetA]"), ROWS(INDIRECT(B33 &amp; "[BetA]")) - 5 + 1)</f>
        <v>#VALUE!</v>
      </c>
      <c r="CV27" t="e">
        <f ca="1">INDEX(INDIRECT(B33 &amp; "[Tover]"), ROWS(INDIRECT(B33 &amp; "[Tover]")) - 5 + 1)</f>
        <v>#VALUE!</v>
      </c>
      <c r="CW27" t="e">
        <f ca="1">INDEX(INDIRECT(B33 &amp; "[Deviation]"), ROWS(INDIRECT(B33 &amp; "[Deviation]")) - 5 + 1)</f>
        <v>#VALUE!</v>
      </c>
    </row>
    <row r="28" spans="1:101" x14ac:dyDescent="0.25">
      <c r="A28" t="e">
        <f ca="1">INDEX(INDIRECT(B33 &amp; "[tournament]"), ROWS(INDIRECT(B33 &amp; "[tournament]")) - 4 + 1)</f>
        <v>#VALUE!</v>
      </c>
      <c r="B28" t="e">
        <f ca="1">INDEX(INDIRECT(B33 &amp; "[Home_team]"), ROWS(INDIRECT(B33 &amp; "[Home_team]")) - 4 + 1)</f>
        <v>#VALUE!</v>
      </c>
      <c r="C28" t="e">
        <f ca="1">INDEX(INDIRECT(B33 &amp; "[Stage]"), ROWS(INDIRECT(B33 &amp; "[Stage]")) - 4 + 1)</f>
        <v>#VALUE!</v>
      </c>
      <c r="D28" s="10" t="e">
        <f ca="1">INDEX(INDIRECT(B33 &amp; "[Date]"), ROWS(INDIRECT(B33 &amp; "[Date]")) - 4 + 1)</f>
        <v>#VALUE!</v>
      </c>
      <c r="E28" t="e">
        <f ca="1">INDEX(INDIRECT(B33 &amp; "[Location]"), ROWS(INDIRECT(B33 &amp; "[Location]")) - 4 + 1)</f>
        <v>#VALUE!</v>
      </c>
      <c r="F28" t="e">
        <f ca="1">INDEX(INDIRECT(B33 &amp; "[Away_team]"), ROWS(INDIRECT(B33 &amp; "[Away_team]")) - 4 + 1)</f>
        <v>#VALUE!</v>
      </c>
      <c r="G28" t="e">
        <f ca="1">INDEX(INDIRECT(B33 &amp; "[Result]"), ROWS(INDIRECT(B33 &amp; "[Result]")) - 4 + 1)</f>
        <v>#VALUE!</v>
      </c>
      <c r="H28" t="e">
        <f ca="1">INDEX(INDIRECT(B33 &amp; "[Home_scored]"), ROWS(INDIRECT(B33 &amp; "[Home_scored]")) - 4 + 1)</f>
        <v>#VALUE!</v>
      </c>
      <c r="I28" t="e">
        <f ca="1">INDEX(INDIRECT(B33 &amp; "[Away_scored]"), ROWS(INDIRECT(B33 &amp; "[Away_scored]")) - 4 + 1)</f>
        <v>#VALUE!</v>
      </c>
      <c r="J28" t="e">
        <f ca="1">INDEX(INDIRECT(B33 &amp; "[FGM]"), ROWS(INDIRECT(B33 &amp; "[FGM]")) - 4 + 1)</f>
        <v>#VALUE!</v>
      </c>
      <c r="K28" t="e">
        <f ca="1">INDEX(INDIRECT(B33 &amp; "[FGA]"), ROWS(INDIRECT(B33 &amp; "[FGA]")) - 4 + 1)</f>
        <v>#VALUE!</v>
      </c>
      <c r="L28" t="e">
        <f ca="1">INDEX(INDIRECT(B33 &amp; "[FGp]"), ROWS(INDIRECT(B33 &amp; "[FGp]")) - 4 + 1)</f>
        <v>#VALUE!</v>
      </c>
      <c r="M28" t="e">
        <f ca="1">INDEX(INDIRECT(B33 &amp; "[P2M]"), ROWS(INDIRECT(B33 &amp; "[P2M]")) - 4 + 1)</f>
        <v>#VALUE!</v>
      </c>
      <c r="N28" t="e">
        <f ca="1">INDEX(INDIRECT(B33 &amp; "[P2A]"), ROWS(INDIRECT(B33 &amp; "[P2A]")) - 4 + 1)</f>
        <v>#VALUE!</v>
      </c>
      <c r="O28" t="e">
        <f ca="1">INDEX(INDIRECT(B33 &amp; "[P2p]"), ROWS(INDIRECT(B33 &amp; "[P2p]")) - 4 + 1)</f>
        <v>#VALUE!</v>
      </c>
      <c r="P28" t="e">
        <f ca="1">INDEX(INDIRECT(B33 &amp; "[P3M]"), ROWS(INDIRECT(B33 &amp; "[P3M]")) - 4 + 1)</f>
        <v>#VALUE!</v>
      </c>
      <c r="Q28" t="e">
        <f ca="1">INDEX(INDIRECT(B33 &amp; "[P3A]"), ROWS(INDIRECT(B33 &amp; "[P3A]")) - 4 + 1)</f>
        <v>#VALUE!</v>
      </c>
      <c r="R28" t="e">
        <f ca="1">INDEX(INDIRECT(B33 &amp; "[P3p]"), ROWS(INDIRECT(B33 &amp; "[P3p]")) - 4 + 1)</f>
        <v>#VALUE!</v>
      </c>
      <c r="S28" t="e">
        <f ca="1">INDEX(INDIRECT(B33 &amp; "[FTM]"), ROWS(INDIRECT(B33 &amp; "[FTM]")) - 4 + 1)</f>
        <v>#VALUE!</v>
      </c>
      <c r="T28" t="e">
        <f ca="1">INDEX(INDIRECT(B33 &amp; "[FTA]"), ROWS(INDIRECT(B33 &amp; "[FTA]")) - 4 + 1)</f>
        <v>#VALUE!</v>
      </c>
      <c r="U28" t="e">
        <f ca="1">INDEX(INDIRECT(B33 &amp; "[FTp]"), ROWS(INDIRECT(B33 &amp; "[FTp]")) - 4 + 1)</f>
        <v>#VALUE!</v>
      </c>
      <c r="V28" t="e">
        <f ca="1">INDEX(INDIRECT(B33 &amp; "[ORB]"), ROWS(INDIRECT(B33 &amp; "[ORB]")) - 4 + 1)</f>
        <v>#VALUE!</v>
      </c>
      <c r="W28" t="e">
        <f ca="1">INDEX(INDIRECT(B33 &amp; "[DRB]"), ROWS(INDIRECT(B33 &amp; "[DRB]")) - 4 + 1)</f>
        <v>#VALUE!</v>
      </c>
      <c r="X28" t="e">
        <f ca="1">INDEX(INDIRECT(B33 &amp; "[TRB]"), ROWS(INDIRECT(B33 &amp; "[TRB]")) - 4 + 1)</f>
        <v>#VALUE!</v>
      </c>
      <c r="Y28" t="e">
        <f ca="1">INDEX(INDIRECT(B33 &amp; "[AST]"), ROWS(INDIRECT(B33 &amp; "[AST]")) - 4 + 1)</f>
        <v>#VALUE!</v>
      </c>
      <c r="Z28" t="e">
        <f ca="1">INDEX(INDIRECT(B33 &amp; "[STL]"), ROWS(INDIRECT(B33 &amp; "[STL]")) - 4 + 1)</f>
        <v>#VALUE!</v>
      </c>
      <c r="AA28" t="e">
        <f ca="1">INDEX(INDIRECT(B33 &amp; "[BLK]"), ROWS(INDIRECT(B33 &amp; "[BLK]")) - 4 + 1)</f>
        <v>#VALUE!</v>
      </c>
      <c r="AB28" t="e">
        <f ca="1">INDEX(INDIRECT(B33 &amp; "[TOV]"), ROWS(INDIRECT(B33 &amp; "[TOV]")) - 4 + 1)</f>
        <v>#VALUE!</v>
      </c>
      <c r="AC28" t="e">
        <f ca="1">INDEX(INDIRECT(B33 &amp; "[PF]"), ROWS(INDIRECT(B33 &amp; "[PF]")) - 4 + 1)</f>
        <v>#VALUE!</v>
      </c>
      <c r="AD28" t="e">
        <f ca="1">INDEX(INDIRECT(B33 &amp; "[FGMop]"), ROWS(INDIRECT(B33 &amp; "[FGMop]")) - 4 + 1)</f>
        <v>#VALUE!</v>
      </c>
      <c r="AE28" t="e">
        <f ca="1">INDEX(INDIRECT(B33 &amp; "[FGAop]"), ROWS(INDIRECT(B33 &amp; "[FGAop]")) - 4 + 1)</f>
        <v>#VALUE!</v>
      </c>
      <c r="AF28" t="e">
        <f ca="1">INDEX(INDIRECT(B33 &amp; "[FGpop]"), ROWS(INDIRECT(B33 &amp; "[FGpop]")) - 4 + 1)</f>
        <v>#VALUE!</v>
      </c>
      <c r="AG28" t="e">
        <f ca="1">INDEX(INDIRECT(B33 &amp; "[P2Mop]"), ROWS(INDIRECT(B33 &amp; "[P2Mop]")) - 4 + 1)</f>
        <v>#VALUE!</v>
      </c>
      <c r="AH28" t="e">
        <f ca="1">INDEX(INDIRECT(B33 &amp; "[P2Aop]"), ROWS(INDIRECT(B33 &amp; "[P2Aop]")) - 4 + 1)</f>
        <v>#VALUE!</v>
      </c>
      <c r="AI28" t="e">
        <f ca="1">INDEX(INDIRECT(B33 &amp; "[P2pop]"), ROWS(INDIRECT(B33 &amp; "[P2pop]")) - 4 + 1)</f>
        <v>#VALUE!</v>
      </c>
      <c r="AJ28" t="e">
        <f ca="1">INDEX(INDIRECT(B33 &amp; "[P3Mop]"), ROWS(INDIRECT(B33 &amp; "[P3Mop]")) - 4 + 1)</f>
        <v>#VALUE!</v>
      </c>
      <c r="AK28" t="e">
        <f ca="1">INDEX(INDIRECT(B33 &amp; "[P3Aop]"), ROWS(INDIRECT(B33 &amp; "[P3Aop]")) - 4 + 1)</f>
        <v>#VALUE!</v>
      </c>
      <c r="AL28" t="e">
        <f ca="1">INDEX(INDIRECT(B33 &amp; "[P3pop]"), ROWS(INDIRECT(B33 &amp; "[P3pop]")) - 4 + 1)</f>
        <v>#VALUE!</v>
      </c>
      <c r="AM28" t="e">
        <f ca="1">INDEX(INDIRECT(B33 &amp; "[FTMop]"), ROWS(INDIRECT(B33 &amp; "[FTMop]")) - 4 + 1)</f>
        <v>#VALUE!</v>
      </c>
      <c r="AN28" t="e">
        <f ca="1">INDEX(INDIRECT(B33 &amp; "[FTAop]"), ROWS(INDIRECT(B33 &amp; "[FTAop]")) - 4 + 1)</f>
        <v>#VALUE!</v>
      </c>
      <c r="AO28" t="e">
        <f ca="1">INDEX(INDIRECT(B33 &amp; "[FTpop]"), ROWS(INDIRECT(B33 &amp; "[FTpop]")) - 4 + 1)</f>
        <v>#VALUE!</v>
      </c>
      <c r="AP28" t="e">
        <f ca="1">INDEX(INDIRECT(B33 &amp; "[ORBop]"), ROWS(INDIRECT(B33 &amp; "[ORBop]")) - 4 + 1)</f>
        <v>#VALUE!</v>
      </c>
      <c r="AQ28" t="e">
        <f ca="1">INDEX(INDIRECT(B33 &amp; "[DRBop]"), ROWS(INDIRECT(B33 &amp; "[DRBop]")) - 4 + 1)</f>
        <v>#VALUE!</v>
      </c>
      <c r="AR28" t="e">
        <f ca="1">INDEX(INDIRECT(B33 &amp; "[TRBop]"), ROWS(INDIRECT(B33 &amp; "[TRBop]")) - 4 + 1)</f>
        <v>#VALUE!</v>
      </c>
      <c r="AS28" t="e">
        <f ca="1">INDEX(INDIRECT(B33 &amp; "[ASTop]"), ROWS(INDIRECT(B33 &amp; "[ASTop]")) - 4 + 1)</f>
        <v>#VALUE!</v>
      </c>
      <c r="AT28" t="e">
        <f ca="1">INDEX(INDIRECT(B33 &amp; "[STLop]"), ROWS(INDIRECT(B33 &amp; "[STLop]")) - 4 + 1)</f>
        <v>#VALUE!</v>
      </c>
      <c r="AU28" t="e">
        <f ca="1">INDEX(INDIRECT(B33 &amp; "[BLKop]"), ROWS(INDIRECT(B33 &amp; "[BLKop]")) - 4 + 1)</f>
        <v>#VALUE!</v>
      </c>
      <c r="AV28" t="e">
        <f ca="1">INDEX(INDIRECT(B33 &amp; "[TOVop]"), ROWS(INDIRECT(B33 &amp; "[TOVop]")) - 4 + 1)</f>
        <v>#VALUE!</v>
      </c>
      <c r="AW28" t="e">
        <f ca="1">INDEX(INDIRECT(B33 &amp; "[PFop]"), ROWS(INDIRECT(B33 &amp; "[PFop]")) - 4 + 1)</f>
        <v>#VALUE!</v>
      </c>
      <c r="AX28" t="e">
        <f ca="1">INDEX(INDIRECT(B33 &amp; "[TS%]"), ROWS(INDIRECT(B33 &amp; "[TS%]")) - 4 + 1)</f>
        <v>#VALUE!</v>
      </c>
      <c r="AY28" t="e">
        <f ca="1">INDEX(INDIRECT(B33 &amp; "[eFG%]"), ROWS(INDIRECT(B33 &amp; "[eFG%]")) - 4 + 1)</f>
        <v>#VALUE!</v>
      </c>
      <c r="AZ28" t="e">
        <f ca="1">INDEX(INDIRECT(B33 &amp; "[ORB%]"), ROWS(INDIRECT(B33 &amp; "[ORB%]")) - 4 + 1)</f>
        <v>#VALUE!</v>
      </c>
      <c r="BA28" t="e">
        <f ca="1">INDEX(INDIRECT(B33 &amp; "[DRB%]"), ROWS(INDIRECT(B33 &amp; "[DRB%]")) - 4 + 1)</f>
        <v>#VALUE!</v>
      </c>
      <c r="BB28" t="e">
        <f ca="1">INDEX(INDIRECT(B33 &amp; "[TRB%]"), ROWS(INDIRECT(B33 &amp; "[TRB%]")) - 4 + 1)</f>
        <v>#VALUE!</v>
      </c>
      <c r="BC28" t="e">
        <f ca="1">INDEX(INDIRECT(B33 &amp; "[Poss]"), ROWS(INDIRECT(B33 &amp; "[Poss]")) - 4 + 1)</f>
        <v>#VALUE!</v>
      </c>
      <c r="BD28" t="e">
        <f ca="1">INDEX(INDIRECT(B33 &amp; "[AST%]"), ROWS(INDIRECT(B33 &amp; "[AST%]")) - 4 + 1)</f>
        <v>#VALUE!</v>
      </c>
      <c r="BE28" t="e">
        <f ca="1">INDEX(INDIRECT(B33 &amp; "[FTFGA%]"), ROWS(INDIRECT(B33 &amp; "[FTFGA%]")) - 4 + 1)</f>
        <v>#VALUE!</v>
      </c>
      <c r="BF28" t="e">
        <f ca="1">INDEX(INDIRECT(B33 &amp; "[TOV%]"), ROWS(INDIRECT(B33 &amp; "[TOV%]")) - 4 + 1)</f>
        <v>#VALUE!</v>
      </c>
      <c r="BG28" t="e">
        <f ca="1">INDEX(INDIRECT(B33 &amp; "[ORtg]"), ROWS(INDIRECT(B33 &amp; "[ORtg]")) - 4 + 1)</f>
        <v>#VALUE!</v>
      </c>
      <c r="BH28" t="e">
        <f ca="1">INDEX(INDIRECT(B33 &amp; "[DRtg]"), ROWS(INDIRECT(B33 &amp; "[DRtg]")) - 4 + 1)</f>
        <v>#VALUE!</v>
      </c>
      <c r="BI28" t="e">
        <f ca="1">INDEX(INDIRECT(B33 &amp; "[Pace]"), ROWS(INDIRECT(B33 &amp; "[Pace]")) - 4 + 1)</f>
        <v>#VALUE!</v>
      </c>
      <c r="BJ28" t="e">
        <f ca="1">INDEX(INDIRECT(B33 &amp; "[TS%op]"), ROWS(INDIRECT(B33 &amp; "[TS%op]")) - 4 + 1)</f>
        <v>#VALUE!</v>
      </c>
      <c r="BK28" t="e">
        <f ca="1">INDEX(INDIRECT(B33 &amp; "[eFG%op]"), ROWS(INDIRECT(B33 &amp; "[eFG%op]")) - 4 + 1)</f>
        <v>#VALUE!</v>
      </c>
      <c r="BL28" t="e">
        <f ca="1">INDEX(INDIRECT(B33 &amp; "[ORB%op]"), ROWS(INDIRECT(B33 &amp; "[ORB%op]")) - 4 + 1)</f>
        <v>#VALUE!</v>
      </c>
      <c r="BM28" t="e">
        <f ca="1">INDEX(INDIRECT(B33 &amp; "[DRB%op]"), ROWS(INDIRECT(B33 &amp; "[DRB%op]")) - 4 + 1)</f>
        <v>#VALUE!</v>
      </c>
      <c r="BN28" t="e">
        <f ca="1">INDEX(INDIRECT(B33 &amp; "[TRB%op]"), ROWS(INDIRECT(B33 &amp; "[TRB%op]")) - 4 + 1)</f>
        <v>#VALUE!</v>
      </c>
      <c r="BO28" t="e">
        <f ca="1">INDEX(INDIRECT(B33 &amp; "[Possop]"), ROWS(INDIRECT(B33 &amp; "[Possop]")) - 4 + 1)</f>
        <v>#VALUE!</v>
      </c>
      <c r="BP28" t="e">
        <f ca="1">INDEX(INDIRECT(B33 &amp; "[AST%op]"), ROWS(INDIRECT(B33 &amp; "[AST%op]")) - 4 + 1)</f>
        <v>#VALUE!</v>
      </c>
      <c r="BQ28" t="e">
        <f ca="1">INDEX(INDIRECT(B33 &amp; "[FTFGA%op]"), ROWS(INDIRECT(B33 &amp; "[FTFGA%op]")) - 4 + 1)</f>
        <v>#VALUE!</v>
      </c>
      <c r="BR28" t="e">
        <f ca="1">INDEX(INDIRECT(B33 &amp; "[TOV%op]"), ROWS(INDIRECT(B33 &amp; "[TOV%op]")) - 4 + 1)</f>
        <v>#VALUE!</v>
      </c>
      <c r="BS28" t="e">
        <f ca="1">INDEX(INDIRECT(B33 &amp; "[ORtgop]"), ROWS(INDIRECT(B33 &amp; "[ORtgop]")) - 4 + 1)</f>
        <v>#VALUE!</v>
      </c>
      <c r="BT28" t="e">
        <f ca="1">INDEX(INDIRECT(B33 &amp; "[DRtgop]"), ROWS(INDIRECT(B33 &amp; "[DRtgop]")) - 4 + 1)</f>
        <v>#VALUE!</v>
      </c>
      <c r="BU28" t="e">
        <f ca="1">INDEX(INDIRECT(B33 &amp; "[Q1H]"), ROWS(INDIRECT(B33 &amp; "[Q1H]")) - 4 + 1)</f>
        <v>#VALUE!</v>
      </c>
      <c r="BV28" t="e">
        <f ca="1">INDEX(INDIRECT(B33 &amp; "[Q2H]"), ROWS(INDIRECT(B33 &amp; "[Q2H]")) - 4 + 1)</f>
        <v>#VALUE!</v>
      </c>
      <c r="BW28" t="e">
        <f ca="1">INDEX(INDIRECT(B33 &amp; "[Q3H]"), ROWS(INDIRECT(B33 &amp; "[Q3H]")) - 4 + 1)</f>
        <v>#VALUE!</v>
      </c>
      <c r="BX28" t="e">
        <f ca="1">INDEX(INDIRECT(B33 &amp; "[Q4H]"), ROWS(INDIRECT(B33 &amp; "[Q4H]")) - 4 + 1)</f>
        <v>#VALUE!</v>
      </c>
      <c r="BY28" t="e">
        <f ca="1">INDEX(INDIRECT(B33 &amp; "[Q1A]"), ROWS(INDIRECT(B33 &amp; "[Q1A]")) - 4 + 1)</f>
        <v>#VALUE!</v>
      </c>
      <c r="BZ28" t="e">
        <f ca="1">INDEX(INDIRECT(B33 &amp; "[Q2A]"), ROWS(INDIRECT(B33 &amp; "[Q2A]")) - 4 + 1)</f>
        <v>#VALUE!</v>
      </c>
      <c r="CA28" t="e">
        <f ca="1">INDEX(INDIRECT(B33 &amp; "[Q3A]"), ROWS(INDIRECT(B33 &amp; "[Q3A]")) - 4 + 1)</f>
        <v>#VALUE!</v>
      </c>
      <c r="CB28" t="e">
        <f ca="1">INDEX(INDIRECT(B33 &amp; "[Q4A]"), ROWS(INDIRECT(B33 &amp; "[Q4A]")) - 4 + 1)</f>
        <v>#VALUE!</v>
      </c>
      <c r="CC28" t="e">
        <f ca="1">INDEX(INDIRECT(B33 &amp; "[FhalfH]"), ROWS(INDIRECT(B33 &amp; "[FhalfH]")) - 4 + 1)</f>
        <v>#VALUE!</v>
      </c>
      <c r="CD28" t="e">
        <f ca="1">INDEX(INDIRECT(B33 &amp; "[ShalfH]"), ROWS(INDIRECT(B33 &amp; "[ShalfH]")) - 4 + 1)</f>
        <v>#VALUE!</v>
      </c>
      <c r="CE28" t="e">
        <f ca="1">INDEX(INDIRECT(B33 &amp; "[FhalfA]"), ROWS(INDIRECT(B33 &amp; "[FhalfA]")) - 4 + 1)</f>
        <v>#VALUE!</v>
      </c>
      <c r="CF28" t="e">
        <f ca="1">INDEX(INDIRECT(B33 &amp; "[ShalfA]"), ROWS(INDIRECT(B33 &amp; "[ShalfA]")) - 4 + 1)</f>
        <v>#VALUE!</v>
      </c>
      <c r="CG28" t="e">
        <f ca="1">INDEX(INDIRECT(B33 &amp; "[win]"), ROWS(INDIRECT(B33 &amp; "[win]")) - 4 + 1)</f>
        <v>#VALUE!</v>
      </c>
      <c r="CH28" t="e">
        <f ca="1">INDEX(INDIRECT(B33 &amp; "[lose]"), ROWS(INDIRECT(B33 &amp; "[lose]")) - 4 + 1)</f>
        <v>#VALUE!</v>
      </c>
      <c r="CI28" t="e">
        <f ca="1">INDEX(INDIRECT(B33 &amp; "[foraH]"), ROWS(INDIRECT(B33 &amp; "[foraH]")) - 4 + 1)</f>
        <v>#VALUE!</v>
      </c>
      <c r="CJ28" t="e">
        <f ca="1">INDEX(INDIRECT(B33 &amp; "[foraA]"), ROWS(INDIRECT(B33 &amp; "[foraA]")) - 4 + 1)</f>
        <v>#VALUE!</v>
      </c>
      <c r="CK28" t="e">
        <f ca="1">INDEX(INDIRECT(B33 &amp; "[total]"), ROWS(INDIRECT(B33 &amp; "[total]")) - 4 + 1)</f>
        <v>#VALUE!</v>
      </c>
      <c r="CL28" t="e">
        <f ca="1">INDEX(INDIRECT(B33 &amp; "[link]"), ROWS(INDIRECT(B33 &amp; "[link]")) - 4 + 1)</f>
        <v>#VALUE!</v>
      </c>
      <c r="CM28" t="e">
        <f ca="1">INDEX(INDIRECT(B33 &amp; "[abbr]"), ROWS(INDIRECT(B33 &amp; "[abbr]")) - 4 + 1)</f>
        <v>#VALUE!</v>
      </c>
      <c r="CN28" t="e">
        <f ca="1">last5[[#This Row],[Q1H]]+last5[[#This Row],[Q1A]]</f>
        <v>#VALUE!</v>
      </c>
      <c r="CO28" t="e">
        <f ca="1">last5[[#This Row],[Q2H]]+last5[[#This Row],[Q2A]]</f>
        <v>#VALUE!</v>
      </c>
      <c r="CP28" t="e">
        <f ca="1">last5[[#This Row],[Q3H]]+last5[[#This Row],[Q3A]]</f>
        <v>#VALUE!</v>
      </c>
      <c r="CQ28" t="e">
        <f ca="1">last5[[#This Row],[Q4H]]+last5[[#This Row],[Q4A]]</f>
        <v>#VALUE!</v>
      </c>
      <c r="CR28" t="e">
        <f ca="1">last5[[#This Row],[FhalfH]]+last5[[#This Row],[FhalfA]]</f>
        <v>#VALUE!</v>
      </c>
      <c r="CS28" t="e">
        <f ca="1">last5[[#This Row],[ShalfH]]+last5[[#This Row],[ShalfA]]</f>
        <v>#VALUE!</v>
      </c>
      <c r="CT28" t="e">
        <f ca="1">INDEX(INDIRECT(B33 &amp; "[BetH]"), ROWS(INDIRECT(B33 &amp; "[BetH]")) - 4 + 1)</f>
        <v>#VALUE!</v>
      </c>
      <c r="CU28" t="e">
        <f ca="1">INDEX(INDIRECT(B33 &amp; "[BetA]"), ROWS(INDIRECT(B33 &amp; "[BetA]")) - 4 + 1)</f>
        <v>#VALUE!</v>
      </c>
      <c r="CV28" t="e">
        <f ca="1">INDEX(INDIRECT(B33 &amp; "[Tover]"), ROWS(INDIRECT(B33 &amp; "[Tover]")) - 4 + 1)</f>
        <v>#VALUE!</v>
      </c>
      <c r="CW28" t="e">
        <f ca="1">INDEX(INDIRECT(B33 &amp; "[Deviation]"), ROWS(INDIRECT(B33 &amp; "[Deviation]")) - 4 + 1)</f>
        <v>#VALUE!</v>
      </c>
    </row>
    <row r="29" spans="1:101" x14ac:dyDescent="0.25">
      <c r="A29" t="e">
        <f ca="1">INDEX(INDIRECT(B33 &amp; "[tournament]"), ROWS(INDIRECT(B33 &amp; "[tournament]")) - 3 + 1)</f>
        <v>#VALUE!</v>
      </c>
      <c r="B29" t="e">
        <f ca="1">INDEX(INDIRECT(B33 &amp; "[Home_team]"), ROWS(INDIRECT(B33 &amp; "[Home_team]")) - 3 + 1)</f>
        <v>#VALUE!</v>
      </c>
      <c r="C29" t="e">
        <f ca="1">INDEX(INDIRECT(B33 &amp; "[Stage]"), ROWS(INDIRECT(B33 &amp; "[Stage]")) - 3 + 1)</f>
        <v>#VALUE!</v>
      </c>
      <c r="D29" s="10" t="e">
        <f ca="1">INDEX(INDIRECT(B33 &amp; "[Date]"), ROWS(INDIRECT(B33 &amp; "[Date]")) - 3 + 1)</f>
        <v>#VALUE!</v>
      </c>
      <c r="E29" t="e">
        <f ca="1">INDEX(INDIRECT(B33 &amp; "[Location]"), ROWS(INDIRECT(B33 &amp; "[Location]")) - 3 + 1)</f>
        <v>#VALUE!</v>
      </c>
      <c r="F29" t="e">
        <f ca="1">INDEX(INDIRECT(B33 &amp; "[Away_team]"), ROWS(INDIRECT(B33 &amp; "[Away_team]")) - 3 + 1)</f>
        <v>#VALUE!</v>
      </c>
      <c r="G29" t="e">
        <f ca="1">INDEX(INDIRECT(B33 &amp; "[Result]"), ROWS(INDIRECT(B33 &amp; "[Result]")) - 3 + 1)</f>
        <v>#VALUE!</v>
      </c>
      <c r="H29" t="e">
        <f ca="1">INDEX(INDIRECT(B33 &amp; "[Home_scored]"), ROWS(INDIRECT(B33 &amp; "[Home_scored]")) - 3 + 1)</f>
        <v>#VALUE!</v>
      </c>
      <c r="I29" t="e">
        <f ca="1">INDEX(INDIRECT(B33 &amp; "[Away_scored]"), ROWS(INDIRECT(B33 &amp; "[Away_scored]")) - 3 + 1)</f>
        <v>#VALUE!</v>
      </c>
      <c r="J29" t="e">
        <f ca="1">INDEX(INDIRECT(B33 &amp; "[FGM]"), ROWS(INDIRECT(B33 &amp; "[FGM]")) - 3 + 1)</f>
        <v>#VALUE!</v>
      </c>
      <c r="K29" t="e">
        <f ca="1">INDEX(INDIRECT(B33 &amp; "[FGA]"), ROWS(INDIRECT(B33 &amp; "[FGA]")) - 3 + 1)</f>
        <v>#VALUE!</v>
      </c>
      <c r="L29" t="e">
        <f ca="1">INDEX(INDIRECT(B33 &amp; "[FGp]"), ROWS(INDIRECT(B33 &amp; "[FGp]")) - 3 + 1)</f>
        <v>#VALUE!</v>
      </c>
      <c r="M29" t="e">
        <f ca="1">INDEX(INDIRECT(B33 &amp; "[P2M]"), ROWS(INDIRECT(B33 &amp; "[P2M]")) - 3 + 1)</f>
        <v>#VALUE!</v>
      </c>
      <c r="N29" t="e">
        <f ca="1">INDEX(INDIRECT(B33 &amp; "[P2A]"), ROWS(INDIRECT(B33 &amp; "[P2A]")) - 3 + 1)</f>
        <v>#VALUE!</v>
      </c>
      <c r="O29" t="e">
        <f ca="1">INDEX(INDIRECT(B33 &amp; "[P2p]"), ROWS(INDIRECT(B33 &amp; "[P2p]")) - 3 + 1)</f>
        <v>#VALUE!</v>
      </c>
      <c r="P29" t="e">
        <f ca="1">INDEX(INDIRECT(B33 &amp; "[P3M]"), ROWS(INDIRECT(B33 &amp; "[P3M]")) - 3 + 1)</f>
        <v>#VALUE!</v>
      </c>
      <c r="Q29" t="e">
        <f ca="1">INDEX(INDIRECT(B33 &amp; "[P3A]"), ROWS(INDIRECT(B33 &amp; "[P3A]")) - 3 + 1)</f>
        <v>#VALUE!</v>
      </c>
      <c r="R29" t="e">
        <f ca="1">INDEX(INDIRECT(B33 &amp; "[P3p]"), ROWS(INDIRECT(B33 &amp; "[P3p]")) - 3 + 1)</f>
        <v>#VALUE!</v>
      </c>
      <c r="S29" t="e">
        <f ca="1">INDEX(INDIRECT(B33 &amp; "[FTM]"), ROWS(INDIRECT(B33 &amp; "[FTM]")) - 3 + 1)</f>
        <v>#VALUE!</v>
      </c>
      <c r="T29" t="e">
        <f ca="1">INDEX(INDIRECT(B33 &amp; "[FTA]"), ROWS(INDIRECT(B33 &amp; "[FTA]")) - 3 + 1)</f>
        <v>#VALUE!</v>
      </c>
      <c r="U29" t="e">
        <f ca="1">INDEX(INDIRECT(B33 &amp; "[FTp]"), ROWS(INDIRECT(B33 &amp; "[FTp]")) - 3 + 1)</f>
        <v>#VALUE!</v>
      </c>
      <c r="V29" t="e">
        <f ca="1">INDEX(INDIRECT(B33 &amp; "[ORB]"), ROWS(INDIRECT(B33 &amp; "[ORB]")) - 3 + 1)</f>
        <v>#VALUE!</v>
      </c>
      <c r="W29" t="e">
        <f ca="1">INDEX(INDIRECT(B33 &amp; "[DRB]"), ROWS(INDIRECT(B33 &amp; "[DRB]")) - 3 + 1)</f>
        <v>#VALUE!</v>
      </c>
      <c r="X29" t="e">
        <f ca="1">INDEX(INDIRECT(B33 &amp; "[TRB]"), ROWS(INDIRECT(B33 &amp; "[TRB]")) - 3 + 1)</f>
        <v>#VALUE!</v>
      </c>
      <c r="Y29" t="e">
        <f ca="1">INDEX(INDIRECT(B33 &amp; "[AST]"), ROWS(INDIRECT(B33 &amp; "[AST]")) - 3 + 1)</f>
        <v>#VALUE!</v>
      </c>
      <c r="Z29" t="e">
        <f ca="1">INDEX(INDIRECT(B33 &amp; "[STL]"), ROWS(INDIRECT(B33 &amp; "[STL]")) - 3 + 1)</f>
        <v>#VALUE!</v>
      </c>
      <c r="AA29" t="e">
        <f ca="1">INDEX(INDIRECT(B33 &amp; "[BLK]"), ROWS(INDIRECT(B33 &amp; "[BLK]")) - 3 + 1)</f>
        <v>#VALUE!</v>
      </c>
      <c r="AB29" t="e">
        <f ca="1">INDEX(INDIRECT(B33 &amp; "[TOV]"), ROWS(INDIRECT(B33 &amp; "[TOV]")) - 3 + 1)</f>
        <v>#VALUE!</v>
      </c>
      <c r="AC29" t="e">
        <f ca="1">INDEX(INDIRECT(B33 &amp; "[PF]"), ROWS(INDIRECT(B33 &amp; "[PF]")) - 3 + 1)</f>
        <v>#VALUE!</v>
      </c>
      <c r="AD29" t="e">
        <f ca="1">INDEX(INDIRECT(B33 &amp; "[FGMop]"), ROWS(INDIRECT(B33 &amp; "[FGMop]")) - 3 + 1)</f>
        <v>#VALUE!</v>
      </c>
      <c r="AE29" t="e">
        <f ca="1">INDEX(INDIRECT(B33 &amp; "[FGAop]"), ROWS(INDIRECT(B33 &amp; "[FGAop]")) - 3 + 1)</f>
        <v>#VALUE!</v>
      </c>
      <c r="AF29" t="e">
        <f ca="1">INDEX(INDIRECT(B33 &amp; "[FGpop]"), ROWS(INDIRECT(B33 &amp; "[FGpop]")) - 3 + 1)</f>
        <v>#VALUE!</v>
      </c>
      <c r="AG29" t="e">
        <f ca="1">INDEX(INDIRECT(B33 &amp; "[P2Mop]"), ROWS(INDIRECT(B33 &amp; "[P2Mop]")) - 3 + 1)</f>
        <v>#VALUE!</v>
      </c>
      <c r="AH29" t="e">
        <f ca="1">INDEX(INDIRECT(B33 &amp; "[P2Aop]"), ROWS(INDIRECT(B33 &amp; "[P2Aop]")) - 3 + 1)</f>
        <v>#VALUE!</v>
      </c>
      <c r="AI29" t="e">
        <f ca="1">INDEX(INDIRECT(B33 &amp; "[P2pop]"), ROWS(INDIRECT(B33 &amp; "[P2pop]")) - 3 + 1)</f>
        <v>#VALUE!</v>
      </c>
      <c r="AJ29" t="e">
        <f ca="1">INDEX(INDIRECT(B33 &amp; "[P3Mop]"), ROWS(INDIRECT(B33 &amp; "[P3Mop]")) - 3 + 1)</f>
        <v>#VALUE!</v>
      </c>
      <c r="AK29" t="e">
        <f ca="1">INDEX(INDIRECT(B33 &amp; "[P3Aop]"), ROWS(INDIRECT(B33 &amp; "[P3Aop]")) - 3 + 1)</f>
        <v>#VALUE!</v>
      </c>
      <c r="AL29" t="e">
        <f ca="1">INDEX(INDIRECT(B33 &amp; "[P3pop]"), ROWS(INDIRECT(B33 &amp; "[P3pop]")) - 3 + 1)</f>
        <v>#VALUE!</v>
      </c>
      <c r="AM29" t="e">
        <f ca="1">INDEX(INDIRECT(B33 &amp; "[FTMop]"), ROWS(INDIRECT(B33 &amp; "[FTMop]")) - 3 + 1)</f>
        <v>#VALUE!</v>
      </c>
      <c r="AN29" t="e">
        <f ca="1">INDEX(INDIRECT(B33 &amp; "[FTAop]"), ROWS(INDIRECT(B33 &amp; "[FTAop]")) - 3 + 1)</f>
        <v>#VALUE!</v>
      </c>
      <c r="AO29" t="e">
        <f ca="1">INDEX(INDIRECT(B33 &amp; "[FTpop]"), ROWS(INDIRECT(B33 &amp; "[FTpop]")) - 3 + 1)</f>
        <v>#VALUE!</v>
      </c>
      <c r="AP29" t="e">
        <f ca="1">INDEX(INDIRECT(B33 &amp; "[ORBop]"), ROWS(INDIRECT(B33 &amp; "[ORBop]")) - 3 + 1)</f>
        <v>#VALUE!</v>
      </c>
      <c r="AQ29" t="e">
        <f ca="1">INDEX(INDIRECT(B33 &amp; "[DRBop]"), ROWS(INDIRECT(B33 &amp; "[DRBop]")) - 3 + 1)</f>
        <v>#VALUE!</v>
      </c>
      <c r="AR29" t="e">
        <f ca="1">INDEX(INDIRECT(B33 &amp; "[TRBop]"), ROWS(INDIRECT(B33 &amp; "[TRBop]")) - 3 + 1)</f>
        <v>#VALUE!</v>
      </c>
      <c r="AS29" t="e">
        <f ca="1">INDEX(INDIRECT(B33 &amp; "[ASTop]"), ROWS(INDIRECT(B33 &amp; "[ASTop]")) - 3 + 1)</f>
        <v>#VALUE!</v>
      </c>
      <c r="AT29" t="e">
        <f ca="1">INDEX(INDIRECT(B33 &amp; "[STLop]"), ROWS(INDIRECT(B33 &amp; "[STLop]")) - 3 + 1)</f>
        <v>#VALUE!</v>
      </c>
      <c r="AU29" t="e">
        <f ca="1">INDEX(INDIRECT(B33 &amp; "[BLKop]"), ROWS(INDIRECT(B33 &amp; "[BLKop]")) - 3 + 1)</f>
        <v>#VALUE!</v>
      </c>
      <c r="AV29" t="e">
        <f ca="1">INDEX(INDIRECT(B33 &amp; "[TOVop]"), ROWS(INDIRECT(B33 &amp; "[TOVop]")) - 3 + 1)</f>
        <v>#VALUE!</v>
      </c>
      <c r="AW29" t="e">
        <f ca="1">INDEX(INDIRECT(B33 &amp; "[PFop]"), ROWS(INDIRECT(B33 &amp; "[PFop]")) - 3 + 1)</f>
        <v>#VALUE!</v>
      </c>
      <c r="AX29" t="e">
        <f ca="1">INDEX(INDIRECT(B33 &amp; "[TS%]"), ROWS(INDIRECT(B33 &amp; "[TS%]")) - 3 + 1)</f>
        <v>#VALUE!</v>
      </c>
      <c r="AY29" t="e">
        <f ca="1">INDEX(INDIRECT(B33 &amp; "[eFG%]"), ROWS(INDIRECT(B33 &amp; "[eFG%]")) - 3 + 1)</f>
        <v>#VALUE!</v>
      </c>
      <c r="AZ29" t="e">
        <f ca="1">INDEX(INDIRECT(B33 &amp; "[ORB%]"), ROWS(INDIRECT(B33 &amp; "[ORB%]")) - 3 + 1)</f>
        <v>#VALUE!</v>
      </c>
      <c r="BA29" t="e">
        <f ca="1">INDEX(INDIRECT(B33 &amp; "[DRB%]"), ROWS(INDIRECT(B33 &amp; "[DRB%]")) - 3 + 1)</f>
        <v>#VALUE!</v>
      </c>
      <c r="BB29" t="e">
        <f ca="1">INDEX(INDIRECT(B33 &amp; "[TRB%]"), ROWS(INDIRECT(B33 &amp; "[TRB%]")) - 3 + 1)</f>
        <v>#VALUE!</v>
      </c>
      <c r="BC29" t="e">
        <f ca="1">INDEX(INDIRECT(B33 &amp; "[Poss]"), ROWS(INDIRECT(B33 &amp; "[Poss]")) - 3 + 1)</f>
        <v>#VALUE!</v>
      </c>
      <c r="BD29" t="e">
        <f ca="1">INDEX(INDIRECT(B33 &amp; "[AST%]"), ROWS(INDIRECT(B33 &amp; "[AST%]")) - 3 + 1)</f>
        <v>#VALUE!</v>
      </c>
      <c r="BE29" t="e">
        <f ca="1">INDEX(INDIRECT(B33 &amp; "[FTFGA%]"), ROWS(INDIRECT(B33 &amp; "[FTFGA%]")) - 3 + 1)</f>
        <v>#VALUE!</v>
      </c>
      <c r="BF29" t="e">
        <f ca="1">INDEX(INDIRECT(B33 &amp; "[TOV%]"), ROWS(INDIRECT(B33 &amp; "[TOV%]")) - 3 + 1)</f>
        <v>#VALUE!</v>
      </c>
      <c r="BG29" t="e">
        <f ca="1">INDEX(INDIRECT(B33 &amp; "[ORtg]"), ROWS(INDIRECT(B33 &amp; "[ORtg]")) - 3 + 1)</f>
        <v>#VALUE!</v>
      </c>
      <c r="BH29" t="e">
        <f ca="1">INDEX(INDIRECT(B33 &amp; "[DRtg]"), ROWS(INDIRECT(B33 &amp; "[DRtg]")) - 3 + 1)</f>
        <v>#VALUE!</v>
      </c>
      <c r="BI29" t="e">
        <f ca="1">INDEX(INDIRECT(B33 &amp; "[Pace]"), ROWS(INDIRECT(B33 &amp; "[Pace]")) - 3 + 1)</f>
        <v>#VALUE!</v>
      </c>
      <c r="BJ29" t="e">
        <f ca="1">INDEX(INDIRECT(B33 &amp; "[TS%op]"), ROWS(INDIRECT(B33 &amp; "[TS%op]")) - 3 + 1)</f>
        <v>#VALUE!</v>
      </c>
      <c r="BK29" t="e">
        <f ca="1">INDEX(INDIRECT(B33 &amp; "[eFG%op]"), ROWS(INDIRECT(B33 &amp; "[eFG%op]")) - 3 + 1)</f>
        <v>#VALUE!</v>
      </c>
      <c r="BL29" t="e">
        <f ca="1">INDEX(INDIRECT(B33 &amp; "[ORB%op]"), ROWS(INDIRECT(B33 &amp; "[ORB%op]")) - 3 + 1)</f>
        <v>#VALUE!</v>
      </c>
      <c r="BM29" t="e">
        <f ca="1">INDEX(INDIRECT(B33 &amp; "[DRB%op]"), ROWS(INDIRECT(B33 &amp; "[DRB%op]")) - 3 + 1)</f>
        <v>#VALUE!</v>
      </c>
      <c r="BN29" t="e">
        <f ca="1">INDEX(INDIRECT(B33 &amp; "[TRB%op]"), ROWS(INDIRECT(B33 &amp; "[TRB%op]")) - 3 + 1)</f>
        <v>#VALUE!</v>
      </c>
      <c r="BO29" t="e">
        <f ca="1">INDEX(INDIRECT(B33 &amp; "[Possop]"), ROWS(INDIRECT(B33 &amp; "[Possop]")) - 3 + 1)</f>
        <v>#VALUE!</v>
      </c>
      <c r="BP29" t="e">
        <f ca="1">INDEX(INDIRECT(B33 &amp; "[AST%op]"), ROWS(INDIRECT(B33 &amp; "[AST%op]")) - 3 + 1)</f>
        <v>#VALUE!</v>
      </c>
      <c r="BQ29" t="e">
        <f ca="1">INDEX(INDIRECT(B33 &amp; "[FTFGA%op]"), ROWS(INDIRECT(B33 &amp; "[FTFGA%op]")) - 3 + 1)</f>
        <v>#VALUE!</v>
      </c>
      <c r="BR29" t="e">
        <f ca="1">INDEX(INDIRECT(B33 &amp; "[TOV%op]"), ROWS(INDIRECT(B33 &amp; "[TOV%op]")) - 3 + 1)</f>
        <v>#VALUE!</v>
      </c>
      <c r="BS29" t="e">
        <f ca="1">INDEX(INDIRECT(B33 &amp; "[ORtgop]"), ROWS(INDIRECT(B33 &amp; "[ORtgop]")) - 3 + 1)</f>
        <v>#VALUE!</v>
      </c>
      <c r="BT29" t="e">
        <f ca="1">INDEX(INDIRECT(B33 &amp; "[DRtgop]"), ROWS(INDIRECT(B33 &amp; "[DRtgop]")) - 3 + 1)</f>
        <v>#VALUE!</v>
      </c>
      <c r="BU29" t="e">
        <f ca="1">INDEX(INDIRECT(B33 &amp; "[Q1H]"), ROWS(INDIRECT(B33 &amp; "[Q1H]")) - 3 + 1)</f>
        <v>#VALUE!</v>
      </c>
      <c r="BV29" t="e">
        <f ca="1">INDEX(INDIRECT(B33 &amp; "[Q2H]"), ROWS(INDIRECT(B33 &amp; "[Q2H]")) - 3 + 1)</f>
        <v>#VALUE!</v>
      </c>
      <c r="BW29" t="e">
        <f ca="1">INDEX(INDIRECT(B33 &amp; "[Q3H]"), ROWS(INDIRECT(B33 &amp; "[Q3H]")) - 3 + 1)</f>
        <v>#VALUE!</v>
      </c>
      <c r="BX29" t="e">
        <f ca="1">INDEX(INDIRECT(B33 &amp; "[Q4H]"), ROWS(INDIRECT(B33 &amp; "[Q4H]")) - 3 + 1)</f>
        <v>#VALUE!</v>
      </c>
      <c r="BY29" t="e">
        <f ca="1">INDEX(INDIRECT(B33 &amp; "[Q1A]"), ROWS(INDIRECT(B33 &amp; "[Q1A]")) - 3 + 1)</f>
        <v>#VALUE!</v>
      </c>
      <c r="BZ29" t="e">
        <f ca="1">INDEX(INDIRECT(B33 &amp; "[Q2A]"), ROWS(INDIRECT(B33 &amp; "[Q2A]")) - 3 + 1)</f>
        <v>#VALUE!</v>
      </c>
      <c r="CA29" t="e">
        <f ca="1">INDEX(INDIRECT(B33 &amp; "[Q3A]"), ROWS(INDIRECT(B33 &amp; "[Q3A]")) - 3 + 1)</f>
        <v>#VALUE!</v>
      </c>
      <c r="CB29" t="e">
        <f ca="1">INDEX(INDIRECT(B33 &amp; "[Q4A]"), ROWS(INDIRECT(B33 &amp; "[Q4A]")) - 3 + 1)</f>
        <v>#VALUE!</v>
      </c>
      <c r="CC29" t="e">
        <f ca="1">INDEX(INDIRECT(B33 &amp; "[FhalfH]"), ROWS(INDIRECT(B33 &amp; "[FhalfH]")) - 3 + 1)</f>
        <v>#VALUE!</v>
      </c>
      <c r="CD29" t="e">
        <f ca="1">INDEX(INDIRECT(B33 &amp; "[ShalfH]"), ROWS(INDIRECT(B33 &amp; "[ShalfH]")) - 3 + 1)</f>
        <v>#VALUE!</v>
      </c>
      <c r="CE29" t="e">
        <f ca="1">INDEX(INDIRECT(B33 &amp; "[FhalfA]"), ROWS(INDIRECT(B33 &amp; "[FhalfA]")) - 3 + 1)</f>
        <v>#VALUE!</v>
      </c>
      <c r="CF29" t="e">
        <f ca="1">INDEX(INDIRECT(B33 &amp; "[ShalfA]"), ROWS(INDIRECT(B33 &amp; "[ShalfA]")) - 3 + 1)</f>
        <v>#VALUE!</v>
      </c>
      <c r="CG29" t="e">
        <f ca="1">INDEX(INDIRECT(B33 &amp; "[win]"), ROWS(INDIRECT(B33 &amp; "[win]")) - 3 + 1)</f>
        <v>#VALUE!</v>
      </c>
      <c r="CH29" t="e">
        <f ca="1">INDEX(INDIRECT(B33 &amp; "[lose]"), ROWS(INDIRECT(B33 &amp; "[lose]")) - 3 + 1)</f>
        <v>#VALUE!</v>
      </c>
      <c r="CI29" t="e">
        <f ca="1">INDEX(INDIRECT(B33 &amp; "[foraH]"), ROWS(INDIRECT(B33 &amp; "[foraH]")) - 3 + 1)</f>
        <v>#VALUE!</v>
      </c>
      <c r="CJ29" t="e">
        <f ca="1">INDEX(INDIRECT(B33 &amp; "[foraA]"), ROWS(INDIRECT(B33 &amp; "[foraA]")) - 3 + 1)</f>
        <v>#VALUE!</v>
      </c>
      <c r="CK29" t="e">
        <f ca="1">INDEX(INDIRECT(B33 &amp; "[total]"), ROWS(INDIRECT(B33 &amp; "[total]")) - 3 + 1)</f>
        <v>#VALUE!</v>
      </c>
      <c r="CL29" t="e">
        <f ca="1">INDEX(INDIRECT(B33 &amp; "[link]"), ROWS(INDIRECT(B33 &amp; "[link]")) - 3 + 1)</f>
        <v>#VALUE!</v>
      </c>
      <c r="CM29" t="e">
        <f ca="1">INDEX(INDIRECT(B33 &amp; "[abbr]"), ROWS(INDIRECT(B33 &amp; "[abbr]")) - 3 + 1)</f>
        <v>#VALUE!</v>
      </c>
      <c r="CN29" t="e">
        <f ca="1">last5[[#This Row],[Q1H]]+last5[[#This Row],[Q1A]]</f>
        <v>#VALUE!</v>
      </c>
      <c r="CO29" t="e">
        <f ca="1">last5[[#This Row],[Q2H]]+last5[[#This Row],[Q2A]]</f>
        <v>#VALUE!</v>
      </c>
      <c r="CP29" t="e">
        <f ca="1">last5[[#This Row],[Q3H]]+last5[[#This Row],[Q3A]]</f>
        <v>#VALUE!</v>
      </c>
      <c r="CQ29" t="e">
        <f ca="1">last5[[#This Row],[Q4H]]+last5[[#This Row],[Q4A]]</f>
        <v>#VALUE!</v>
      </c>
      <c r="CR29" t="e">
        <f ca="1">last5[[#This Row],[FhalfH]]+last5[[#This Row],[FhalfA]]</f>
        <v>#VALUE!</v>
      </c>
      <c r="CS29" t="e">
        <f ca="1">last5[[#This Row],[ShalfH]]+last5[[#This Row],[ShalfA]]</f>
        <v>#VALUE!</v>
      </c>
      <c r="CT29" t="e">
        <f ca="1">INDEX(INDIRECT(B33 &amp; "[BetH]"), ROWS(INDIRECT(B33 &amp; "[BetH]")) - 3 + 1)</f>
        <v>#VALUE!</v>
      </c>
      <c r="CU29" t="e">
        <f ca="1">INDEX(INDIRECT(B33 &amp; "[BetA]"), ROWS(INDIRECT(B33 &amp; "[BetA]")) - 3 + 1)</f>
        <v>#VALUE!</v>
      </c>
      <c r="CV29" t="e">
        <f ca="1">INDEX(INDIRECT(B33 &amp; "[Tover]"), ROWS(INDIRECT(B33 &amp; "[Tover]")) - 3 + 1)</f>
        <v>#VALUE!</v>
      </c>
      <c r="CW29" t="e">
        <f ca="1">INDEX(INDIRECT(B33 &amp; "[Deviation]"), ROWS(INDIRECT(B33 &amp; "[Deviation]")) - 3 + 1)</f>
        <v>#VALUE!</v>
      </c>
    </row>
    <row r="30" spans="1:101" x14ac:dyDescent="0.25">
      <c r="A30" t="str">
        <f ca="1">INDEX(INDIRECT(B33 &amp; "[tournament]"), ROWS(INDIRECT(B33 &amp; "[tournament]")) - 2 + 1)</f>
        <v>LNB</v>
      </c>
      <c r="B30" t="str">
        <f ca="1">INDEX(INDIRECT(B33 &amp; "[Home_team]"), ROWS(INDIRECT(B33 &amp; "[Home_team]")) - 2 + 1)</f>
        <v>Dijon</v>
      </c>
      <c r="C30" t="str">
        <f ca="1">INDEX(INDIRECT(B33 &amp; "[Stage]"), ROWS(INDIRECT(B33 &amp; "[Stage]")) - 2 + 1)</f>
        <v>RS</v>
      </c>
      <c r="D30" s="10">
        <f ca="1">INDEX(INDIRECT(B33 &amp; "[Date]"), ROWS(INDIRECT(B33 &amp; "[Date]")) - 2 + 1)</f>
        <v>45926</v>
      </c>
      <c r="E30" t="str">
        <f ca="1">INDEX(INDIRECT(B33 &amp; "[Location]"), ROWS(INDIRECT(B33 &amp; "[Location]")) - 2 + 1)</f>
        <v>H</v>
      </c>
      <c r="F30" t="str">
        <f ca="1">INDEX(INDIRECT(B33 &amp; "[Away_team]"), ROWS(INDIRECT(B33 &amp; "[Away_team]")) - 2 + 1)</f>
        <v>Le Mans</v>
      </c>
      <c r="G30" t="str">
        <f ca="1">INDEX(INDIRECT(B33 &amp; "[Result]"), ROWS(INDIRECT(B33 &amp; "[Result]")) - 2 + 1)</f>
        <v>L</v>
      </c>
      <c r="H30">
        <f ca="1">INDEX(INDIRECT(B33 &amp; "[Home_scored]"), ROWS(INDIRECT(B33 &amp; "[Home_scored]")) - 2 + 1)</f>
        <v>89</v>
      </c>
      <c r="I30">
        <f ca="1">INDEX(INDIRECT(B33 &amp; "[Away_scored]"), ROWS(INDIRECT(B33 &amp; "[Away_scored]")) - 2 + 1)</f>
        <v>91</v>
      </c>
      <c r="J30">
        <f ca="1">INDEX(INDIRECT(B33 &amp; "[FGM]"), ROWS(INDIRECT(B33 &amp; "[FGM]")) - 2 + 1)</f>
        <v>30</v>
      </c>
      <c r="K30">
        <f ca="1">INDEX(INDIRECT(B33 &amp; "[FGA]"), ROWS(INDIRECT(B33 &amp; "[FGA]")) - 2 + 1)</f>
        <v>65</v>
      </c>
      <c r="L30">
        <f ca="1">INDEX(INDIRECT(B33 &amp; "[FGp]"), ROWS(INDIRECT(B33 &amp; "[FGp]")) - 2 + 1)</f>
        <v>0.46150000000000002</v>
      </c>
      <c r="M30">
        <f ca="1">INDEX(INDIRECT(B33 &amp; "[P2M]"), ROWS(INDIRECT(B33 &amp; "[P2M]")) - 2 + 1)</f>
        <v>19</v>
      </c>
      <c r="N30">
        <f ca="1">INDEX(INDIRECT(B33 &amp; "[P2A]"), ROWS(INDIRECT(B33 &amp; "[P2A]")) - 2 + 1)</f>
        <v>34</v>
      </c>
      <c r="O30">
        <f ca="1">INDEX(INDIRECT(B33 &amp; "[P2p]"), ROWS(INDIRECT(B33 &amp; "[P2p]")) - 2 + 1)</f>
        <v>0.55879999999999996</v>
      </c>
      <c r="P30">
        <f ca="1">INDEX(INDIRECT(B33 &amp; "[P3M]"), ROWS(INDIRECT(B33 &amp; "[P3M]")) - 2 + 1)</f>
        <v>11</v>
      </c>
      <c r="Q30">
        <f ca="1">INDEX(INDIRECT(B33 &amp; "[P3A]"), ROWS(INDIRECT(B33 &amp; "[P3A]")) - 2 + 1)</f>
        <v>31</v>
      </c>
      <c r="R30">
        <f ca="1">INDEX(INDIRECT(B33 &amp; "[P3p]"), ROWS(INDIRECT(B33 &amp; "[P3p]")) - 2 + 1)</f>
        <v>0.3548</v>
      </c>
      <c r="S30">
        <f ca="1">INDEX(INDIRECT(B33 &amp; "[FTM]"), ROWS(INDIRECT(B33 &amp; "[FTM]")) - 2 + 1)</f>
        <v>18</v>
      </c>
      <c r="T30">
        <f ca="1">INDEX(INDIRECT(B33 &amp; "[FTA]"), ROWS(INDIRECT(B33 &amp; "[FTA]")) - 2 + 1)</f>
        <v>22</v>
      </c>
      <c r="U30">
        <f ca="1">INDEX(INDIRECT(B33 &amp; "[FTp]"), ROWS(INDIRECT(B33 &amp; "[FTp]")) - 2 + 1)</f>
        <v>0.81820000000000004</v>
      </c>
      <c r="V30">
        <f ca="1">INDEX(INDIRECT(B33 &amp; "[ORB]"), ROWS(INDIRECT(B33 &amp; "[ORB]")) - 2 + 1)</f>
        <v>16</v>
      </c>
      <c r="W30">
        <f ca="1">INDEX(INDIRECT(B33 &amp; "[DRB]"), ROWS(INDIRECT(B33 &amp; "[DRB]")) - 2 + 1)</f>
        <v>11</v>
      </c>
      <c r="X30">
        <f ca="1">INDEX(INDIRECT(B33 &amp; "[TRB]"), ROWS(INDIRECT(B33 &amp; "[TRB]")) - 2 + 1)</f>
        <v>27</v>
      </c>
      <c r="Y30">
        <f ca="1">INDEX(INDIRECT(B33 &amp; "[AST]"), ROWS(INDIRECT(B33 &amp; "[AST]")) - 2 + 1)</f>
        <v>21</v>
      </c>
      <c r="Z30">
        <f ca="1">INDEX(INDIRECT(B33 &amp; "[STL]"), ROWS(INDIRECT(B33 &amp; "[STL]")) - 2 + 1)</f>
        <v>0</v>
      </c>
      <c r="AA30">
        <f ca="1">INDEX(INDIRECT(B33 &amp; "[BLK]"), ROWS(INDIRECT(B33 &amp; "[BLK]")) - 2 + 1)</f>
        <v>13</v>
      </c>
      <c r="AB30">
        <f ca="1">INDEX(INDIRECT(B33 &amp; "[TOV]"), ROWS(INDIRECT(B33 &amp; "[TOV]")) - 2 + 1)</f>
        <v>7</v>
      </c>
      <c r="AC30">
        <f ca="1">INDEX(INDIRECT(B33 &amp; "[PF]"), ROWS(INDIRECT(B33 &amp; "[PF]")) - 2 + 1)</f>
        <v>27</v>
      </c>
      <c r="AD30">
        <f ca="1">INDEX(INDIRECT(B33 &amp; "[FGMop]"), ROWS(INDIRECT(B33 &amp; "[FGMop]")) - 2 + 1)</f>
        <v>30</v>
      </c>
      <c r="AE30">
        <f ca="1">INDEX(INDIRECT(B33 &amp; "[FGAop]"), ROWS(INDIRECT(B33 &amp; "[FGAop]")) - 2 + 1)</f>
        <v>56</v>
      </c>
      <c r="AF30">
        <f ca="1">INDEX(INDIRECT(B33 &amp; "[FGpop]"), ROWS(INDIRECT(B33 &amp; "[FGpop]")) - 2 + 1)</f>
        <v>0.53569999999999995</v>
      </c>
      <c r="AG30">
        <f ca="1">INDEX(INDIRECT(B33 &amp; "[P2Mop]"), ROWS(INDIRECT(B33 &amp; "[P2Mop]")) - 2 + 1)</f>
        <v>21</v>
      </c>
      <c r="AH30">
        <f ca="1">INDEX(INDIRECT(B33 &amp; "[P2Aop]"), ROWS(INDIRECT(B33 &amp; "[P2Aop]")) - 2 + 1)</f>
        <v>32</v>
      </c>
      <c r="AI30">
        <f ca="1">INDEX(INDIRECT(B33 &amp; "[P2pop]"), ROWS(INDIRECT(B33 &amp; "[P2pop]")) - 2 + 1)</f>
        <v>0.65629999999999999</v>
      </c>
      <c r="AJ30">
        <f ca="1">INDEX(INDIRECT(B33 &amp; "[P3Mop]"), ROWS(INDIRECT(B33 &amp; "[P3Mop]")) - 2 + 1)</f>
        <v>9</v>
      </c>
      <c r="AK30">
        <f ca="1">INDEX(INDIRECT(B33 &amp; "[P3Aop]"), ROWS(INDIRECT(B33 &amp; "[P3Aop]")) - 2 + 1)</f>
        <v>24</v>
      </c>
      <c r="AL30">
        <f ca="1">INDEX(INDIRECT(B33 &amp; "[P3pop]"), ROWS(INDIRECT(B33 &amp; "[P3pop]")) - 2 + 1)</f>
        <v>0.375</v>
      </c>
      <c r="AM30">
        <f ca="1">INDEX(INDIRECT(B33 &amp; "[FTMop]"), ROWS(INDIRECT(B33 &amp; "[FTMop]")) - 2 + 1)</f>
        <v>22</v>
      </c>
      <c r="AN30">
        <f ca="1">INDEX(INDIRECT(B33 &amp; "[FTAop]"), ROWS(INDIRECT(B33 &amp; "[FTAop]")) - 2 + 1)</f>
        <v>27</v>
      </c>
      <c r="AO30">
        <f ca="1">INDEX(INDIRECT(B33 &amp; "[FTpop]"), ROWS(INDIRECT(B33 &amp; "[FTpop]")) - 2 + 1)</f>
        <v>0.81479999999999997</v>
      </c>
      <c r="AP30">
        <f ca="1">INDEX(INDIRECT(B33 &amp; "[ORBop]"), ROWS(INDIRECT(B33 &amp; "[ORBop]")) - 2 + 1)</f>
        <v>14</v>
      </c>
      <c r="AQ30">
        <f ca="1">INDEX(INDIRECT(B33 &amp; "[DRBop]"), ROWS(INDIRECT(B33 &amp; "[DRBop]")) - 2 + 1)</f>
        <v>19</v>
      </c>
      <c r="AR30">
        <f ca="1">INDEX(INDIRECT(B33 &amp; "[TRBop]"), ROWS(INDIRECT(B33 &amp; "[TRBop]")) - 2 + 1)</f>
        <v>33</v>
      </c>
      <c r="AS30">
        <f ca="1">INDEX(INDIRECT(B33 &amp; "[ASTop]"), ROWS(INDIRECT(B33 &amp; "[ASTop]")) - 2 + 1)</f>
        <v>16</v>
      </c>
      <c r="AT30">
        <f ca="1">INDEX(INDIRECT(B33 &amp; "[STLop]"), ROWS(INDIRECT(B33 &amp; "[STLop]")) - 2 + 1)</f>
        <v>5</v>
      </c>
      <c r="AU30">
        <f ca="1">INDEX(INDIRECT(B33 &amp; "[BLKop]"), ROWS(INDIRECT(B33 &amp; "[BLKop]")) - 2 + 1)</f>
        <v>18</v>
      </c>
      <c r="AV30">
        <f ca="1">INDEX(INDIRECT(B33 &amp; "[TOVop]"), ROWS(INDIRECT(B33 &amp; "[TOVop]")) - 2 + 1)</f>
        <v>5</v>
      </c>
      <c r="AW30">
        <f ca="1">INDEX(INDIRECT(B33 &amp; "[PFop]"), ROWS(INDIRECT(B33 &amp; "[PFop]")) - 2 + 1)</f>
        <v>17</v>
      </c>
      <c r="AX30">
        <f ca="1">INDEX(INDIRECT(B33 &amp; "[TS%]"), ROWS(INDIRECT(B33 &amp; "[TS%]")) - 2 + 1)</f>
        <v>0.59589999999999999</v>
      </c>
      <c r="AY30">
        <f ca="1">INDEX(INDIRECT(B33 &amp; "[eFG%]"), ROWS(INDIRECT(B33 &amp; "[eFG%]")) - 2 + 1)</f>
        <v>0.54620000000000002</v>
      </c>
      <c r="AZ30">
        <f ca="1">INDEX(INDIRECT(B33 &amp; "[ORB%]"), ROWS(INDIRECT(B33 &amp; "[ORB%]")) - 2 + 1)</f>
        <v>0.45710000000000001</v>
      </c>
      <c r="BA30">
        <f ca="1">INDEX(INDIRECT(B33 &amp; "[DRB%]"), ROWS(INDIRECT(B33 &amp; "[DRB%]")) - 2 + 1)</f>
        <v>0.44</v>
      </c>
      <c r="BB30">
        <f ca="1">INDEX(INDIRECT(B33 &amp; "[TRB%]"), ROWS(INDIRECT(B33 &amp; "[TRB%]")) - 2 + 1)</f>
        <v>0.45</v>
      </c>
      <c r="BC30">
        <f ca="1">INDEX(INDIRECT(B33 &amp; "[Poss]"), ROWS(INDIRECT(B33 &amp; "[Poss]")) - 2 + 1)</f>
        <v>58.606999999999999</v>
      </c>
      <c r="BD30">
        <f ca="1">INDEX(INDIRECT(B33 &amp; "[AST%]"), ROWS(INDIRECT(B33 &amp; "[AST%]")) - 2 + 1)</f>
        <v>0.7</v>
      </c>
      <c r="BE30">
        <f ca="1">INDEX(INDIRECT(B33 &amp; "[FTFGA%]"), ROWS(INDIRECT(B33 &amp; "[FTFGA%]")) - 2 + 1)</f>
        <v>0.27689999999999998</v>
      </c>
      <c r="BF30">
        <f ca="1">INDEX(INDIRECT(B33 &amp; "[TOV%]"), ROWS(INDIRECT(B33 &amp; "[TOV%]")) - 2 + 1)</f>
        <v>8.5699999999999998E-2</v>
      </c>
      <c r="BG30">
        <f ca="1">INDEX(INDIRECT(B33 &amp; "[ORtg]"), ROWS(INDIRECT(B33 &amp; "[ORtg]")) - 2 + 1)</f>
        <v>150.1</v>
      </c>
      <c r="BH30">
        <f ca="1">INDEX(INDIRECT(B33 &amp; "[DRtg]"), ROWS(INDIRECT(B33 &amp; "[DRtg]")) - 2 + 1)</f>
        <v>153.5</v>
      </c>
      <c r="BI30">
        <f ca="1">INDEX(INDIRECT(B33 &amp; "[Pace]"), ROWS(INDIRECT(B33 &amp; "[Pace]")) - 2 + 1)</f>
        <v>59.302500000000002</v>
      </c>
      <c r="BJ30">
        <f ca="1">INDEX(INDIRECT(B33 &amp; "[TS%op]"), ROWS(INDIRECT(B33 &amp; "[TS%op]")) - 2 + 1)</f>
        <v>0.67030000000000001</v>
      </c>
      <c r="BK30">
        <f ca="1">INDEX(INDIRECT(B33 &amp; "[eFG%op]"), ROWS(INDIRECT(B33 &amp; "[eFG%op]")) - 2 + 1)</f>
        <v>0.61609999999999998</v>
      </c>
      <c r="BL30">
        <f ca="1">INDEX(INDIRECT(B33 &amp; "[ORB%op]"), ROWS(INDIRECT(B33 &amp; "[ORB%op]")) - 2 + 1)</f>
        <v>0.56000000000000005</v>
      </c>
      <c r="BM30">
        <f ca="1">INDEX(INDIRECT(B33 &amp; "[DRB%op]"), ROWS(INDIRECT(B33 &amp; "[DRB%op]")) - 2 + 1)</f>
        <v>0.54290000000000005</v>
      </c>
      <c r="BN30">
        <f ca="1">INDEX(INDIRECT(B33 &amp; "[TRB%op]"), ROWS(INDIRECT(B33 &amp; "[TRB%op]")) - 2 + 1)</f>
        <v>0.55000000000000004</v>
      </c>
      <c r="BO30">
        <f ca="1">INDEX(INDIRECT(B33 &amp; "[Possop]"), ROWS(INDIRECT(B33 &amp; "[Possop]")) - 2 + 1)</f>
        <v>59.997999999999998</v>
      </c>
      <c r="BP30">
        <f ca="1">INDEX(INDIRECT(B33 &amp; "[AST%op]"), ROWS(INDIRECT(B33 &amp; "[AST%op]")) - 2 + 1)</f>
        <v>0.5333</v>
      </c>
      <c r="BQ30">
        <f ca="1">INDEX(INDIRECT(B33 &amp; "[FTFGA%op]"), ROWS(INDIRECT(B33 &amp; "[FTFGA%op]")) - 2 + 1)</f>
        <v>0.39290000000000003</v>
      </c>
      <c r="BR30">
        <f ca="1">INDEX(INDIRECT(B33 &amp; "[TOV%op]"), ROWS(INDIRECT(B33 &amp; "[TOV%op]")) - 2 + 1)</f>
        <v>6.8599999999999994E-2</v>
      </c>
      <c r="BS30">
        <f ca="1">INDEX(INDIRECT(B33 &amp; "[ORtgop]"), ROWS(INDIRECT(B33 &amp; "[ORtgop]")) - 2 + 1)</f>
        <v>153.5</v>
      </c>
      <c r="BT30">
        <f ca="1">INDEX(INDIRECT(B33 &amp; "[DRtgop]"), ROWS(INDIRECT(B33 &amp; "[DRtgop]")) - 2 + 1)</f>
        <v>150.1</v>
      </c>
      <c r="BU30">
        <f ca="1">INDEX(INDIRECT(B33 &amp; "[Q1H]"), ROWS(INDIRECT(B33 &amp; "[Q1H]")) - 2 + 1)</f>
        <v>22</v>
      </c>
      <c r="BV30">
        <f ca="1">INDEX(INDIRECT(B33 &amp; "[Q2H]"), ROWS(INDIRECT(B33 &amp; "[Q2H]")) - 2 + 1)</f>
        <v>24</v>
      </c>
      <c r="BW30">
        <f ca="1">INDEX(INDIRECT(B33 &amp; "[Q3H]"), ROWS(INDIRECT(B33 &amp; "[Q3H]")) - 2 + 1)</f>
        <v>20</v>
      </c>
      <c r="BX30">
        <f ca="1">INDEX(INDIRECT(B33 &amp; "[Q4H]"), ROWS(INDIRECT(B33 &amp; "[Q4H]")) - 2 + 1)</f>
        <v>23</v>
      </c>
      <c r="BY30">
        <f ca="1">INDEX(INDIRECT(B33 &amp; "[Q1A]"), ROWS(INDIRECT(B33 &amp; "[Q1A]")) - 2 + 1)</f>
        <v>16</v>
      </c>
      <c r="BZ30">
        <f ca="1">INDEX(INDIRECT(B33 &amp; "[Q2A]"), ROWS(INDIRECT(B33 &amp; "[Q2A]")) - 2 + 1)</f>
        <v>25</v>
      </c>
      <c r="CA30">
        <f ca="1">INDEX(INDIRECT(B33 &amp; "[Q3A]"), ROWS(INDIRECT(B33 &amp; "[Q3A]")) - 2 + 1)</f>
        <v>27</v>
      </c>
      <c r="CB30">
        <f ca="1">INDEX(INDIRECT(B33 &amp; "[Q4A]"), ROWS(INDIRECT(B33 &amp; "[Q4A]")) - 2 + 1)</f>
        <v>23</v>
      </c>
      <c r="CC30">
        <f ca="1">INDEX(INDIRECT(B33 &amp; "[FhalfH]"), ROWS(INDIRECT(B33 &amp; "[FhalfH]")) - 2 + 1)</f>
        <v>46</v>
      </c>
      <c r="CD30">
        <f ca="1">INDEX(INDIRECT(B33 &amp; "[ShalfH]"), ROWS(INDIRECT(B33 &amp; "[ShalfH]")) - 2 + 1)</f>
        <v>43</v>
      </c>
      <c r="CE30">
        <f ca="1">INDEX(INDIRECT(B33 &amp; "[FhalfA]"), ROWS(INDIRECT(B33 &amp; "[FhalfA]")) - 2 + 1)</f>
        <v>41</v>
      </c>
      <c r="CF30">
        <f ca="1">INDEX(INDIRECT(B33 &amp; "[ShalfA]"), ROWS(INDIRECT(B33 &amp; "[ShalfA]")) - 2 + 1)</f>
        <v>50</v>
      </c>
      <c r="CG30">
        <f ca="1">INDEX(INDIRECT(B33 &amp; "[win]"), ROWS(INDIRECT(B33 &amp; "[win]")) - 2 + 1)</f>
        <v>1.71</v>
      </c>
      <c r="CH30">
        <f ca="1">INDEX(INDIRECT(B33 &amp; "[lose]"), ROWS(INDIRECT(B33 &amp; "[lose]")) - 2 + 1)</f>
        <v>2.2000000000000002</v>
      </c>
      <c r="CI30">
        <f ca="1">INDEX(INDIRECT(B33 &amp; "[foraH]"), ROWS(INDIRECT(B33 &amp; "[foraH]")) - 2 + 1)</f>
        <v>-2.5</v>
      </c>
      <c r="CJ30">
        <f ca="1">INDEX(INDIRECT(B33 &amp; "[foraA]"), ROWS(INDIRECT(B33 &amp; "[foraA]")) - 2 + 1)</f>
        <v>2.5</v>
      </c>
      <c r="CK30">
        <f ca="1">INDEX(INDIRECT(B33 &amp; "[total]"), ROWS(INDIRECT(B33 &amp; "[total]")) - 2 + 1)</f>
        <v>168.5</v>
      </c>
      <c r="CL30" t="str">
        <f ca="1">INDEX(INDIRECT(B33 &amp; "[link]"), ROWS(INDIRECT(B33 &amp; "[link]")) - 2 + 1)</f>
        <v>https://www.flashscore.com/match/basketball/dijon-U1rSU248/le-mans-Qqv37Lsk/?mid=MNQ8TnMG</v>
      </c>
      <c r="CM30" t="str">
        <f ca="1">INDEX(INDIRECT(B33 &amp; "[abbr]"), ROWS(INDIRECT(B33 &amp; "[abbr]")) - 2 + 1)</f>
        <v>LEM</v>
      </c>
      <c r="CN30">
        <f ca="1">last5[[#This Row],[Q1H]]+last5[[#This Row],[Q1A]]</f>
        <v>38</v>
      </c>
      <c r="CO30">
        <f ca="1">last5[[#This Row],[Q2H]]+last5[[#This Row],[Q2A]]</f>
        <v>49</v>
      </c>
      <c r="CP30">
        <f ca="1">last5[[#This Row],[Q3H]]+last5[[#This Row],[Q3A]]</f>
        <v>47</v>
      </c>
      <c r="CQ30">
        <f ca="1">last5[[#This Row],[Q4H]]+last5[[#This Row],[Q4A]]</f>
        <v>46</v>
      </c>
      <c r="CR30">
        <f ca="1">last5[[#This Row],[FhalfH]]+last5[[#This Row],[FhalfA]]</f>
        <v>87</v>
      </c>
      <c r="CS30">
        <f ca="1">last5[[#This Row],[ShalfH]]+last5[[#This Row],[ShalfA]]</f>
        <v>93</v>
      </c>
      <c r="CT30">
        <f ca="1">INDEX(INDIRECT(B33 &amp; "[BetH]"), ROWS(INDIRECT(B33 &amp; "[BetH]")) - 2 + 1)</f>
        <v>-1</v>
      </c>
      <c r="CU30">
        <f ca="1">INDEX(INDIRECT(B33 &amp; "[BetA]"), ROWS(INDIRECT(B33 &amp; "[BetA]")) - 2 + 1)</f>
        <v>1.2000000000000002</v>
      </c>
      <c r="CV30">
        <f ca="1">INDEX(INDIRECT(B33 &amp; "[Tover]"), ROWS(INDIRECT(B33 &amp; "[Tover]")) - 2 + 1)</f>
        <v>1</v>
      </c>
      <c r="CW30">
        <f ca="1">INDEX(INDIRECT(B33 &amp; "[Deviation]"), ROWS(INDIRECT(B33 &amp; "[Deviation]")) - 2 + 1)</f>
        <v>12</v>
      </c>
    </row>
    <row r="31" spans="1:101" x14ac:dyDescent="0.25">
      <c r="A31" t="str">
        <f ca="1">INDEX(INDIRECT(B33 &amp; "[tournament]"), ROWS(INDIRECT(B33 &amp; "[tournament]")) )</f>
        <v>LNB</v>
      </c>
      <c r="B31" t="str">
        <f ca="1">INDEX(INDIRECT(B33 &amp; "[Home_team]"), ROWS(INDIRECT(B33 &amp; "[Home_team]")) )</f>
        <v>Dijon</v>
      </c>
      <c r="C31" t="str">
        <f ca="1">INDEX(INDIRECT(B33 &amp; "[Stage]"), ROWS(INDIRECT(B33 &amp; "[Stage]")) )</f>
        <v>RS</v>
      </c>
      <c r="D31" s="10">
        <f ca="1">INDEX(INDIRECT(B33 &amp; "[Date]"), ROWS(INDIRECT(B33 &amp; "[Date]")) )</f>
        <v>45926</v>
      </c>
      <c r="E31" t="str">
        <f ca="1">INDEX(INDIRECT(B33 &amp; "[Location]"), ROWS(INDIRECT(B33 &amp; "[Location]")) )</f>
        <v>H</v>
      </c>
      <c r="F31" t="str">
        <f ca="1">INDEX(INDIRECT(B33 &amp; "[Away_team]"), ROWS(INDIRECT(B33 &amp; "[Away_team]")) )</f>
        <v>Le Mans</v>
      </c>
      <c r="G31" t="str">
        <f ca="1">INDEX(INDIRECT(B33 &amp; "[Result]"), ROWS(INDIRECT(B33 &amp; "[Result]")) )</f>
        <v>L</v>
      </c>
      <c r="H31">
        <f ca="1">INDEX(INDIRECT(B33 &amp; "[Home_scored]"), ROWS(INDIRECT(B33 &amp; "[Home_scored]")) )</f>
        <v>89</v>
      </c>
      <c r="I31">
        <f ca="1">INDEX(INDIRECT(B33 &amp; "[Away_scored]"), ROWS(INDIRECT(B33 &amp; "[Away_scored]")) )</f>
        <v>91</v>
      </c>
      <c r="J31">
        <f ca="1">INDEX(INDIRECT(B33 &amp; "[FGM]"), ROWS(INDIRECT(B33 &amp; "[FGM]")) )</f>
        <v>30</v>
      </c>
      <c r="K31">
        <f ca="1">INDEX(INDIRECT(B33 &amp; "[FGA]"), ROWS(INDIRECT(B33 &amp; "[FGA]")) )</f>
        <v>65</v>
      </c>
      <c r="L31">
        <f ca="1">INDEX(INDIRECT(B33 &amp; "[FGp]"), ROWS(INDIRECT(B33 &amp; "[FGp]")) )</f>
        <v>0.46150000000000002</v>
      </c>
      <c r="M31">
        <f ca="1">INDEX(INDIRECT(B33 &amp; "[P2M]"), ROWS(INDIRECT(B33 &amp; "[P2M]")) )</f>
        <v>19</v>
      </c>
      <c r="N31">
        <f ca="1">INDEX(INDIRECT(B33 &amp; "[P2A]"), ROWS(INDIRECT(B33 &amp; "[P2A]")) )</f>
        <v>34</v>
      </c>
      <c r="O31">
        <f ca="1">INDEX(INDIRECT(B33 &amp; "[P2p]"), ROWS(INDIRECT(B33 &amp; "[P2p]")) )</f>
        <v>0.55879999999999996</v>
      </c>
      <c r="P31">
        <f ca="1">INDEX(INDIRECT(B33 &amp; "[P3M]"), ROWS(INDIRECT(B33 &amp; "[P3M]")) )</f>
        <v>11</v>
      </c>
      <c r="Q31">
        <f ca="1">INDEX(INDIRECT(B33 &amp; "[P3A]"), ROWS(INDIRECT(B33 &amp; "[P3A]")) )</f>
        <v>31</v>
      </c>
      <c r="R31">
        <f ca="1">INDEX(INDIRECT(B33 &amp; "[P3p]"), ROWS(INDIRECT(B33 &amp; "[P3p]")) )</f>
        <v>0.3548</v>
      </c>
      <c r="S31">
        <f ca="1">INDEX(INDIRECT(B33 &amp; "[FTM]"), ROWS(INDIRECT(B33 &amp; "[FTM]")) )</f>
        <v>18</v>
      </c>
      <c r="T31">
        <f ca="1">INDEX(INDIRECT(B33 &amp; "[FTA]"), ROWS(INDIRECT(B33 &amp; "[FTA]")) )</f>
        <v>22</v>
      </c>
      <c r="U31">
        <f ca="1">INDEX(INDIRECT(B33 &amp; "[FTp]"), ROWS(INDIRECT(B33 &amp; "[FTp]")) )</f>
        <v>0.81820000000000004</v>
      </c>
      <c r="V31">
        <f ca="1">INDEX(INDIRECT(B33 &amp; "[ORB]"), ROWS(INDIRECT(B33 &amp; "[ORB]")) )</f>
        <v>16</v>
      </c>
      <c r="W31">
        <f ca="1">INDEX(INDIRECT(B33 &amp; "[DRB]"), ROWS(INDIRECT(B33 &amp; "[DRB]")) )</f>
        <v>11</v>
      </c>
      <c r="X31">
        <f ca="1">INDEX(INDIRECT(B33 &amp; "[TRB]"), ROWS(INDIRECT(B33 &amp; "[TRB]")) )</f>
        <v>27</v>
      </c>
      <c r="Y31">
        <f ca="1">INDEX(INDIRECT(B33 &amp; "[AST]"), ROWS(INDIRECT(B33 &amp; "[AST]")) )</f>
        <v>21</v>
      </c>
      <c r="Z31">
        <f ca="1">INDEX(INDIRECT(B33 &amp; "[STL]"), ROWS(INDIRECT(B33 &amp; "[STL]")) )</f>
        <v>0</v>
      </c>
      <c r="AA31">
        <f ca="1">INDEX(INDIRECT(B33 &amp; "[BLK]"), ROWS(INDIRECT(B33 &amp; "[BLK]")) )</f>
        <v>13</v>
      </c>
      <c r="AB31">
        <f ca="1">INDEX(INDIRECT(B33 &amp; "[TOV]"), ROWS(INDIRECT(B33 &amp; "[TOV]")) )</f>
        <v>7</v>
      </c>
      <c r="AC31">
        <f ca="1">INDEX(INDIRECT(B33 &amp; "[PF]"), ROWS(INDIRECT(B33 &amp; "[PF]")) )</f>
        <v>27</v>
      </c>
      <c r="AD31">
        <f ca="1">INDEX(INDIRECT(B33 &amp; "[FGMop]"), ROWS(INDIRECT(B33 &amp; "[FGMop]")) )</f>
        <v>30</v>
      </c>
      <c r="AE31">
        <f ca="1">INDEX(INDIRECT(B33 &amp; "[FGAop]"), ROWS(INDIRECT(B33 &amp; "[FGAop]")) )</f>
        <v>56</v>
      </c>
      <c r="AF31">
        <f ca="1">INDEX(INDIRECT(B33 &amp; "[FGpop]"), ROWS(INDIRECT(B33 &amp; "[FGpop]")) )</f>
        <v>0.53569999999999995</v>
      </c>
      <c r="AG31">
        <f ca="1">INDEX(INDIRECT(B33 &amp; "[P2Mop]"), ROWS(INDIRECT(B33 &amp; "[P2Mop]")) )</f>
        <v>21</v>
      </c>
      <c r="AH31">
        <f ca="1">INDEX(INDIRECT(B33 &amp; "[P2Aop]"), ROWS(INDIRECT(B33 &amp; "[P2Aop]")) )</f>
        <v>32</v>
      </c>
      <c r="AI31">
        <f ca="1">INDEX(INDIRECT(B33 &amp; "[P2pop]"), ROWS(INDIRECT(B33 &amp; "[P2pop]")) )</f>
        <v>0.65629999999999999</v>
      </c>
      <c r="AJ31">
        <f ca="1">INDEX(INDIRECT(B33 &amp; "[P3Mop]"), ROWS(INDIRECT(B33 &amp; "[P3Mop]")) )</f>
        <v>9</v>
      </c>
      <c r="AK31">
        <f ca="1">INDEX(INDIRECT(B33 &amp; "[P3Aop]"), ROWS(INDIRECT(B33 &amp; "[P3Aop]")) )</f>
        <v>24</v>
      </c>
      <c r="AL31">
        <f ca="1">INDEX(INDIRECT(B33 &amp; "[P3pop]"), ROWS(INDIRECT(B33 &amp; "[P3pop]")) )</f>
        <v>0.375</v>
      </c>
      <c r="AM31">
        <f ca="1">INDEX(INDIRECT(B33 &amp; "[FTMop]"), ROWS(INDIRECT(B33 &amp; "[FTMop]")) )</f>
        <v>22</v>
      </c>
      <c r="AN31">
        <f ca="1">INDEX(INDIRECT(B33 &amp; "[FTAop]"), ROWS(INDIRECT(B33 &amp; "[FTAop]")) )</f>
        <v>27</v>
      </c>
      <c r="AO31">
        <f ca="1">INDEX(INDIRECT(B33 &amp; "[FTpop]"), ROWS(INDIRECT(B33 &amp; "[FTpop]")) )</f>
        <v>0.81479999999999997</v>
      </c>
      <c r="AP31">
        <f ca="1">INDEX(INDIRECT(B33 &amp; "[ORBop]"), ROWS(INDIRECT(B33 &amp; "[ORBop]")) )</f>
        <v>14</v>
      </c>
      <c r="AQ31">
        <f ca="1">INDEX(INDIRECT(B33 &amp; "[DRBop]"), ROWS(INDIRECT(B33 &amp; "[DRBop]")) )</f>
        <v>19</v>
      </c>
      <c r="AR31">
        <f ca="1">INDEX(INDIRECT(B33 &amp; "[TRBop]"), ROWS(INDIRECT(B33 &amp; "[TRBop]")) )</f>
        <v>33</v>
      </c>
      <c r="AS31">
        <f ca="1">INDEX(INDIRECT(B33 &amp; "[ASTop]"), ROWS(INDIRECT(B33 &amp; "[ASTop]")) )</f>
        <v>16</v>
      </c>
      <c r="AT31">
        <f ca="1">INDEX(INDIRECT(B33 &amp; "[STLop]"), ROWS(INDIRECT(B33 &amp; "[STLop]")) )</f>
        <v>5</v>
      </c>
      <c r="AU31">
        <f ca="1">INDEX(INDIRECT(B33 &amp; "[BLKop]"), ROWS(INDIRECT(B33 &amp; "[BLKop]")) )</f>
        <v>18</v>
      </c>
      <c r="AV31">
        <f ca="1">INDEX(INDIRECT(B33 &amp; "[TOVop]"), ROWS(INDIRECT(B33 &amp; "[TOVop]")) )</f>
        <v>5</v>
      </c>
      <c r="AW31">
        <f ca="1">INDEX(INDIRECT(B33 &amp; "[PFop]"), ROWS(INDIRECT(B33 &amp; "[PFop]")) )</f>
        <v>17</v>
      </c>
      <c r="AX31">
        <f ca="1">INDEX(INDIRECT(B33 &amp; "[TS%]"), ROWS(INDIRECT(B33 &amp; "[TS%]")) )</f>
        <v>0.59589999999999999</v>
      </c>
      <c r="AY31">
        <f ca="1">INDEX(INDIRECT(B33 &amp; "[eFG%]"), ROWS(INDIRECT(B33 &amp; "[eFG%]")) )</f>
        <v>0.54620000000000002</v>
      </c>
      <c r="AZ31">
        <f ca="1">INDEX(INDIRECT(B33 &amp; "[ORB%]"), ROWS(INDIRECT(B33 &amp; "[ORB%]")) )</f>
        <v>0.45710000000000001</v>
      </c>
      <c r="BA31">
        <f ca="1">INDEX(INDIRECT(B33 &amp; "[DRB%]"), ROWS(INDIRECT(B33 &amp; "[DRB%]")) )</f>
        <v>0.44</v>
      </c>
      <c r="BB31">
        <f ca="1">INDEX(INDIRECT(B33 &amp; "[TRB%]"), ROWS(INDIRECT(B33 &amp; "[TRB%]")) )</f>
        <v>0.45</v>
      </c>
      <c r="BC31">
        <f ca="1">INDEX(INDIRECT(B33 &amp; "[Poss]"), ROWS(INDIRECT(B33 &amp; "[Poss]")) )</f>
        <v>58.606999999999999</v>
      </c>
      <c r="BD31">
        <f ca="1">INDEX(INDIRECT(B33 &amp; "[AST%]"), ROWS(INDIRECT(B33 &amp; "[AST%]")) )</f>
        <v>0.7</v>
      </c>
      <c r="BE31">
        <f ca="1">INDEX(INDIRECT(B33 &amp; "[FTFGA%]"), ROWS(INDIRECT(B33 &amp; "[FTFGA%]")) )</f>
        <v>0.27689999999999998</v>
      </c>
      <c r="BF31">
        <f ca="1">INDEX(INDIRECT(B33 &amp; "[TOV%]"), ROWS(INDIRECT(B33 &amp; "[TOV%]")) )</f>
        <v>8.5699999999999998E-2</v>
      </c>
      <c r="BG31">
        <f ca="1">INDEX(INDIRECT(B33 &amp; "[ORtg]"), ROWS(INDIRECT(B33 &amp; "[ORtg]")) )</f>
        <v>150.1</v>
      </c>
      <c r="BH31">
        <f ca="1">INDEX(INDIRECT(B33 &amp; "[DRtg]"), ROWS(INDIRECT(B33 &amp; "[DRtg]")) )</f>
        <v>153.5</v>
      </c>
      <c r="BI31">
        <f ca="1">INDEX(INDIRECT(B33 &amp; "[Pace]"), ROWS(INDIRECT(B33 &amp; "[Pace]")) )</f>
        <v>59.302500000000002</v>
      </c>
      <c r="BJ31">
        <f ca="1">INDEX(INDIRECT(B33 &amp; "[TS%op]"), ROWS(INDIRECT(B33 &amp; "[TS%op]")) )</f>
        <v>0.67030000000000001</v>
      </c>
      <c r="BK31">
        <f ca="1">INDEX(INDIRECT(B33 &amp; "[eFG%op]"), ROWS(INDIRECT(B33 &amp; "[eFG%op]")) )</f>
        <v>0.61609999999999998</v>
      </c>
      <c r="BL31">
        <f ca="1">INDEX(INDIRECT(B33 &amp; "[ORB%op]"), ROWS(INDIRECT(B33 &amp; "[ORB%op]")) )</f>
        <v>0.56000000000000005</v>
      </c>
      <c r="BM31">
        <f ca="1">INDEX(INDIRECT(B33 &amp; "[DRB%op]"), ROWS(INDIRECT(B33 &amp; "[DRB%op]")) )</f>
        <v>0.54290000000000005</v>
      </c>
      <c r="BN31">
        <f ca="1">INDEX(INDIRECT(B33 &amp; "[TRB%op]"), ROWS(INDIRECT(B33 &amp; "[TRB%op]")) )</f>
        <v>0.55000000000000004</v>
      </c>
      <c r="BO31">
        <f ca="1">INDEX(INDIRECT(B33 &amp; "[Possop]"), ROWS(INDIRECT(B33 &amp; "[Possop]")) )</f>
        <v>59.997999999999998</v>
      </c>
      <c r="BP31">
        <f ca="1">INDEX(INDIRECT(B33 &amp; "[AST%op]"), ROWS(INDIRECT(B33 &amp; "[AST%op]")) )</f>
        <v>0.5333</v>
      </c>
      <c r="BQ31">
        <f ca="1">INDEX(INDIRECT(B33 &amp; "[FTFGA%op]"), ROWS(INDIRECT(B33 &amp; "[FTFGA%op]")) )</f>
        <v>0.39290000000000003</v>
      </c>
      <c r="BR31">
        <f ca="1">INDEX(INDIRECT(B33 &amp; "[TOV%op]"), ROWS(INDIRECT(B33 &amp; "[TOV%op]")) )</f>
        <v>6.8599999999999994E-2</v>
      </c>
      <c r="BS31">
        <f ca="1">INDEX(INDIRECT(B33 &amp; "[ORtgop]"), ROWS(INDIRECT(B33 &amp; "[ORtgop]")) )</f>
        <v>153.5</v>
      </c>
      <c r="BT31">
        <f ca="1">INDEX(INDIRECT(B33 &amp; "[DRtgop]"), ROWS(INDIRECT(B33 &amp; "[DRtgop]")) )</f>
        <v>150.1</v>
      </c>
      <c r="BU31">
        <f ca="1">INDEX(INDIRECT(B33 &amp; "[Q1H]"), ROWS(INDIRECT(B33 &amp; "[Q1H]")) )</f>
        <v>22</v>
      </c>
      <c r="BV31">
        <f ca="1">INDEX(INDIRECT(B33 &amp; "[Q2H]"), ROWS(INDIRECT(B33 &amp; "[Q2H]")) )</f>
        <v>24</v>
      </c>
      <c r="BW31">
        <f ca="1">INDEX(INDIRECT(B33 &amp; "[Q3H]"), ROWS(INDIRECT(B33 &amp; "[Q3H]")) )</f>
        <v>20</v>
      </c>
      <c r="BX31">
        <f ca="1">INDEX(INDIRECT(B33 &amp; "[Q4H]"), ROWS(INDIRECT(B33 &amp; "[Q4H]")) )</f>
        <v>23</v>
      </c>
      <c r="BY31">
        <f ca="1">INDEX(INDIRECT(B33 &amp; "[Q1A]"), ROWS(INDIRECT(B33 &amp; "[Q1A]")) )</f>
        <v>16</v>
      </c>
      <c r="BZ31">
        <f ca="1">INDEX(INDIRECT(B33 &amp; "[Q2A]"), ROWS(INDIRECT(B33 &amp; "[Q2A]")) )</f>
        <v>25</v>
      </c>
      <c r="CA31">
        <f ca="1">INDEX(INDIRECT(B33 &amp; "[Q3A]"), ROWS(INDIRECT(B33 &amp; "[Q3A]")) )</f>
        <v>27</v>
      </c>
      <c r="CB31">
        <f ca="1">INDEX(INDIRECT(B33 &amp; "[Q4A]"), ROWS(INDIRECT(B33 &amp; "[Q4A]")) )</f>
        <v>23</v>
      </c>
      <c r="CC31">
        <f ca="1">INDEX(INDIRECT(B33 &amp; "[FhalfH]"), ROWS(INDIRECT(B33 &amp; "[FhalfH]")) )</f>
        <v>46</v>
      </c>
      <c r="CD31">
        <f ca="1">INDEX(INDIRECT(B33 &amp; "[ShalfH]"), ROWS(INDIRECT(B33 &amp; "[ShalfH]")) )</f>
        <v>43</v>
      </c>
      <c r="CE31">
        <f ca="1">INDEX(INDIRECT(B33 &amp; "[FhalfA]"), ROWS(INDIRECT(B33 &amp; "[FhalfA]")) )</f>
        <v>41</v>
      </c>
      <c r="CF31">
        <f ca="1">INDEX(INDIRECT(B33 &amp; "[ShalfA]"), ROWS(INDIRECT(B33 &amp; "[ShalfA]")) )</f>
        <v>50</v>
      </c>
      <c r="CG31">
        <f ca="1">INDEX(INDIRECT(B33 &amp; "[win]"), ROWS(INDIRECT(B33 &amp; "[win]")) )</f>
        <v>1.71</v>
      </c>
      <c r="CH31">
        <f ca="1">INDEX(INDIRECT(B33 &amp; "[lose]"), ROWS(INDIRECT(B33 &amp; "[lose]")) )</f>
        <v>2.2000000000000002</v>
      </c>
      <c r="CI31">
        <f ca="1">INDEX(INDIRECT(B33 &amp; "[foraH]"), ROWS(INDIRECT(B33 &amp; "[foraH]")) )</f>
        <v>-2.5</v>
      </c>
      <c r="CJ31">
        <f ca="1">INDEX(INDIRECT(B33 &amp; "[foraA]"), ROWS(INDIRECT(B33 &amp; "[foraA]")) )</f>
        <v>2.5</v>
      </c>
      <c r="CK31">
        <f ca="1">INDEX(INDIRECT(B33 &amp; "[total]"), ROWS(INDIRECT(B33 &amp; "[total]")) )</f>
        <v>168.5</v>
      </c>
      <c r="CL31" t="str">
        <f ca="1">INDEX(INDIRECT(B33 &amp; "[link]"), ROWS(INDIRECT(B33 &amp; "[link]")) )</f>
        <v>https://www.flashscore.com/match/basketball/dijon-U1rSU248/le-mans-Qqv37Lsk/?mid=MNQ8TnMG</v>
      </c>
      <c r="CM31" t="str">
        <f ca="1">INDEX(INDIRECT(B33 &amp; "[abbr]"), ROWS(INDIRECT(B33 &amp; "[abbr]")) )</f>
        <v>LEM</v>
      </c>
      <c r="CN31">
        <f ca="1">last5[[#This Row],[Q1H]]+last5[[#This Row],[Q1A]]</f>
        <v>38</v>
      </c>
      <c r="CO31">
        <f ca="1">last5[[#This Row],[Q2H]]+last5[[#This Row],[Q2A]]</f>
        <v>49</v>
      </c>
      <c r="CP31">
        <f ca="1">last5[[#This Row],[Q3H]]+last5[[#This Row],[Q3A]]</f>
        <v>47</v>
      </c>
      <c r="CQ31">
        <f ca="1">last5[[#This Row],[Q4H]]+last5[[#This Row],[Q4A]]</f>
        <v>46</v>
      </c>
      <c r="CR31">
        <f ca="1">last5[[#This Row],[FhalfH]]+last5[[#This Row],[FhalfA]]</f>
        <v>87</v>
      </c>
      <c r="CS31">
        <f ca="1">last5[[#This Row],[ShalfH]]+last5[[#This Row],[ShalfA]]</f>
        <v>93</v>
      </c>
      <c r="CT31">
        <f ca="1">INDEX(INDIRECT(B33 &amp; "[BetH]"), ROWS(INDIRECT(B33 &amp; "[BetH]")) )</f>
        <v>-1</v>
      </c>
      <c r="CU31">
        <f ca="1">INDEX(INDIRECT(B33 &amp; "[BetA]"), ROWS(INDIRECT(B33 &amp; "[BetA]")) )</f>
        <v>1.2000000000000002</v>
      </c>
      <c r="CV31">
        <f ca="1">INDEX(INDIRECT(B33 &amp; "[Tover]"), ROWS(INDIRECT(B33 &amp; "[Tover]")) )</f>
        <v>1</v>
      </c>
      <c r="CW31">
        <f ca="1">INDEX(INDIRECT(B33 &amp; "[Deviation]"), ROWS(INDIRECT(B33 &amp; "[Deviation]")) )</f>
        <v>12</v>
      </c>
    </row>
    <row r="32" spans="1:101" x14ac:dyDescent="0.25">
      <c r="A32" t="s">
        <v>153</v>
      </c>
      <c r="B32" t="str">
        <f>VLOOKUP($A$1,all[[Team]:[Abbr]],4,FALSE)</f>
        <v>DIJ</v>
      </c>
      <c r="C32" t="s">
        <v>146</v>
      </c>
      <c r="D32" s="10" t="s">
        <v>139</v>
      </c>
      <c r="E32" t="s">
        <v>143</v>
      </c>
      <c r="F32" t="s">
        <v>156</v>
      </c>
      <c r="H32" t="e">
        <f ca="1">AVERAGE(H27:H31)</f>
        <v>#VALUE!</v>
      </c>
      <c r="I32" t="e">
        <f t="shared" ref="I32:BT32" ca="1" si="0">AVERAGE(I27:I31)</f>
        <v>#VALUE!</v>
      </c>
      <c r="J32" t="e">
        <f t="shared" ca="1" si="0"/>
        <v>#VALUE!</v>
      </c>
      <c r="K32" t="e">
        <f t="shared" ca="1" si="0"/>
        <v>#VALUE!</v>
      </c>
      <c r="L32" t="e">
        <f t="shared" ca="1" si="0"/>
        <v>#VALUE!</v>
      </c>
      <c r="M32" t="e">
        <f t="shared" ca="1" si="0"/>
        <v>#VALUE!</v>
      </c>
      <c r="N32" t="e">
        <f t="shared" ca="1" si="0"/>
        <v>#VALUE!</v>
      </c>
      <c r="O32" t="e">
        <f t="shared" ca="1" si="0"/>
        <v>#VALUE!</v>
      </c>
      <c r="P32" t="e">
        <f t="shared" ca="1" si="0"/>
        <v>#VALUE!</v>
      </c>
      <c r="Q32" t="e">
        <f t="shared" ca="1" si="0"/>
        <v>#VALUE!</v>
      </c>
      <c r="R32" t="e">
        <f t="shared" ca="1" si="0"/>
        <v>#VALUE!</v>
      </c>
      <c r="S32" t="e">
        <f t="shared" ca="1" si="0"/>
        <v>#VALUE!</v>
      </c>
      <c r="T32" t="e">
        <f t="shared" ca="1" si="0"/>
        <v>#VALUE!</v>
      </c>
      <c r="U32" t="e">
        <f t="shared" ca="1" si="0"/>
        <v>#VALUE!</v>
      </c>
      <c r="V32" t="e">
        <f t="shared" ca="1" si="0"/>
        <v>#VALUE!</v>
      </c>
      <c r="W32" t="e">
        <f t="shared" ca="1" si="0"/>
        <v>#VALUE!</v>
      </c>
      <c r="X32" t="e">
        <f t="shared" ca="1" si="0"/>
        <v>#VALUE!</v>
      </c>
      <c r="Y32" t="e">
        <f t="shared" ca="1" si="0"/>
        <v>#VALUE!</v>
      </c>
      <c r="Z32" t="e">
        <f t="shared" ca="1" si="0"/>
        <v>#VALUE!</v>
      </c>
      <c r="AA32" t="e">
        <f t="shared" ca="1" si="0"/>
        <v>#VALUE!</v>
      </c>
      <c r="AB32" t="e">
        <f t="shared" ca="1" si="0"/>
        <v>#VALUE!</v>
      </c>
      <c r="AC32" t="e">
        <f t="shared" ca="1" si="0"/>
        <v>#VALUE!</v>
      </c>
      <c r="AD32" t="e">
        <f t="shared" ca="1" si="0"/>
        <v>#VALUE!</v>
      </c>
      <c r="AE32" t="e">
        <f t="shared" ca="1" si="0"/>
        <v>#VALUE!</v>
      </c>
      <c r="AF32" t="e">
        <f t="shared" ca="1" si="0"/>
        <v>#VALUE!</v>
      </c>
      <c r="AG32" t="e">
        <f t="shared" ca="1" si="0"/>
        <v>#VALUE!</v>
      </c>
      <c r="AH32" t="e">
        <f t="shared" ca="1" si="0"/>
        <v>#VALUE!</v>
      </c>
      <c r="AI32" t="e">
        <f t="shared" ca="1" si="0"/>
        <v>#VALUE!</v>
      </c>
      <c r="AJ32" t="e">
        <f t="shared" ca="1" si="0"/>
        <v>#VALUE!</v>
      </c>
      <c r="AK32" t="e">
        <f t="shared" ca="1" si="0"/>
        <v>#VALUE!</v>
      </c>
      <c r="AL32" t="e">
        <f t="shared" ca="1" si="0"/>
        <v>#VALUE!</v>
      </c>
      <c r="AM32" t="e">
        <f t="shared" ca="1" si="0"/>
        <v>#VALUE!</v>
      </c>
      <c r="AN32" t="e">
        <f t="shared" ca="1" si="0"/>
        <v>#VALUE!</v>
      </c>
      <c r="AO32" t="e">
        <f t="shared" ca="1" si="0"/>
        <v>#VALUE!</v>
      </c>
      <c r="AP32" t="e">
        <f t="shared" ca="1" si="0"/>
        <v>#VALUE!</v>
      </c>
      <c r="AQ32" t="e">
        <f t="shared" ca="1" si="0"/>
        <v>#VALUE!</v>
      </c>
      <c r="AR32" t="e">
        <f t="shared" ca="1" si="0"/>
        <v>#VALUE!</v>
      </c>
      <c r="AS32" t="e">
        <f t="shared" ca="1" si="0"/>
        <v>#VALUE!</v>
      </c>
      <c r="AT32" t="e">
        <f t="shared" ca="1" si="0"/>
        <v>#VALUE!</v>
      </c>
      <c r="AU32" t="e">
        <f t="shared" ca="1" si="0"/>
        <v>#VALUE!</v>
      </c>
      <c r="AV32" t="e">
        <f t="shared" ca="1" si="0"/>
        <v>#VALUE!</v>
      </c>
      <c r="AW32" t="e">
        <f t="shared" ca="1" si="0"/>
        <v>#VALUE!</v>
      </c>
      <c r="AX32" t="e">
        <f t="shared" ca="1" si="0"/>
        <v>#VALUE!</v>
      </c>
      <c r="AY32" t="e">
        <f t="shared" ca="1" si="0"/>
        <v>#VALUE!</v>
      </c>
      <c r="AZ32" t="e">
        <f t="shared" ca="1" si="0"/>
        <v>#VALUE!</v>
      </c>
      <c r="BA32" t="e">
        <f t="shared" ca="1" si="0"/>
        <v>#VALUE!</v>
      </c>
      <c r="BB32" t="e">
        <f t="shared" ca="1" si="0"/>
        <v>#VALUE!</v>
      </c>
      <c r="BC32" t="e">
        <f t="shared" ca="1" si="0"/>
        <v>#VALUE!</v>
      </c>
      <c r="BD32" t="e">
        <f t="shared" ca="1" si="0"/>
        <v>#VALUE!</v>
      </c>
      <c r="BE32" t="e">
        <f t="shared" ca="1" si="0"/>
        <v>#VALUE!</v>
      </c>
      <c r="BF32" t="e">
        <f t="shared" ca="1" si="0"/>
        <v>#VALUE!</v>
      </c>
      <c r="BG32" t="e">
        <f t="shared" ca="1" si="0"/>
        <v>#VALUE!</v>
      </c>
      <c r="BH32" t="e">
        <f t="shared" ca="1" si="0"/>
        <v>#VALUE!</v>
      </c>
      <c r="BI32" t="e">
        <f t="shared" ca="1" si="0"/>
        <v>#VALUE!</v>
      </c>
      <c r="BJ32" t="e">
        <f t="shared" ca="1" si="0"/>
        <v>#VALUE!</v>
      </c>
      <c r="BK32" t="e">
        <f t="shared" ca="1" si="0"/>
        <v>#VALUE!</v>
      </c>
      <c r="BL32" t="e">
        <f t="shared" ca="1" si="0"/>
        <v>#VALUE!</v>
      </c>
      <c r="BM32" t="e">
        <f t="shared" ca="1" si="0"/>
        <v>#VALUE!</v>
      </c>
      <c r="BN32" t="e">
        <f t="shared" ca="1" si="0"/>
        <v>#VALUE!</v>
      </c>
      <c r="BO32" t="e">
        <f t="shared" ca="1" si="0"/>
        <v>#VALUE!</v>
      </c>
      <c r="BP32" t="e">
        <f t="shared" ca="1" si="0"/>
        <v>#VALUE!</v>
      </c>
      <c r="BQ32" t="e">
        <f t="shared" ca="1" si="0"/>
        <v>#VALUE!</v>
      </c>
      <c r="BR32" t="e">
        <f t="shared" ca="1" si="0"/>
        <v>#VALUE!</v>
      </c>
      <c r="BS32" t="e">
        <f t="shared" ca="1" si="0"/>
        <v>#VALUE!</v>
      </c>
      <c r="BT32" t="e">
        <f t="shared" ca="1" si="0"/>
        <v>#VALUE!</v>
      </c>
      <c r="BU32" t="e">
        <f t="shared" ref="BU32:CK32" ca="1" si="1">AVERAGE(BU27:BU31)</f>
        <v>#VALUE!</v>
      </c>
      <c r="BV32" t="e">
        <f t="shared" ca="1" si="1"/>
        <v>#VALUE!</v>
      </c>
      <c r="BW32" t="e">
        <f t="shared" ca="1" si="1"/>
        <v>#VALUE!</v>
      </c>
      <c r="BX32" t="e">
        <f t="shared" ca="1" si="1"/>
        <v>#VALUE!</v>
      </c>
      <c r="BY32" t="e">
        <f t="shared" ca="1" si="1"/>
        <v>#VALUE!</v>
      </c>
      <c r="BZ32" t="e">
        <f t="shared" ca="1" si="1"/>
        <v>#VALUE!</v>
      </c>
      <c r="CA32" t="e">
        <f t="shared" ca="1" si="1"/>
        <v>#VALUE!</v>
      </c>
      <c r="CB32" t="e">
        <f t="shared" ca="1" si="1"/>
        <v>#VALUE!</v>
      </c>
      <c r="CC32" t="e">
        <f t="shared" ca="1" si="1"/>
        <v>#VALUE!</v>
      </c>
      <c r="CD32" t="e">
        <f t="shared" ca="1" si="1"/>
        <v>#VALUE!</v>
      </c>
      <c r="CE32" t="e">
        <f t="shared" ca="1" si="1"/>
        <v>#VALUE!</v>
      </c>
      <c r="CF32" t="e">
        <f t="shared" ca="1" si="1"/>
        <v>#VALUE!</v>
      </c>
      <c r="CG32" t="e">
        <f t="shared" ca="1" si="1"/>
        <v>#VALUE!</v>
      </c>
      <c r="CH32" t="e">
        <f t="shared" ca="1" si="1"/>
        <v>#VALUE!</v>
      </c>
      <c r="CK32" t="e">
        <f t="shared" ca="1" si="1"/>
        <v>#VALUE!</v>
      </c>
      <c r="CN32" t="e">
        <f ca="1">last5[[#This Row],[Q1H]]+last5[[#This Row],[Q1A]]</f>
        <v>#VALUE!</v>
      </c>
      <c r="CO32" t="e">
        <f ca="1">last5[[#This Row],[Q2H]]+last5[[#This Row],[Q2A]]</f>
        <v>#VALUE!</v>
      </c>
      <c r="CP32" t="e">
        <f ca="1">last5[[#This Row],[Q3H]]+last5[[#This Row],[Q3A]]</f>
        <v>#VALUE!</v>
      </c>
      <c r="CQ32" t="e">
        <f ca="1">last5[[#This Row],[Q4H]]+last5[[#This Row],[Q4A]]</f>
        <v>#VALUE!</v>
      </c>
      <c r="CR32" t="e">
        <f ca="1">last5[[#This Row],[FhalfH]]+last5[[#This Row],[FhalfA]]</f>
        <v>#VALUE!</v>
      </c>
      <c r="CS32" t="e">
        <f ca="1">last5[[#This Row],[ShalfH]]+last5[[#This Row],[ShalfA]]</f>
        <v>#VALUE!</v>
      </c>
      <c r="CT32" t="e">
        <f ca="1">SUM(CT27:CT31)</f>
        <v>#VALUE!</v>
      </c>
      <c r="CU32" t="e">
        <f ca="1">SUM(CU27:CU31)</f>
        <v>#VALUE!</v>
      </c>
      <c r="CV32" t="e">
        <f ca="1">SUM(CV27:CV31)</f>
        <v>#VALUE!</v>
      </c>
      <c r="CW32" t="e">
        <f ca="1">AVERAGE(CW27:CW31)</f>
        <v>#VALUE!</v>
      </c>
    </row>
    <row r="33" spans="1:101" x14ac:dyDescent="0.25">
      <c r="A33" t="s">
        <v>154</v>
      </c>
      <c r="B33" s="22" t="str">
        <f>VLOOKUP($A$1,all[[Team]:[Table name]],3,FALSE)</f>
        <v>dijon</v>
      </c>
      <c r="C33" t="str">
        <f ca="1">INDIRECT(last5[[#This Row],[Home_team]]&amp;"!B1")</f>
        <v>east</v>
      </c>
      <c r="D33" s="10"/>
      <c r="H33" t="e">
        <f ca="1">AVERAGE(LARGE(H27:H31,4),LARGE(H27:H31,3),LARGE(H27:H31,2))</f>
        <v>#VALUE!</v>
      </c>
      <c r="I33" t="e">
        <f t="shared" ref="I33:BT33" ca="1" si="2">AVERAGE(LARGE(I27:I31,4),LARGE(I27:I31,3),LARGE(I27:I31,2))</f>
        <v>#VALUE!</v>
      </c>
      <c r="J33" t="e">
        <f t="shared" ca="1" si="2"/>
        <v>#VALUE!</v>
      </c>
      <c r="K33" t="e">
        <f t="shared" ca="1" si="2"/>
        <v>#VALUE!</v>
      </c>
      <c r="L33" t="e">
        <f t="shared" ca="1" si="2"/>
        <v>#VALUE!</v>
      </c>
      <c r="M33" t="e">
        <f t="shared" ca="1" si="2"/>
        <v>#VALUE!</v>
      </c>
      <c r="N33" t="e">
        <f t="shared" ca="1" si="2"/>
        <v>#VALUE!</v>
      </c>
      <c r="O33" t="e">
        <f t="shared" ca="1" si="2"/>
        <v>#VALUE!</v>
      </c>
      <c r="P33" t="e">
        <f t="shared" ca="1" si="2"/>
        <v>#VALUE!</v>
      </c>
      <c r="Q33" t="e">
        <f t="shared" ca="1" si="2"/>
        <v>#VALUE!</v>
      </c>
      <c r="R33" t="e">
        <f t="shared" ca="1" si="2"/>
        <v>#VALUE!</v>
      </c>
      <c r="S33" t="e">
        <f t="shared" ca="1" si="2"/>
        <v>#VALUE!</v>
      </c>
      <c r="T33" t="e">
        <f t="shared" ca="1" si="2"/>
        <v>#VALUE!</v>
      </c>
      <c r="U33" t="e">
        <f t="shared" ca="1" si="2"/>
        <v>#VALUE!</v>
      </c>
      <c r="V33" t="e">
        <f t="shared" ca="1" si="2"/>
        <v>#VALUE!</v>
      </c>
      <c r="W33" t="e">
        <f t="shared" ca="1" si="2"/>
        <v>#VALUE!</v>
      </c>
      <c r="X33" t="e">
        <f t="shared" ca="1" si="2"/>
        <v>#VALUE!</v>
      </c>
      <c r="Y33" t="e">
        <f t="shared" ca="1" si="2"/>
        <v>#VALUE!</v>
      </c>
      <c r="Z33" t="e">
        <f t="shared" ca="1" si="2"/>
        <v>#VALUE!</v>
      </c>
      <c r="AA33" t="e">
        <f t="shared" ca="1" si="2"/>
        <v>#VALUE!</v>
      </c>
      <c r="AB33" t="e">
        <f t="shared" ca="1" si="2"/>
        <v>#VALUE!</v>
      </c>
      <c r="AC33" t="e">
        <f t="shared" ca="1" si="2"/>
        <v>#VALUE!</v>
      </c>
      <c r="AD33" t="e">
        <f t="shared" ca="1" si="2"/>
        <v>#VALUE!</v>
      </c>
      <c r="AE33" t="e">
        <f t="shared" ca="1" si="2"/>
        <v>#VALUE!</v>
      </c>
      <c r="AF33" t="e">
        <f t="shared" ca="1" si="2"/>
        <v>#VALUE!</v>
      </c>
      <c r="AG33" t="e">
        <f t="shared" ca="1" si="2"/>
        <v>#VALUE!</v>
      </c>
      <c r="AH33" t="e">
        <f t="shared" ca="1" si="2"/>
        <v>#VALUE!</v>
      </c>
      <c r="AI33" t="e">
        <f t="shared" ca="1" si="2"/>
        <v>#VALUE!</v>
      </c>
      <c r="AJ33" t="e">
        <f t="shared" ca="1" si="2"/>
        <v>#VALUE!</v>
      </c>
      <c r="AK33" t="e">
        <f t="shared" ca="1" si="2"/>
        <v>#VALUE!</v>
      </c>
      <c r="AL33" t="e">
        <f t="shared" ca="1" si="2"/>
        <v>#VALUE!</v>
      </c>
      <c r="AM33" t="e">
        <f t="shared" ca="1" si="2"/>
        <v>#VALUE!</v>
      </c>
      <c r="AN33" t="e">
        <f t="shared" ca="1" si="2"/>
        <v>#VALUE!</v>
      </c>
      <c r="AO33" t="e">
        <f t="shared" ca="1" si="2"/>
        <v>#VALUE!</v>
      </c>
      <c r="AP33" t="e">
        <f t="shared" ca="1" si="2"/>
        <v>#VALUE!</v>
      </c>
      <c r="AQ33" t="e">
        <f t="shared" ca="1" si="2"/>
        <v>#VALUE!</v>
      </c>
      <c r="AR33" t="e">
        <f t="shared" ca="1" si="2"/>
        <v>#VALUE!</v>
      </c>
      <c r="AS33" t="e">
        <f t="shared" ca="1" si="2"/>
        <v>#VALUE!</v>
      </c>
      <c r="AT33" t="e">
        <f t="shared" ca="1" si="2"/>
        <v>#VALUE!</v>
      </c>
      <c r="AU33" t="e">
        <f t="shared" ca="1" si="2"/>
        <v>#VALUE!</v>
      </c>
      <c r="AV33" t="e">
        <f t="shared" ca="1" si="2"/>
        <v>#VALUE!</v>
      </c>
      <c r="AW33" t="e">
        <f t="shared" ca="1" si="2"/>
        <v>#VALUE!</v>
      </c>
      <c r="AX33" t="e">
        <f t="shared" ca="1" si="2"/>
        <v>#VALUE!</v>
      </c>
      <c r="AY33" t="e">
        <f t="shared" ca="1" si="2"/>
        <v>#VALUE!</v>
      </c>
      <c r="AZ33" t="e">
        <f t="shared" ca="1" si="2"/>
        <v>#VALUE!</v>
      </c>
      <c r="BA33" t="e">
        <f t="shared" ca="1" si="2"/>
        <v>#VALUE!</v>
      </c>
      <c r="BB33" t="e">
        <f t="shared" ca="1" si="2"/>
        <v>#VALUE!</v>
      </c>
      <c r="BC33" t="e">
        <f t="shared" ca="1" si="2"/>
        <v>#VALUE!</v>
      </c>
      <c r="BD33" t="e">
        <f t="shared" ca="1" si="2"/>
        <v>#VALUE!</v>
      </c>
      <c r="BE33" t="e">
        <f t="shared" ca="1" si="2"/>
        <v>#VALUE!</v>
      </c>
      <c r="BF33" t="e">
        <f t="shared" ca="1" si="2"/>
        <v>#VALUE!</v>
      </c>
      <c r="BG33" t="e">
        <f t="shared" ca="1" si="2"/>
        <v>#VALUE!</v>
      </c>
      <c r="BH33" t="e">
        <f t="shared" ca="1" si="2"/>
        <v>#VALUE!</v>
      </c>
      <c r="BI33" t="e">
        <f t="shared" ca="1" si="2"/>
        <v>#VALUE!</v>
      </c>
      <c r="BJ33" t="e">
        <f t="shared" ca="1" si="2"/>
        <v>#VALUE!</v>
      </c>
      <c r="BK33" t="e">
        <f t="shared" ca="1" si="2"/>
        <v>#VALUE!</v>
      </c>
      <c r="BL33" t="e">
        <f t="shared" ca="1" si="2"/>
        <v>#VALUE!</v>
      </c>
      <c r="BM33" t="e">
        <f t="shared" ca="1" si="2"/>
        <v>#VALUE!</v>
      </c>
      <c r="BN33" t="e">
        <f t="shared" ca="1" si="2"/>
        <v>#VALUE!</v>
      </c>
      <c r="BO33" t="e">
        <f t="shared" ca="1" si="2"/>
        <v>#VALUE!</v>
      </c>
      <c r="BP33" t="e">
        <f t="shared" ca="1" si="2"/>
        <v>#VALUE!</v>
      </c>
      <c r="BQ33" t="e">
        <f t="shared" ca="1" si="2"/>
        <v>#VALUE!</v>
      </c>
      <c r="BR33" t="e">
        <f t="shared" ca="1" si="2"/>
        <v>#VALUE!</v>
      </c>
      <c r="BS33" t="e">
        <f t="shared" ca="1" si="2"/>
        <v>#VALUE!</v>
      </c>
      <c r="BT33" t="e">
        <f t="shared" ca="1" si="2"/>
        <v>#VALUE!</v>
      </c>
      <c r="BU33" t="e">
        <f t="shared" ref="BU33:CK33" ca="1" si="3">AVERAGE(LARGE(BU27:BU31,4),LARGE(BU27:BU31,3),LARGE(BU27:BU31,2))</f>
        <v>#VALUE!</v>
      </c>
      <c r="BV33" t="e">
        <f t="shared" ca="1" si="3"/>
        <v>#VALUE!</v>
      </c>
      <c r="BW33" t="e">
        <f t="shared" ca="1" si="3"/>
        <v>#VALUE!</v>
      </c>
      <c r="BX33" t="e">
        <f t="shared" ca="1" si="3"/>
        <v>#VALUE!</v>
      </c>
      <c r="BY33" t="e">
        <f t="shared" ca="1" si="3"/>
        <v>#VALUE!</v>
      </c>
      <c r="BZ33" t="e">
        <f t="shared" ca="1" si="3"/>
        <v>#VALUE!</v>
      </c>
      <c r="CA33" t="e">
        <f t="shared" ca="1" si="3"/>
        <v>#VALUE!</v>
      </c>
      <c r="CB33" t="e">
        <f t="shared" ca="1" si="3"/>
        <v>#VALUE!</v>
      </c>
      <c r="CC33" t="e">
        <f t="shared" ca="1" si="3"/>
        <v>#VALUE!</v>
      </c>
      <c r="CD33" t="e">
        <f t="shared" ca="1" si="3"/>
        <v>#VALUE!</v>
      </c>
      <c r="CE33" t="e">
        <f t="shared" ca="1" si="3"/>
        <v>#VALUE!</v>
      </c>
      <c r="CF33" t="e">
        <f t="shared" ca="1" si="3"/>
        <v>#VALUE!</v>
      </c>
      <c r="CG33" t="e">
        <f t="shared" ca="1" si="3"/>
        <v>#VALUE!</v>
      </c>
      <c r="CH33" t="e">
        <f t="shared" ca="1" si="3"/>
        <v>#VALUE!</v>
      </c>
      <c r="CK33" t="e">
        <f t="shared" ca="1" si="3"/>
        <v>#VALUE!</v>
      </c>
      <c r="CN33" t="e">
        <f ca="1">last5[[#This Row],[Q1H]]+last5[[#This Row],[Q1A]]</f>
        <v>#VALUE!</v>
      </c>
      <c r="CO33" t="e">
        <f ca="1">last5[[#This Row],[Q2H]]+last5[[#This Row],[Q2A]]</f>
        <v>#VALUE!</v>
      </c>
      <c r="CP33" t="e">
        <f ca="1">last5[[#This Row],[Q3H]]+last5[[#This Row],[Q3A]]</f>
        <v>#VALUE!</v>
      </c>
      <c r="CQ33" t="e">
        <f ca="1">last5[[#This Row],[Q4H]]+last5[[#This Row],[Q4A]]</f>
        <v>#VALUE!</v>
      </c>
      <c r="CR33" t="e">
        <f ca="1">last5[[#This Row],[FhalfH]]+last5[[#This Row],[FhalfA]]</f>
        <v>#VALUE!</v>
      </c>
      <c r="CS33" t="e">
        <f ca="1">last5[[#This Row],[ShalfH]]+last5[[#This Row],[ShalfA]]</f>
        <v>#VALUE!</v>
      </c>
      <c r="CT33" t="e">
        <f ca="1">AVERAGE(LARGE(CT27:CT31,4),LARGE(CT27:CT31,3),LARGE(CT27:CT31,2))</f>
        <v>#VALUE!</v>
      </c>
      <c r="CU33" t="e">
        <f ca="1">AVERAGE(LARGE(CU27:CU31,4),LARGE(CU27:CU31,3),LARGE(CU27:CU31,2))</f>
        <v>#VALUE!</v>
      </c>
      <c r="CV33" t="e">
        <f ca="1">AVERAGE(LARGE(CV27:CV31,4),LARGE(CV27:CV31,3),LARGE(CV27:CV31,2))</f>
        <v>#VALUE!</v>
      </c>
      <c r="CW33" t="e">
        <f ca="1">AVERAGE(LARGE(CW27:CW31,4),LARGE(CW27:CW31,3),LARGE(CW27:CW31,2))</f>
        <v>#VALUE!</v>
      </c>
    </row>
    <row r="34" spans="1:101" x14ac:dyDescent="0.25">
      <c r="A34" t="s">
        <v>155</v>
      </c>
      <c r="B34">
        <f ca="1">COUNTIF(INDIRECT(B33&amp;"[Result]"),"W")+COUNTIF(INDIRECT(B33&amp;"[Result]"),"DW")</f>
        <v>0</v>
      </c>
      <c r="C34">
        <f ca="1">COUNTIF(INDIRECT(B33&amp;"[Result]"),"DW")</f>
        <v>0</v>
      </c>
      <c r="D34">
        <f ca="1">COUNTIF(INDIRECT(B33&amp;"[Result]"),"L")+COUNTIF(INDIRECT(B33&amp;"[Result]"),"DL")</f>
        <v>1</v>
      </c>
      <c r="E34">
        <f ca="1">COUNTIF(INDIRECT(B33&amp;"[Result]"),"DL")</f>
        <v>0</v>
      </c>
      <c r="F34">
        <f ca="1">COUNTA(INDIRECT(B33&amp;"[result]"))</f>
        <v>1</v>
      </c>
      <c r="H34">
        <f ca="1">AVERAGE(INDIRECT(B33&amp;"[Home_scored]"))</f>
        <v>89</v>
      </c>
      <c r="I34">
        <f ca="1">AVERAGE(INDIRECT(B33&amp;"[Away_scored]"))</f>
        <v>91</v>
      </c>
      <c r="J34">
        <f ca="1">AVERAGE(INDIRECT(B33&amp;"[FGM]"))</f>
        <v>30</v>
      </c>
      <c r="K34">
        <f ca="1">AVERAGE(INDIRECT(B33&amp;"[FGA]"))</f>
        <v>65</v>
      </c>
      <c r="L34">
        <f ca="1">AVERAGE(INDIRECT(B33&amp;"[FGp]"))</f>
        <v>0.46150000000000002</v>
      </c>
      <c r="M34">
        <f ca="1">AVERAGE(INDIRECT(B33&amp;"[p2m]"))</f>
        <v>19</v>
      </c>
      <c r="N34">
        <f ca="1">AVERAGE(INDIRECT(B33&amp;"[p2a]"))</f>
        <v>34</v>
      </c>
      <c r="O34">
        <f ca="1">AVERAGE(INDIRECT(B33&amp;"[p2p]"))</f>
        <v>0.55879999999999996</v>
      </c>
      <c r="P34">
        <f ca="1">AVERAGE(INDIRECT(B33&amp;"[p3m]"))</f>
        <v>11</v>
      </c>
      <c r="Q34">
        <f ca="1">AVERAGE(INDIRECT(B33&amp;"[p3a]"))</f>
        <v>31</v>
      </c>
      <c r="R34">
        <f ca="1">AVERAGE(INDIRECT(B33&amp;"[p3p]"))</f>
        <v>0.3548</v>
      </c>
      <c r="S34">
        <f ca="1">AVERAGE(INDIRECT(B33&amp;"[ftm]"))</f>
        <v>18</v>
      </c>
      <c r="T34">
        <f ca="1">AVERAGE(INDIRECT(B33&amp;"[fta]"))</f>
        <v>22</v>
      </c>
      <c r="U34">
        <f ca="1">AVERAGE(INDIRECT(B33&amp;"[ftp]"))</f>
        <v>0.81820000000000004</v>
      </c>
      <c r="V34">
        <f ca="1">AVERAGE(INDIRECT(B33&amp;"[orb]"))</f>
        <v>16</v>
      </c>
      <c r="W34">
        <f ca="1">AVERAGE(INDIRECT(B33&amp;"[drb]"))</f>
        <v>11</v>
      </c>
      <c r="X34">
        <f ca="1">AVERAGE(INDIRECT(B33&amp;"[trb]"))</f>
        <v>27</v>
      </c>
      <c r="Y34">
        <f ca="1">AVERAGE(INDIRECT(B33&amp;"[ast]"))</f>
        <v>21</v>
      </c>
      <c r="Z34">
        <f ca="1">AVERAGE(INDIRECT(B33&amp;"[stl]"))</f>
        <v>0</v>
      </c>
      <c r="AA34">
        <f ca="1">AVERAGE(INDIRECT(B33&amp;"[blk]"))</f>
        <v>13</v>
      </c>
      <c r="AB34">
        <f ca="1">AVERAGE(INDIRECT(B33&amp;"[tov]"))</f>
        <v>7</v>
      </c>
      <c r="AC34">
        <f ca="1">AVERAGE(INDIRECT(B33&amp;"[pf]"))</f>
        <v>27</v>
      </c>
      <c r="AD34">
        <f ca="1">AVERAGE(INDIRECT(B33&amp;"[fgmop]"))</f>
        <v>30</v>
      </c>
      <c r="AE34">
        <f ca="1">AVERAGE(INDIRECT(B33&amp;"[fgaop]"))</f>
        <v>56</v>
      </c>
      <c r="AF34">
        <f ca="1">AVERAGE(INDIRECT(B33&amp;"[fgpop]"))</f>
        <v>0.53569999999999995</v>
      </c>
      <c r="AG34">
        <f ca="1">AVERAGE(INDIRECT(B33&amp;"[p2mop]"))</f>
        <v>21</v>
      </c>
      <c r="AH34">
        <f ca="1">AVERAGE(INDIRECT(B33&amp;"[p2aop]"))</f>
        <v>32</v>
      </c>
      <c r="AI34">
        <f ca="1">AVERAGE(INDIRECT(B33&amp;"[p2pop]"))</f>
        <v>0.65629999999999999</v>
      </c>
      <c r="AJ34">
        <f ca="1">AVERAGE(INDIRECT(B33&amp;"[p3mop]"))</f>
        <v>9</v>
      </c>
      <c r="AK34">
        <f ca="1">AVERAGE(INDIRECT(B33&amp;"[p3aop]"))</f>
        <v>24</v>
      </c>
      <c r="AL34">
        <f ca="1">AVERAGE(INDIRECT(B33&amp;"[p3pop]"))</f>
        <v>0.375</v>
      </c>
      <c r="AM34">
        <f ca="1">AVERAGE(INDIRECT(B33&amp;"[ftmop]"))</f>
        <v>22</v>
      </c>
      <c r="AN34">
        <f ca="1">AVERAGE(INDIRECT(B33&amp;"[ftaop]"))</f>
        <v>27</v>
      </c>
      <c r="AO34">
        <f ca="1">AVERAGE(INDIRECT(B33&amp;"[ftpop]"))</f>
        <v>0.81479999999999997</v>
      </c>
      <c r="AP34">
        <f ca="1">AVERAGE(INDIRECT(B33&amp;"[orbop]"))</f>
        <v>14</v>
      </c>
      <c r="AQ34">
        <f ca="1">AVERAGE(INDIRECT(B33&amp;"[drbop]"))</f>
        <v>19</v>
      </c>
      <c r="AR34">
        <f ca="1">AVERAGE(INDIRECT(B33&amp;"[trbop]"))</f>
        <v>33</v>
      </c>
      <c r="AS34">
        <f ca="1">AVERAGE(INDIRECT(B33&amp;"[astop]"))</f>
        <v>16</v>
      </c>
      <c r="AT34">
        <f ca="1">AVERAGE(INDIRECT(B33&amp;"[stlop]"))</f>
        <v>5</v>
      </c>
      <c r="AU34">
        <f ca="1">AVERAGE(INDIRECT(B33&amp;"[blkop]"))</f>
        <v>18</v>
      </c>
      <c r="AV34">
        <f ca="1">AVERAGE(INDIRECT(B33&amp;"[tovop]"))</f>
        <v>5</v>
      </c>
      <c r="AW34">
        <f ca="1">AVERAGE(INDIRECT(B33&amp;"[pfop]"))</f>
        <v>17</v>
      </c>
      <c r="AX34">
        <f ca="1">AVERAGE(INDIRECT(B33&amp;"[ts%]"))</f>
        <v>0.59589999999999999</v>
      </c>
      <c r="AY34">
        <f ca="1">AVERAGE(INDIRECT(B33&amp;"[efg%]"))</f>
        <v>0.54620000000000002</v>
      </c>
      <c r="AZ34">
        <f ca="1">AVERAGE(INDIRECT(B33&amp;"[orb%]"))</f>
        <v>0.45710000000000001</v>
      </c>
      <c r="BA34">
        <f ca="1">AVERAGE(INDIRECT(B33&amp;"[drb%]"))</f>
        <v>0.44</v>
      </c>
      <c r="BB34">
        <f ca="1">AVERAGE(INDIRECT(B33&amp;"[trb%]"))</f>
        <v>0.45</v>
      </c>
      <c r="BC34">
        <f ca="1">AVERAGE(INDIRECT(B33&amp;"[poss]"))</f>
        <v>58.606999999999999</v>
      </c>
      <c r="BD34">
        <f ca="1">AVERAGE(INDIRECT(B33&amp;"[ast%]"))</f>
        <v>0.7</v>
      </c>
      <c r="BE34">
        <f ca="1">AVERAGE(INDIRECT(B33&amp;"[ftfga%]"))</f>
        <v>0.27689999999999998</v>
      </c>
      <c r="BF34">
        <f ca="1">AVERAGE(INDIRECT(B33&amp;"[tov%]"))</f>
        <v>8.5699999999999998E-2</v>
      </c>
      <c r="BG34">
        <f ca="1">AVERAGE(INDIRECT(B33&amp;"[ortg]"))</f>
        <v>150.1</v>
      </c>
      <c r="BH34">
        <f ca="1">AVERAGE(INDIRECT(B33&amp;"[drtg]"))</f>
        <v>153.5</v>
      </c>
      <c r="BI34">
        <f ca="1">AVERAGE(INDIRECT(B33&amp;"[pace]"))</f>
        <v>59.302500000000002</v>
      </c>
      <c r="BJ34">
        <f ca="1">AVERAGE(INDIRECT(B33&amp;"[ts%op]"))</f>
        <v>0.67030000000000001</v>
      </c>
      <c r="BK34">
        <f ca="1">AVERAGE(INDIRECT(B33&amp;"[efg%op]"))</f>
        <v>0.61609999999999998</v>
      </c>
      <c r="BL34">
        <f ca="1">AVERAGE(INDIRECT(B33&amp;"[orb%op]"))</f>
        <v>0.56000000000000005</v>
      </c>
      <c r="BM34">
        <f ca="1">AVERAGE(INDIRECT(B33&amp;"[drb%op]"))</f>
        <v>0.54290000000000005</v>
      </c>
      <c r="BN34">
        <f ca="1">AVERAGE(INDIRECT(B33&amp;"[trb%op]"))</f>
        <v>0.55000000000000004</v>
      </c>
      <c r="BO34">
        <f ca="1">AVERAGE(INDIRECT(B33&amp;"[possop]"))</f>
        <v>59.997999999999998</v>
      </c>
      <c r="BP34">
        <f ca="1">AVERAGE(INDIRECT(B33&amp;"[ast%op]"))</f>
        <v>0.5333</v>
      </c>
      <c r="BQ34">
        <f ca="1">AVERAGE(INDIRECT(B33&amp;"[ftfga%op]"))</f>
        <v>0.39290000000000003</v>
      </c>
      <c r="BR34">
        <f ca="1">AVERAGE(INDIRECT(B33&amp;"[tov%op]"))</f>
        <v>6.8599999999999994E-2</v>
      </c>
      <c r="BS34">
        <f ca="1">AVERAGE(INDIRECT(B33&amp;"[ortgop]"))</f>
        <v>153.5</v>
      </c>
      <c r="BT34">
        <f ca="1">AVERAGE(INDIRECT(B33&amp;"[drtgop]"))</f>
        <v>150.1</v>
      </c>
      <c r="BU34">
        <f ca="1">AVERAGE(INDIRECT(B33&amp;"[q1h]"))</f>
        <v>22</v>
      </c>
      <c r="BV34">
        <f ca="1">AVERAGE(INDIRECT(B33&amp;"[q2h]"))</f>
        <v>24</v>
      </c>
      <c r="BW34">
        <f ca="1">AVERAGE(INDIRECT(B33&amp;"[q3h]"))</f>
        <v>20</v>
      </c>
      <c r="BX34">
        <f ca="1">AVERAGE(INDIRECT(B33&amp;"[q4h]"))</f>
        <v>23</v>
      </c>
      <c r="BY34">
        <f ca="1">AVERAGE(INDIRECT(B33&amp;"[q1a]"))</f>
        <v>16</v>
      </c>
      <c r="BZ34">
        <f ca="1">AVERAGE(INDIRECT(B33&amp;"[q2a]"))</f>
        <v>25</v>
      </c>
      <c r="CA34">
        <f ca="1">AVERAGE(INDIRECT(B33&amp;"[q3a]"))</f>
        <v>27</v>
      </c>
      <c r="CB34">
        <f ca="1">AVERAGE(INDIRECT(B33&amp;"[q4a]"))</f>
        <v>23</v>
      </c>
      <c r="CC34">
        <f ca="1">AVERAGE(INDIRECT(B33&amp;"[fhalfh]"))</f>
        <v>46</v>
      </c>
      <c r="CD34">
        <f ca="1">AVERAGE(INDIRECT(B33&amp;"[shalfh]"))</f>
        <v>43</v>
      </c>
      <c r="CE34">
        <f ca="1">AVERAGE(INDIRECT(B33&amp;"[fhalfa]"))</f>
        <v>41</v>
      </c>
      <c r="CF34">
        <f ca="1">AVERAGE(INDIRECT(B33&amp;"[shalfa]"))</f>
        <v>50</v>
      </c>
      <c r="CG34">
        <f ca="1">AVERAGE(INDIRECT(B33&amp;"[win]"))</f>
        <v>1.71</v>
      </c>
      <c r="CH34">
        <f ca="1">AVERAGE(INDIRECT(B33&amp;"[lose]"))</f>
        <v>2.2000000000000002</v>
      </c>
      <c r="CK34">
        <f ca="1">AVERAGE(INDIRECT(B33&amp;"[total]"))</f>
        <v>168.5</v>
      </c>
      <c r="CN34">
        <f ca="1">last5[[#This Row],[Q1H]]+last5[[#This Row],[Q1A]]</f>
        <v>38</v>
      </c>
      <c r="CO34">
        <f ca="1">last5[[#This Row],[Q2H]]+last5[[#This Row],[Q2A]]</f>
        <v>49</v>
      </c>
      <c r="CP34">
        <f ca="1">last5[[#This Row],[Q3H]]+last5[[#This Row],[Q3A]]</f>
        <v>47</v>
      </c>
      <c r="CQ34">
        <f ca="1">last5[[#This Row],[Q4H]]+last5[[#This Row],[Q4A]]</f>
        <v>46</v>
      </c>
      <c r="CR34">
        <f ca="1">last5[[#This Row],[FhalfH]]+last5[[#This Row],[FhalfA]]</f>
        <v>87</v>
      </c>
      <c r="CS34">
        <f ca="1">last5[[#This Row],[ShalfH]]+last5[[#This Row],[ShalfA]]</f>
        <v>93</v>
      </c>
      <c r="CT34">
        <f ca="1">SUM(INDIRECT(B33&amp;"[BetH]"))</f>
        <v>-1</v>
      </c>
      <c r="CU34">
        <f ca="1">SUM(INDIRECT(B33&amp;"[BetA]"))</f>
        <v>1.2000000000000002</v>
      </c>
      <c r="CV34">
        <f ca="1">SUM(INDIRECT(B33&amp;"[Tover]"))</f>
        <v>1</v>
      </c>
      <c r="CW34">
        <f ca="1">AVERAGE(INDIRECT(B33&amp;"[Deviation]"))</f>
        <v>12</v>
      </c>
    </row>
    <row r="35" spans="1:101" x14ac:dyDescent="0.25">
      <c r="A35" t="s">
        <v>173</v>
      </c>
      <c r="B35">
        <f>VLOOKUP($A$1,all[[Team]:[rating_rg]],5,FALSE)</f>
        <v>10</v>
      </c>
      <c r="D35" s="10"/>
      <c r="H35">
        <f ca="1">_xlfn.RANK.EQ(H34,all[PM])</f>
        <v>4</v>
      </c>
      <c r="I35">
        <f ca="1">_xlfn.RANK.EQ(I34,all[PC],1)</f>
        <v>16</v>
      </c>
      <c r="J35">
        <f ca="1">_xlfn.RANK.EQ(J34,all[FGM])</f>
        <v>7</v>
      </c>
      <c r="K35">
        <f ca="1">_xlfn.RANK.EQ(K34,all[FGA])</f>
        <v>2</v>
      </c>
      <c r="L35">
        <f ca="1">_xlfn.RANK.EQ(L34,all[FGp])</f>
        <v>11</v>
      </c>
      <c r="M35">
        <f ca="1">_xlfn.RANK.EQ(M34,all[P2M])</f>
        <v>10</v>
      </c>
      <c r="N35">
        <f ca="1">_xlfn.RANK.EQ(N34,all[P2A])</f>
        <v>10</v>
      </c>
      <c r="O35">
        <f ca="1">_xlfn.RANK.EQ(O34,all[P2p])</f>
        <v>10</v>
      </c>
      <c r="P35">
        <f ca="1">_xlfn.RANK.EQ(P34,all[P3M])</f>
        <v>2</v>
      </c>
      <c r="Q35">
        <f ca="1">_xlfn.RANK.EQ(Q34,all[P3A])</f>
        <v>2</v>
      </c>
      <c r="R35">
        <f ca="1">_xlfn.RANK.EQ(R34,all[P3p])</f>
        <v>8</v>
      </c>
      <c r="S35">
        <f ca="1">_xlfn.RANK.EQ(S34,all[FTM])</f>
        <v>4</v>
      </c>
      <c r="T35">
        <f ca="1">_xlfn.RANK.EQ(T34,all[FTA])</f>
        <v>5</v>
      </c>
      <c r="U35">
        <f ca="1">_xlfn.RANK.EQ(U34,all[FTp])</f>
        <v>1</v>
      </c>
      <c r="V35">
        <f ca="1">_xlfn.RANK.EQ(V34,all[ORB])</f>
        <v>1</v>
      </c>
      <c r="W35">
        <f ca="1">_xlfn.RANK.EQ(W34,all[DRB])</f>
        <v>16</v>
      </c>
      <c r="X35">
        <f ca="1">_xlfn.RANK.EQ(X34,all[TRB])</f>
        <v>16</v>
      </c>
      <c r="Y35">
        <f ca="1">_xlfn.RANK.EQ(Y34,all[AST])</f>
        <v>2</v>
      </c>
      <c r="Z35">
        <f ca="1">_xlfn.RANK.EQ(Z34,all[STL])</f>
        <v>16</v>
      </c>
      <c r="AA35">
        <f ca="1">_xlfn.RANK.EQ(AA34,all[BLK])</f>
        <v>2</v>
      </c>
      <c r="AB35">
        <f ca="1">_xlfn.RANK.EQ(AB34,all[TOV],1)</f>
        <v>2</v>
      </c>
      <c r="AC35">
        <f ca="1">_xlfn.RANK.EQ(AC34,all[PF],1)</f>
        <v>16</v>
      </c>
      <c r="AD35">
        <f ca="1">_xlfn.RANK.EQ(AD34,all[FGM opp],1)</f>
        <v>11</v>
      </c>
      <c r="AE35">
        <f ca="1">_xlfn.RANK.EQ(AE34,all[FGA opp],1)</f>
        <v>1</v>
      </c>
      <c r="AF35">
        <f ca="1">_xlfn.RANK.EQ(AF34,all[FGp opp],1)</f>
        <v>16</v>
      </c>
      <c r="AG35">
        <f ca="1">_xlfn.RANK.EQ(AG34,all[P2M opp],1)</f>
        <v>10</v>
      </c>
      <c r="AH35">
        <f ca="1">_xlfn.RANK.EQ(AH34,all[P2A opp],1)</f>
        <v>2</v>
      </c>
      <c r="AI35">
        <f ca="1">_xlfn.RANK.EQ(AI34,all[P2p opp],1)</f>
        <v>16</v>
      </c>
      <c r="AJ35">
        <f ca="1">_xlfn.RANK.EQ(AJ34,all[P3M opp],1)</f>
        <v>7</v>
      </c>
      <c r="AK35">
        <f ca="1">_xlfn.RANK.EQ(AK34,all[P3A opp],1)</f>
        <v>3</v>
      </c>
      <c r="AL35">
        <f ca="1">_xlfn.RANK.EQ(AL34,all[P3p opp],1)</f>
        <v>15</v>
      </c>
      <c r="AM35">
        <f ca="1">_xlfn.RANK.EQ(AM34,all[FTM opp],1)</f>
        <v>16</v>
      </c>
      <c r="AN35">
        <f ca="1">_xlfn.RANK.EQ(AN34,all[FTA opp],1)</f>
        <v>16</v>
      </c>
      <c r="AO35">
        <f ca="1">_xlfn.RANK.EQ(AO34,all[FTp opp],1)</f>
        <v>15</v>
      </c>
      <c r="AP35">
        <f ca="1">_xlfn.RANK.EQ(AP34,all[ORB opp],1)</f>
        <v>15</v>
      </c>
      <c r="AQ35">
        <f ca="1">_xlfn.RANK.EQ(AQ34,all[DRB opp],1)</f>
        <v>2</v>
      </c>
      <c r="AR35">
        <f ca="1">_xlfn.RANK.EQ(AR34,all[TRB opp],1)</f>
        <v>5</v>
      </c>
      <c r="AS35">
        <f ca="1">_xlfn.RANK.EQ(AS34,all[AST opp],1)</f>
        <v>1</v>
      </c>
      <c r="AT35">
        <f ca="1">_xlfn.RANK.EQ(AT34,all[STL opp],1)</f>
        <v>2</v>
      </c>
      <c r="AU35">
        <f ca="1">_xlfn.RANK.EQ(AU34,all[BLK opp],1)</f>
        <v>16</v>
      </c>
      <c r="AV35">
        <f ca="1">_xlfn.RANK.EQ(AV34,all[TOV opp])</f>
        <v>16</v>
      </c>
      <c r="AW35">
        <f ca="1">_xlfn.RANK.EQ(AW34,all[PF opp])</f>
        <v>16</v>
      </c>
      <c r="AX35">
        <f ca="1">_xlfn.RANK.EQ(AX34,all[TSp])</f>
        <v>7</v>
      </c>
      <c r="AY35">
        <f ca="1">_xlfn.RANK.EQ(AY34,all[eFGp])</f>
        <v>10</v>
      </c>
      <c r="AZ35">
        <f ca="1">_xlfn.RANK.EQ(AZ34,all[ORBp])</f>
        <v>2</v>
      </c>
      <c r="BA35">
        <f ca="1">_xlfn.RANK.EQ(BA34,all[DRBp])</f>
        <v>16</v>
      </c>
      <c r="BB35">
        <f ca="1">_xlfn.RANK.EQ(BB34,all[TRBp])</f>
        <v>15</v>
      </c>
      <c r="BC35">
        <f ca="1">_xlfn.RANK.EQ(BC34,all[Poss])</f>
        <v>16</v>
      </c>
      <c r="BD35">
        <f ca="1">_xlfn.RANK.EQ(BD34,all[ASTp])</f>
        <v>3</v>
      </c>
      <c r="BE35">
        <f ca="1">_xlfn.RANK.EQ(BE34,all[FTFGAp])</f>
        <v>6</v>
      </c>
      <c r="BF35">
        <f ca="1">_xlfn.RANK.EQ(BF34,all[TOVp],1)</f>
        <v>2</v>
      </c>
      <c r="BG35">
        <f ca="1">_xlfn.RANK.EQ(BG34,all[ORtg])</f>
        <v>2</v>
      </c>
      <c r="BH35">
        <f ca="1">_xlfn.RANK.EQ(BH34,all[DRtg],1)</f>
        <v>16</v>
      </c>
      <c r="BI35">
        <f ca="1">_xlfn.RANK.EQ(BI34,all[Pace])</f>
        <v>15</v>
      </c>
      <c r="BJ35">
        <f ca="1">_xlfn.RANK.EQ(BJ34,all[TSp opp],1)</f>
        <v>16</v>
      </c>
      <c r="BK35">
        <f ca="1">_xlfn.RANK.EQ(BK34,all[eFGp opp],1)</f>
        <v>16</v>
      </c>
      <c r="BL35">
        <f ca="1">_xlfn.RANK.EQ(BL34,all[ORBp opp],1)</f>
        <v>16</v>
      </c>
      <c r="BM35">
        <f ca="1">_xlfn.RANK.EQ(BM34,all[DRBp opp],1)</f>
        <v>2</v>
      </c>
      <c r="BN35">
        <f ca="1">_xlfn.RANK.EQ(BN34,all[TRBp opp],1)</f>
        <v>15</v>
      </c>
      <c r="BO35">
        <f ca="1">_xlfn.RANK.EQ(BO34,all[Poss opp],1)</f>
        <v>2</v>
      </c>
      <c r="BP35">
        <f ca="1">_xlfn.RANK.EQ(BP34,all[ASTp opp],1)</f>
        <v>1</v>
      </c>
      <c r="BQ35">
        <f ca="1">_xlfn.RANK.EQ(BQ34,all[FTFGAp opp],1)</f>
        <v>16</v>
      </c>
      <c r="BR35">
        <f ca="1">_xlfn.RANK.EQ(BR34,all[TOVp opp])</f>
        <v>16</v>
      </c>
      <c r="BS35">
        <f ca="1">_xlfn.RANK.EQ(BS34,all[ORtg opp],1)</f>
        <v>16</v>
      </c>
      <c r="BT35">
        <f ca="1">_xlfn.RANK.EQ(BT34,all[DRtg opp])</f>
        <v>2</v>
      </c>
      <c r="BU35">
        <f ca="1">_xlfn.RANK.EQ(BU34,all[Q1H])</f>
        <v>4</v>
      </c>
      <c r="BV35">
        <f ca="1">_xlfn.RANK.EQ(BV34,all[Q2H])</f>
        <v>3</v>
      </c>
      <c r="BW35">
        <f ca="1">_xlfn.RANK.EQ(BW34,all[Q3H])</f>
        <v>10</v>
      </c>
      <c r="BX35">
        <f ca="1">_xlfn.RANK.EQ(BX34,all[Q4H])</f>
        <v>1</v>
      </c>
      <c r="BY35">
        <f ca="1">_xlfn.RANK.EQ(BY34,all[Q1A],1)</f>
        <v>1</v>
      </c>
      <c r="BZ35">
        <f ca="1">_xlfn.RANK.EQ(BZ34,all[Q2A],1)</f>
        <v>16</v>
      </c>
      <c r="CA35">
        <f ca="1">_xlfn.RANK.EQ(CA34,all[Q3A],1)</f>
        <v>16</v>
      </c>
      <c r="CB35">
        <f ca="1">_xlfn.RANK.EQ(CB34,all[Q4A],1)</f>
        <v>14</v>
      </c>
      <c r="CC35">
        <f ca="1">_xlfn.RANK.EQ(CC34,all[FHH])</f>
        <v>3</v>
      </c>
      <c r="CD35">
        <f ca="1">_xlfn.RANK.EQ(CD34,all[SHH])</f>
        <v>7</v>
      </c>
      <c r="CE35">
        <f ca="1">_xlfn.RANK.EQ(CE34,all[FHA],1)</f>
        <v>7</v>
      </c>
      <c r="CF35">
        <f ca="1">_xlfn.RANK.EQ(CF34,all[SHA],1)</f>
        <v>16</v>
      </c>
      <c r="CN35">
        <f ca="1">_xlfn.RANK.EQ(CN34,all[Q1T])</f>
        <v>15</v>
      </c>
      <c r="CO35">
        <f ca="1">_xlfn.RANK.EQ(CO34,all[Q2T])</f>
        <v>1</v>
      </c>
      <c r="CP35">
        <f ca="1">_xlfn.RANK.EQ(CP34,all[Q3T])</f>
        <v>1</v>
      </c>
      <c r="CQ35">
        <f ca="1">_xlfn.RANK.EQ(CQ34,all[Q4T])</f>
        <v>1</v>
      </c>
      <c r="CR35">
        <f ca="1">_xlfn.RANK.EQ(CR34,all[FHT])</f>
        <v>3</v>
      </c>
      <c r="CS35">
        <f ca="1">_xlfn.RANK.EQ(CS34,all[SHT])</f>
        <v>1</v>
      </c>
      <c r="CT35">
        <f ca="1">_xlfn.RANK.EQ(CT34,all[BetH])</f>
        <v>6</v>
      </c>
      <c r="CU35">
        <f ca="1">_xlfn.RANK.EQ(CU34,all[BetA])</f>
        <v>7</v>
      </c>
      <c r="CV35">
        <f ca="1">_xlfn.RANK.EQ(CV34,all[Tover])</f>
        <v>15</v>
      </c>
      <c r="CW35">
        <f ca="1">_xlfn.RANK.EQ(CW34,all[Deviation],1)</f>
        <v>2</v>
      </c>
    </row>
    <row r="43" spans="1:101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  <c r="J43" t="s">
        <v>80</v>
      </c>
      <c r="K43" t="s">
        <v>9</v>
      </c>
      <c r="L43" t="s">
        <v>82</v>
      </c>
      <c r="M43" t="s">
        <v>77</v>
      </c>
      <c r="N43" t="s">
        <v>10</v>
      </c>
      <c r="O43" t="s">
        <v>81</v>
      </c>
      <c r="P43" t="s">
        <v>83</v>
      </c>
      <c r="Q43" t="s">
        <v>11</v>
      </c>
      <c r="R43" t="s">
        <v>84</v>
      </c>
      <c r="S43" t="s">
        <v>86</v>
      </c>
      <c r="T43" t="s">
        <v>12</v>
      </c>
      <c r="U43" t="s">
        <v>85</v>
      </c>
      <c r="V43" t="s">
        <v>13</v>
      </c>
      <c r="W43" t="s">
        <v>14</v>
      </c>
      <c r="X43" t="s">
        <v>15</v>
      </c>
      <c r="Y43" t="s">
        <v>16</v>
      </c>
      <c r="Z43" t="s">
        <v>17</v>
      </c>
      <c r="AA43" t="s">
        <v>18</v>
      </c>
      <c r="AB43" t="s">
        <v>19</v>
      </c>
      <c r="AC43" t="s">
        <v>20</v>
      </c>
      <c r="AD43" t="s">
        <v>87</v>
      </c>
      <c r="AE43" t="s">
        <v>21</v>
      </c>
      <c r="AF43" t="s">
        <v>88</v>
      </c>
      <c r="AG43" t="s">
        <v>94</v>
      </c>
      <c r="AH43" t="s">
        <v>22</v>
      </c>
      <c r="AI43" t="s">
        <v>89</v>
      </c>
      <c r="AJ43" t="s">
        <v>97</v>
      </c>
      <c r="AK43" t="s">
        <v>23</v>
      </c>
      <c r="AL43" t="s">
        <v>98</v>
      </c>
      <c r="AM43" t="s">
        <v>103</v>
      </c>
      <c r="AN43" t="s">
        <v>24</v>
      </c>
      <c r="AO43" t="s">
        <v>106</v>
      </c>
      <c r="AP43" t="s">
        <v>25</v>
      </c>
      <c r="AQ43" t="s">
        <v>26</v>
      </c>
      <c r="AR43" t="s">
        <v>27</v>
      </c>
      <c r="AS43" t="s">
        <v>28</v>
      </c>
      <c r="AT43" t="s">
        <v>29</v>
      </c>
      <c r="AU43" t="s">
        <v>30</v>
      </c>
      <c r="AV43" t="s">
        <v>31</v>
      </c>
      <c r="AW43" t="s">
        <v>115</v>
      </c>
      <c r="AX43" t="s">
        <v>32</v>
      </c>
      <c r="AY43" t="s">
        <v>33</v>
      </c>
      <c r="AZ43" t="s">
        <v>34</v>
      </c>
      <c r="BA43" t="s">
        <v>35</v>
      </c>
      <c r="BB43" t="s">
        <v>36</v>
      </c>
      <c r="BC43" t="s">
        <v>37</v>
      </c>
      <c r="BD43" t="s">
        <v>38</v>
      </c>
      <c r="BE43" t="s">
        <v>39</v>
      </c>
      <c r="BF43" t="s">
        <v>40</v>
      </c>
      <c r="BG43" t="s">
        <v>41</v>
      </c>
      <c r="BH43" t="s">
        <v>42</v>
      </c>
      <c r="BI43" t="s">
        <v>43</v>
      </c>
      <c r="BJ43" t="s">
        <v>44</v>
      </c>
      <c r="BK43" t="s">
        <v>45</v>
      </c>
      <c r="BL43" t="s">
        <v>46</v>
      </c>
      <c r="BM43" t="s">
        <v>47</v>
      </c>
      <c r="BN43" t="s">
        <v>48</v>
      </c>
      <c r="BO43" t="s">
        <v>49</v>
      </c>
      <c r="BP43" t="s">
        <v>50</v>
      </c>
      <c r="BQ43" t="s">
        <v>51</v>
      </c>
      <c r="BR43" t="s">
        <v>52</v>
      </c>
      <c r="BS43" t="s">
        <v>53</v>
      </c>
      <c r="BT43" t="s">
        <v>54</v>
      </c>
      <c r="BU43" t="s">
        <v>55</v>
      </c>
      <c r="BV43" t="s">
        <v>56</v>
      </c>
      <c r="BW43" t="s">
        <v>57</v>
      </c>
      <c r="BX43" t="s">
        <v>58</v>
      </c>
      <c r="BY43" t="s">
        <v>59</v>
      </c>
      <c r="BZ43" t="s">
        <v>60</v>
      </c>
      <c r="CA43" t="s">
        <v>61</v>
      </c>
      <c r="CB43" t="s">
        <v>62</v>
      </c>
      <c r="CC43" t="s">
        <v>63</v>
      </c>
      <c r="CD43" t="s">
        <v>64</v>
      </c>
      <c r="CE43" t="s">
        <v>65</v>
      </c>
      <c r="CF43" t="s">
        <v>66</v>
      </c>
      <c r="CG43" t="s">
        <v>67</v>
      </c>
      <c r="CH43" t="s">
        <v>68</v>
      </c>
      <c r="CI43" t="s">
        <v>69</v>
      </c>
      <c r="CJ43" t="s">
        <v>70</v>
      </c>
      <c r="CK43" t="s">
        <v>71</v>
      </c>
      <c r="CL43" t="s">
        <v>72</v>
      </c>
      <c r="CM43" t="s">
        <v>149</v>
      </c>
      <c r="CN43" t="s">
        <v>275</v>
      </c>
      <c r="CO43" t="s">
        <v>276</v>
      </c>
      <c r="CP43" t="s">
        <v>277</v>
      </c>
      <c r="CQ43" t="s">
        <v>278</v>
      </c>
      <c r="CR43" t="s">
        <v>279</v>
      </c>
      <c r="CS43" t="s">
        <v>280</v>
      </c>
      <c r="CT43" t="s">
        <v>282</v>
      </c>
      <c r="CU43" t="s">
        <v>283</v>
      </c>
      <c r="CV43" t="s">
        <v>292</v>
      </c>
      <c r="CW43" t="s">
        <v>293</v>
      </c>
    </row>
    <row r="44" spans="1:101" x14ac:dyDescent="0.25">
      <c r="A44" t="e">
        <f ca="1">INDEX(INDIRECT(B50 &amp; "[tournament]"), ROWS(INDIRECT(B50 &amp; "[tournament]")) - 5 + 1)</f>
        <v>#VALUE!</v>
      </c>
      <c r="B44" t="e">
        <f ca="1">INDEX(INDIRECT(B50 &amp; "[Home_team]"), ROWS(INDIRECT(B50 &amp; "[Home_team]")) - 5 + 1)</f>
        <v>#VALUE!</v>
      </c>
      <c r="C44" t="e">
        <f ca="1">INDEX(INDIRECT(B50 &amp; "[Stage]"), ROWS(INDIRECT(B50 &amp; "[Stage]")) - 5 + 1)</f>
        <v>#VALUE!</v>
      </c>
      <c r="D44" s="10" t="e">
        <f ca="1">INDEX(INDIRECT(B50 &amp; "[Date]"), ROWS(INDIRECT(B50 &amp; "[Date]")) - 5 + 1)</f>
        <v>#VALUE!</v>
      </c>
      <c r="E44" t="e">
        <f ca="1">INDEX(INDIRECT(B50 &amp; "[Location]"), ROWS(INDIRECT(B50 &amp; "[Location]")) - 5 + 1)</f>
        <v>#VALUE!</v>
      </c>
      <c r="F44" t="e">
        <f ca="1">INDEX(INDIRECT(B50 &amp; "[Away_team]"), ROWS(INDIRECT(B50 &amp; "[Away_team]")) - 5 + 1)</f>
        <v>#VALUE!</v>
      </c>
      <c r="G44" t="e">
        <f ca="1">INDEX(INDIRECT(B50 &amp; "[Result]"), ROWS(INDIRECT(B50 &amp; "[Result]")) - 5 + 1)</f>
        <v>#VALUE!</v>
      </c>
      <c r="H44" t="e">
        <f ca="1">INDEX(INDIRECT(B50 &amp; "[Home_scored]"), ROWS(INDIRECT(B50 &amp; "[Home_scored]")) - 5 + 1)</f>
        <v>#VALUE!</v>
      </c>
      <c r="I44" t="e">
        <f ca="1">INDEX(INDIRECT(B50 &amp; "[Away_scored]"), ROWS(INDIRECT(B50 &amp; "[Away_scored]")) - 5 + 1)</f>
        <v>#VALUE!</v>
      </c>
      <c r="J44" t="e">
        <f ca="1">INDEX(INDIRECT(B50 &amp; "[FGM]"), ROWS(INDIRECT(B50 &amp; "[FGM]")) - 5 + 1)</f>
        <v>#VALUE!</v>
      </c>
      <c r="K44" t="e">
        <f ca="1">INDEX(INDIRECT(B50 &amp; "[FGA]"), ROWS(INDIRECT(B50 &amp; "[FGA]")) - 5 + 1)</f>
        <v>#VALUE!</v>
      </c>
      <c r="L44" t="e">
        <f ca="1">INDEX(INDIRECT(B50 &amp; "[FGp]"), ROWS(INDIRECT(B50 &amp; "[FGp]")) - 5 + 1)</f>
        <v>#VALUE!</v>
      </c>
      <c r="M44" t="e">
        <f ca="1">INDEX(INDIRECT(B50 &amp; "[P2M]"), ROWS(INDIRECT(B50 &amp; "[P2M]")) - 5 + 1)</f>
        <v>#VALUE!</v>
      </c>
      <c r="N44" t="e">
        <f ca="1">INDEX(INDIRECT(B50 &amp; "[P2A]"), ROWS(INDIRECT(B50 &amp; "[P2A]")) - 5 + 1)</f>
        <v>#VALUE!</v>
      </c>
      <c r="O44" t="e">
        <f ca="1">INDEX(INDIRECT(B50 &amp; "[P2p]"), ROWS(INDIRECT(B50 &amp; "[P2p]")) - 5 + 1)</f>
        <v>#VALUE!</v>
      </c>
      <c r="P44" t="e">
        <f ca="1">INDEX(INDIRECT(B50 &amp; "[P3M]"), ROWS(INDIRECT(B50 &amp; "[P3M]")) - 5 + 1)</f>
        <v>#VALUE!</v>
      </c>
      <c r="Q44" t="e">
        <f ca="1">INDEX(INDIRECT(B50 &amp; "[P3A]"), ROWS(INDIRECT(B50 &amp; "[P3A]")) - 5 + 1)</f>
        <v>#VALUE!</v>
      </c>
      <c r="R44" t="e">
        <f ca="1">INDEX(INDIRECT(B50 &amp; "[P3p]"), ROWS(INDIRECT(B50 &amp; "[P3p]")) - 5 + 1)</f>
        <v>#VALUE!</v>
      </c>
      <c r="S44" t="e">
        <f ca="1">INDEX(INDIRECT(B50 &amp; "[FTM]"), ROWS(INDIRECT(B50 &amp; "[FTM]")) - 5 + 1)</f>
        <v>#VALUE!</v>
      </c>
      <c r="T44" t="e">
        <f ca="1">INDEX(INDIRECT(B50 &amp; "[FTA]"), ROWS(INDIRECT(B50 &amp; "[FTA]")) - 5 + 1)</f>
        <v>#VALUE!</v>
      </c>
      <c r="U44" t="e">
        <f ca="1">INDEX(INDIRECT(B50 &amp; "[FTp]"), ROWS(INDIRECT(B50 &amp; "[FTp]")) - 5 + 1)</f>
        <v>#VALUE!</v>
      </c>
      <c r="V44" t="e">
        <f ca="1">INDEX(INDIRECT(B50 &amp; "[ORB]"), ROWS(INDIRECT(B50 &amp; "[ORB]")) - 5 + 1)</f>
        <v>#VALUE!</v>
      </c>
      <c r="W44" t="e">
        <f ca="1">INDEX(INDIRECT(B50 &amp; "[DRB]"), ROWS(INDIRECT(B50 &amp; "[DRB]")) - 5 + 1)</f>
        <v>#VALUE!</v>
      </c>
      <c r="X44" t="e">
        <f ca="1">INDEX(INDIRECT(B50 &amp; "[TRB]"), ROWS(INDIRECT(B50 &amp; "[TRB]")) - 5 + 1)</f>
        <v>#VALUE!</v>
      </c>
      <c r="Y44" t="e">
        <f ca="1">INDEX(INDIRECT(B50 &amp; "[AST]"), ROWS(INDIRECT(B50 &amp; "[AST]")) - 5 + 1)</f>
        <v>#VALUE!</v>
      </c>
      <c r="Z44" t="e">
        <f ca="1">INDEX(INDIRECT(B50 &amp; "[STL]"), ROWS(INDIRECT(B50 &amp; "[STL]")) - 5 + 1)</f>
        <v>#VALUE!</v>
      </c>
      <c r="AA44" t="e">
        <f ca="1">INDEX(INDIRECT(B50 &amp; "[BLK]"), ROWS(INDIRECT(B50 &amp; "[BLK]")) - 5 + 1)</f>
        <v>#VALUE!</v>
      </c>
      <c r="AB44" t="e">
        <f ca="1">INDEX(INDIRECT(B50 &amp; "[TOV]"), ROWS(INDIRECT(B50 &amp; "[TOV]")) - 5 + 1)</f>
        <v>#VALUE!</v>
      </c>
      <c r="AC44" t="e">
        <f ca="1">INDEX(INDIRECT(B50 &amp; "[PF]"), ROWS(INDIRECT(B50 &amp; "[PF]")) - 5 + 1)</f>
        <v>#VALUE!</v>
      </c>
      <c r="AD44" t="e">
        <f ca="1">INDEX(INDIRECT(B50 &amp; "[FGMop]"), ROWS(INDIRECT(B50 &amp; "[FGMop]")) - 5 + 1)</f>
        <v>#VALUE!</v>
      </c>
      <c r="AE44" t="e">
        <f ca="1">INDEX(INDIRECT(B50 &amp; "[FGAop]"), ROWS(INDIRECT(B50 &amp; "[FGAop]")) - 5 + 1)</f>
        <v>#VALUE!</v>
      </c>
      <c r="AF44" t="e">
        <f ca="1">INDEX(INDIRECT(B50 &amp; "[FGpop]"), ROWS(INDIRECT(B50 &amp; "[FGpop]")) - 5 + 1)</f>
        <v>#VALUE!</v>
      </c>
      <c r="AG44" t="e">
        <f ca="1">INDEX(INDIRECT(B50 &amp; "[P2Mop]"), ROWS(INDIRECT(B50 &amp; "[P2Mop]")) - 5 + 1)</f>
        <v>#VALUE!</v>
      </c>
      <c r="AH44" t="e">
        <f ca="1">INDEX(INDIRECT(B50 &amp; "[P2Aop]"), ROWS(INDIRECT(B50 &amp; "[P2Aop]")) - 5 + 1)</f>
        <v>#VALUE!</v>
      </c>
      <c r="AI44" t="e">
        <f ca="1">INDEX(INDIRECT(B50 &amp; "[P2pop]"), ROWS(INDIRECT(B50 &amp; "[P2pop]")) - 5 + 1)</f>
        <v>#VALUE!</v>
      </c>
      <c r="AJ44" t="e">
        <f ca="1">INDEX(INDIRECT(B50 &amp; "[P3Mop]"), ROWS(INDIRECT(B50 &amp; "[P3Mop]")) - 5 + 1)</f>
        <v>#VALUE!</v>
      </c>
      <c r="AK44" t="e">
        <f ca="1">INDEX(INDIRECT(B50 &amp; "[P3Aop]"), ROWS(INDIRECT(B50 &amp; "[P3Aop]")) - 5 + 1)</f>
        <v>#VALUE!</v>
      </c>
      <c r="AL44" t="e">
        <f ca="1">INDEX(INDIRECT(B50 &amp; "[P3pop]"), ROWS(INDIRECT(B50 &amp; "[P3pop]")) - 5 + 1)</f>
        <v>#VALUE!</v>
      </c>
      <c r="AM44" t="e">
        <f ca="1">INDEX(INDIRECT(B50 &amp; "[FTMop]"), ROWS(INDIRECT(B50 &amp; "[FTMop]")) - 5 + 1)</f>
        <v>#VALUE!</v>
      </c>
      <c r="AN44" t="e">
        <f ca="1">INDEX(INDIRECT(B50 &amp; "[FTAop]"), ROWS(INDIRECT(B50 &amp; "[FTAop]")) - 5 + 1)</f>
        <v>#VALUE!</v>
      </c>
      <c r="AO44" t="e">
        <f ca="1">INDEX(INDIRECT(B50 &amp; "[FTpop]"), ROWS(INDIRECT(B50 &amp; "[FTpop]")) - 5 + 1)</f>
        <v>#VALUE!</v>
      </c>
      <c r="AP44" t="e">
        <f ca="1">INDEX(INDIRECT(B50 &amp; "[ORBop]"), ROWS(INDIRECT(B50 &amp; "[ORBop]")) - 5 + 1)</f>
        <v>#VALUE!</v>
      </c>
      <c r="AQ44" t="e">
        <f ca="1">INDEX(INDIRECT(B50 &amp; "[DRBop]"), ROWS(INDIRECT(B50 &amp; "[DRBop]")) - 5 + 1)</f>
        <v>#VALUE!</v>
      </c>
      <c r="AR44" t="e">
        <f ca="1">INDEX(INDIRECT(B50 &amp; "[TRBop]"), ROWS(INDIRECT(B50 &amp; "[TRBop]")) - 5 + 1)</f>
        <v>#VALUE!</v>
      </c>
      <c r="AS44" t="e">
        <f ca="1">INDEX(INDIRECT(B50 &amp; "[ASTop]"), ROWS(INDIRECT(B50 &amp; "[ASTop]")) - 5 + 1)</f>
        <v>#VALUE!</v>
      </c>
      <c r="AT44" t="e">
        <f ca="1">INDEX(INDIRECT(B50 &amp; "[STLop]"), ROWS(INDIRECT(B50 &amp; "[STLop]")) - 5 + 1)</f>
        <v>#VALUE!</v>
      </c>
      <c r="AU44" t="e">
        <f ca="1">INDEX(INDIRECT(B50 &amp; "[BLKop]"), ROWS(INDIRECT(B50 &amp; "[BLKop]")) - 5 + 1)</f>
        <v>#VALUE!</v>
      </c>
      <c r="AV44" t="e">
        <f ca="1">INDEX(INDIRECT(B50 &amp; "[TOVop]"), ROWS(INDIRECT(B50 &amp; "[TOVop]")) - 5 + 1)</f>
        <v>#VALUE!</v>
      </c>
      <c r="AW44" t="e">
        <f ca="1">INDEX(INDIRECT(B50 &amp; "[PFop]"), ROWS(INDIRECT(B50 &amp; "[PFop]")) - 5 + 1)</f>
        <v>#VALUE!</v>
      </c>
      <c r="AX44" t="e">
        <f ca="1">INDEX(INDIRECT(B50 &amp; "[TS%]"), ROWS(INDIRECT(B50 &amp; "[TS%]")) - 5 + 1)</f>
        <v>#VALUE!</v>
      </c>
      <c r="AY44" t="e">
        <f ca="1">INDEX(INDIRECT(B50 &amp; "[eFG%]"), ROWS(INDIRECT(B50 &amp; "[eFG%]")) - 5 + 1)</f>
        <v>#VALUE!</v>
      </c>
      <c r="AZ44" t="e">
        <f ca="1">INDEX(INDIRECT(B50 &amp; "[ORB%]"), ROWS(INDIRECT(B50 &amp; "[ORB%]")) - 5 + 1)</f>
        <v>#VALUE!</v>
      </c>
      <c r="BA44" t="e">
        <f ca="1">INDEX(INDIRECT(B50 &amp; "[DRB%]"), ROWS(INDIRECT(B50 &amp; "[DRB%]")) - 5 + 1)</f>
        <v>#VALUE!</v>
      </c>
      <c r="BB44" t="e">
        <f ca="1">INDEX(INDIRECT(B50 &amp; "[TRB%]"), ROWS(INDIRECT(B50 &amp; "[TRB%]")) - 5 + 1)</f>
        <v>#VALUE!</v>
      </c>
      <c r="BC44" t="e">
        <f ca="1">INDEX(INDIRECT(B50 &amp; "[Poss]"), ROWS(INDIRECT(B50 &amp; "[Poss]")) - 5 + 1)</f>
        <v>#VALUE!</v>
      </c>
      <c r="BD44" t="e">
        <f ca="1">INDEX(INDIRECT(B50 &amp; "[AST%]"), ROWS(INDIRECT(B50 &amp; "[AST%]")) - 5 + 1)</f>
        <v>#VALUE!</v>
      </c>
      <c r="BE44" t="e">
        <f ca="1">INDEX(INDIRECT(B50 &amp; "[FTFGA%]"), ROWS(INDIRECT(B50 &amp; "[FTFGA%]")) - 5 + 1)</f>
        <v>#VALUE!</v>
      </c>
      <c r="BF44" t="e">
        <f ca="1">INDEX(INDIRECT(B50 &amp; "[TOV%]"), ROWS(INDIRECT(B50 &amp; "[TOV%]")) - 5 + 1)</f>
        <v>#VALUE!</v>
      </c>
      <c r="BG44" t="e">
        <f ca="1">INDEX(INDIRECT(B50 &amp; "[ORtg]"), ROWS(INDIRECT(B50 &amp; "[ORtg]")) - 5 + 1)</f>
        <v>#VALUE!</v>
      </c>
      <c r="BH44" t="e">
        <f ca="1">INDEX(INDIRECT(B50 &amp; "[DRtg]"), ROWS(INDIRECT(B50 &amp; "[DRtg]")) - 5 + 1)</f>
        <v>#VALUE!</v>
      </c>
      <c r="BI44" t="e">
        <f ca="1">INDEX(INDIRECT(B50 &amp; "[Pace]"), ROWS(INDIRECT(B50 &amp; "[Pace]")) - 5 + 1)</f>
        <v>#VALUE!</v>
      </c>
      <c r="BJ44" t="e">
        <f ca="1">INDEX(INDIRECT(B50 &amp; "[TS%op]"), ROWS(INDIRECT(B50 &amp; "[TS%op]")) - 5 + 1)</f>
        <v>#VALUE!</v>
      </c>
      <c r="BK44" t="e">
        <f ca="1">INDEX(INDIRECT(B50 &amp; "[eFG%op]"), ROWS(INDIRECT(B50 &amp; "[eFG%op]")) - 5 + 1)</f>
        <v>#VALUE!</v>
      </c>
      <c r="BL44" t="e">
        <f ca="1">INDEX(INDIRECT(B50 &amp; "[ORB%op]"), ROWS(INDIRECT(B50 &amp; "[ORB%op]")) - 5 + 1)</f>
        <v>#VALUE!</v>
      </c>
      <c r="BM44" t="e">
        <f ca="1">INDEX(INDIRECT(B50 &amp; "[DRB%op]"), ROWS(INDIRECT(B50 &amp; "[DRB%op]")) - 5 + 1)</f>
        <v>#VALUE!</v>
      </c>
      <c r="BN44" t="e">
        <f ca="1">INDEX(INDIRECT(B50 &amp; "[TRB%op]"), ROWS(INDIRECT(B50 &amp; "[TRB%op]")) - 5 + 1)</f>
        <v>#VALUE!</v>
      </c>
      <c r="BO44" t="e">
        <f ca="1">INDEX(INDIRECT(B50 &amp; "[Possop]"), ROWS(INDIRECT(B50 &amp; "[Possop]")) - 5 + 1)</f>
        <v>#VALUE!</v>
      </c>
      <c r="BP44" t="e">
        <f ca="1">INDEX(INDIRECT(B50 &amp; "[AST%op]"), ROWS(INDIRECT(B50 &amp; "[AST%op]")) - 5 + 1)</f>
        <v>#VALUE!</v>
      </c>
      <c r="BQ44" t="e">
        <f ca="1">INDEX(INDIRECT(B50 &amp; "[FTFGA%op]"), ROWS(INDIRECT(B50 &amp; "[FTFGA%op]")) - 5 + 1)</f>
        <v>#VALUE!</v>
      </c>
      <c r="BR44" t="e">
        <f ca="1">INDEX(INDIRECT(B50 &amp; "[TOV%op]"), ROWS(INDIRECT(B50 &amp; "[TOV%op]")) - 5 + 1)</f>
        <v>#VALUE!</v>
      </c>
      <c r="BS44" t="e">
        <f ca="1">INDEX(INDIRECT(B50 &amp; "[ORtgop]"), ROWS(INDIRECT(B50 &amp; "[ORtgop]")) - 5 + 1)</f>
        <v>#VALUE!</v>
      </c>
      <c r="BT44" t="e">
        <f ca="1">INDEX(INDIRECT(B50 &amp; "[DRtgop]"), ROWS(INDIRECT(B50 &amp; "[DRtgop]")) - 5 + 1)</f>
        <v>#VALUE!</v>
      </c>
      <c r="BU44" t="e">
        <f ca="1">INDEX(INDIRECT(B50 &amp; "[Q1H]"), ROWS(INDIRECT(B50 &amp; "[Q1H]")) - 5 + 1)</f>
        <v>#VALUE!</v>
      </c>
      <c r="BV44" t="e">
        <f ca="1">INDEX(INDIRECT(B50 &amp; "[Q2H]"), ROWS(INDIRECT(B50 &amp; "[Q2H]")) - 5 + 1)</f>
        <v>#VALUE!</v>
      </c>
      <c r="BW44" t="e">
        <f ca="1">INDEX(INDIRECT(B50 &amp; "[Q3H]"), ROWS(INDIRECT(B50 &amp; "[Q3H]")) - 5 + 1)</f>
        <v>#VALUE!</v>
      </c>
      <c r="BX44" t="e">
        <f ca="1">INDEX(INDIRECT(B50 &amp; "[Q4H]"), ROWS(INDIRECT(B50 &amp; "[Q4H]")) - 5 + 1)</f>
        <v>#VALUE!</v>
      </c>
      <c r="BY44" t="e">
        <f ca="1">INDEX(INDIRECT(B50 &amp; "[Q1A]"), ROWS(INDIRECT(B50 &amp; "[Q1A]")) - 5 + 1)</f>
        <v>#VALUE!</v>
      </c>
      <c r="BZ44" t="e">
        <f ca="1">INDEX(INDIRECT(B50 &amp; "[Q2A]"), ROWS(INDIRECT(B50 &amp; "[Q2A]")) - 5 + 1)</f>
        <v>#VALUE!</v>
      </c>
      <c r="CA44" t="e">
        <f ca="1">INDEX(INDIRECT(B50 &amp; "[Q3A]"), ROWS(INDIRECT(B50 &amp; "[Q3A]")) - 5 + 1)</f>
        <v>#VALUE!</v>
      </c>
      <c r="CB44" t="e">
        <f ca="1">INDEX(INDIRECT(B50 &amp; "[Q4A]"), ROWS(INDIRECT(B50 &amp; "[Q4A]")) - 5 + 1)</f>
        <v>#VALUE!</v>
      </c>
      <c r="CC44" t="e">
        <f ca="1">INDEX(INDIRECT(B50 &amp; "[FhalfH]"), ROWS(INDIRECT(B50 &amp; "[FhalfH]")) - 5 + 1)</f>
        <v>#VALUE!</v>
      </c>
      <c r="CD44" t="e">
        <f ca="1">INDEX(INDIRECT(B50 &amp; "[ShalfH]"), ROWS(INDIRECT(B50 &amp; "[ShalfH]")) - 5 + 1)</f>
        <v>#VALUE!</v>
      </c>
      <c r="CE44" t="e">
        <f ca="1">INDEX(INDIRECT(B50 &amp; "[FhalfA]"), ROWS(INDIRECT(B50 &amp; "[FhalfA]")) - 5 + 1)</f>
        <v>#VALUE!</v>
      </c>
      <c r="CF44" t="e">
        <f ca="1">INDEX(INDIRECT(B50 &amp; "[ShalfA]"), ROWS(INDIRECT(B50 &amp; "[ShalfA]")) - 5 + 1)</f>
        <v>#VALUE!</v>
      </c>
      <c r="CG44" t="e">
        <f ca="1">INDEX(INDIRECT(B50 &amp; "[win]"), ROWS(INDIRECT(B50 &amp; "[win]")) - 5 + 1)</f>
        <v>#VALUE!</v>
      </c>
      <c r="CH44" t="e">
        <f ca="1">INDEX(INDIRECT(B50 &amp; "[lose]"), ROWS(INDIRECT(B50 &amp; "[lose]")) - 5 + 1)</f>
        <v>#VALUE!</v>
      </c>
      <c r="CI44" t="e">
        <f ca="1">INDEX(INDIRECT(B50 &amp; "[foraH]"), ROWS(INDIRECT(B50 &amp; "[foraH]")) - 5 + 1)</f>
        <v>#VALUE!</v>
      </c>
      <c r="CJ44" t="e">
        <f ca="1">INDEX(INDIRECT(B50 &amp; "[foraA]"), ROWS(INDIRECT(B50 &amp; "[foraA]")) - 5 + 1)</f>
        <v>#VALUE!</v>
      </c>
      <c r="CK44" t="e">
        <f ca="1">INDEX(INDIRECT(B50 &amp; "[total]"), ROWS(INDIRECT(B50 &amp; "[total]")) - 5 + 1)</f>
        <v>#VALUE!</v>
      </c>
      <c r="CL44" t="e">
        <f ca="1">INDEX(INDIRECT(B50 &amp; "[link]"), ROWS(INDIRECT(B50 &amp; "[link]")) - 5 + 1)</f>
        <v>#VALUE!</v>
      </c>
      <c r="CM44" t="e">
        <f ca="1">INDEX(INDIRECT(B50 &amp; "[abbr]"), ROWS(INDIRECT(B50 &amp; "[abbr]")) - 5 + 1)</f>
        <v>#VALUE!</v>
      </c>
      <c r="CN44" t="e">
        <f ca="1">last5away[[#This Row],[Q1H]]+last5away[[#This Row],[Q1A]]</f>
        <v>#VALUE!</v>
      </c>
      <c r="CO44" t="e">
        <f ca="1">last5away[[#This Row],[Q2H]]+last5away[[#This Row],[Q2A]]</f>
        <v>#VALUE!</v>
      </c>
      <c r="CP44" t="e">
        <f ca="1">last5away[[#This Row],[Q3H]]+last5away[[#This Row],[Q3A]]</f>
        <v>#VALUE!</v>
      </c>
      <c r="CQ44" t="e">
        <f ca="1">last5away[[#This Row],[Q4H]]+last5away[[#This Row],[Q4A]]</f>
        <v>#VALUE!</v>
      </c>
      <c r="CR44" t="e">
        <f ca="1">last5away[[#This Row],[FhalfH]]+last5away[[#This Row],[FhalfA]]</f>
        <v>#VALUE!</v>
      </c>
      <c r="CS44" t="e">
        <f ca="1">last5away[[#This Row],[ShalfH]]+last5away[[#This Row],[ShalfA]]</f>
        <v>#VALUE!</v>
      </c>
      <c r="CT44" t="e">
        <f ca="1">INDEX(INDIRECT(B50 &amp; "[BetH]"), ROWS(INDIRECT(B50 &amp; "[BetH]")) - 5 + 1)</f>
        <v>#VALUE!</v>
      </c>
      <c r="CU44" t="e">
        <f ca="1">INDEX(INDIRECT(B50 &amp; "[BetA]"), ROWS(INDIRECT(B50 &amp; "[BetA]")) - 5 + 1)</f>
        <v>#VALUE!</v>
      </c>
      <c r="CV44" t="e">
        <f ca="1">INDEX(INDIRECT(B50 &amp; "[Tover]"), ROWS(INDIRECT(B50 &amp; "[Tover]")) - 5 + 1)</f>
        <v>#VALUE!</v>
      </c>
      <c r="CW44" t="e">
        <f ca="1">INDEX(INDIRECT(B50 &amp; "[Deviation]"), ROWS(INDIRECT(B50 &amp; "[Deviation]")) - 5 + 1)</f>
        <v>#VALUE!</v>
      </c>
    </row>
    <row r="45" spans="1:101" x14ac:dyDescent="0.25">
      <c r="A45" t="e">
        <f ca="1">INDEX(INDIRECT(B50 &amp; "[tournament]"), ROWS(INDIRECT(B50 &amp; "[tournament]")) - 4 + 1)</f>
        <v>#VALUE!</v>
      </c>
      <c r="B45" t="e">
        <f ca="1">INDEX(INDIRECT(B50 &amp; "[Home_team]"), ROWS(INDIRECT(B50 &amp; "[Home_team]")) - 4 + 1)</f>
        <v>#VALUE!</v>
      </c>
      <c r="C45" t="e">
        <f ca="1">INDEX(INDIRECT(B50 &amp; "[Stage]"), ROWS(INDIRECT(B50 &amp; "[Stage]")) - 4 + 1)</f>
        <v>#VALUE!</v>
      </c>
      <c r="D45" s="10" t="e">
        <f ca="1">INDEX(INDIRECT(B50 &amp; "[Date]"), ROWS(INDIRECT(B50 &amp; "[Date]")) - 4 + 1)</f>
        <v>#VALUE!</v>
      </c>
      <c r="E45" t="e">
        <f ca="1">INDEX(INDIRECT(B50 &amp; "[Location]"), ROWS(INDIRECT(B50 &amp; "[Location]")) - 4 + 1)</f>
        <v>#VALUE!</v>
      </c>
      <c r="F45" t="e">
        <f ca="1">INDEX(INDIRECT(B50 &amp; "[Away_team]"), ROWS(INDIRECT(B50 &amp; "[Away_team]")) - 4 + 1)</f>
        <v>#VALUE!</v>
      </c>
      <c r="G45" t="e">
        <f ca="1">INDEX(INDIRECT(B50 &amp; "[Result]"), ROWS(INDIRECT(B50 &amp; "[Result]")) - 4 + 1)</f>
        <v>#VALUE!</v>
      </c>
      <c r="H45" t="e">
        <f ca="1">INDEX(INDIRECT(B50 &amp; "[Home_scored]"), ROWS(INDIRECT(B50 &amp; "[Home_scored]")) - 4 + 1)</f>
        <v>#VALUE!</v>
      </c>
      <c r="I45" t="e">
        <f ca="1">INDEX(INDIRECT(B50 &amp; "[Away_scored]"), ROWS(INDIRECT(B50 &amp; "[Away_scored]")) - 4 + 1)</f>
        <v>#VALUE!</v>
      </c>
      <c r="J45" t="e">
        <f ca="1">INDEX(INDIRECT(B50 &amp; "[FGM]"), ROWS(INDIRECT(B50 &amp; "[FGM]")) - 4 + 1)</f>
        <v>#VALUE!</v>
      </c>
      <c r="K45" t="e">
        <f ca="1">INDEX(INDIRECT(B50 &amp; "[FGA]"), ROWS(INDIRECT(B50 &amp; "[FGA]")) - 4 + 1)</f>
        <v>#VALUE!</v>
      </c>
      <c r="L45" t="e">
        <f ca="1">INDEX(INDIRECT(B50 &amp; "[FGp]"), ROWS(INDIRECT(B50 &amp; "[FGp]")) - 4 + 1)</f>
        <v>#VALUE!</v>
      </c>
      <c r="M45" t="e">
        <f ca="1">INDEX(INDIRECT(B50 &amp; "[P2M]"), ROWS(INDIRECT(B50 &amp; "[P2M]")) - 4 + 1)</f>
        <v>#VALUE!</v>
      </c>
      <c r="N45" t="e">
        <f ca="1">INDEX(INDIRECT(B50 &amp; "[P2A]"), ROWS(INDIRECT(B50 &amp; "[P2A]")) - 4 + 1)</f>
        <v>#VALUE!</v>
      </c>
      <c r="O45" t="e">
        <f ca="1">INDEX(INDIRECT(B50 &amp; "[P2p]"), ROWS(INDIRECT(B50 &amp; "[P2p]")) - 4 + 1)</f>
        <v>#VALUE!</v>
      </c>
      <c r="P45" t="e">
        <f ca="1">INDEX(INDIRECT(B50 &amp; "[P3M]"), ROWS(INDIRECT(B50 &amp; "[P3M]")) - 4 + 1)</f>
        <v>#VALUE!</v>
      </c>
      <c r="Q45" t="e">
        <f ca="1">INDEX(INDIRECT(B50 &amp; "[P3A]"), ROWS(INDIRECT(B50 &amp; "[P3A]")) - 4 + 1)</f>
        <v>#VALUE!</v>
      </c>
      <c r="R45" t="e">
        <f ca="1">INDEX(INDIRECT(B50 &amp; "[P3p]"), ROWS(INDIRECT(B50 &amp; "[P3p]")) - 4 + 1)</f>
        <v>#VALUE!</v>
      </c>
      <c r="S45" t="e">
        <f ca="1">INDEX(INDIRECT(B50 &amp; "[FTM]"), ROWS(INDIRECT(B50 &amp; "[FTM]")) - 4 + 1)</f>
        <v>#VALUE!</v>
      </c>
      <c r="T45" t="e">
        <f ca="1">INDEX(INDIRECT(B50 &amp; "[FTA]"), ROWS(INDIRECT(B50 &amp; "[FTA]")) - 4 + 1)</f>
        <v>#VALUE!</v>
      </c>
      <c r="U45" t="e">
        <f ca="1">INDEX(INDIRECT(B50 &amp; "[FTp]"), ROWS(INDIRECT(B50 &amp; "[FTp]")) - 4 + 1)</f>
        <v>#VALUE!</v>
      </c>
      <c r="V45" t="e">
        <f ca="1">INDEX(INDIRECT(B50 &amp; "[ORB]"), ROWS(INDIRECT(B50 &amp; "[ORB]")) - 4 + 1)</f>
        <v>#VALUE!</v>
      </c>
      <c r="W45" t="e">
        <f ca="1">INDEX(INDIRECT(B50 &amp; "[DRB]"), ROWS(INDIRECT(B50 &amp; "[DRB]")) - 4 + 1)</f>
        <v>#VALUE!</v>
      </c>
      <c r="X45" t="e">
        <f ca="1">INDEX(INDIRECT(B50 &amp; "[TRB]"), ROWS(INDIRECT(B50 &amp; "[TRB]")) - 4 + 1)</f>
        <v>#VALUE!</v>
      </c>
      <c r="Y45" t="e">
        <f ca="1">INDEX(INDIRECT(B50 &amp; "[AST]"), ROWS(INDIRECT(B50 &amp; "[AST]")) - 4 + 1)</f>
        <v>#VALUE!</v>
      </c>
      <c r="Z45" t="e">
        <f ca="1">INDEX(INDIRECT(B50 &amp; "[STL]"), ROWS(INDIRECT(B50 &amp; "[STL]")) - 4 + 1)</f>
        <v>#VALUE!</v>
      </c>
      <c r="AA45" t="e">
        <f ca="1">INDEX(INDIRECT(B50 &amp; "[BLK]"), ROWS(INDIRECT(B50 &amp; "[BLK]")) - 4 + 1)</f>
        <v>#VALUE!</v>
      </c>
      <c r="AB45" t="e">
        <f ca="1">INDEX(INDIRECT(B50 &amp; "[TOV]"), ROWS(INDIRECT(B50 &amp; "[TOV]")) - 4 + 1)</f>
        <v>#VALUE!</v>
      </c>
      <c r="AC45" t="e">
        <f ca="1">INDEX(INDIRECT(B50 &amp; "[PF]"), ROWS(INDIRECT(B50 &amp; "[PF]")) - 4 + 1)</f>
        <v>#VALUE!</v>
      </c>
      <c r="AD45" t="e">
        <f ca="1">INDEX(INDIRECT(B50 &amp; "[FGMop]"), ROWS(INDIRECT(B50 &amp; "[FGMop]")) - 4 + 1)</f>
        <v>#VALUE!</v>
      </c>
      <c r="AE45" t="e">
        <f ca="1">INDEX(INDIRECT(B50 &amp; "[FGAop]"), ROWS(INDIRECT(B50 &amp; "[FGAop]")) - 4 + 1)</f>
        <v>#VALUE!</v>
      </c>
      <c r="AF45" t="e">
        <f ca="1">INDEX(INDIRECT(B50 &amp; "[FGpop]"), ROWS(INDIRECT(B50 &amp; "[FGpop]")) - 4 + 1)</f>
        <v>#VALUE!</v>
      </c>
      <c r="AG45" t="e">
        <f ca="1">INDEX(INDIRECT(B50 &amp; "[P2Mop]"), ROWS(INDIRECT(B50 &amp; "[P2Mop]")) - 4 + 1)</f>
        <v>#VALUE!</v>
      </c>
      <c r="AH45" t="e">
        <f ca="1">INDEX(INDIRECT(B50 &amp; "[P2Aop]"), ROWS(INDIRECT(B50 &amp; "[P2Aop]")) - 4 + 1)</f>
        <v>#VALUE!</v>
      </c>
      <c r="AI45" t="e">
        <f ca="1">INDEX(INDIRECT(B50 &amp; "[P2pop]"), ROWS(INDIRECT(B50 &amp; "[P2pop]")) - 4 + 1)</f>
        <v>#VALUE!</v>
      </c>
      <c r="AJ45" t="e">
        <f ca="1">INDEX(INDIRECT(B50 &amp; "[P3Mop]"), ROWS(INDIRECT(B50 &amp; "[P3Mop]")) - 4 + 1)</f>
        <v>#VALUE!</v>
      </c>
      <c r="AK45" t="e">
        <f ca="1">INDEX(INDIRECT(B50 &amp; "[P3Aop]"), ROWS(INDIRECT(B50 &amp; "[P3Aop]")) - 4 + 1)</f>
        <v>#VALUE!</v>
      </c>
      <c r="AL45" t="e">
        <f ca="1">INDEX(INDIRECT(B50 &amp; "[P3pop]"), ROWS(INDIRECT(B50 &amp; "[P3pop]")) - 4 + 1)</f>
        <v>#VALUE!</v>
      </c>
      <c r="AM45" t="e">
        <f ca="1">INDEX(INDIRECT(B50 &amp; "[FTMop]"), ROWS(INDIRECT(B50 &amp; "[FTMop]")) - 4 + 1)</f>
        <v>#VALUE!</v>
      </c>
      <c r="AN45" t="e">
        <f ca="1">INDEX(INDIRECT(B50 &amp; "[FTAop]"), ROWS(INDIRECT(B50 &amp; "[FTAop]")) - 4 + 1)</f>
        <v>#VALUE!</v>
      </c>
      <c r="AO45" t="e">
        <f ca="1">INDEX(INDIRECT(B50 &amp; "[FTpop]"), ROWS(INDIRECT(B50 &amp; "[FTpop]")) - 4 + 1)</f>
        <v>#VALUE!</v>
      </c>
      <c r="AP45" t="e">
        <f ca="1">INDEX(INDIRECT(B50 &amp; "[ORBop]"), ROWS(INDIRECT(B50 &amp; "[ORBop]")) - 4 + 1)</f>
        <v>#VALUE!</v>
      </c>
      <c r="AQ45" t="e">
        <f ca="1">INDEX(INDIRECT(B50 &amp; "[DRBop]"), ROWS(INDIRECT(B50 &amp; "[DRBop]")) - 4 + 1)</f>
        <v>#VALUE!</v>
      </c>
      <c r="AR45" t="e">
        <f ca="1">INDEX(INDIRECT(B50 &amp; "[TRBop]"), ROWS(INDIRECT(B50 &amp; "[TRBop]")) - 4 + 1)</f>
        <v>#VALUE!</v>
      </c>
      <c r="AS45" t="e">
        <f ca="1">INDEX(INDIRECT(B50 &amp; "[ASTop]"), ROWS(INDIRECT(B50 &amp; "[ASTop]")) - 4 + 1)</f>
        <v>#VALUE!</v>
      </c>
      <c r="AT45" t="e">
        <f ca="1">INDEX(INDIRECT(B50 &amp; "[STLop]"), ROWS(INDIRECT(B50 &amp; "[STLop]")) - 4 + 1)</f>
        <v>#VALUE!</v>
      </c>
      <c r="AU45" t="e">
        <f ca="1">INDEX(INDIRECT(B50 &amp; "[BLKop]"), ROWS(INDIRECT(B50 &amp; "[BLKop]")) - 4 + 1)</f>
        <v>#VALUE!</v>
      </c>
      <c r="AV45" t="e">
        <f ca="1">INDEX(INDIRECT(B50 &amp; "[TOVop]"), ROWS(INDIRECT(B50 &amp; "[TOVop]")) - 4 + 1)</f>
        <v>#VALUE!</v>
      </c>
      <c r="AW45" t="e">
        <f ca="1">INDEX(INDIRECT(B50 &amp; "[PFop]"), ROWS(INDIRECT(B50 &amp; "[PFop]")) - 4 + 1)</f>
        <v>#VALUE!</v>
      </c>
      <c r="AX45" t="e">
        <f ca="1">INDEX(INDIRECT(B50 &amp; "[TS%]"), ROWS(INDIRECT(B50 &amp; "[TS%]")) - 4 + 1)</f>
        <v>#VALUE!</v>
      </c>
      <c r="AY45" t="e">
        <f ca="1">INDEX(INDIRECT(B50 &amp; "[eFG%]"), ROWS(INDIRECT(B50 &amp; "[eFG%]")) - 4 + 1)</f>
        <v>#VALUE!</v>
      </c>
      <c r="AZ45" t="e">
        <f ca="1">INDEX(INDIRECT(B50 &amp; "[ORB%]"), ROWS(INDIRECT(B50 &amp; "[ORB%]")) - 4 + 1)</f>
        <v>#VALUE!</v>
      </c>
      <c r="BA45" t="e">
        <f ca="1">INDEX(INDIRECT(B50 &amp; "[DRB%]"), ROWS(INDIRECT(B50 &amp; "[DRB%]")) - 4 + 1)</f>
        <v>#VALUE!</v>
      </c>
      <c r="BB45" t="e">
        <f ca="1">INDEX(INDIRECT(B50 &amp; "[TRB%]"), ROWS(INDIRECT(B50 &amp; "[TRB%]")) - 4 + 1)</f>
        <v>#VALUE!</v>
      </c>
      <c r="BC45" t="e">
        <f ca="1">INDEX(INDIRECT(B50 &amp; "[Poss]"), ROWS(INDIRECT(B50 &amp; "[Poss]")) - 4 + 1)</f>
        <v>#VALUE!</v>
      </c>
      <c r="BD45" t="e">
        <f ca="1">INDEX(INDIRECT(B50 &amp; "[AST%]"), ROWS(INDIRECT(B50 &amp; "[AST%]")) - 4 + 1)</f>
        <v>#VALUE!</v>
      </c>
      <c r="BE45" t="e">
        <f ca="1">INDEX(INDIRECT(B50 &amp; "[FTFGA%]"), ROWS(INDIRECT(B50 &amp; "[FTFGA%]")) - 4 + 1)</f>
        <v>#VALUE!</v>
      </c>
      <c r="BF45" t="e">
        <f ca="1">INDEX(INDIRECT(B50 &amp; "[TOV%]"), ROWS(INDIRECT(B50 &amp; "[TOV%]")) - 4 + 1)</f>
        <v>#VALUE!</v>
      </c>
      <c r="BG45" t="e">
        <f ca="1">INDEX(INDIRECT(B50 &amp; "[ORtg]"), ROWS(INDIRECT(B50 &amp; "[ORtg]")) - 4 + 1)</f>
        <v>#VALUE!</v>
      </c>
      <c r="BH45" t="e">
        <f ca="1">INDEX(INDIRECT(B50 &amp; "[DRtg]"), ROWS(INDIRECT(B50 &amp; "[DRtg]")) - 4 + 1)</f>
        <v>#VALUE!</v>
      </c>
      <c r="BI45" t="e">
        <f ca="1">INDEX(INDIRECT(B50 &amp; "[Pace]"), ROWS(INDIRECT(B50 &amp; "[Pace]")) - 4 + 1)</f>
        <v>#VALUE!</v>
      </c>
      <c r="BJ45" t="e">
        <f ca="1">INDEX(INDIRECT(B50 &amp; "[TS%op]"), ROWS(INDIRECT(B50 &amp; "[TS%op]")) - 4 + 1)</f>
        <v>#VALUE!</v>
      </c>
      <c r="BK45" t="e">
        <f ca="1">INDEX(INDIRECT(B50 &amp; "[eFG%op]"), ROWS(INDIRECT(B50 &amp; "[eFG%op]")) - 4 + 1)</f>
        <v>#VALUE!</v>
      </c>
      <c r="BL45" t="e">
        <f ca="1">INDEX(INDIRECT(B50 &amp; "[ORB%op]"), ROWS(INDIRECT(B50 &amp; "[ORB%op]")) - 4 + 1)</f>
        <v>#VALUE!</v>
      </c>
      <c r="BM45" t="e">
        <f ca="1">INDEX(INDIRECT(B50 &amp; "[DRB%op]"), ROWS(INDIRECT(B50 &amp; "[DRB%op]")) - 4 + 1)</f>
        <v>#VALUE!</v>
      </c>
      <c r="BN45" t="e">
        <f ca="1">INDEX(INDIRECT(B50 &amp; "[TRB%op]"), ROWS(INDIRECT(B50 &amp; "[TRB%op]")) - 4 + 1)</f>
        <v>#VALUE!</v>
      </c>
      <c r="BO45" t="e">
        <f ca="1">INDEX(INDIRECT(B50 &amp; "[Possop]"), ROWS(INDIRECT(B50 &amp; "[Possop]")) - 4 + 1)</f>
        <v>#VALUE!</v>
      </c>
      <c r="BP45" t="e">
        <f ca="1">INDEX(INDIRECT(B50 &amp; "[AST%op]"), ROWS(INDIRECT(B50 &amp; "[AST%op]")) - 4 + 1)</f>
        <v>#VALUE!</v>
      </c>
      <c r="BQ45" t="e">
        <f ca="1">INDEX(INDIRECT(B50 &amp; "[FTFGA%op]"), ROWS(INDIRECT(B50 &amp; "[FTFGA%op]")) - 4 + 1)</f>
        <v>#VALUE!</v>
      </c>
      <c r="BR45" t="e">
        <f ca="1">INDEX(INDIRECT(B50 &amp; "[TOV%op]"), ROWS(INDIRECT(B50 &amp; "[TOV%op]")) - 4 + 1)</f>
        <v>#VALUE!</v>
      </c>
      <c r="BS45" t="e">
        <f ca="1">INDEX(INDIRECT(B50 &amp; "[ORtgop]"), ROWS(INDIRECT(B50 &amp; "[ORtgop]")) - 4 + 1)</f>
        <v>#VALUE!</v>
      </c>
      <c r="BT45" t="e">
        <f ca="1">INDEX(INDIRECT(B50 &amp; "[DRtgop]"), ROWS(INDIRECT(B50 &amp; "[DRtgop]")) - 4 + 1)</f>
        <v>#VALUE!</v>
      </c>
      <c r="BU45" t="e">
        <f ca="1">INDEX(INDIRECT(B50 &amp; "[Q1H]"), ROWS(INDIRECT(B50 &amp; "[Q1H]")) - 4 + 1)</f>
        <v>#VALUE!</v>
      </c>
      <c r="BV45" t="e">
        <f ca="1">INDEX(INDIRECT(B50 &amp; "[Q2H]"), ROWS(INDIRECT(B50 &amp; "[Q2H]")) - 4 + 1)</f>
        <v>#VALUE!</v>
      </c>
      <c r="BW45" t="e">
        <f ca="1">INDEX(INDIRECT(B50 &amp; "[Q3H]"), ROWS(INDIRECT(B50 &amp; "[Q3H]")) - 4 + 1)</f>
        <v>#VALUE!</v>
      </c>
      <c r="BX45" t="e">
        <f ca="1">INDEX(INDIRECT(B50 &amp; "[Q4H]"), ROWS(INDIRECT(B50 &amp; "[Q4H]")) - 4 + 1)</f>
        <v>#VALUE!</v>
      </c>
      <c r="BY45" t="e">
        <f ca="1">INDEX(INDIRECT(B50 &amp; "[Q1A]"), ROWS(INDIRECT(B50 &amp; "[Q1A]")) - 4 + 1)</f>
        <v>#VALUE!</v>
      </c>
      <c r="BZ45" t="e">
        <f ca="1">INDEX(INDIRECT(B50 &amp; "[Q2A]"), ROWS(INDIRECT(B50 &amp; "[Q2A]")) - 4 + 1)</f>
        <v>#VALUE!</v>
      </c>
      <c r="CA45" t="e">
        <f ca="1">INDEX(INDIRECT(B50 &amp; "[Q3A]"), ROWS(INDIRECT(B50 &amp; "[Q3A]")) - 4 + 1)</f>
        <v>#VALUE!</v>
      </c>
      <c r="CB45" t="e">
        <f ca="1">INDEX(INDIRECT(B50 &amp; "[Q4A]"), ROWS(INDIRECT(B50 &amp; "[Q4A]")) - 4 + 1)</f>
        <v>#VALUE!</v>
      </c>
      <c r="CC45" t="e">
        <f ca="1">INDEX(INDIRECT(B50 &amp; "[FhalfH]"), ROWS(INDIRECT(B50 &amp; "[FhalfH]")) - 4 + 1)</f>
        <v>#VALUE!</v>
      </c>
      <c r="CD45" t="e">
        <f ca="1">INDEX(INDIRECT(B50 &amp; "[ShalfH]"), ROWS(INDIRECT(B50 &amp; "[ShalfH]")) - 4 + 1)</f>
        <v>#VALUE!</v>
      </c>
      <c r="CE45" t="e">
        <f ca="1">INDEX(INDIRECT(B50 &amp; "[FhalfA]"), ROWS(INDIRECT(B50 &amp; "[FhalfA]")) - 4 + 1)</f>
        <v>#VALUE!</v>
      </c>
      <c r="CF45" t="e">
        <f ca="1">INDEX(INDIRECT(B50 &amp; "[ShalfA]"), ROWS(INDIRECT(B50 &amp; "[ShalfA]")) - 4 + 1)</f>
        <v>#VALUE!</v>
      </c>
      <c r="CG45" t="e">
        <f ca="1">INDEX(INDIRECT(B50 &amp; "[win]"), ROWS(INDIRECT(B50 &amp; "[win]")) - 4 + 1)</f>
        <v>#VALUE!</v>
      </c>
      <c r="CH45" t="e">
        <f ca="1">INDEX(INDIRECT(B50 &amp; "[lose]"), ROWS(INDIRECT(B50 &amp; "[lose]")) - 4 + 1)</f>
        <v>#VALUE!</v>
      </c>
      <c r="CI45" t="e">
        <f ca="1">INDEX(INDIRECT(B50 &amp; "[foraH]"), ROWS(INDIRECT(B50 &amp; "[foraH]")) - 4 + 1)</f>
        <v>#VALUE!</v>
      </c>
      <c r="CJ45" t="e">
        <f ca="1">INDEX(INDIRECT(B50 &amp; "[foraA]"), ROWS(INDIRECT(B50 &amp; "[foraA]")) - 4 + 1)</f>
        <v>#VALUE!</v>
      </c>
      <c r="CK45" t="e">
        <f ca="1">INDEX(INDIRECT(B50 &amp; "[total]"), ROWS(INDIRECT(B50 &amp; "[total]")) - 4 + 1)</f>
        <v>#VALUE!</v>
      </c>
      <c r="CL45" t="e">
        <f ca="1">INDEX(INDIRECT(B50 &amp; "[link]"), ROWS(INDIRECT(B50 &amp; "[link]")) - 4 + 1)</f>
        <v>#VALUE!</v>
      </c>
      <c r="CM45" t="e">
        <f ca="1">INDEX(INDIRECT(B50 &amp; "[abbr]"), ROWS(INDIRECT(B50 &amp; "[abbr]")) - 4 + 1)</f>
        <v>#VALUE!</v>
      </c>
      <c r="CN45" t="e">
        <f ca="1">last5away[[#This Row],[Q1H]]+last5away[[#This Row],[Q1A]]</f>
        <v>#VALUE!</v>
      </c>
      <c r="CO45" t="e">
        <f ca="1">last5away[[#This Row],[Q2H]]+last5away[[#This Row],[Q2A]]</f>
        <v>#VALUE!</v>
      </c>
      <c r="CP45" t="e">
        <f ca="1">last5away[[#This Row],[Q3H]]+last5away[[#This Row],[Q3A]]</f>
        <v>#VALUE!</v>
      </c>
      <c r="CQ45" t="e">
        <f ca="1">last5away[[#This Row],[Q4H]]+last5away[[#This Row],[Q4A]]</f>
        <v>#VALUE!</v>
      </c>
      <c r="CR45" t="e">
        <f ca="1">last5away[[#This Row],[FhalfH]]+last5away[[#This Row],[FhalfA]]</f>
        <v>#VALUE!</v>
      </c>
      <c r="CS45" t="e">
        <f ca="1">last5away[[#This Row],[ShalfH]]+last5away[[#This Row],[ShalfA]]</f>
        <v>#VALUE!</v>
      </c>
      <c r="CT45" t="e">
        <f ca="1">INDEX(INDIRECT(B50 &amp; "[BetH]"), ROWS(INDIRECT(B50 &amp; "[BetH]")) - 4 + 1)</f>
        <v>#VALUE!</v>
      </c>
      <c r="CU45" t="e">
        <f ca="1">INDEX(INDIRECT(B50 &amp; "[BetA]"), ROWS(INDIRECT(B50 &amp; "[BetA]")) - 4 + 1)</f>
        <v>#VALUE!</v>
      </c>
      <c r="CV45" t="e">
        <f ca="1">INDEX(INDIRECT(B50 &amp; "[Tover]"), ROWS(INDIRECT(B50 &amp; "[Tover]")) - 4 + 1)</f>
        <v>#VALUE!</v>
      </c>
      <c r="CW45" t="e">
        <f ca="1">INDEX(INDIRECT(B50 &amp; "[Deviation]"), ROWS(INDIRECT(B50 &amp; "[Deviation]")) - 4 + 1)</f>
        <v>#VALUE!</v>
      </c>
    </row>
    <row r="46" spans="1:101" x14ac:dyDescent="0.25">
      <c r="A46" t="e">
        <f ca="1">INDEX(INDIRECT(B50 &amp; "[tournament]"), ROWS(INDIRECT(B50 &amp; "[tournament]")) - 3 + 1)</f>
        <v>#VALUE!</v>
      </c>
      <c r="B46" t="e">
        <f ca="1">INDEX(INDIRECT(B50 &amp; "[Home_team]"), ROWS(INDIRECT(B50 &amp; "[Home_team]")) - 3 + 1)</f>
        <v>#VALUE!</v>
      </c>
      <c r="C46" t="e">
        <f ca="1">INDEX(INDIRECT(B50 &amp; "[Stage]"), ROWS(INDIRECT(B50 &amp; "[Stage]")) - 3 + 1)</f>
        <v>#VALUE!</v>
      </c>
      <c r="D46" s="10" t="e">
        <f ca="1">INDEX(INDIRECT(B50 &amp; "[Date]"), ROWS(INDIRECT(B50 &amp; "[Date]")) - 3 + 1)</f>
        <v>#VALUE!</v>
      </c>
      <c r="E46" t="e">
        <f ca="1">INDEX(INDIRECT(B50 &amp; "[Location]"), ROWS(INDIRECT(B50 &amp; "[Location]")) - 3 + 1)</f>
        <v>#VALUE!</v>
      </c>
      <c r="F46" t="e">
        <f ca="1">INDEX(INDIRECT(B50 &amp; "[Away_team]"), ROWS(INDIRECT(B50 &amp; "[Away_team]")) - 3 + 1)</f>
        <v>#VALUE!</v>
      </c>
      <c r="G46" t="e">
        <f ca="1">INDEX(INDIRECT(B50 &amp; "[Result]"), ROWS(INDIRECT(B50 &amp; "[Result]")) - 3 + 1)</f>
        <v>#VALUE!</v>
      </c>
      <c r="H46" t="e">
        <f ca="1">INDEX(INDIRECT(B50 &amp; "[Home_scored]"), ROWS(INDIRECT(B50 &amp; "[Home_scored]")) - 3 + 1)</f>
        <v>#VALUE!</v>
      </c>
      <c r="I46" t="e">
        <f ca="1">INDEX(INDIRECT(B50 &amp; "[Away_scored]"), ROWS(INDIRECT(B50 &amp; "[Away_scored]")) - 3 + 1)</f>
        <v>#VALUE!</v>
      </c>
      <c r="J46" t="e">
        <f ca="1">INDEX(INDIRECT(B50 &amp; "[FGM]"), ROWS(INDIRECT(B50 &amp; "[FGM]")) - 3 + 1)</f>
        <v>#VALUE!</v>
      </c>
      <c r="K46" t="e">
        <f ca="1">INDEX(INDIRECT(B50 &amp; "[FGA]"), ROWS(INDIRECT(B50 &amp; "[FGA]")) - 3 + 1)</f>
        <v>#VALUE!</v>
      </c>
      <c r="L46" t="e">
        <f ca="1">INDEX(INDIRECT(B50 &amp; "[FGp]"), ROWS(INDIRECT(B50 &amp; "[FGp]")) - 3 + 1)</f>
        <v>#VALUE!</v>
      </c>
      <c r="M46" t="e">
        <f ca="1">INDEX(INDIRECT(B50 &amp; "[P2M]"), ROWS(INDIRECT(B50 &amp; "[P2M]")) - 3 + 1)</f>
        <v>#VALUE!</v>
      </c>
      <c r="N46" t="e">
        <f ca="1">INDEX(INDIRECT(B50 &amp; "[P2A]"), ROWS(INDIRECT(B50 &amp; "[P2A]")) - 3 + 1)</f>
        <v>#VALUE!</v>
      </c>
      <c r="O46" t="e">
        <f ca="1">INDEX(INDIRECT(B50 &amp; "[P2p]"), ROWS(INDIRECT(B50 &amp; "[P2p]")) - 3 + 1)</f>
        <v>#VALUE!</v>
      </c>
      <c r="P46" t="e">
        <f ca="1">INDEX(INDIRECT(B50 &amp; "[P3M]"), ROWS(INDIRECT(B50 &amp; "[P3M]")) - 3 + 1)</f>
        <v>#VALUE!</v>
      </c>
      <c r="Q46" t="e">
        <f ca="1">INDEX(INDIRECT(B50 &amp; "[P3A]"), ROWS(INDIRECT(B50 &amp; "[P3A]")) - 3 + 1)</f>
        <v>#VALUE!</v>
      </c>
      <c r="R46" t="e">
        <f ca="1">INDEX(INDIRECT(B50 &amp; "[P3p]"), ROWS(INDIRECT(B50 &amp; "[P3p]")) - 3 + 1)</f>
        <v>#VALUE!</v>
      </c>
      <c r="S46" t="e">
        <f ca="1">INDEX(INDIRECT(B50 &amp; "[FTM]"), ROWS(INDIRECT(B50 &amp; "[FTM]")) - 3 + 1)</f>
        <v>#VALUE!</v>
      </c>
      <c r="T46" t="e">
        <f ca="1">INDEX(INDIRECT(B50 &amp; "[FTA]"), ROWS(INDIRECT(B50 &amp; "[FTA]")) - 3 + 1)</f>
        <v>#VALUE!</v>
      </c>
      <c r="U46" t="e">
        <f ca="1">INDEX(INDIRECT(B50 &amp; "[FTp]"), ROWS(INDIRECT(B50 &amp; "[FTp]")) - 3 + 1)</f>
        <v>#VALUE!</v>
      </c>
      <c r="V46" t="e">
        <f ca="1">INDEX(INDIRECT(B50 &amp; "[ORB]"), ROWS(INDIRECT(B50 &amp; "[ORB]")) - 3 + 1)</f>
        <v>#VALUE!</v>
      </c>
      <c r="W46" t="e">
        <f ca="1">INDEX(INDIRECT(B50 &amp; "[DRB]"), ROWS(INDIRECT(B50 &amp; "[DRB]")) - 3 + 1)</f>
        <v>#VALUE!</v>
      </c>
      <c r="X46" t="e">
        <f ca="1">INDEX(INDIRECT(B50 &amp; "[TRB]"), ROWS(INDIRECT(B50 &amp; "[TRB]")) - 3 + 1)</f>
        <v>#VALUE!</v>
      </c>
      <c r="Y46" t="e">
        <f ca="1">INDEX(INDIRECT(B50 &amp; "[AST]"), ROWS(INDIRECT(B50 &amp; "[AST]")) - 3 + 1)</f>
        <v>#VALUE!</v>
      </c>
      <c r="Z46" t="e">
        <f ca="1">INDEX(INDIRECT(B50 &amp; "[STL]"), ROWS(INDIRECT(B50 &amp; "[STL]")) - 3 + 1)</f>
        <v>#VALUE!</v>
      </c>
      <c r="AA46" t="e">
        <f ca="1">INDEX(INDIRECT(B50 &amp; "[BLK]"), ROWS(INDIRECT(B50 &amp; "[BLK]")) - 3 + 1)</f>
        <v>#VALUE!</v>
      </c>
      <c r="AB46" t="e">
        <f ca="1">INDEX(INDIRECT(B50 &amp; "[TOV]"), ROWS(INDIRECT(B50 &amp; "[TOV]")) - 3 + 1)</f>
        <v>#VALUE!</v>
      </c>
      <c r="AC46" t="e">
        <f ca="1">INDEX(INDIRECT(B50 &amp; "[PF]"), ROWS(INDIRECT(B50 &amp; "[PF]")) - 3 + 1)</f>
        <v>#VALUE!</v>
      </c>
      <c r="AD46" t="e">
        <f ca="1">INDEX(INDIRECT(B50 &amp; "[FGMop]"), ROWS(INDIRECT(B50 &amp; "[FGMop]")) - 3 + 1)</f>
        <v>#VALUE!</v>
      </c>
      <c r="AE46" t="e">
        <f ca="1">INDEX(INDIRECT(B50 &amp; "[FGAop]"), ROWS(INDIRECT(B50 &amp; "[FGAop]")) - 3 + 1)</f>
        <v>#VALUE!</v>
      </c>
      <c r="AF46" t="e">
        <f ca="1">INDEX(INDIRECT(B50 &amp; "[FGpop]"), ROWS(INDIRECT(B50 &amp; "[FGpop]")) - 3 + 1)</f>
        <v>#VALUE!</v>
      </c>
      <c r="AG46" t="e">
        <f ca="1">INDEX(INDIRECT(B50 &amp; "[P2Mop]"), ROWS(INDIRECT(B50 &amp; "[P2Mop]")) - 3 + 1)</f>
        <v>#VALUE!</v>
      </c>
      <c r="AH46" t="e">
        <f ca="1">INDEX(INDIRECT(B50 &amp; "[P2Aop]"), ROWS(INDIRECT(B50 &amp; "[P2Aop]")) - 3 + 1)</f>
        <v>#VALUE!</v>
      </c>
      <c r="AI46" t="e">
        <f ca="1">INDEX(INDIRECT(B50 &amp; "[P2pop]"), ROWS(INDIRECT(B50 &amp; "[P2pop]")) - 3 + 1)</f>
        <v>#VALUE!</v>
      </c>
      <c r="AJ46" t="e">
        <f ca="1">INDEX(INDIRECT(B50 &amp; "[P3Mop]"), ROWS(INDIRECT(B50 &amp; "[P3Mop]")) - 3 + 1)</f>
        <v>#VALUE!</v>
      </c>
      <c r="AK46" t="e">
        <f ca="1">INDEX(INDIRECT(B50 &amp; "[P3Aop]"), ROWS(INDIRECT(B50 &amp; "[P3Aop]")) - 3 + 1)</f>
        <v>#VALUE!</v>
      </c>
      <c r="AL46" t="e">
        <f ca="1">INDEX(INDIRECT(B50 &amp; "[P3pop]"), ROWS(INDIRECT(B50 &amp; "[P3pop]")) - 3 + 1)</f>
        <v>#VALUE!</v>
      </c>
      <c r="AM46" t="e">
        <f ca="1">INDEX(INDIRECT(B50 &amp; "[FTMop]"), ROWS(INDIRECT(B50 &amp; "[FTMop]")) - 3 + 1)</f>
        <v>#VALUE!</v>
      </c>
      <c r="AN46" t="e">
        <f ca="1">INDEX(INDIRECT(B50 &amp; "[FTAop]"), ROWS(INDIRECT(B50 &amp; "[FTAop]")) - 3 + 1)</f>
        <v>#VALUE!</v>
      </c>
      <c r="AO46" t="e">
        <f ca="1">INDEX(INDIRECT(B50 &amp; "[FTpop]"), ROWS(INDIRECT(B50 &amp; "[FTpop]")) - 3 + 1)</f>
        <v>#VALUE!</v>
      </c>
      <c r="AP46" t="e">
        <f ca="1">INDEX(INDIRECT(B50 &amp; "[ORBop]"), ROWS(INDIRECT(B50 &amp; "[ORBop]")) - 3 + 1)</f>
        <v>#VALUE!</v>
      </c>
      <c r="AQ46" t="e">
        <f ca="1">INDEX(INDIRECT(B50 &amp; "[DRBop]"), ROWS(INDIRECT(B50 &amp; "[DRBop]")) - 3 + 1)</f>
        <v>#VALUE!</v>
      </c>
      <c r="AR46" t="e">
        <f ca="1">INDEX(INDIRECT(B50 &amp; "[TRBop]"), ROWS(INDIRECT(B50 &amp; "[TRBop]")) - 3 + 1)</f>
        <v>#VALUE!</v>
      </c>
      <c r="AS46" t="e">
        <f ca="1">INDEX(INDIRECT(B50 &amp; "[ASTop]"), ROWS(INDIRECT(B50 &amp; "[ASTop]")) - 3 + 1)</f>
        <v>#VALUE!</v>
      </c>
      <c r="AT46" t="e">
        <f ca="1">INDEX(INDIRECT(B50 &amp; "[STLop]"), ROWS(INDIRECT(B50 &amp; "[STLop]")) - 3 + 1)</f>
        <v>#VALUE!</v>
      </c>
      <c r="AU46" t="e">
        <f ca="1">INDEX(INDIRECT(B50 &amp; "[BLKop]"), ROWS(INDIRECT(B50 &amp; "[BLKop]")) - 3 + 1)</f>
        <v>#VALUE!</v>
      </c>
      <c r="AV46" t="e">
        <f ca="1">INDEX(INDIRECT(B50 &amp; "[TOVop]"), ROWS(INDIRECT(B50 &amp; "[TOVop]")) - 3 + 1)</f>
        <v>#VALUE!</v>
      </c>
      <c r="AW46" t="e">
        <f ca="1">INDEX(INDIRECT(B50 &amp; "[PFop]"), ROWS(INDIRECT(B50 &amp; "[PFop]")) - 3 + 1)</f>
        <v>#VALUE!</v>
      </c>
      <c r="AX46" t="e">
        <f ca="1">INDEX(INDIRECT(B50 &amp; "[TS%]"), ROWS(INDIRECT(B50 &amp; "[TS%]")) - 3 + 1)</f>
        <v>#VALUE!</v>
      </c>
      <c r="AY46" t="e">
        <f ca="1">INDEX(INDIRECT(B50 &amp; "[eFG%]"), ROWS(INDIRECT(B50 &amp; "[eFG%]")) - 3 + 1)</f>
        <v>#VALUE!</v>
      </c>
      <c r="AZ46" t="e">
        <f ca="1">INDEX(INDIRECT(B50 &amp; "[ORB%]"), ROWS(INDIRECT(B50 &amp; "[ORB%]")) - 3 + 1)</f>
        <v>#VALUE!</v>
      </c>
      <c r="BA46" t="e">
        <f ca="1">INDEX(INDIRECT(B50 &amp; "[DRB%]"), ROWS(INDIRECT(B50 &amp; "[DRB%]")) - 3 + 1)</f>
        <v>#VALUE!</v>
      </c>
      <c r="BB46" t="e">
        <f ca="1">INDEX(INDIRECT(B50 &amp; "[TRB%]"), ROWS(INDIRECT(B50 &amp; "[TRB%]")) - 3 + 1)</f>
        <v>#VALUE!</v>
      </c>
      <c r="BC46" t="e">
        <f ca="1">INDEX(INDIRECT(B50 &amp; "[Poss]"), ROWS(INDIRECT(B50 &amp; "[Poss]")) - 3 + 1)</f>
        <v>#VALUE!</v>
      </c>
      <c r="BD46" t="e">
        <f ca="1">INDEX(INDIRECT(B50 &amp; "[AST%]"), ROWS(INDIRECT(B50 &amp; "[AST%]")) - 3 + 1)</f>
        <v>#VALUE!</v>
      </c>
      <c r="BE46" t="e">
        <f ca="1">INDEX(INDIRECT(B50 &amp; "[FTFGA%]"), ROWS(INDIRECT(B50 &amp; "[FTFGA%]")) - 3 + 1)</f>
        <v>#VALUE!</v>
      </c>
      <c r="BF46" t="e">
        <f ca="1">INDEX(INDIRECT(B50 &amp; "[TOV%]"), ROWS(INDIRECT(B50 &amp; "[TOV%]")) - 3 + 1)</f>
        <v>#VALUE!</v>
      </c>
      <c r="BG46" t="e">
        <f ca="1">INDEX(INDIRECT(B50 &amp; "[ORtg]"), ROWS(INDIRECT(B50 &amp; "[ORtg]")) - 3 + 1)</f>
        <v>#VALUE!</v>
      </c>
      <c r="BH46" t="e">
        <f ca="1">INDEX(INDIRECT(B50 &amp; "[DRtg]"), ROWS(INDIRECT(B50 &amp; "[DRtg]")) - 3 + 1)</f>
        <v>#VALUE!</v>
      </c>
      <c r="BI46" t="e">
        <f ca="1">INDEX(INDIRECT(B50 &amp; "[Pace]"), ROWS(INDIRECT(B50 &amp; "[Pace]")) - 3 + 1)</f>
        <v>#VALUE!</v>
      </c>
      <c r="BJ46" t="e">
        <f ca="1">INDEX(INDIRECT(B50 &amp; "[TS%op]"), ROWS(INDIRECT(B50 &amp; "[TS%op]")) - 3 + 1)</f>
        <v>#VALUE!</v>
      </c>
      <c r="BK46" t="e">
        <f ca="1">INDEX(INDIRECT(B50 &amp; "[eFG%op]"), ROWS(INDIRECT(B50 &amp; "[eFG%op]")) - 3 + 1)</f>
        <v>#VALUE!</v>
      </c>
      <c r="BL46" t="e">
        <f ca="1">INDEX(INDIRECT(B50 &amp; "[ORB%op]"), ROWS(INDIRECT(B50 &amp; "[ORB%op]")) - 3 + 1)</f>
        <v>#VALUE!</v>
      </c>
      <c r="BM46" t="e">
        <f ca="1">INDEX(INDIRECT(B50 &amp; "[DRB%op]"), ROWS(INDIRECT(B50 &amp; "[DRB%op]")) - 3 + 1)</f>
        <v>#VALUE!</v>
      </c>
      <c r="BN46" t="e">
        <f ca="1">INDEX(INDIRECT(B50 &amp; "[TRB%op]"), ROWS(INDIRECT(B50 &amp; "[TRB%op]")) - 3 + 1)</f>
        <v>#VALUE!</v>
      </c>
      <c r="BO46" t="e">
        <f ca="1">INDEX(INDIRECT(B50 &amp; "[Possop]"), ROWS(INDIRECT(B50 &amp; "[Possop]")) - 3 + 1)</f>
        <v>#VALUE!</v>
      </c>
      <c r="BP46" t="e">
        <f ca="1">INDEX(INDIRECT(B50 &amp; "[AST%op]"), ROWS(INDIRECT(B50 &amp; "[AST%op]")) - 3 + 1)</f>
        <v>#VALUE!</v>
      </c>
      <c r="BQ46" t="e">
        <f ca="1">INDEX(INDIRECT(B50 &amp; "[FTFGA%op]"), ROWS(INDIRECT(B50 &amp; "[FTFGA%op]")) - 3 + 1)</f>
        <v>#VALUE!</v>
      </c>
      <c r="BR46" t="e">
        <f ca="1">INDEX(INDIRECT(B50 &amp; "[TOV%op]"), ROWS(INDIRECT(B50 &amp; "[TOV%op]")) - 3 + 1)</f>
        <v>#VALUE!</v>
      </c>
      <c r="BS46" t="e">
        <f ca="1">INDEX(INDIRECT(B50 &amp; "[ORtgop]"), ROWS(INDIRECT(B50 &amp; "[ORtgop]")) - 3 + 1)</f>
        <v>#VALUE!</v>
      </c>
      <c r="BT46" t="e">
        <f ca="1">INDEX(INDIRECT(B50 &amp; "[DRtgop]"), ROWS(INDIRECT(B50 &amp; "[DRtgop]")) - 3 + 1)</f>
        <v>#VALUE!</v>
      </c>
      <c r="BU46" t="e">
        <f ca="1">INDEX(INDIRECT(B50 &amp; "[Q1H]"), ROWS(INDIRECT(B50 &amp; "[Q1H]")) - 3 + 1)</f>
        <v>#VALUE!</v>
      </c>
      <c r="BV46" t="e">
        <f ca="1">INDEX(INDIRECT(B50 &amp; "[Q2H]"), ROWS(INDIRECT(B50 &amp; "[Q2H]")) - 3 + 1)</f>
        <v>#VALUE!</v>
      </c>
      <c r="BW46" t="e">
        <f ca="1">INDEX(INDIRECT(B50 &amp; "[Q3H]"), ROWS(INDIRECT(B50 &amp; "[Q3H]")) - 3 + 1)</f>
        <v>#VALUE!</v>
      </c>
      <c r="BX46" t="e">
        <f ca="1">INDEX(INDIRECT(B50 &amp; "[Q4H]"), ROWS(INDIRECT(B50 &amp; "[Q4H]")) - 3 + 1)</f>
        <v>#VALUE!</v>
      </c>
      <c r="BY46" t="e">
        <f ca="1">INDEX(INDIRECT(B50 &amp; "[Q1A]"), ROWS(INDIRECT(B50 &amp; "[Q1A]")) - 3 + 1)</f>
        <v>#VALUE!</v>
      </c>
      <c r="BZ46" t="e">
        <f ca="1">INDEX(INDIRECT(B50 &amp; "[Q2A]"), ROWS(INDIRECT(B50 &amp; "[Q2A]")) - 3 + 1)</f>
        <v>#VALUE!</v>
      </c>
      <c r="CA46" t="e">
        <f ca="1">INDEX(INDIRECT(B50 &amp; "[Q3A]"), ROWS(INDIRECT(B50 &amp; "[Q3A]")) - 3 + 1)</f>
        <v>#VALUE!</v>
      </c>
      <c r="CB46" t="e">
        <f ca="1">INDEX(INDIRECT(B50 &amp; "[Q4A]"), ROWS(INDIRECT(B50 &amp; "[Q4A]")) - 3 + 1)</f>
        <v>#VALUE!</v>
      </c>
      <c r="CC46" t="e">
        <f ca="1">INDEX(INDIRECT(B50 &amp; "[FhalfH]"), ROWS(INDIRECT(B50 &amp; "[FhalfH]")) - 3 + 1)</f>
        <v>#VALUE!</v>
      </c>
      <c r="CD46" t="e">
        <f ca="1">INDEX(INDIRECT(B50 &amp; "[ShalfH]"), ROWS(INDIRECT(B50 &amp; "[ShalfH]")) - 3 + 1)</f>
        <v>#VALUE!</v>
      </c>
      <c r="CE46" t="e">
        <f ca="1">INDEX(INDIRECT(B50 &amp; "[FhalfA]"), ROWS(INDIRECT(B50 &amp; "[FhalfA]")) - 3 + 1)</f>
        <v>#VALUE!</v>
      </c>
      <c r="CF46" t="e">
        <f ca="1">INDEX(INDIRECT(B50 &amp; "[ShalfA]"), ROWS(INDIRECT(B50 &amp; "[ShalfA]")) - 3 + 1)</f>
        <v>#VALUE!</v>
      </c>
      <c r="CG46" t="e">
        <f ca="1">INDEX(INDIRECT(B50 &amp; "[win]"), ROWS(INDIRECT(B50 &amp; "[win]")) - 3 + 1)</f>
        <v>#VALUE!</v>
      </c>
      <c r="CH46" t="e">
        <f ca="1">INDEX(INDIRECT(B50 &amp; "[lose]"), ROWS(INDIRECT(B50 &amp; "[lose]")) - 3 + 1)</f>
        <v>#VALUE!</v>
      </c>
      <c r="CI46" t="e">
        <f ca="1">INDEX(INDIRECT(B50 &amp; "[foraH]"), ROWS(INDIRECT(B50 &amp; "[foraH]")) - 3 + 1)</f>
        <v>#VALUE!</v>
      </c>
      <c r="CJ46" t="e">
        <f ca="1">INDEX(INDIRECT(B50 &amp; "[foraA]"), ROWS(INDIRECT(B50 &amp; "[foraA]")) - 3 + 1)</f>
        <v>#VALUE!</v>
      </c>
      <c r="CK46" t="e">
        <f ca="1">INDEX(INDIRECT(B50 &amp; "[total]"), ROWS(INDIRECT(B50 &amp; "[total]")) - 3 + 1)</f>
        <v>#VALUE!</v>
      </c>
      <c r="CL46" t="e">
        <f ca="1">INDEX(INDIRECT(B50 &amp; "[link]"), ROWS(INDIRECT(B50 &amp; "[link]")) - 3 + 1)</f>
        <v>#VALUE!</v>
      </c>
      <c r="CM46" t="e">
        <f ca="1">INDEX(INDIRECT(B50 &amp; "[abbr]"), ROWS(INDIRECT(B50 &amp; "[abbr]")) - 3 + 1)</f>
        <v>#VALUE!</v>
      </c>
      <c r="CN46" t="e">
        <f ca="1">last5away[[#This Row],[Q1H]]+last5away[[#This Row],[Q1A]]</f>
        <v>#VALUE!</v>
      </c>
      <c r="CO46" t="e">
        <f ca="1">last5away[[#This Row],[Q2H]]+last5away[[#This Row],[Q2A]]</f>
        <v>#VALUE!</v>
      </c>
      <c r="CP46" t="e">
        <f ca="1">last5away[[#This Row],[Q3H]]+last5away[[#This Row],[Q3A]]</f>
        <v>#VALUE!</v>
      </c>
      <c r="CQ46" t="e">
        <f ca="1">last5away[[#This Row],[Q4H]]+last5away[[#This Row],[Q4A]]</f>
        <v>#VALUE!</v>
      </c>
      <c r="CR46" t="e">
        <f ca="1">last5away[[#This Row],[FhalfH]]+last5away[[#This Row],[FhalfA]]</f>
        <v>#VALUE!</v>
      </c>
      <c r="CS46" t="e">
        <f ca="1">last5away[[#This Row],[ShalfH]]+last5away[[#This Row],[ShalfA]]</f>
        <v>#VALUE!</v>
      </c>
      <c r="CT46" t="e">
        <f ca="1">INDEX(INDIRECT(B50 &amp; "[BetH]"), ROWS(INDIRECT(B50 &amp; "[BetH]")) - 3 + 1)</f>
        <v>#VALUE!</v>
      </c>
      <c r="CU46" t="e">
        <f ca="1">INDEX(INDIRECT(B50 &amp; "[BetA]"), ROWS(INDIRECT(B50 &amp; "[BetA]")) - 3 + 1)</f>
        <v>#VALUE!</v>
      </c>
      <c r="CV46" t="e">
        <f ca="1">INDEX(INDIRECT(B50 &amp; "[Tover]"), ROWS(INDIRECT(B50 &amp; "[Tover]")) - 3 + 1)</f>
        <v>#VALUE!</v>
      </c>
      <c r="CW46" t="e">
        <f ca="1">INDEX(INDIRECT(B50 &amp; "[Deviation]"), ROWS(INDIRECT(B50 &amp; "[Deviation]")) - 3 + 1)</f>
        <v>#VALUE!</v>
      </c>
    </row>
    <row r="47" spans="1:101" x14ac:dyDescent="0.25">
      <c r="A47" t="str">
        <f ca="1">INDEX(INDIRECT(B50 &amp; "[tournament]"), ROWS(INDIRECT(B50 &amp; "[tournament]")) - 2 + 1)</f>
        <v>LNB</v>
      </c>
      <c r="B47" t="str">
        <f ca="1">INDEX(INDIRECT(B50 &amp; "[Home_team]"), ROWS(INDIRECT(B50 &amp; "[Home_team]")) - 2 + 1)</f>
        <v>Le Mans</v>
      </c>
      <c r="C47" t="str">
        <f ca="1">INDEX(INDIRECT(B50 &amp; "[Stage]"), ROWS(INDIRECT(B50 &amp; "[Stage]")) - 2 + 1)</f>
        <v>RS</v>
      </c>
      <c r="D47" s="10">
        <f ca="1">INDEX(INDIRECT(B50 &amp; "[Date]"), ROWS(INDIRECT(B50 &amp; "[Date]")) - 2 + 1)</f>
        <v>45926</v>
      </c>
      <c r="E47" t="str">
        <f ca="1">INDEX(INDIRECT(B50 &amp; "[Location]"), ROWS(INDIRECT(B50 &amp; "[Location]")) - 2 + 1)</f>
        <v>A</v>
      </c>
      <c r="F47" t="str">
        <f ca="1">INDEX(INDIRECT(B50 &amp; "[Away_team]"), ROWS(INDIRECT(B50 &amp; "[Away_team]")) - 2 + 1)</f>
        <v>Dijon</v>
      </c>
      <c r="G47" t="str">
        <f ca="1">INDEX(INDIRECT(B50 &amp; "[Result]"), ROWS(INDIRECT(B50 &amp; "[Result]")) - 2 + 1)</f>
        <v>W</v>
      </c>
      <c r="H47">
        <f ca="1">INDEX(INDIRECT(B50 &amp; "[Home_scored]"), ROWS(INDIRECT(B50 &amp; "[Home_scored]")) - 2 + 1)</f>
        <v>91</v>
      </c>
      <c r="I47">
        <f ca="1">INDEX(INDIRECT(B50 &amp; "[Away_scored]"), ROWS(INDIRECT(B50 &amp; "[Away_scored]")) - 2 + 1)</f>
        <v>89</v>
      </c>
      <c r="J47">
        <f ca="1">INDEX(INDIRECT(B50 &amp; "[FGM]"), ROWS(INDIRECT(B50 &amp; "[FGM]")) - 2 + 1)</f>
        <v>30</v>
      </c>
      <c r="K47">
        <f ca="1">INDEX(INDIRECT(B50 &amp; "[FGA]"), ROWS(INDIRECT(B50 &amp; "[FGA]")) - 2 + 1)</f>
        <v>56</v>
      </c>
      <c r="L47">
        <f ca="1">INDEX(INDIRECT(B50 &amp; "[FGp]"), ROWS(INDIRECT(B50 &amp; "[FGp]")) - 2 + 1)</f>
        <v>0.53569999999999995</v>
      </c>
      <c r="M47">
        <f ca="1">INDEX(INDIRECT(B50 &amp; "[P2M]"), ROWS(INDIRECT(B50 &amp; "[P2M]")) - 2 + 1)</f>
        <v>21</v>
      </c>
      <c r="N47">
        <f ca="1">INDEX(INDIRECT(B50 &amp; "[P2A]"), ROWS(INDIRECT(B50 &amp; "[P2A]")) - 2 + 1)</f>
        <v>32</v>
      </c>
      <c r="O47">
        <f ca="1">INDEX(INDIRECT(B50 &amp; "[P2p]"), ROWS(INDIRECT(B50 &amp; "[P2p]")) - 2 + 1)</f>
        <v>0.65629999999999999</v>
      </c>
      <c r="P47">
        <f ca="1">INDEX(INDIRECT(B50 &amp; "[P3M]"), ROWS(INDIRECT(B50 &amp; "[P3M]")) - 2 + 1)</f>
        <v>9</v>
      </c>
      <c r="Q47">
        <f ca="1">INDEX(INDIRECT(B50 &amp; "[P3A]"), ROWS(INDIRECT(B50 &amp; "[P3A]")) - 2 + 1)</f>
        <v>24</v>
      </c>
      <c r="R47">
        <f ca="1">INDEX(INDIRECT(B50 &amp; "[P3p]"), ROWS(INDIRECT(B50 &amp; "[P3p]")) - 2 + 1)</f>
        <v>0.375</v>
      </c>
      <c r="S47">
        <f ca="1">INDEX(INDIRECT(B50 &amp; "[FTM]"), ROWS(INDIRECT(B50 &amp; "[FTM]")) - 2 + 1)</f>
        <v>22</v>
      </c>
      <c r="T47">
        <f ca="1">INDEX(INDIRECT(B50 &amp; "[FTA]"), ROWS(INDIRECT(B50 &amp; "[FTA]")) - 2 + 1)</f>
        <v>27</v>
      </c>
      <c r="U47">
        <f ca="1">INDEX(INDIRECT(B50 &amp; "[FTp]"), ROWS(INDIRECT(B50 &amp; "[FTp]")) - 2 + 1)</f>
        <v>0.81479999999999997</v>
      </c>
      <c r="V47">
        <f ca="1">INDEX(INDIRECT(B50 &amp; "[ORB]"), ROWS(INDIRECT(B50 &amp; "[ORB]")) - 2 + 1)</f>
        <v>14</v>
      </c>
      <c r="W47">
        <f ca="1">INDEX(INDIRECT(B50 &amp; "[DRB]"), ROWS(INDIRECT(B50 &amp; "[DRB]")) - 2 + 1)</f>
        <v>19</v>
      </c>
      <c r="X47">
        <f ca="1">INDEX(INDIRECT(B50 &amp; "[TRB]"), ROWS(INDIRECT(B50 &amp; "[TRB]")) - 2 + 1)</f>
        <v>33</v>
      </c>
      <c r="Y47">
        <f ca="1">INDEX(INDIRECT(B50 &amp; "[AST]"), ROWS(INDIRECT(B50 &amp; "[AST]")) - 2 + 1)</f>
        <v>16</v>
      </c>
      <c r="Z47">
        <f ca="1">INDEX(INDIRECT(B50 &amp; "[STL]"), ROWS(INDIRECT(B50 &amp; "[STL]")) - 2 + 1)</f>
        <v>5</v>
      </c>
      <c r="AA47">
        <f ca="1">INDEX(INDIRECT(B50 &amp; "[BLK]"), ROWS(INDIRECT(B50 &amp; "[BLK]")) - 2 + 1)</f>
        <v>18</v>
      </c>
      <c r="AB47">
        <f ca="1">INDEX(INDIRECT(B50 &amp; "[TOV]"), ROWS(INDIRECT(B50 &amp; "[TOV]")) - 2 + 1)</f>
        <v>5</v>
      </c>
      <c r="AC47">
        <f ca="1">INDEX(INDIRECT(B50 &amp; "[PF]"), ROWS(INDIRECT(B50 &amp; "[PF]")) - 2 + 1)</f>
        <v>17</v>
      </c>
      <c r="AD47">
        <f ca="1">INDEX(INDIRECT(B50 &amp; "[FGMop]"), ROWS(INDIRECT(B50 &amp; "[FGMop]")) - 2 + 1)</f>
        <v>30</v>
      </c>
      <c r="AE47">
        <f ca="1">INDEX(INDIRECT(B50 &amp; "[FGAop]"), ROWS(INDIRECT(B50 &amp; "[FGAop]")) - 2 + 1)</f>
        <v>65</v>
      </c>
      <c r="AF47">
        <f ca="1">INDEX(INDIRECT(B50 &amp; "[FGpop]"), ROWS(INDIRECT(B50 &amp; "[FGpop]")) - 2 + 1)</f>
        <v>0.46150000000000002</v>
      </c>
      <c r="AG47">
        <f ca="1">INDEX(INDIRECT(B50 &amp; "[P2Mop]"), ROWS(INDIRECT(B50 &amp; "[P2Mop]")) - 2 + 1)</f>
        <v>19</v>
      </c>
      <c r="AH47">
        <f ca="1">INDEX(INDIRECT(B50 &amp; "[P2Aop]"), ROWS(INDIRECT(B50 &amp; "[P2Aop]")) - 2 + 1)</f>
        <v>34</v>
      </c>
      <c r="AI47">
        <f ca="1">INDEX(INDIRECT(B50 &amp; "[P2pop]"), ROWS(INDIRECT(B50 &amp; "[P2pop]")) - 2 + 1)</f>
        <v>0.55879999999999996</v>
      </c>
      <c r="AJ47">
        <f ca="1">INDEX(INDIRECT(B50 &amp; "[P3Mop]"), ROWS(INDIRECT(B50 &amp; "[P3Mop]")) - 2 + 1)</f>
        <v>11</v>
      </c>
      <c r="AK47">
        <f ca="1">INDEX(INDIRECT(B50 &amp; "[P3Aop]"), ROWS(INDIRECT(B50 &amp; "[P3Aop]")) - 2 + 1)</f>
        <v>31</v>
      </c>
      <c r="AL47">
        <f ca="1">INDEX(INDIRECT(B50 &amp; "[P3pop]"), ROWS(INDIRECT(B50 &amp; "[P3pop]")) - 2 + 1)</f>
        <v>0.3548</v>
      </c>
      <c r="AM47">
        <f ca="1">INDEX(INDIRECT(B50 &amp; "[FTMop]"), ROWS(INDIRECT(B50 &amp; "[FTMop]")) - 2 + 1)</f>
        <v>18</v>
      </c>
      <c r="AN47">
        <f ca="1">INDEX(INDIRECT(B50 &amp; "[FTAop]"), ROWS(INDIRECT(B50 &amp; "[FTAop]")) - 2 + 1)</f>
        <v>22</v>
      </c>
      <c r="AO47">
        <f ca="1">INDEX(INDIRECT(B50 &amp; "[FTpop]"), ROWS(INDIRECT(B50 &amp; "[FTpop]")) - 2 + 1)</f>
        <v>0.81820000000000004</v>
      </c>
      <c r="AP47">
        <f ca="1">INDEX(INDIRECT(B50 &amp; "[ORBop]"), ROWS(INDIRECT(B50 &amp; "[ORBop]")) - 2 + 1)</f>
        <v>16</v>
      </c>
      <c r="AQ47">
        <f ca="1">INDEX(INDIRECT(B50 &amp; "[DRBop]"), ROWS(INDIRECT(B50 &amp; "[DRBop]")) - 2 + 1)</f>
        <v>11</v>
      </c>
      <c r="AR47">
        <f ca="1">INDEX(INDIRECT(B50 &amp; "[TRBop]"), ROWS(INDIRECT(B50 &amp; "[TRBop]")) - 2 + 1)</f>
        <v>27</v>
      </c>
      <c r="AS47">
        <f ca="1">INDEX(INDIRECT(B50 &amp; "[ASTop]"), ROWS(INDIRECT(B50 &amp; "[ASTop]")) - 2 + 1)</f>
        <v>21</v>
      </c>
      <c r="AT47">
        <f ca="1">INDEX(INDIRECT(B50 &amp; "[STLop]"), ROWS(INDIRECT(B50 &amp; "[STLop]")) - 2 + 1)</f>
        <v>0</v>
      </c>
      <c r="AU47">
        <f ca="1">INDEX(INDIRECT(B50 &amp; "[BLKop]"), ROWS(INDIRECT(B50 &amp; "[BLKop]")) - 2 + 1)</f>
        <v>13</v>
      </c>
      <c r="AV47">
        <f ca="1">INDEX(INDIRECT(B50 &amp; "[TOVop]"), ROWS(INDIRECT(B50 &amp; "[TOVop]")) - 2 + 1)</f>
        <v>7</v>
      </c>
      <c r="AW47">
        <f ca="1">INDEX(INDIRECT(B50 &amp; "[PFop]"), ROWS(INDIRECT(B50 &amp; "[PFop]")) - 2 + 1)</f>
        <v>27</v>
      </c>
      <c r="AX47">
        <f ca="1">INDEX(INDIRECT(B50 &amp; "[TS%]"), ROWS(INDIRECT(B50 &amp; "[TS%]")) - 2 + 1)</f>
        <v>0.67030000000000001</v>
      </c>
      <c r="AY47">
        <f ca="1">INDEX(INDIRECT(B50 &amp; "[eFG%]"), ROWS(INDIRECT(B50 &amp; "[eFG%]")) - 2 + 1)</f>
        <v>0.61609999999999998</v>
      </c>
      <c r="AZ47">
        <f ca="1">INDEX(INDIRECT(B50 &amp; "[ORB%]"), ROWS(INDIRECT(B50 &amp; "[ORB%]")) - 2 + 1)</f>
        <v>0.56000000000000005</v>
      </c>
      <c r="BA47">
        <f ca="1">INDEX(INDIRECT(B50 &amp; "[DRB%]"), ROWS(INDIRECT(B50 &amp; "[DRB%]")) - 2 + 1)</f>
        <v>0.54290000000000005</v>
      </c>
      <c r="BB47">
        <f ca="1">INDEX(INDIRECT(B50 &amp; "[TRB%]"), ROWS(INDIRECT(B50 &amp; "[TRB%]")) - 2 + 1)</f>
        <v>0.55000000000000004</v>
      </c>
      <c r="BC47">
        <f ca="1">INDEX(INDIRECT(B50 &amp; "[Poss]"), ROWS(INDIRECT(B50 &amp; "[Poss]")) - 2 + 1)</f>
        <v>59.997999999999998</v>
      </c>
      <c r="BD47">
        <f ca="1">INDEX(INDIRECT(B50 &amp; "[AST%]"), ROWS(INDIRECT(B50 &amp; "[AST%]")) - 2 + 1)</f>
        <v>0.5333</v>
      </c>
      <c r="BE47">
        <f ca="1">INDEX(INDIRECT(B50 &amp; "[FTFGA%]"), ROWS(INDIRECT(B50 &amp; "[FTFGA%]")) - 2 + 1)</f>
        <v>0.39290000000000003</v>
      </c>
      <c r="BF47">
        <f ca="1">INDEX(INDIRECT(B50 &amp; "[TOV%]"), ROWS(INDIRECT(B50 &amp; "[TOV%]")) - 2 + 1)</f>
        <v>6.8599999999999994E-2</v>
      </c>
      <c r="BG47">
        <f ca="1">INDEX(INDIRECT(B50 &amp; "[ORtg]"), ROWS(INDIRECT(B50 &amp; "[ORtg]")) - 2 + 1)</f>
        <v>153.5</v>
      </c>
      <c r="BH47">
        <f ca="1">INDEX(INDIRECT(B50 &amp; "[DRtg]"), ROWS(INDIRECT(B50 &amp; "[DRtg]")) - 2 + 1)</f>
        <v>150.1</v>
      </c>
      <c r="BI47">
        <f ca="1">INDEX(INDIRECT(B50 &amp; "[Pace]"), ROWS(INDIRECT(B50 &amp; "[Pace]")) - 2 + 1)</f>
        <v>59.302500000000002</v>
      </c>
      <c r="BJ47">
        <f ca="1">INDEX(INDIRECT(B50 &amp; "[TS%op]"), ROWS(INDIRECT(B50 &amp; "[TS%op]")) - 2 + 1)</f>
        <v>0.59589999999999999</v>
      </c>
      <c r="BK47">
        <f ca="1">INDEX(INDIRECT(B50 &amp; "[eFG%op]"), ROWS(INDIRECT(B50 &amp; "[eFG%op]")) - 2 + 1)</f>
        <v>0.54620000000000002</v>
      </c>
      <c r="BL47">
        <f ca="1">INDEX(INDIRECT(B50 &amp; "[ORB%op]"), ROWS(INDIRECT(B50 &amp; "[ORB%op]")) - 2 + 1)</f>
        <v>0.45710000000000001</v>
      </c>
      <c r="BM47">
        <f ca="1">INDEX(INDIRECT(B50 &amp; "[DRB%op]"), ROWS(INDIRECT(B50 &amp; "[DRB%op]")) - 2 + 1)</f>
        <v>0.44</v>
      </c>
      <c r="BN47">
        <f ca="1">INDEX(INDIRECT(B50 &amp; "[TRB%op]"), ROWS(INDIRECT(B50 &amp; "[TRB%op]")) - 2 + 1)</f>
        <v>0.45</v>
      </c>
      <c r="BO47">
        <f ca="1">INDEX(INDIRECT(B50 &amp; "[Possop]"), ROWS(INDIRECT(B50 &amp; "[Possop]")) - 2 + 1)</f>
        <v>58.606999999999999</v>
      </c>
      <c r="BP47">
        <f ca="1">INDEX(INDIRECT(B50 &amp; "[AST%op]"), ROWS(INDIRECT(B50 &amp; "[AST%op]")) - 2 + 1)</f>
        <v>0.7</v>
      </c>
      <c r="BQ47">
        <f ca="1">INDEX(INDIRECT(B50 &amp; "[FTFGA%op]"), ROWS(INDIRECT(B50 &amp; "[FTFGA%op]")) - 2 + 1)</f>
        <v>0.27689999999999998</v>
      </c>
      <c r="BR47">
        <f ca="1">INDEX(INDIRECT(B50 &amp; "[TOV%op]"), ROWS(INDIRECT(B50 &amp; "[TOV%op]")) - 2 + 1)</f>
        <v>8.5699999999999998E-2</v>
      </c>
      <c r="BS47">
        <f ca="1">INDEX(INDIRECT(B50 &amp; "[ORtgop]"), ROWS(INDIRECT(B50 &amp; "[ORtgop]")) - 2 + 1)</f>
        <v>150.1</v>
      </c>
      <c r="BT47">
        <f ca="1">INDEX(INDIRECT(B50 &amp; "[DRtgop]"), ROWS(INDIRECT(B50 &amp; "[DRtgop]")) - 2 + 1)</f>
        <v>153.5</v>
      </c>
      <c r="BU47">
        <f ca="1">INDEX(INDIRECT(B50 &amp; "[Q1H]"), ROWS(INDIRECT(B50 &amp; "[Q1H]")) - 2 + 1)</f>
        <v>16</v>
      </c>
      <c r="BV47">
        <f ca="1">INDEX(INDIRECT(B50 &amp; "[Q2H]"), ROWS(INDIRECT(B50 &amp; "[Q2H]")) - 2 + 1)</f>
        <v>25</v>
      </c>
      <c r="BW47">
        <f ca="1">INDEX(INDIRECT(B50 &amp; "[Q3H]"), ROWS(INDIRECT(B50 &amp; "[Q3H]")) - 2 + 1)</f>
        <v>27</v>
      </c>
      <c r="BX47">
        <f ca="1">INDEX(INDIRECT(B50 &amp; "[Q4H]"), ROWS(INDIRECT(B50 &amp; "[Q4H]")) - 2 + 1)</f>
        <v>23</v>
      </c>
      <c r="BY47">
        <f ca="1">INDEX(INDIRECT(B50 &amp; "[Q1A]"), ROWS(INDIRECT(B50 &amp; "[Q1A]")) - 2 + 1)</f>
        <v>22</v>
      </c>
      <c r="BZ47">
        <f ca="1">INDEX(INDIRECT(B50 &amp; "[Q2A]"), ROWS(INDIRECT(B50 &amp; "[Q2A]")) - 2 + 1)</f>
        <v>24</v>
      </c>
      <c r="CA47">
        <f ca="1">INDEX(INDIRECT(B50 &amp; "[Q3A]"), ROWS(INDIRECT(B50 &amp; "[Q3A]")) - 2 + 1)</f>
        <v>20</v>
      </c>
      <c r="CB47">
        <f ca="1">INDEX(INDIRECT(B50 &amp; "[Q4A]"), ROWS(INDIRECT(B50 &amp; "[Q4A]")) - 2 + 1)</f>
        <v>23</v>
      </c>
      <c r="CC47">
        <f ca="1">INDEX(INDIRECT(B50 &amp; "[FhalfH]"), ROWS(INDIRECT(B50 &amp; "[FhalfH]")) - 2 + 1)</f>
        <v>41</v>
      </c>
      <c r="CD47">
        <f ca="1">INDEX(INDIRECT(B50 &amp; "[ShalfH]"), ROWS(INDIRECT(B50 &amp; "[ShalfH]")) - 2 + 1)</f>
        <v>50</v>
      </c>
      <c r="CE47">
        <f ca="1">INDEX(INDIRECT(B50 &amp; "[FhalfA]"), ROWS(INDIRECT(B50 &amp; "[FhalfA]")) - 2 + 1)</f>
        <v>46</v>
      </c>
      <c r="CF47">
        <f ca="1">INDEX(INDIRECT(B50 &amp; "[ShalfA]"), ROWS(INDIRECT(B50 &amp; "[ShalfA]")) - 2 + 1)</f>
        <v>43</v>
      </c>
      <c r="CG47">
        <f ca="1">INDEX(INDIRECT(B50 &amp; "[win]"), ROWS(INDIRECT(B50 &amp; "[win]")) - 2 + 1)</f>
        <v>2.2000000000000002</v>
      </c>
      <c r="CH47">
        <f ca="1">INDEX(INDIRECT(B50 &amp; "[lose]"), ROWS(INDIRECT(B50 &amp; "[lose]")) - 2 + 1)</f>
        <v>1.71</v>
      </c>
      <c r="CI47">
        <f ca="1">INDEX(INDIRECT(B50 &amp; "[foraH]"), ROWS(INDIRECT(B50 &amp; "[foraH]")) - 2 + 1)</f>
        <v>2.5</v>
      </c>
      <c r="CJ47">
        <f ca="1">INDEX(INDIRECT(B50 &amp; "[foraA]"), ROWS(INDIRECT(B50 &amp; "[foraA]")) - 2 + 1)</f>
        <v>-2.5</v>
      </c>
      <c r="CK47">
        <f ca="1">INDEX(INDIRECT(B50 &amp; "[total]"), ROWS(INDIRECT(B50 &amp; "[total]")) - 2 + 1)</f>
        <v>168.5</v>
      </c>
      <c r="CL47" t="str">
        <f ca="1">INDEX(INDIRECT(B50 &amp; "[link]"), ROWS(INDIRECT(B50 &amp; "[link]")) - 2 + 1)</f>
        <v>https://www.flashscore.com/match/basketball/dijon-U1rSU248/le-mans-Qqv37Lsk/?mid=MNQ8TnMG</v>
      </c>
      <c r="CM47" t="str">
        <f ca="1">INDEX(INDIRECT(B50 &amp; "[abbr]"), ROWS(INDIRECT(B50 &amp; "[abbr]")) - 2 + 1)</f>
        <v>DIJ</v>
      </c>
      <c r="CN47">
        <f ca="1">last5away[[#This Row],[Q1H]]+last5away[[#This Row],[Q1A]]</f>
        <v>38</v>
      </c>
      <c r="CO47">
        <f ca="1">last5away[[#This Row],[Q2H]]+last5away[[#This Row],[Q2A]]</f>
        <v>49</v>
      </c>
      <c r="CP47">
        <f ca="1">last5away[[#This Row],[Q3H]]+last5away[[#This Row],[Q3A]]</f>
        <v>47</v>
      </c>
      <c r="CQ47">
        <f ca="1">last5away[[#This Row],[Q4H]]+last5away[[#This Row],[Q4A]]</f>
        <v>46</v>
      </c>
      <c r="CR47">
        <f ca="1">last5away[[#This Row],[FhalfH]]+last5away[[#This Row],[FhalfA]]</f>
        <v>87</v>
      </c>
      <c r="CS47">
        <f ca="1">last5away[[#This Row],[ShalfH]]+last5away[[#This Row],[ShalfA]]</f>
        <v>93</v>
      </c>
      <c r="CT47">
        <f ca="1">INDEX(INDIRECT(B50 &amp; "[BetH]"), ROWS(INDIRECT(B50 &amp; "[BetH]")) - 2 + 1)</f>
        <v>1.2000000000000002</v>
      </c>
      <c r="CU47">
        <f ca="1">INDEX(INDIRECT(B50 &amp; "[BetA]"), ROWS(INDIRECT(B50 &amp; "[BetA]")) - 2 + 1)</f>
        <v>-1</v>
      </c>
      <c r="CV47">
        <f ca="1">INDEX(INDIRECT(B50 &amp; "[Tover]"), ROWS(INDIRECT(B50 &amp; "[Tover]")) - 2 + 1)</f>
        <v>1</v>
      </c>
      <c r="CW47">
        <f ca="1">INDEX(INDIRECT(B50 &amp; "[Deviation]"), ROWS(INDIRECT(B50 &amp; "[Deviation]")) - 2 + 1)</f>
        <v>12</v>
      </c>
    </row>
    <row r="48" spans="1:101" x14ac:dyDescent="0.25">
      <c r="A48" t="str">
        <f ca="1">INDEX(INDIRECT(B50 &amp; "[tournament]"), ROWS(INDIRECT(B50 &amp; "[tournament]")) )</f>
        <v>LNB</v>
      </c>
      <c r="B48" t="str">
        <f ca="1">INDEX(INDIRECT(B50 &amp; "[Home_team]"), ROWS(INDIRECT(B50 &amp; "[Home_team]")) )</f>
        <v>Le Mans</v>
      </c>
      <c r="C48" t="str">
        <f ca="1">INDEX(INDIRECT(B50 &amp; "[Stage]"), ROWS(INDIRECT(B50 &amp; "[Stage]")) )</f>
        <v>RS</v>
      </c>
      <c r="D48" s="10">
        <f ca="1">INDEX(INDIRECT(B50 &amp; "[Date]"), ROWS(INDIRECT(B50 &amp; "[Date]")) )</f>
        <v>45926</v>
      </c>
      <c r="E48" t="str">
        <f ca="1">INDEX(INDIRECT(B50 &amp; "[Location]"), ROWS(INDIRECT(B50 &amp; "[Location]")) )</f>
        <v>A</v>
      </c>
      <c r="F48" t="str">
        <f ca="1">INDEX(INDIRECT(B50 &amp; "[Away_team]"), ROWS(INDIRECT(B50 &amp; "[Away_team]")) )</f>
        <v>Dijon</v>
      </c>
      <c r="G48" t="str">
        <f ca="1">INDEX(INDIRECT(B50 &amp; "[Result]"), ROWS(INDIRECT(B50 &amp; "[Result]")) )</f>
        <v>W</v>
      </c>
      <c r="H48">
        <f ca="1">INDEX(INDIRECT(B50 &amp; "[Home_scored]"), ROWS(INDIRECT(B50 &amp; "[Home_scored]")) )</f>
        <v>91</v>
      </c>
      <c r="I48">
        <f ca="1">INDEX(INDIRECT(B50 &amp; "[Away_scored]"), ROWS(INDIRECT(B50 &amp; "[Away_scored]")) )</f>
        <v>89</v>
      </c>
      <c r="J48">
        <f ca="1">INDEX(INDIRECT(B50 &amp; "[FGM]"), ROWS(INDIRECT(B50 &amp; "[FGM]")) )</f>
        <v>30</v>
      </c>
      <c r="K48">
        <f ca="1">INDEX(INDIRECT(B50 &amp; "[FGA]"), ROWS(INDIRECT(B50 &amp; "[FGA]")) )</f>
        <v>56</v>
      </c>
      <c r="L48">
        <f ca="1">INDEX(INDIRECT(B50 &amp; "[FGp]"), ROWS(INDIRECT(B50 &amp; "[FGp]")) )</f>
        <v>0.53569999999999995</v>
      </c>
      <c r="M48">
        <f ca="1">INDEX(INDIRECT(B50 &amp; "[P2M]"), ROWS(INDIRECT(B50 &amp; "[P2M]")) )</f>
        <v>21</v>
      </c>
      <c r="N48">
        <f ca="1">INDEX(INDIRECT(B50 &amp; "[P2A]"), ROWS(INDIRECT(B50 &amp; "[P2A]")) )</f>
        <v>32</v>
      </c>
      <c r="O48">
        <f ca="1">INDEX(INDIRECT(B50 &amp; "[P2p]"), ROWS(INDIRECT(B50 &amp; "[P2p]")) )</f>
        <v>0.65629999999999999</v>
      </c>
      <c r="P48">
        <f ca="1">INDEX(INDIRECT(B50 &amp; "[P3M]"), ROWS(INDIRECT(B50 &amp; "[P3M]")) )</f>
        <v>9</v>
      </c>
      <c r="Q48">
        <f ca="1">INDEX(INDIRECT(B50 &amp; "[P3A]"), ROWS(INDIRECT(B50 &amp; "[P3A]")) )</f>
        <v>24</v>
      </c>
      <c r="R48">
        <f ca="1">INDEX(INDIRECT(B50 &amp; "[P3p]"), ROWS(INDIRECT(B50 &amp; "[P3p]")) )</f>
        <v>0.375</v>
      </c>
      <c r="S48">
        <f ca="1">INDEX(INDIRECT(B50 &amp; "[FTM]"), ROWS(INDIRECT(B50 &amp; "[FTM]")) )</f>
        <v>22</v>
      </c>
      <c r="T48">
        <f ca="1">INDEX(INDIRECT(B50 &amp; "[FTA]"), ROWS(INDIRECT(B50 &amp; "[FTA]")) )</f>
        <v>27</v>
      </c>
      <c r="U48">
        <f ca="1">INDEX(INDIRECT(B50 &amp; "[FTp]"), ROWS(INDIRECT(B50 &amp; "[FTp]")) )</f>
        <v>0.81479999999999997</v>
      </c>
      <c r="V48">
        <f ca="1">INDEX(INDIRECT(B50 &amp; "[ORB]"), ROWS(INDIRECT(B50 &amp; "[ORB]")) )</f>
        <v>14</v>
      </c>
      <c r="W48">
        <f ca="1">INDEX(INDIRECT(B50 &amp; "[DRB]"), ROWS(INDIRECT(B50 &amp; "[DRB]")) )</f>
        <v>19</v>
      </c>
      <c r="X48">
        <f ca="1">INDEX(INDIRECT(B50 &amp; "[TRB]"), ROWS(INDIRECT(B50 &amp; "[TRB]")) )</f>
        <v>33</v>
      </c>
      <c r="Y48">
        <f ca="1">INDEX(INDIRECT(B50 &amp; "[AST]"), ROWS(INDIRECT(B50 &amp; "[AST]")) )</f>
        <v>16</v>
      </c>
      <c r="Z48">
        <f ca="1">INDEX(INDIRECT(B50 &amp; "[STL]"), ROWS(INDIRECT(B50 &amp; "[STL]")) )</f>
        <v>5</v>
      </c>
      <c r="AA48">
        <f ca="1">INDEX(INDIRECT(B50 &amp; "[BLK]"), ROWS(INDIRECT(B50 &amp; "[BLK]")) )</f>
        <v>18</v>
      </c>
      <c r="AB48">
        <f ca="1">INDEX(INDIRECT(B50 &amp; "[TOV]"), ROWS(INDIRECT(B50 &amp; "[TOV]")) )</f>
        <v>5</v>
      </c>
      <c r="AC48">
        <f ca="1">INDEX(INDIRECT(B50 &amp; "[PF]"), ROWS(INDIRECT(B50 &amp; "[PF]")) )</f>
        <v>17</v>
      </c>
      <c r="AD48">
        <f ca="1">INDEX(INDIRECT(B50 &amp; "[FGMop]"), ROWS(INDIRECT(B50 &amp; "[FGMop]")) )</f>
        <v>30</v>
      </c>
      <c r="AE48">
        <f ca="1">INDEX(INDIRECT(B50 &amp; "[FGAop]"), ROWS(INDIRECT(B50 &amp; "[FGAop]")) )</f>
        <v>65</v>
      </c>
      <c r="AF48">
        <f ca="1">INDEX(INDIRECT(B50 &amp; "[FGpop]"), ROWS(INDIRECT(B50 &amp; "[FGpop]")) )</f>
        <v>0.46150000000000002</v>
      </c>
      <c r="AG48">
        <f ca="1">INDEX(INDIRECT(B50 &amp; "[P2Mop]"), ROWS(INDIRECT(B50 &amp; "[P2Mop]")) )</f>
        <v>19</v>
      </c>
      <c r="AH48">
        <f ca="1">INDEX(INDIRECT(B50 &amp; "[P2Aop]"), ROWS(INDIRECT(B50 &amp; "[P2Aop]")) )</f>
        <v>34</v>
      </c>
      <c r="AI48">
        <f ca="1">INDEX(INDIRECT(B50 &amp; "[P2pop]"), ROWS(INDIRECT(B50 &amp; "[P2pop]")) )</f>
        <v>0.55879999999999996</v>
      </c>
      <c r="AJ48">
        <f ca="1">INDEX(INDIRECT(B50 &amp; "[P3Mop]"), ROWS(INDIRECT(B50 &amp; "[P3Mop]")) )</f>
        <v>11</v>
      </c>
      <c r="AK48">
        <f ca="1">INDEX(INDIRECT(B50 &amp; "[P3Aop]"), ROWS(INDIRECT(B50 &amp; "[P3Aop]")) )</f>
        <v>31</v>
      </c>
      <c r="AL48">
        <f ca="1">INDEX(INDIRECT(B50 &amp; "[P3pop]"), ROWS(INDIRECT(B50 &amp; "[P3pop]")) )</f>
        <v>0.3548</v>
      </c>
      <c r="AM48">
        <f ca="1">INDEX(INDIRECT(B50 &amp; "[FTMop]"), ROWS(INDIRECT(B50 &amp; "[FTMop]")) )</f>
        <v>18</v>
      </c>
      <c r="AN48">
        <f ca="1">INDEX(INDIRECT(B50 &amp; "[FTAop]"), ROWS(INDIRECT(B50 &amp; "[FTAop]")) )</f>
        <v>22</v>
      </c>
      <c r="AO48">
        <f ca="1">INDEX(INDIRECT(B50 &amp; "[FTpop]"), ROWS(INDIRECT(B50 &amp; "[FTpop]")) )</f>
        <v>0.81820000000000004</v>
      </c>
      <c r="AP48">
        <f ca="1">INDEX(INDIRECT(B50 &amp; "[ORBop]"), ROWS(INDIRECT(B50 &amp; "[ORBop]")) )</f>
        <v>16</v>
      </c>
      <c r="AQ48">
        <f ca="1">INDEX(INDIRECT(B50 &amp; "[DRBop]"), ROWS(INDIRECT(B50 &amp; "[DRBop]")) )</f>
        <v>11</v>
      </c>
      <c r="AR48">
        <f ca="1">INDEX(INDIRECT(B50 &amp; "[TRBop]"), ROWS(INDIRECT(B50 &amp; "[TRBop]")) )</f>
        <v>27</v>
      </c>
      <c r="AS48">
        <f ca="1">INDEX(INDIRECT(B50 &amp; "[ASTop]"), ROWS(INDIRECT(B50 &amp; "[ASTop]")) )</f>
        <v>21</v>
      </c>
      <c r="AT48">
        <f ca="1">INDEX(INDIRECT(B50 &amp; "[STLop]"), ROWS(INDIRECT(B50 &amp; "[STLop]")) )</f>
        <v>0</v>
      </c>
      <c r="AU48">
        <f ca="1">INDEX(INDIRECT(B50 &amp; "[BLKop]"), ROWS(INDIRECT(B50 &amp; "[BLKop]")) )</f>
        <v>13</v>
      </c>
      <c r="AV48">
        <f ca="1">INDEX(INDIRECT(B50 &amp; "[TOVop]"), ROWS(INDIRECT(B50 &amp; "[TOVop]")) )</f>
        <v>7</v>
      </c>
      <c r="AW48">
        <f ca="1">INDEX(INDIRECT(B50 &amp; "[PFop]"), ROWS(INDIRECT(B50 &amp; "[PFop]")) )</f>
        <v>27</v>
      </c>
      <c r="AX48">
        <f ca="1">INDEX(INDIRECT(B50 &amp; "[TS%]"), ROWS(INDIRECT(B50 &amp; "[TS%]")) )</f>
        <v>0.67030000000000001</v>
      </c>
      <c r="AY48">
        <f ca="1">INDEX(INDIRECT(B50 &amp; "[eFG%]"), ROWS(INDIRECT(B50 &amp; "[eFG%]")) )</f>
        <v>0.61609999999999998</v>
      </c>
      <c r="AZ48">
        <f ca="1">INDEX(INDIRECT(B50 &amp; "[ORB%]"), ROWS(INDIRECT(B50 &amp; "[ORB%]")) )</f>
        <v>0.56000000000000005</v>
      </c>
      <c r="BA48">
        <f ca="1">INDEX(INDIRECT(B50 &amp; "[DRB%]"), ROWS(INDIRECT(B50 &amp; "[DRB%]")) )</f>
        <v>0.54290000000000005</v>
      </c>
      <c r="BB48">
        <f ca="1">INDEX(INDIRECT(B50 &amp; "[TRB%]"), ROWS(INDIRECT(B50 &amp; "[TRB%]")) )</f>
        <v>0.55000000000000004</v>
      </c>
      <c r="BC48">
        <f ca="1">INDEX(INDIRECT(B50 &amp; "[Poss]"), ROWS(INDIRECT(B50 &amp; "[Poss]")) )</f>
        <v>59.997999999999998</v>
      </c>
      <c r="BD48">
        <f ca="1">INDEX(INDIRECT(B50 &amp; "[AST%]"), ROWS(INDIRECT(B50 &amp; "[AST%]")) )</f>
        <v>0.5333</v>
      </c>
      <c r="BE48">
        <f ca="1">INDEX(INDIRECT(B50 &amp; "[FTFGA%]"), ROWS(INDIRECT(B50 &amp; "[FTFGA%]")) )</f>
        <v>0.39290000000000003</v>
      </c>
      <c r="BF48">
        <f ca="1">INDEX(INDIRECT(B50 &amp; "[TOV%]"), ROWS(INDIRECT(B50 &amp; "[TOV%]")) )</f>
        <v>6.8599999999999994E-2</v>
      </c>
      <c r="BG48">
        <f ca="1">INDEX(INDIRECT(B50 &amp; "[ORtg]"), ROWS(INDIRECT(B50 &amp; "[ORtg]")) )</f>
        <v>153.5</v>
      </c>
      <c r="BH48">
        <f ca="1">INDEX(INDIRECT(B50 &amp; "[DRtg]"), ROWS(INDIRECT(B50 &amp; "[DRtg]")) )</f>
        <v>150.1</v>
      </c>
      <c r="BI48">
        <f ca="1">INDEX(INDIRECT(B50 &amp; "[Pace]"), ROWS(INDIRECT(B50 &amp; "[Pace]")) )</f>
        <v>59.302500000000002</v>
      </c>
      <c r="BJ48">
        <f ca="1">INDEX(INDIRECT(B50 &amp; "[TS%op]"), ROWS(INDIRECT(B50 &amp; "[TS%op]")) )</f>
        <v>0.59589999999999999</v>
      </c>
      <c r="BK48">
        <f ca="1">INDEX(INDIRECT(B50 &amp; "[eFG%op]"), ROWS(INDIRECT(B50 &amp; "[eFG%op]")) )</f>
        <v>0.54620000000000002</v>
      </c>
      <c r="BL48">
        <f ca="1">INDEX(INDIRECT(B50 &amp; "[ORB%op]"), ROWS(INDIRECT(B50 &amp; "[ORB%op]")) )</f>
        <v>0.45710000000000001</v>
      </c>
      <c r="BM48">
        <f ca="1">INDEX(INDIRECT(B50 &amp; "[DRB%op]"), ROWS(INDIRECT(B50 &amp; "[DRB%op]")) )</f>
        <v>0.44</v>
      </c>
      <c r="BN48">
        <f ca="1">INDEX(INDIRECT(B50 &amp; "[TRB%op]"), ROWS(INDIRECT(B50 &amp; "[TRB%op]")) )</f>
        <v>0.45</v>
      </c>
      <c r="BO48">
        <f ca="1">INDEX(INDIRECT(B50 &amp; "[Possop]"), ROWS(INDIRECT(B50 &amp; "[Possop]")) )</f>
        <v>58.606999999999999</v>
      </c>
      <c r="BP48">
        <f ca="1">INDEX(INDIRECT(B50 &amp; "[AST%op]"), ROWS(INDIRECT(B50 &amp; "[AST%op]")) )</f>
        <v>0.7</v>
      </c>
      <c r="BQ48">
        <f ca="1">INDEX(INDIRECT(B50 &amp; "[FTFGA%op]"), ROWS(INDIRECT(B50 &amp; "[FTFGA%op]")) )</f>
        <v>0.27689999999999998</v>
      </c>
      <c r="BR48">
        <f ca="1">INDEX(INDIRECT(B50 &amp; "[TOV%op]"), ROWS(INDIRECT(B50 &amp; "[TOV%op]")) )</f>
        <v>8.5699999999999998E-2</v>
      </c>
      <c r="BS48">
        <f ca="1">INDEX(INDIRECT(B50 &amp; "[ORtgop]"), ROWS(INDIRECT(B50 &amp; "[ORtgop]")) )</f>
        <v>150.1</v>
      </c>
      <c r="BT48">
        <f ca="1">INDEX(INDIRECT(B50 &amp; "[DRtgop]"), ROWS(INDIRECT(B50 &amp; "[DRtgop]")) )</f>
        <v>153.5</v>
      </c>
      <c r="BU48">
        <f ca="1">INDEX(INDIRECT(B50 &amp; "[Q1H]"), ROWS(INDIRECT(B50 &amp; "[Q1H]")) )</f>
        <v>16</v>
      </c>
      <c r="BV48">
        <f ca="1">INDEX(INDIRECT(B50 &amp; "[Q2H]"), ROWS(INDIRECT(B50 &amp; "[Q2H]")) )</f>
        <v>25</v>
      </c>
      <c r="BW48">
        <f ca="1">INDEX(INDIRECT(B50 &amp; "[Q3H]"), ROWS(INDIRECT(B50 &amp; "[Q3H]")) )</f>
        <v>27</v>
      </c>
      <c r="BX48">
        <f ca="1">INDEX(INDIRECT(B50 &amp; "[Q4H]"), ROWS(INDIRECT(B50 &amp; "[Q4H]")) )</f>
        <v>23</v>
      </c>
      <c r="BY48">
        <f ca="1">INDEX(INDIRECT(B50 &amp; "[Q1A]"), ROWS(INDIRECT(B50 &amp; "[Q1A]")) )</f>
        <v>22</v>
      </c>
      <c r="BZ48">
        <f ca="1">INDEX(INDIRECT(B50 &amp; "[Q2A]"), ROWS(INDIRECT(B50 &amp; "[Q2A]")) )</f>
        <v>24</v>
      </c>
      <c r="CA48">
        <f ca="1">INDEX(INDIRECT(B50 &amp; "[Q3A]"), ROWS(INDIRECT(B50 &amp; "[Q3A]")) )</f>
        <v>20</v>
      </c>
      <c r="CB48">
        <f ca="1">INDEX(INDIRECT(B50 &amp; "[Q4A]"), ROWS(INDIRECT(B50 &amp; "[Q4A]")) )</f>
        <v>23</v>
      </c>
      <c r="CC48">
        <f ca="1">INDEX(INDIRECT(B50 &amp; "[FhalfH]"), ROWS(INDIRECT(B50 &amp; "[FhalfH]")) )</f>
        <v>41</v>
      </c>
      <c r="CD48">
        <f ca="1">INDEX(INDIRECT(B50 &amp; "[ShalfH]"), ROWS(INDIRECT(B50 &amp; "[ShalfH]")) )</f>
        <v>50</v>
      </c>
      <c r="CE48">
        <f ca="1">INDEX(INDIRECT(B50 &amp; "[FhalfA]"), ROWS(INDIRECT(B50 &amp; "[FhalfA]")) )</f>
        <v>46</v>
      </c>
      <c r="CF48">
        <f ca="1">INDEX(INDIRECT(B50 &amp; "[ShalfA]"), ROWS(INDIRECT(B50 &amp; "[ShalfA]")) )</f>
        <v>43</v>
      </c>
      <c r="CG48">
        <f ca="1">INDEX(INDIRECT(B50 &amp; "[win]"), ROWS(INDIRECT(B50 &amp; "[win]")) )</f>
        <v>2.2000000000000002</v>
      </c>
      <c r="CH48">
        <f ca="1">INDEX(INDIRECT(B50 &amp; "[lose]"), ROWS(INDIRECT(B50 &amp; "[lose]")) )</f>
        <v>1.71</v>
      </c>
      <c r="CI48">
        <f ca="1">INDEX(INDIRECT(B50 &amp; "[foraH]"), ROWS(INDIRECT(B50 &amp; "[foraH]")) )</f>
        <v>2.5</v>
      </c>
      <c r="CJ48">
        <f ca="1">INDEX(INDIRECT(B50 &amp; "[foraA]"), ROWS(INDIRECT(B50 &amp; "[foraA]")) )</f>
        <v>-2.5</v>
      </c>
      <c r="CK48">
        <f ca="1">INDEX(INDIRECT(B50 &amp; "[total]"), ROWS(INDIRECT(B50 &amp; "[total]")) )</f>
        <v>168.5</v>
      </c>
      <c r="CL48" t="str">
        <f ca="1">INDEX(INDIRECT(B50 &amp; "[link]"), ROWS(INDIRECT(B50 &amp; "[link]")) )</f>
        <v>https://www.flashscore.com/match/basketball/dijon-U1rSU248/le-mans-Qqv37Lsk/?mid=MNQ8TnMG</v>
      </c>
      <c r="CM48" t="str">
        <f ca="1">INDEX(INDIRECT(B50 &amp; "[abbr]"), ROWS(INDIRECT(B50 &amp; "[abbr]")) )</f>
        <v>DIJ</v>
      </c>
      <c r="CN48">
        <f ca="1">last5away[[#This Row],[Q1H]]+last5away[[#This Row],[Q1A]]</f>
        <v>38</v>
      </c>
      <c r="CO48">
        <f ca="1">last5away[[#This Row],[Q2H]]+last5away[[#This Row],[Q2A]]</f>
        <v>49</v>
      </c>
      <c r="CP48">
        <f ca="1">last5away[[#This Row],[Q3H]]+last5away[[#This Row],[Q3A]]</f>
        <v>47</v>
      </c>
      <c r="CQ48">
        <f ca="1">last5away[[#This Row],[Q4H]]+last5away[[#This Row],[Q4A]]</f>
        <v>46</v>
      </c>
      <c r="CR48">
        <f ca="1">last5away[[#This Row],[FhalfH]]+last5away[[#This Row],[FhalfA]]</f>
        <v>87</v>
      </c>
      <c r="CS48">
        <f ca="1">last5away[[#This Row],[ShalfH]]+last5away[[#This Row],[ShalfA]]</f>
        <v>93</v>
      </c>
      <c r="CT48">
        <f ca="1">INDEX(INDIRECT(B50 &amp; "[BetH]"), ROWS(INDIRECT(B50 &amp; "[BetH]")) )</f>
        <v>1.2000000000000002</v>
      </c>
      <c r="CU48">
        <f ca="1">INDEX(INDIRECT(B50 &amp; "[BetA]"), ROWS(INDIRECT(B50 &amp; "[BetA]")) )</f>
        <v>-1</v>
      </c>
      <c r="CV48">
        <f ca="1">INDEX(INDIRECT(B50 &amp; "[Tover]"), ROWS(INDIRECT(B50 &amp; "[Tover]")) )</f>
        <v>1</v>
      </c>
      <c r="CW48">
        <f ca="1">INDEX(INDIRECT(B50 &amp; "[Deviation]"), ROWS(INDIRECT(B50 &amp; "[Deviation]")) )</f>
        <v>12</v>
      </c>
    </row>
    <row r="49" spans="1:101" x14ac:dyDescent="0.25">
      <c r="A49" t="s">
        <v>153</v>
      </c>
      <c r="B49" t="str">
        <f>VLOOKUP($O$1,all[[Team]:[Abbr]],4,FALSE)</f>
        <v>LEM</v>
      </c>
      <c r="C49" t="s">
        <v>146</v>
      </c>
      <c r="D49" s="10" t="s">
        <v>139</v>
      </c>
      <c r="E49" t="s">
        <v>143</v>
      </c>
      <c r="F49" t="s">
        <v>156</v>
      </c>
      <c r="H49" t="e">
        <f ca="1">AVERAGE(H44:H48)</f>
        <v>#VALUE!</v>
      </c>
      <c r="I49" t="e">
        <f t="shared" ref="I49:BT49" ca="1" si="4">AVERAGE(I44:I48)</f>
        <v>#VALUE!</v>
      </c>
      <c r="J49" t="e">
        <f t="shared" ca="1" si="4"/>
        <v>#VALUE!</v>
      </c>
      <c r="K49" t="e">
        <f t="shared" ca="1" si="4"/>
        <v>#VALUE!</v>
      </c>
      <c r="L49" t="e">
        <f t="shared" ca="1" si="4"/>
        <v>#VALUE!</v>
      </c>
      <c r="M49" t="e">
        <f t="shared" ca="1" si="4"/>
        <v>#VALUE!</v>
      </c>
      <c r="N49" t="e">
        <f t="shared" ca="1" si="4"/>
        <v>#VALUE!</v>
      </c>
      <c r="O49" t="e">
        <f t="shared" ca="1" si="4"/>
        <v>#VALUE!</v>
      </c>
      <c r="P49" t="e">
        <f t="shared" ca="1" si="4"/>
        <v>#VALUE!</v>
      </c>
      <c r="Q49" t="e">
        <f t="shared" ca="1" si="4"/>
        <v>#VALUE!</v>
      </c>
      <c r="R49" t="e">
        <f t="shared" ca="1" si="4"/>
        <v>#VALUE!</v>
      </c>
      <c r="S49" t="e">
        <f t="shared" ca="1" si="4"/>
        <v>#VALUE!</v>
      </c>
      <c r="T49" t="e">
        <f t="shared" ca="1" si="4"/>
        <v>#VALUE!</v>
      </c>
      <c r="U49" t="e">
        <f t="shared" ca="1" si="4"/>
        <v>#VALUE!</v>
      </c>
      <c r="V49" t="e">
        <f t="shared" ca="1" si="4"/>
        <v>#VALUE!</v>
      </c>
      <c r="W49" t="e">
        <f t="shared" ca="1" si="4"/>
        <v>#VALUE!</v>
      </c>
      <c r="X49" t="e">
        <f t="shared" ca="1" si="4"/>
        <v>#VALUE!</v>
      </c>
      <c r="Y49" t="e">
        <f t="shared" ca="1" si="4"/>
        <v>#VALUE!</v>
      </c>
      <c r="Z49" t="e">
        <f t="shared" ca="1" si="4"/>
        <v>#VALUE!</v>
      </c>
      <c r="AA49" t="e">
        <f t="shared" ca="1" si="4"/>
        <v>#VALUE!</v>
      </c>
      <c r="AB49" t="e">
        <f t="shared" ca="1" si="4"/>
        <v>#VALUE!</v>
      </c>
      <c r="AC49" t="e">
        <f t="shared" ca="1" si="4"/>
        <v>#VALUE!</v>
      </c>
      <c r="AD49" t="e">
        <f t="shared" ca="1" si="4"/>
        <v>#VALUE!</v>
      </c>
      <c r="AE49" t="e">
        <f t="shared" ca="1" si="4"/>
        <v>#VALUE!</v>
      </c>
      <c r="AF49" t="e">
        <f t="shared" ca="1" si="4"/>
        <v>#VALUE!</v>
      </c>
      <c r="AG49" t="e">
        <f t="shared" ca="1" si="4"/>
        <v>#VALUE!</v>
      </c>
      <c r="AH49" t="e">
        <f t="shared" ca="1" si="4"/>
        <v>#VALUE!</v>
      </c>
      <c r="AI49" t="e">
        <f t="shared" ca="1" si="4"/>
        <v>#VALUE!</v>
      </c>
      <c r="AJ49" t="e">
        <f t="shared" ca="1" si="4"/>
        <v>#VALUE!</v>
      </c>
      <c r="AK49" t="e">
        <f t="shared" ca="1" si="4"/>
        <v>#VALUE!</v>
      </c>
      <c r="AL49" t="e">
        <f t="shared" ca="1" si="4"/>
        <v>#VALUE!</v>
      </c>
      <c r="AM49" t="e">
        <f t="shared" ca="1" si="4"/>
        <v>#VALUE!</v>
      </c>
      <c r="AN49" t="e">
        <f t="shared" ca="1" si="4"/>
        <v>#VALUE!</v>
      </c>
      <c r="AO49" t="e">
        <f t="shared" ca="1" si="4"/>
        <v>#VALUE!</v>
      </c>
      <c r="AP49" t="e">
        <f t="shared" ca="1" si="4"/>
        <v>#VALUE!</v>
      </c>
      <c r="AQ49" t="e">
        <f t="shared" ca="1" si="4"/>
        <v>#VALUE!</v>
      </c>
      <c r="AR49" t="e">
        <f t="shared" ca="1" si="4"/>
        <v>#VALUE!</v>
      </c>
      <c r="AS49" t="e">
        <f t="shared" ca="1" si="4"/>
        <v>#VALUE!</v>
      </c>
      <c r="AT49" t="e">
        <f t="shared" ca="1" si="4"/>
        <v>#VALUE!</v>
      </c>
      <c r="AU49" t="e">
        <f t="shared" ca="1" si="4"/>
        <v>#VALUE!</v>
      </c>
      <c r="AV49" t="e">
        <f t="shared" ca="1" si="4"/>
        <v>#VALUE!</v>
      </c>
      <c r="AW49" t="e">
        <f t="shared" ca="1" si="4"/>
        <v>#VALUE!</v>
      </c>
      <c r="AX49" t="e">
        <f t="shared" ca="1" si="4"/>
        <v>#VALUE!</v>
      </c>
      <c r="AY49" t="e">
        <f t="shared" ca="1" si="4"/>
        <v>#VALUE!</v>
      </c>
      <c r="AZ49" t="e">
        <f t="shared" ca="1" si="4"/>
        <v>#VALUE!</v>
      </c>
      <c r="BA49" t="e">
        <f t="shared" ca="1" si="4"/>
        <v>#VALUE!</v>
      </c>
      <c r="BB49" t="e">
        <f t="shared" ca="1" si="4"/>
        <v>#VALUE!</v>
      </c>
      <c r="BC49" t="e">
        <f t="shared" ca="1" si="4"/>
        <v>#VALUE!</v>
      </c>
      <c r="BD49" t="e">
        <f t="shared" ca="1" si="4"/>
        <v>#VALUE!</v>
      </c>
      <c r="BE49" t="e">
        <f t="shared" ca="1" si="4"/>
        <v>#VALUE!</v>
      </c>
      <c r="BF49" t="e">
        <f t="shared" ca="1" si="4"/>
        <v>#VALUE!</v>
      </c>
      <c r="BG49" t="e">
        <f t="shared" ca="1" si="4"/>
        <v>#VALUE!</v>
      </c>
      <c r="BH49" t="e">
        <f t="shared" ca="1" si="4"/>
        <v>#VALUE!</v>
      </c>
      <c r="BI49" t="e">
        <f t="shared" ca="1" si="4"/>
        <v>#VALUE!</v>
      </c>
      <c r="BJ49" t="e">
        <f t="shared" ca="1" si="4"/>
        <v>#VALUE!</v>
      </c>
      <c r="BK49" t="e">
        <f t="shared" ca="1" si="4"/>
        <v>#VALUE!</v>
      </c>
      <c r="BL49" t="e">
        <f t="shared" ca="1" si="4"/>
        <v>#VALUE!</v>
      </c>
      <c r="BM49" t="e">
        <f t="shared" ca="1" si="4"/>
        <v>#VALUE!</v>
      </c>
      <c r="BN49" t="e">
        <f t="shared" ca="1" si="4"/>
        <v>#VALUE!</v>
      </c>
      <c r="BO49" t="e">
        <f t="shared" ca="1" si="4"/>
        <v>#VALUE!</v>
      </c>
      <c r="BP49" t="e">
        <f t="shared" ca="1" si="4"/>
        <v>#VALUE!</v>
      </c>
      <c r="BQ49" t="e">
        <f t="shared" ca="1" si="4"/>
        <v>#VALUE!</v>
      </c>
      <c r="BR49" t="e">
        <f t="shared" ca="1" si="4"/>
        <v>#VALUE!</v>
      </c>
      <c r="BS49" t="e">
        <f t="shared" ca="1" si="4"/>
        <v>#VALUE!</v>
      </c>
      <c r="BT49" t="e">
        <f t="shared" ca="1" si="4"/>
        <v>#VALUE!</v>
      </c>
      <c r="BU49" t="e">
        <f t="shared" ref="BU49:CH49" ca="1" si="5">AVERAGE(BU44:BU48)</f>
        <v>#VALUE!</v>
      </c>
      <c r="BV49" t="e">
        <f t="shared" ca="1" si="5"/>
        <v>#VALUE!</v>
      </c>
      <c r="BW49" t="e">
        <f t="shared" ca="1" si="5"/>
        <v>#VALUE!</v>
      </c>
      <c r="BX49" t="e">
        <f t="shared" ca="1" si="5"/>
        <v>#VALUE!</v>
      </c>
      <c r="BY49" t="e">
        <f t="shared" ca="1" si="5"/>
        <v>#VALUE!</v>
      </c>
      <c r="BZ49" t="e">
        <f t="shared" ca="1" si="5"/>
        <v>#VALUE!</v>
      </c>
      <c r="CA49" t="e">
        <f t="shared" ca="1" si="5"/>
        <v>#VALUE!</v>
      </c>
      <c r="CB49" t="e">
        <f t="shared" ca="1" si="5"/>
        <v>#VALUE!</v>
      </c>
      <c r="CC49" t="e">
        <f t="shared" ca="1" si="5"/>
        <v>#VALUE!</v>
      </c>
      <c r="CD49" t="e">
        <f t="shared" ca="1" si="5"/>
        <v>#VALUE!</v>
      </c>
      <c r="CE49" t="e">
        <f t="shared" ca="1" si="5"/>
        <v>#VALUE!</v>
      </c>
      <c r="CF49" t="e">
        <f t="shared" ca="1" si="5"/>
        <v>#VALUE!</v>
      </c>
      <c r="CG49" t="e">
        <f t="shared" ca="1" si="5"/>
        <v>#VALUE!</v>
      </c>
      <c r="CH49" t="e">
        <f t="shared" ca="1" si="5"/>
        <v>#VALUE!</v>
      </c>
      <c r="CK49" t="e">
        <f t="shared" ref="CK49" ca="1" si="6">AVERAGE(CK44:CK48)</f>
        <v>#VALUE!</v>
      </c>
      <c r="CN49" t="e">
        <f ca="1">last5away[[#This Row],[Q1H]]+last5away[[#This Row],[Q1A]]</f>
        <v>#VALUE!</v>
      </c>
      <c r="CO49" t="e">
        <f ca="1">last5away[[#This Row],[Q2H]]+last5away[[#This Row],[Q2A]]</f>
        <v>#VALUE!</v>
      </c>
      <c r="CP49" t="e">
        <f ca="1">last5away[[#This Row],[Q3H]]+last5away[[#This Row],[Q3A]]</f>
        <v>#VALUE!</v>
      </c>
      <c r="CQ49" t="e">
        <f ca="1">last5away[[#This Row],[Q4H]]+last5away[[#This Row],[Q4A]]</f>
        <v>#VALUE!</v>
      </c>
      <c r="CR49" t="e">
        <f ca="1">last5away[[#This Row],[FhalfH]]+last5away[[#This Row],[FhalfA]]</f>
        <v>#VALUE!</v>
      </c>
      <c r="CS49" t="e">
        <f ca="1">last5away[[#This Row],[ShalfH]]+last5away[[#This Row],[ShalfA]]</f>
        <v>#VALUE!</v>
      </c>
      <c r="CT49" t="e">
        <f ca="1">SUM(CT44:CT48)</f>
        <v>#VALUE!</v>
      </c>
      <c r="CU49" t="e">
        <f t="shared" ref="CU49:CV49" ca="1" si="7">SUM(CU44:CU48)</f>
        <v>#VALUE!</v>
      </c>
      <c r="CV49" t="e">
        <f t="shared" ca="1" si="7"/>
        <v>#VALUE!</v>
      </c>
      <c r="CW49" t="e">
        <f ca="1">AVERAGE(CW44:CW48)</f>
        <v>#VALUE!</v>
      </c>
    </row>
    <row r="50" spans="1:101" x14ac:dyDescent="0.25">
      <c r="A50" t="s">
        <v>154</v>
      </c>
      <c r="B50" s="21" t="str">
        <f>VLOOKUP($O$1,all[[Team]:[Table name]],3,FALSE)</f>
        <v>leman</v>
      </c>
      <c r="C50" t="str">
        <f ca="1">INDIRECT(last5away[[#This Row],[Home_team]]&amp;"!B1")</f>
        <v>east</v>
      </c>
      <c r="D50" s="10"/>
      <c r="H50" t="e">
        <f ca="1">AVERAGE(LARGE(H44:H48,4),LARGE(H44:H48,3),LARGE(H44:H48,2))</f>
        <v>#VALUE!</v>
      </c>
      <c r="I50" t="e">
        <f t="shared" ref="I50:BT50" ca="1" si="8">AVERAGE(LARGE(I44:I48,4),LARGE(I44:I48,3),LARGE(I44:I48,2))</f>
        <v>#VALUE!</v>
      </c>
      <c r="J50" t="e">
        <f t="shared" ca="1" si="8"/>
        <v>#VALUE!</v>
      </c>
      <c r="K50" t="e">
        <f t="shared" ca="1" si="8"/>
        <v>#VALUE!</v>
      </c>
      <c r="L50" t="e">
        <f t="shared" ca="1" si="8"/>
        <v>#VALUE!</v>
      </c>
      <c r="M50" t="e">
        <f t="shared" ca="1" si="8"/>
        <v>#VALUE!</v>
      </c>
      <c r="N50" t="e">
        <f t="shared" ca="1" si="8"/>
        <v>#VALUE!</v>
      </c>
      <c r="O50" t="e">
        <f t="shared" ca="1" si="8"/>
        <v>#VALUE!</v>
      </c>
      <c r="P50" t="e">
        <f t="shared" ca="1" si="8"/>
        <v>#VALUE!</v>
      </c>
      <c r="Q50" t="e">
        <f t="shared" ca="1" si="8"/>
        <v>#VALUE!</v>
      </c>
      <c r="R50" t="e">
        <f t="shared" ca="1" si="8"/>
        <v>#VALUE!</v>
      </c>
      <c r="S50" t="e">
        <f t="shared" ca="1" si="8"/>
        <v>#VALUE!</v>
      </c>
      <c r="T50" t="e">
        <f t="shared" ca="1" si="8"/>
        <v>#VALUE!</v>
      </c>
      <c r="U50" t="e">
        <f t="shared" ca="1" si="8"/>
        <v>#VALUE!</v>
      </c>
      <c r="V50" t="e">
        <f t="shared" ca="1" si="8"/>
        <v>#VALUE!</v>
      </c>
      <c r="W50" t="e">
        <f t="shared" ca="1" si="8"/>
        <v>#VALUE!</v>
      </c>
      <c r="X50" t="e">
        <f t="shared" ca="1" si="8"/>
        <v>#VALUE!</v>
      </c>
      <c r="Y50" t="e">
        <f t="shared" ca="1" si="8"/>
        <v>#VALUE!</v>
      </c>
      <c r="Z50" t="e">
        <f t="shared" ca="1" si="8"/>
        <v>#VALUE!</v>
      </c>
      <c r="AA50" t="e">
        <f t="shared" ca="1" si="8"/>
        <v>#VALUE!</v>
      </c>
      <c r="AB50" t="e">
        <f t="shared" ca="1" si="8"/>
        <v>#VALUE!</v>
      </c>
      <c r="AC50" t="e">
        <f t="shared" ca="1" si="8"/>
        <v>#VALUE!</v>
      </c>
      <c r="AD50" t="e">
        <f t="shared" ca="1" si="8"/>
        <v>#VALUE!</v>
      </c>
      <c r="AE50" t="e">
        <f t="shared" ca="1" si="8"/>
        <v>#VALUE!</v>
      </c>
      <c r="AF50" t="e">
        <f t="shared" ca="1" si="8"/>
        <v>#VALUE!</v>
      </c>
      <c r="AG50" t="e">
        <f t="shared" ca="1" si="8"/>
        <v>#VALUE!</v>
      </c>
      <c r="AH50" t="e">
        <f t="shared" ca="1" si="8"/>
        <v>#VALUE!</v>
      </c>
      <c r="AI50" t="e">
        <f t="shared" ca="1" si="8"/>
        <v>#VALUE!</v>
      </c>
      <c r="AJ50" t="e">
        <f t="shared" ca="1" si="8"/>
        <v>#VALUE!</v>
      </c>
      <c r="AK50" t="e">
        <f t="shared" ca="1" si="8"/>
        <v>#VALUE!</v>
      </c>
      <c r="AL50" t="e">
        <f t="shared" ca="1" si="8"/>
        <v>#VALUE!</v>
      </c>
      <c r="AM50" t="e">
        <f t="shared" ca="1" si="8"/>
        <v>#VALUE!</v>
      </c>
      <c r="AN50" t="e">
        <f t="shared" ca="1" si="8"/>
        <v>#VALUE!</v>
      </c>
      <c r="AO50" t="e">
        <f t="shared" ca="1" si="8"/>
        <v>#VALUE!</v>
      </c>
      <c r="AP50" t="e">
        <f t="shared" ca="1" si="8"/>
        <v>#VALUE!</v>
      </c>
      <c r="AQ50" t="e">
        <f t="shared" ca="1" si="8"/>
        <v>#VALUE!</v>
      </c>
      <c r="AR50" t="e">
        <f t="shared" ca="1" si="8"/>
        <v>#VALUE!</v>
      </c>
      <c r="AS50" t="e">
        <f t="shared" ca="1" si="8"/>
        <v>#VALUE!</v>
      </c>
      <c r="AT50" t="e">
        <f t="shared" ca="1" si="8"/>
        <v>#VALUE!</v>
      </c>
      <c r="AU50" t="e">
        <f t="shared" ca="1" si="8"/>
        <v>#VALUE!</v>
      </c>
      <c r="AV50" t="e">
        <f t="shared" ca="1" si="8"/>
        <v>#VALUE!</v>
      </c>
      <c r="AW50" t="e">
        <f t="shared" ca="1" si="8"/>
        <v>#VALUE!</v>
      </c>
      <c r="AX50" t="e">
        <f t="shared" ca="1" si="8"/>
        <v>#VALUE!</v>
      </c>
      <c r="AY50" t="e">
        <f t="shared" ca="1" si="8"/>
        <v>#VALUE!</v>
      </c>
      <c r="AZ50" t="e">
        <f t="shared" ca="1" si="8"/>
        <v>#VALUE!</v>
      </c>
      <c r="BA50" t="e">
        <f t="shared" ca="1" si="8"/>
        <v>#VALUE!</v>
      </c>
      <c r="BB50" t="e">
        <f t="shared" ca="1" si="8"/>
        <v>#VALUE!</v>
      </c>
      <c r="BC50" t="e">
        <f t="shared" ca="1" si="8"/>
        <v>#VALUE!</v>
      </c>
      <c r="BD50" t="e">
        <f t="shared" ca="1" si="8"/>
        <v>#VALUE!</v>
      </c>
      <c r="BE50" t="e">
        <f t="shared" ca="1" si="8"/>
        <v>#VALUE!</v>
      </c>
      <c r="BF50" t="e">
        <f t="shared" ca="1" si="8"/>
        <v>#VALUE!</v>
      </c>
      <c r="BG50" t="e">
        <f t="shared" ca="1" si="8"/>
        <v>#VALUE!</v>
      </c>
      <c r="BH50" t="e">
        <f t="shared" ca="1" si="8"/>
        <v>#VALUE!</v>
      </c>
      <c r="BI50" t="e">
        <f t="shared" ca="1" si="8"/>
        <v>#VALUE!</v>
      </c>
      <c r="BJ50" t="e">
        <f t="shared" ca="1" si="8"/>
        <v>#VALUE!</v>
      </c>
      <c r="BK50" t="e">
        <f t="shared" ca="1" si="8"/>
        <v>#VALUE!</v>
      </c>
      <c r="BL50" t="e">
        <f t="shared" ca="1" si="8"/>
        <v>#VALUE!</v>
      </c>
      <c r="BM50" t="e">
        <f t="shared" ca="1" si="8"/>
        <v>#VALUE!</v>
      </c>
      <c r="BN50" t="e">
        <f t="shared" ca="1" si="8"/>
        <v>#VALUE!</v>
      </c>
      <c r="BO50" t="e">
        <f t="shared" ca="1" si="8"/>
        <v>#VALUE!</v>
      </c>
      <c r="BP50" t="e">
        <f t="shared" ca="1" si="8"/>
        <v>#VALUE!</v>
      </c>
      <c r="BQ50" t="e">
        <f t="shared" ca="1" si="8"/>
        <v>#VALUE!</v>
      </c>
      <c r="BR50" t="e">
        <f t="shared" ca="1" si="8"/>
        <v>#VALUE!</v>
      </c>
      <c r="BS50" t="e">
        <f t="shared" ca="1" si="8"/>
        <v>#VALUE!</v>
      </c>
      <c r="BT50" t="e">
        <f t="shared" ca="1" si="8"/>
        <v>#VALUE!</v>
      </c>
      <c r="BU50" t="e">
        <f t="shared" ref="BU50:CK50" ca="1" si="9">AVERAGE(LARGE(BU44:BU48,4),LARGE(BU44:BU48,3),LARGE(BU44:BU48,2))</f>
        <v>#VALUE!</v>
      </c>
      <c r="BV50" t="e">
        <f t="shared" ca="1" si="9"/>
        <v>#VALUE!</v>
      </c>
      <c r="BW50" t="e">
        <f t="shared" ca="1" si="9"/>
        <v>#VALUE!</v>
      </c>
      <c r="BX50" t="e">
        <f t="shared" ca="1" si="9"/>
        <v>#VALUE!</v>
      </c>
      <c r="BY50" t="e">
        <f t="shared" ca="1" si="9"/>
        <v>#VALUE!</v>
      </c>
      <c r="BZ50" t="e">
        <f t="shared" ca="1" si="9"/>
        <v>#VALUE!</v>
      </c>
      <c r="CA50" t="e">
        <f t="shared" ca="1" si="9"/>
        <v>#VALUE!</v>
      </c>
      <c r="CB50" t="e">
        <f t="shared" ca="1" si="9"/>
        <v>#VALUE!</v>
      </c>
      <c r="CC50" t="e">
        <f t="shared" ca="1" si="9"/>
        <v>#VALUE!</v>
      </c>
      <c r="CD50" t="e">
        <f t="shared" ca="1" si="9"/>
        <v>#VALUE!</v>
      </c>
      <c r="CE50" t="e">
        <f t="shared" ca="1" si="9"/>
        <v>#VALUE!</v>
      </c>
      <c r="CF50" t="e">
        <f t="shared" ca="1" si="9"/>
        <v>#VALUE!</v>
      </c>
      <c r="CG50" t="e">
        <f t="shared" ca="1" si="9"/>
        <v>#VALUE!</v>
      </c>
      <c r="CH50" t="e">
        <f t="shared" ca="1" si="9"/>
        <v>#VALUE!</v>
      </c>
      <c r="CK50" t="e">
        <f t="shared" ca="1" si="9"/>
        <v>#VALUE!</v>
      </c>
      <c r="CN50" t="e">
        <f ca="1">last5away[[#This Row],[Q1H]]+last5away[[#This Row],[Q1A]]</f>
        <v>#VALUE!</v>
      </c>
      <c r="CO50" t="e">
        <f ca="1">last5away[[#This Row],[Q2H]]+last5away[[#This Row],[Q2A]]</f>
        <v>#VALUE!</v>
      </c>
      <c r="CP50" t="e">
        <f ca="1">last5away[[#This Row],[Q3H]]+last5away[[#This Row],[Q3A]]</f>
        <v>#VALUE!</v>
      </c>
      <c r="CQ50" t="e">
        <f ca="1">last5away[[#This Row],[Q4H]]+last5away[[#This Row],[Q4A]]</f>
        <v>#VALUE!</v>
      </c>
      <c r="CR50" t="e">
        <f ca="1">last5away[[#This Row],[FhalfH]]+last5away[[#This Row],[FhalfA]]</f>
        <v>#VALUE!</v>
      </c>
      <c r="CS50" t="e">
        <f ca="1">last5away[[#This Row],[ShalfH]]+last5away[[#This Row],[ShalfA]]</f>
        <v>#VALUE!</v>
      </c>
      <c r="CT50" t="e">
        <f t="shared" ref="CT50:CW50" ca="1" si="10">AVERAGE(LARGE(CT44:CT48,4),LARGE(CT44:CT48,3),LARGE(CT44:CT48,2))</f>
        <v>#VALUE!</v>
      </c>
      <c r="CU50" t="e">
        <f t="shared" ca="1" si="10"/>
        <v>#VALUE!</v>
      </c>
      <c r="CV50" t="e">
        <f t="shared" ca="1" si="10"/>
        <v>#VALUE!</v>
      </c>
      <c r="CW50" t="e">
        <f t="shared" ca="1" si="10"/>
        <v>#VALUE!</v>
      </c>
    </row>
    <row r="51" spans="1:101" x14ac:dyDescent="0.25">
      <c r="A51" t="s">
        <v>155</v>
      </c>
      <c r="B51">
        <f ca="1">COUNTIF(INDIRECT(B50&amp;"[Result]"),"W")+COUNTIF(INDIRECT(B50&amp;"[Result]"),"DW")</f>
        <v>1</v>
      </c>
      <c r="C51">
        <f ca="1">COUNTIF(INDIRECT(B50&amp;"[Result]"),"DW")</f>
        <v>0</v>
      </c>
      <c r="D51">
        <f ca="1">COUNTIF(INDIRECT(B50&amp;"[Result]"),"L")+COUNTIF(INDIRECT(B50&amp;"[Result]"),"DL")</f>
        <v>0</v>
      </c>
      <c r="E51">
        <f ca="1">COUNTIF(INDIRECT(B50&amp;"[Result]"),"DL")</f>
        <v>0</v>
      </c>
      <c r="F51">
        <f ca="1">COUNTA(INDIRECT(B50&amp;"[result]"))</f>
        <v>1</v>
      </c>
      <c r="H51">
        <f ca="1">AVERAGE(INDIRECT(B50&amp;"[Home_scored]"))</f>
        <v>91</v>
      </c>
      <c r="I51">
        <f ca="1">AVERAGE(INDIRECT(B50&amp;"[Away_scored]"))</f>
        <v>89</v>
      </c>
      <c r="J51">
        <f ca="1">AVERAGE(INDIRECT(B50&amp;"[FGM]"))</f>
        <v>30</v>
      </c>
      <c r="K51">
        <f ca="1">AVERAGE(INDIRECT(B50&amp;"[FGA]"))</f>
        <v>56</v>
      </c>
      <c r="L51">
        <f ca="1">AVERAGE(INDIRECT(B50&amp;"[FGp]"))</f>
        <v>0.53569999999999995</v>
      </c>
      <c r="M51">
        <f ca="1">AVERAGE(INDIRECT(B50&amp;"[p2m]"))</f>
        <v>21</v>
      </c>
      <c r="N51">
        <f ca="1">AVERAGE(INDIRECT(B50&amp;"[p2a]"))</f>
        <v>32</v>
      </c>
      <c r="O51">
        <f ca="1">AVERAGE(INDIRECT(B50&amp;"[p2p]"))</f>
        <v>0.65629999999999999</v>
      </c>
      <c r="P51">
        <f ca="1">AVERAGE(INDIRECT(B50&amp;"[p3m]"))</f>
        <v>9</v>
      </c>
      <c r="Q51">
        <f ca="1">AVERAGE(INDIRECT(B50&amp;"[p3a]"))</f>
        <v>24</v>
      </c>
      <c r="R51">
        <f ca="1">AVERAGE(INDIRECT(B50&amp;"[p3p]"))</f>
        <v>0.375</v>
      </c>
      <c r="S51">
        <f ca="1">AVERAGE(INDIRECT(B50&amp;"[ftm]"))</f>
        <v>22</v>
      </c>
      <c r="T51">
        <f ca="1">AVERAGE(INDIRECT(B50&amp;"[fta]"))</f>
        <v>27</v>
      </c>
      <c r="U51">
        <f ca="1">AVERAGE(INDIRECT(B50&amp;"[ftp]"))</f>
        <v>0.81479999999999997</v>
      </c>
      <c r="V51">
        <f ca="1">AVERAGE(INDIRECT(B50&amp;"[orb]"))</f>
        <v>14</v>
      </c>
      <c r="W51">
        <f ca="1">AVERAGE(INDIRECT(B50&amp;"[drb]"))</f>
        <v>19</v>
      </c>
      <c r="X51">
        <f ca="1">AVERAGE(INDIRECT(B50&amp;"[trb]"))</f>
        <v>33</v>
      </c>
      <c r="Y51">
        <f ca="1">AVERAGE(INDIRECT(B50&amp;"[ast]"))</f>
        <v>16</v>
      </c>
      <c r="Z51">
        <f ca="1">AVERAGE(INDIRECT(B50&amp;"[stl]"))</f>
        <v>5</v>
      </c>
      <c r="AA51">
        <f ca="1">AVERAGE(INDIRECT(B50&amp;"[blk]"))</f>
        <v>18</v>
      </c>
      <c r="AB51">
        <f ca="1">AVERAGE(INDIRECT(B50&amp;"[tov]"))</f>
        <v>5</v>
      </c>
      <c r="AC51">
        <f ca="1">AVERAGE(INDIRECT(B50&amp;"[pf]"))</f>
        <v>17</v>
      </c>
      <c r="AD51">
        <f ca="1">AVERAGE(INDIRECT(B50&amp;"[fgmop]"))</f>
        <v>30</v>
      </c>
      <c r="AE51">
        <f ca="1">AVERAGE(INDIRECT(B50&amp;"[fgaop]"))</f>
        <v>65</v>
      </c>
      <c r="AF51">
        <f ca="1">AVERAGE(INDIRECT(B50&amp;"[fgpop]"))</f>
        <v>0.46150000000000002</v>
      </c>
      <c r="AG51">
        <f ca="1">AVERAGE(INDIRECT(B50&amp;"[p2mop]"))</f>
        <v>19</v>
      </c>
      <c r="AH51">
        <f ca="1">AVERAGE(INDIRECT(B50&amp;"[p2aop]"))</f>
        <v>34</v>
      </c>
      <c r="AI51">
        <f ca="1">AVERAGE(INDIRECT(B50&amp;"[p2pop]"))</f>
        <v>0.55879999999999996</v>
      </c>
      <c r="AJ51">
        <f ca="1">AVERAGE(INDIRECT(B50&amp;"[p3mop]"))</f>
        <v>11</v>
      </c>
      <c r="AK51">
        <f ca="1">AVERAGE(INDIRECT(B50&amp;"[p3aop]"))</f>
        <v>31</v>
      </c>
      <c r="AL51">
        <f ca="1">AVERAGE(INDIRECT(B50&amp;"[p3pop]"))</f>
        <v>0.3548</v>
      </c>
      <c r="AM51">
        <f ca="1">AVERAGE(INDIRECT(B50&amp;"[ftmop]"))</f>
        <v>18</v>
      </c>
      <c r="AN51">
        <f ca="1">AVERAGE(INDIRECT(B50&amp;"[ftaop]"))</f>
        <v>22</v>
      </c>
      <c r="AO51">
        <f ca="1">AVERAGE(INDIRECT(B50&amp;"[ftpop]"))</f>
        <v>0.81820000000000004</v>
      </c>
      <c r="AP51">
        <f ca="1">AVERAGE(INDIRECT(B50&amp;"[orbop]"))</f>
        <v>16</v>
      </c>
      <c r="AQ51">
        <f ca="1">AVERAGE(INDIRECT(B50&amp;"[drbop]"))</f>
        <v>11</v>
      </c>
      <c r="AR51">
        <f ca="1">AVERAGE(INDIRECT(B50&amp;"[trbop]"))</f>
        <v>27</v>
      </c>
      <c r="AS51">
        <f ca="1">AVERAGE(INDIRECT(B50&amp;"[astop]"))</f>
        <v>21</v>
      </c>
      <c r="AT51">
        <f ca="1">AVERAGE(INDIRECT(B50&amp;"[stlop]"))</f>
        <v>0</v>
      </c>
      <c r="AU51">
        <f ca="1">AVERAGE(INDIRECT(B50&amp;"[blkop]"))</f>
        <v>13</v>
      </c>
      <c r="AV51">
        <f ca="1">AVERAGE(INDIRECT(B50&amp;"[tovop]"))</f>
        <v>7</v>
      </c>
      <c r="AW51">
        <f ca="1">AVERAGE(INDIRECT(B50&amp;"[pfop]"))</f>
        <v>27</v>
      </c>
      <c r="AX51">
        <f ca="1">AVERAGE(INDIRECT(B50&amp;"[ts%]"))</f>
        <v>0.67030000000000001</v>
      </c>
      <c r="AY51">
        <f ca="1">AVERAGE(INDIRECT(B50&amp;"[efg%]"))</f>
        <v>0.61609999999999998</v>
      </c>
      <c r="AZ51">
        <f ca="1">AVERAGE(INDIRECT(B50&amp;"[orb%]"))</f>
        <v>0.56000000000000005</v>
      </c>
      <c r="BA51">
        <f ca="1">AVERAGE(INDIRECT(B50&amp;"[drb%]"))</f>
        <v>0.54290000000000005</v>
      </c>
      <c r="BB51">
        <f ca="1">AVERAGE(INDIRECT(B50&amp;"[trb%]"))</f>
        <v>0.55000000000000004</v>
      </c>
      <c r="BC51">
        <f ca="1">AVERAGE(INDIRECT(B50&amp;"[poss]"))</f>
        <v>59.997999999999998</v>
      </c>
      <c r="BD51">
        <f ca="1">AVERAGE(INDIRECT(B50&amp;"[ast%]"))</f>
        <v>0.5333</v>
      </c>
      <c r="BE51">
        <f ca="1">AVERAGE(INDIRECT(B50&amp;"[ftfga%]"))</f>
        <v>0.39290000000000003</v>
      </c>
      <c r="BF51">
        <f ca="1">AVERAGE(INDIRECT(B50&amp;"[tov%]"))</f>
        <v>6.8599999999999994E-2</v>
      </c>
      <c r="BG51">
        <f ca="1">AVERAGE(INDIRECT(B50&amp;"[ortg]"))</f>
        <v>153.5</v>
      </c>
      <c r="BH51">
        <f ca="1">AVERAGE(INDIRECT(B50&amp;"[drtg]"))</f>
        <v>150.1</v>
      </c>
      <c r="BI51">
        <f ca="1">AVERAGE(INDIRECT(B50&amp;"[pace]"))</f>
        <v>59.302500000000002</v>
      </c>
      <c r="BJ51">
        <f ca="1">AVERAGE(INDIRECT(B50&amp;"[ts%op]"))</f>
        <v>0.59589999999999999</v>
      </c>
      <c r="BK51">
        <f ca="1">AVERAGE(INDIRECT(B50&amp;"[efg%op]"))</f>
        <v>0.54620000000000002</v>
      </c>
      <c r="BL51">
        <f ca="1">AVERAGE(INDIRECT(B50&amp;"[orb%op]"))</f>
        <v>0.45710000000000001</v>
      </c>
      <c r="BM51">
        <f ca="1">AVERAGE(INDIRECT(B50&amp;"[drb%op]"))</f>
        <v>0.44</v>
      </c>
      <c r="BN51">
        <f ca="1">AVERAGE(INDIRECT(B50&amp;"[trb%op]"))</f>
        <v>0.45</v>
      </c>
      <c r="BO51">
        <f ca="1">AVERAGE(INDIRECT(B50&amp;"[possop]"))</f>
        <v>58.606999999999999</v>
      </c>
      <c r="BP51">
        <f ca="1">AVERAGE(INDIRECT(B50&amp;"[ast%op]"))</f>
        <v>0.7</v>
      </c>
      <c r="BQ51">
        <f ca="1">AVERAGE(INDIRECT(B50&amp;"[ftfga%op]"))</f>
        <v>0.27689999999999998</v>
      </c>
      <c r="BR51">
        <f ca="1">AVERAGE(INDIRECT(B50&amp;"[tov%op]"))</f>
        <v>8.5699999999999998E-2</v>
      </c>
      <c r="BS51">
        <f ca="1">AVERAGE(INDIRECT(B50&amp;"[ortgop]"))</f>
        <v>150.1</v>
      </c>
      <c r="BT51">
        <f ca="1">AVERAGE(INDIRECT(B50&amp;"[drtgop]"))</f>
        <v>153.5</v>
      </c>
      <c r="BU51">
        <f ca="1">AVERAGE(INDIRECT(B50&amp;"[q1h]"))</f>
        <v>16</v>
      </c>
      <c r="BV51">
        <f ca="1">AVERAGE(INDIRECT(B50&amp;"[q2h]"))</f>
        <v>25</v>
      </c>
      <c r="BW51">
        <f ca="1">AVERAGE(INDIRECT(B50&amp;"[q3h]"))</f>
        <v>27</v>
      </c>
      <c r="BX51">
        <f ca="1">AVERAGE(INDIRECT(B50&amp;"[q4h]"))</f>
        <v>23</v>
      </c>
      <c r="BY51">
        <f ca="1">AVERAGE(INDIRECT(B50&amp;"[q1a]"))</f>
        <v>22</v>
      </c>
      <c r="BZ51">
        <f ca="1">AVERAGE(INDIRECT(B50&amp;"[q2a]"))</f>
        <v>24</v>
      </c>
      <c r="CA51">
        <f ca="1">AVERAGE(INDIRECT(B50&amp;"[q3a]"))</f>
        <v>20</v>
      </c>
      <c r="CB51">
        <f ca="1">AVERAGE(INDIRECT(B50&amp;"[q4a]"))</f>
        <v>23</v>
      </c>
      <c r="CC51">
        <f ca="1">AVERAGE(INDIRECT(B50&amp;"[fhalfh]"))</f>
        <v>41</v>
      </c>
      <c r="CD51">
        <f ca="1">AVERAGE(INDIRECT(B50&amp;"[shalfh]"))</f>
        <v>50</v>
      </c>
      <c r="CE51">
        <f ca="1">AVERAGE(INDIRECT(B50&amp;"[fhalfa]"))</f>
        <v>46</v>
      </c>
      <c r="CF51">
        <f ca="1">AVERAGE(INDIRECT(B50&amp;"[shalfa]"))</f>
        <v>43</v>
      </c>
      <c r="CG51">
        <f ca="1">AVERAGE(INDIRECT(B50&amp;"[win]"))</f>
        <v>2.2000000000000002</v>
      </c>
      <c r="CH51">
        <f ca="1">AVERAGE(INDIRECT(B50&amp;"[lose]"))</f>
        <v>1.71</v>
      </c>
      <c r="CK51">
        <f ca="1">AVERAGE(INDIRECT(B50&amp;"[total]"))</f>
        <v>168.5</v>
      </c>
      <c r="CN51">
        <f ca="1">last5away[[#This Row],[Q1H]]+last5away[[#This Row],[Q1A]]</f>
        <v>38</v>
      </c>
      <c r="CO51">
        <f ca="1">last5away[[#This Row],[Q2H]]+last5away[[#This Row],[Q2A]]</f>
        <v>49</v>
      </c>
      <c r="CP51">
        <f ca="1">last5away[[#This Row],[Q3H]]+last5away[[#This Row],[Q3A]]</f>
        <v>47</v>
      </c>
      <c r="CQ51">
        <f ca="1">last5away[[#This Row],[Q4H]]+last5away[[#This Row],[Q4A]]</f>
        <v>46</v>
      </c>
      <c r="CR51">
        <f ca="1">last5away[[#This Row],[FhalfH]]+last5away[[#This Row],[FhalfA]]</f>
        <v>87</v>
      </c>
      <c r="CS51">
        <f ca="1">last5away[[#This Row],[ShalfH]]+last5away[[#This Row],[ShalfA]]</f>
        <v>93</v>
      </c>
      <c r="CT51">
        <f ca="1">SUM(INDIRECT(B50&amp;"[BetH]"))</f>
        <v>1.2000000000000002</v>
      </c>
      <c r="CU51">
        <f ca="1">SUM(INDIRECT(B50&amp;"[BetA]"))</f>
        <v>-1</v>
      </c>
      <c r="CV51">
        <f ca="1">SUM(INDIRECT(B50&amp;"[Tover]"))</f>
        <v>1</v>
      </c>
      <c r="CW51">
        <f ca="1">AVERAGE(INDIRECT(B50&amp;"[Deviation]"))</f>
        <v>12</v>
      </c>
    </row>
    <row r="52" spans="1:101" x14ac:dyDescent="0.25">
      <c r="A52" t="s">
        <v>173</v>
      </c>
      <c r="B52">
        <f>VLOOKUP($O$1,all[[Team]:[rating_rg]],5,FALSE)</f>
        <v>6</v>
      </c>
      <c r="D52" s="10"/>
      <c r="H52">
        <f ca="1">_xlfn.RANK.EQ(H51,all[PM])</f>
        <v>2</v>
      </c>
      <c r="I52">
        <f ca="1">_xlfn.RANK.EQ(I51,all[PC],1)</f>
        <v>15</v>
      </c>
      <c r="J52">
        <f ca="1">_xlfn.RANK.EQ(J51,all[FGM])</f>
        <v>7</v>
      </c>
      <c r="K52">
        <f ca="1">_xlfn.RANK.EQ(K51,all[FGA])</f>
        <v>16</v>
      </c>
      <c r="L52">
        <f ca="1">_xlfn.RANK.EQ(L51,all[FGp])</f>
        <v>1</v>
      </c>
      <c r="M52">
        <f ca="1">_xlfn.RANK.EQ(M51,all[P2M])</f>
        <v>5</v>
      </c>
      <c r="N52">
        <f ca="1">_xlfn.RANK.EQ(N51,all[P2A])</f>
        <v>16</v>
      </c>
      <c r="O52">
        <f ca="1">_xlfn.RANK.EQ(O51,all[P2p])</f>
        <v>1</v>
      </c>
      <c r="P52">
        <f ca="1">_xlfn.RANK.EQ(P51,all[P3M])</f>
        <v>9</v>
      </c>
      <c r="Q52">
        <f ca="1">_xlfn.RANK.EQ(Q51,all[P3A])</f>
        <v>12</v>
      </c>
      <c r="R52">
        <f ca="1">_xlfn.RANK.EQ(R51,all[P3p])</f>
        <v>4</v>
      </c>
      <c r="S52">
        <f ca="1">_xlfn.RANK.EQ(S51,all[FTM])</f>
        <v>1</v>
      </c>
      <c r="T52">
        <f ca="1">_xlfn.RANK.EQ(T51,all[FTA])</f>
        <v>1</v>
      </c>
      <c r="U52">
        <f ca="1">_xlfn.RANK.EQ(U51,all[FTp])</f>
        <v>2</v>
      </c>
      <c r="V52">
        <f ca="1">_xlfn.RANK.EQ(V51,all[ORB])</f>
        <v>2</v>
      </c>
      <c r="W52">
        <f ca="1">_xlfn.RANK.EQ(W51,all[DRB])</f>
        <v>15</v>
      </c>
      <c r="X52">
        <f ca="1">_xlfn.RANK.EQ(X51,all[TRB])</f>
        <v>12</v>
      </c>
      <c r="Y52">
        <f ca="1">_xlfn.RANK.EQ(Y51,all[AST])</f>
        <v>16</v>
      </c>
      <c r="Z52">
        <f ca="1">_xlfn.RANK.EQ(Z51,all[STL])</f>
        <v>14</v>
      </c>
      <c r="AA52">
        <f ca="1">_xlfn.RANK.EQ(AA51,all[BLK])</f>
        <v>1</v>
      </c>
      <c r="AB52">
        <f ca="1">_xlfn.RANK.EQ(AB51,all[TOV],1)</f>
        <v>1</v>
      </c>
      <c r="AC52">
        <f ca="1">_xlfn.RANK.EQ(AC51,all[PF],1)</f>
        <v>1</v>
      </c>
      <c r="AD52">
        <f ca="1">_xlfn.RANK.EQ(AD51,all[FGM opp],1)</f>
        <v>11</v>
      </c>
      <c r="AE52">
        <f ca="1">_xlfn.RANK.EQ(AE51,all[FGA opp],1)</f>
        <v>15</v>
      </c>
      <c r="AF52">
        <f ca="1">_xlfn.RANK.EQ(AF51,all[FGp opp],1)</f>
        <v>3</v>
      </c>
      <c r="AG52">
        <f ca="1">_xlfn.RANK.EQ(AG51,all[P2M opp],1)</f>
        <v>4</v>
      </c>
      <c r="AH52">
        <f ca="1">_xlfn.RANK.EQ(AH51,all[P2A opp],1)</f>
        <v>5</v>
      </c>
      <c r="AI52">
        <f ca="1">_xlfn.RANK.EQ(AI51,all[P2p opp],1)</f>
        <v>7</v>
      </c>
      <c r="AJ52">
        <f ca="1">_xlfn.RANK.EQ(AJ51,all[P3M opp],1)</f>
        <v>16</v>
      </c>
      <c r="AK52">
        <f ca="1">_xlfn.RANK.EQ(AK51,all[P3A opp],1)</f>
        <v>16</v>
      </c>
      <c r="AL52">
        <f ca="1">_xlfn.RANK.EQ(AL51,all[P3p opp],1)</f>
        <v>11</v>
      </c>
      <c r="AM52">
        <f ca="1">_xlfn.RANK.EQ(AM51,all[FTM opp],1)</f>
        <v>15</v>
      </c>
      <c r="AN52">
        <f ca="1">_xlfn.RANK.EQ(AN51,all[FTA opp],1)</f>
        <v>10</v>
      </c>
      <c r="AO52">
        <f ca="1">_xlfn.RANK.EQ(AO51,all[FTp opp],1)</f>
        <v>16</v>
      </c>
      <c r="AP52">
        <f ca="1">_xlfn.RANK.EQ(AP51,all[ORB opp],1)</f>
        <v>16</v>
      </c>
      <c r="AQ52">
        <f ca="1">_xlfn.RANK.EQ(AQ51,all[DRB opp],1)</f>
        <v>1</v>
      </c>
      <c r="AR52">
        <f ca="1">_xlfn.RANK.EQ(AR51,all[TRB opp],1)</f>
        <v>1</v>
      </c>
      <c r="AS52">
        <f ca="1">_xlfn.RANK.EQ(AS51,all[AST opp],1)</f>
        <v>15</v>
      </c>
      <c r="AT52">
        <f ca="1">_xlfn.RANK.EQ(AT51,all[STL opp],1)</f>
        <v>1</v>
      </c>
      <c r="AU52">
        <f ca="1">_xlfn.RANK.EQ(AU51,all[BLK opp],1)</f>
        <v>15</v>
      </c>
      <c r="AV52">
        <f ca="1">_xlfn.RANK.EQ(AV51,all[TOV opp])</f>
        <v>15</v>
      </c>
      <c r="AW52">
        <f ca="1">_xlfn.RANK.EQ(AW51,all[PF opp])</f>
        <v>1</v>
      </c>
      <c r="AX52">
        <f ca="1">_xlfn.RANK.EQ(AX51,all[TSp])</f>
        <v>1</v>
      </c>
      <c r="AY52">
        <f ca="1">_xlfn.RANK.EQ(AY51,all[eFGp])</f>
        <v>1</v>
      </c>
      <c r="AZ52">
        <f ca="1">_xlfn.RANK.EQ(AZ51,all[ORBp])</f>
        <v>1</v>
      </c>
      <c r="BA52">
        <f ca="1">_xlfn.RANK.EQ(BA51,all[DRBp])</f>
        <v>15</v>
      </c>
      <c r="BB52">
        <f ca="1">_xlfn.RANK.EQ(BB51,all[TRBp])</f>
        <v>1</v>
      </c>
      <c r="BC52">
        <f ca="1">_xlfn.RANK.EQ(BC51,all[Poss])</f>
        <v>15</v>
      </c>
      <c r="BD52">
        <f ca="1">_xlfn.RANK.EQ(BD51,all[ASTp])</f>
        <v>16</v>
      </c>
      <c r="BE52">
        <f ca="1">_xlfn.RANK.EQ(BE51,all[FTFGAp])</f>
        <v>1</v>
      </c>
      <c r="BF52">
        <f ca="1">_xlfn.RANK.EQ(BF51,all[TOVp],1)</f>
        <v>1</v>
      </c>
      <c r="BG52">
        <f ca="1">_xlfn.RANK.EQ(BG51,all[ORtg])</f>
        <v>1</v>
      </c>
      <c r="BH52">
        <f ca="1">_xlfn.RANK.EQ(BH51,all[DRtg],1)</f>
        <v>15</v>
      </c>
      <c r="BI52">
        <f ca="1">_xlfn.RANK.EQ(BI51,all[Pace])</f>
        <v>15</v>
      </c>
      <c r="BJ52">
        <f ca="1">_xlfn.RANK.EQ(BJ51,all[TSp opp],1)</f>
        <v>14</v>
      </c>
      <c r="BK52">
        <f ca="1">_xlfn.RANK.EQ(BK51,all[eFGp opp],1)</f>
        <v>6</v>
      </c>
      <c r="BL52">
        <f ca="1">_xlfn.RANK.EQ(BL51,all[ORBp opp],1)</f>
        <v>15</v>
      </c>
      <c r="BM52">
        <f ca="1">_xlfn.RANK.EQ(BM51,all[DRBp opp],1)</f>
        <v>1</v>
      </c>
      <c r="BN52">
        <f ca="1">_xlfn.RANK.EQ(BN51,all[TRBp opp],1)</f>
        <v>1</v>
      </c>
      <c r="BO52">
        <f ca="1">_xlfn.RANK.EQ(BO51,all[Poss opp],1)</f>
        <v>1</v>
      </c>
      <c r="BP52">
        <f ca="1">_xlfn.RANK.EQ(BP51,all[ASTp opp],1)</f>
        <v>14</v>
      </c>
      <c r="BQ52">
        <f ca="1">_xlfn.RANK.EQ(BQ51,all[FTFGAp opp],1)</f>
        <v>11</v>
      </c>
      <c r="BR52">
        <f ca="1">_xlfn.RANK.EQ(BR51,all[TOVp opp])</f>
        <v>15</v>
      </c>
      <c r="BS52">
        <f ca="1">_xlfn.RANK.EQ(BS51,all[ORtg opp],1)</f>
        <v>15</v>
      </c>
      <c r="BT52">
        <f ca="1">_xlfn.RANK.EQ(BT51,all[DRtg opp])</f>
        <v>1</v>
      </c>
      <c r="BU52">
        <f ca="1">_xlfn.RANK.EQ(BU51,all[Q1H])</f>
        <v>16</v>
      </c>
      <c r="BV52">
        <f ca="1">_xlfn.RANK.EQ(BV51,all[Q2H])</f>
        <v>1</v>
      </c>
      <c r="BW52">
        <f ca="1">_xlfn.RANK.EQ(BW51,all[Q3H])</f>
        <v>1</v>
      </c>
      <c r="BX52">
        <f ca="1">_xlfn.RANK.EQ(BX51,all[Q4H])</f>
        <v>1</v>
      </c>
      <c r="BY52">
        <f ca="1">_xlfn.RANK.EQ(BY51,all[Q1A],1)</f>
        <v>13</v>
      </c>
      <c r="BZ52">
        <f ca="1">_xlfn.RANK.EQ(BZ51,all[Q2A],1)</f>
        <v>15</v>
      </c>
      <c r="CA52">
        <f ca="1">_xlfn.RANK.EQ(CA51,all[Q3A],1)</f>
        <v>3</v>
      </c>
      <c r="CB52">
        <f ca="1">_xlfn.RANK.EQ(CB51,all[Q4A],1)</f>
        <v>14</v>
      </c>
      <c r="CC52">
        <f ca="1">_xlfn.RANK.EQ(CC51,all[FHH])</f>
        <v>9</v>
      </c>
      <c r="CD52">
        <f ca="1">_xlfn.RANK.EQ(CD51,all[SHH])</f>
        <v>1</v>
      </c>
      <c r="CE52">
        <f ca="1">_xlfn.RANK.EQ(CE51,all[FHA],1)</f>
        <v>16</v>
      </c>
      <c r="CF52">
        <f ca="1">_xlfn.RANK.EQ(CF51,all[SHA],1)</f>
        <v>12</v>
      </c>
      <c r="CN52">
        <f ca="1">_xlfn.RANK.EQ(CN51,all[Q1T])</f>
        <v>15</v>
      </c>
      <c r="CO52">
        <f ca="1">_xlfn.RANK.EQ(CO51,all[Q2T])</f>
        <v>1</v>
      </c>
      <c r="CP52">
        <f ca="1">_xlfn.RANK.EQ(CP51,all[Q3T])</f>
        <v>1</v>
      </c>
      <c r="CQ52">
        <f ca="1">_xlfn.RANK.EQ(CQ51,all[Q4T])</f>
        <v>1</v>
      </c>
      <c r="CR52">
        <f ca="1">_xlfn.RANK.EQ(CR51,all[FHT])</f>
        <v>3</v>
      </c>
      <c r="CS52">
        <f ca="1">_xlfn.RANK.EQ(CS51,all[SHT])</f>
        <v>1</v>
      </c>
      <c r="CT52">
        <f ca="1">_xlfn.RANK.EQ(CT51,all[BetH])</f>
        <v>3</v>
      </c>
      <c r="CU52">
        <f ca="1">_xlfn.RANK.EQ(CU51,all[BetA])</f>
        <v>10</v>
      </c>
      <c r="CV52">
        <f ca="1">_xlfn.RANK.EQ(CV51,all[Tover])</f>
        <v>15</v>
      </c>
      <c r="CW52">
        <f ca="1">_xlfn.RANK.EQ(CW51,all[Deviation],1)</f>
        <v>2</v>
      </c>
    </row>
  </sheetData>
  <dataConsolidate/>
  <mergeCells count="2">
    <mergeCell ref="O1:S1"/>
    <mergeCell ref="A1:E1"/>
  </mergeCells>
  <phoneticPr fontId="11" type="noConversion"/>
  <conditionalFormatting sqref="A2">
    <cfRule type="expression" dxfId="323" priority="293">
      <formula>OR(INDEX(Result,5)= "L",INDEX(Result,5)= "dL")</formula>
    </cfRule>
    <cfRule type="expression" dxfId="322" priority="298">
      <formula>OR(INDEX(Result,5)= "w",INDEX(Result,5)= "dw")</formula>
    </cfRule>
  </conditionalFormatting>
  <conditionalFormatting sqref="A5">
    <cfRule type="expression" dxfId="321" priority="328">
      <formula>INDEX(total,5) &gt; INDEX(Home_scored,5) + INDEX(Away_scored,5)</formula>
    </cfRule>
    <cfRule type="expression" dxfId="320" priority="330">
      <formula>INDEX(total,5) &lt; INDEX(Home_scored,5) + INDEX(Away_scored,5)</formula>
    </cfRule>
  </conditionalFormatting>
  <conditionalFormatting sqref="A8">
    <cfRule type="expression" dxfId="319" priority="302">
      <formula>INDEX(FGA,8) &gt;INDEX(FGA_a,8)</formula>
    </cfRule>
  </conditionalFormatting>
  <conditionalFormatting sqref="A9">
    <cfRule type="expression" dxfId="314" priority="278">
      <formula>INDEX(FGM,8) &gt;INDEX(FGM_a,8)</formula>
    </cfRule>
  </conditionalFormatting>
  <conditionalFormatting sqref="A10">
    <cfRule type="expression" dxfId="311" priority="272">
      <formula>INDEX(FGp,8) &gt;INDEX(FGp_a,8)</formula>
    </cfRule>
  </conditionalFormatting>
  <conditionalFormatting sqref="A12">
    <cfRule type="expression" dxfId="308" priority="265">
      <formula>INDEX(P2A,8) &gt;INDEX(P2A_a,8)</formula>
    </cfRule>
  </conditionalFormatting>
  <conditionalFormatting sqref="A13">
    <cfRule type="expression" dxfId="305" priority="259">
      <formula>INDEX(P2M,8) &gt;INDEX(P2M_a,8)</formula>
    </cfRule>
  </conditionalFormatting>
  <conditionalFormatting sqref="A14">
    <cfRule type="expression" dxfId="302" priority="253">
      <formula>INDEX(P2p,8) &gt;INDEX(p2p_a,8)</formula>
    </cfRule>
  </conditionalFormatting>
  <conditionalFormatting sqref="A16">
    <cfRule type="expression" dxfId="299" priority="247">
      <formula>INDEX(P3A,8) &gt;INDEX(p3a_a,8)</formula>
    </cfRule>
  </conditionalFormatting>
  <conditionalFormatting sqref="A17">
    <cfRule type="expression" dxfId="296" priority="241">
      <formula>INDEX(P3M,8) &gt;INDEX(p3m_a,8)</formula>
    </cfRule>
  </conditionalFormatting>
  <conditionalFormatting sqref="A18">
    <cfRule type="expression" dxfId="293" priority="235">
      <formula>INDEX(P3p,8) &gt;INDEX(p3p_a,8)</formula>
    </cfRule>
  </conditionalFormatting>
  <conditionalFormatting sqref="A20">
    <cfRule type="expression" dxfId="290" priority="229">
      <formula>INDEX(FTA,8) &gt;INDEX(fta_a,8)</formula>
    </cfRule>
  </conditionalFormatting>
  <conditionalFormatting sqref="A21">
    <cfRule type="expression" dxfId="287" priority="223">
      <formula>INDEX(FTM,8) &gt;INDEX(ftm_a,8)</formula>
    </cfRule>
  </conditionalFormatting>
  <conditionalFormatting sqref="A22">
    <cfRule type="expression" dxfId="284" priority="217">
      <formula>INDEX(FTp,8) &gt;INDEX(ftp_a,8)</formula>
    </cfRule>
  </conditionalFormatting>
  <conditionalFormatting sqref="B2">
    <cfRule type="expression" dxfId="283" priority="292">
      <formula>OR(INDEX(Result,4)= "L",INDEX(Result,4)= "dL")</formula>
    </cfRule>
    <cfRule type="expression" dxfId="282" priority="297">
      <formula>OR(INDEX(Result,4)= "w",INDEX(Result,4)= "dw")</formula>
    </cfRule>
  </conditionalFormatting>
  <conditionalFormatting sqref="B5">
    <cfRule type="expression" dxfId="281" priority="323">
      <formula>INDEX(total,4) &lt; INDEX(Home_scored,4) + INDEX(Away_scored,4)</formula>
    </cfRule>
    <cfRule type="expression" dxfId="280" priority="327">
      <formula>INDEX(total,4) &gt; INDEX(Home_scored,4) + INDEX(Away_scored,4)</formula>
    </cfRule>
  </conditionalFormatting>
  <conditionalFormatting sqref="C2">
    <cfRule type="expression" dxfId="279" priority="291">
      <formula>OR(INDEX(Result,3)= "L",INDEX(Result,3)= "dL")</formula>
    </cfRule>
    <cfRule type="expression" dxfId="278" priority="296">
      <formula>OR(INDEX(Result,3)= "w",INDEX(Result,3)= "dw")</formula>
    </cfRule>
  </conditionalFormatting>
  <conditionalFormatting sqref="C5">
    <cfRule type="expression" dxfId="277" priority="322">
      <formula>INDEX(total,3) &lt; INDEX(Home_scored,3) + INDEX(Away_scored,3)</formula>
    </cfRule>
    <cfRule type="expression" dxfId="276" priority="326">
      <formula>INDEX(total,3) &gt; INDEX(Home_scored,3) + INDEX(Away_scored,3)</formula>
    </cfRule>
  </conditionalFormatting>
  <conditionalFormatting sqref="C8">
    <cfRule type="expression" dxfId="275" priority="300">
      <formula>INDEX(FGA_a,8) &gt;INDEX(FGA,8)</formula>
    </cfRule>
  </conditionalFormatting>
  <conditionalFormatting sqref="C9">
    <cfRule type="expression" dxfId="270" priority="277">
      <formula>INDEX(FGM_a,8) &gt;INDEX(FGM,8)</formula>
    </cfRule>
  </conditionalFormatting>
  <conditionalFormatting sqref="C10">
    <cfRule type="expression" dxfId="267" priority="271">
      <formula>INDEX(FGp_a,8) &gt;INDEX(FGp,8)</formula>
    </cfRule>
  </conditionalFormatting>
  <conditionalFormatting sqref="C12">
    <cfRule type="expression" dxfId="264" priority="264">
      <formula>INDEX(P2A_a,8) &gt;INDEX(P2A,8)</formula>
    </cfRule>
  </conditionalFormatting>
  <conditionalFormatting sqref="C13">
    <cfRule type="expression" dxfId="261" priority="258">
      <formula>INDEX(P2M_a,8) &gt;INDEX(P2M,8)</formula>
    </cfRule>
  </conditionalFormatting>
  <conditionalFormatting sqref="C14">
    <cfRule type="expression" dxfId="258" priority="252">
      <formula>INDEX(p2p_a,8) &gt;INDEX(P2p,8)</formula>
    </cfRule>
  </conditionalFormatting>
  <conditionalFormatting sqref="C16">
    <cfRule type="expression" dxfId="255" priority="246">
      <formula>INDEX(p3a_a,8) &gt;INDEX(P3A,8)</formula>
    </cfRule>
  </conditionalFormatting>
  <conditionalFormatting sqref="C17">
    <cfRule type="expression" dxfId="252" priority="240">
      <formula>INDEX(p3m_a,8) &gt;INDEX(P3M,8)</formula>
    </cfRule>
  </conditionalFormatting>
  <conditionalFormatting sqref="C18">
    <cfRule type="expression" dxfId="249" priority="234">
      <formula>INDEX(p3p_a,8) &gt;INDEX(P3p,8)</formula>
    </cfRule>
  </conditionalFormatting>
  <conditionalFormatting sqref="C20">
    <cfRule type="expression" dxfId="246" priority="228">
      <formula>INDEX(fta_a,8) &gt;INDEX(FTA,8)</formula>
    </cfRule>
  </conditionalFormatting>
  <conditionalFormatting sqref="C21">
    <cfRule type="expression" dxfId="243" priority="222">
      <formula>INDEX(ftm_a,8) &gt;INDEX(FTM,8)</formula>
    </cfRule>
  </conditionalFormatting>
  <conditionalFormatting sqref="C22">
    <cfRule type="expression" dxfId="240" priority="216">
      <formula>INDEX(ftp_a,8) &gt;INDEX(FTp,8)</formula>
    </cfRule>
  </conditionalFormatting>
  <conditionalFormatting sqref="D2">
    <cfRule type="expression" dxfId="239" priority="290">
      <formula>OR(INDEX(Result,2)= "L",INDEX(Result,2)= "dL")</formula>
    </cfRule>
    <cfRule type="expression" dxfId="238" priority="295">
      <formula>OR(INDEX(Result,2)= "w",INDEX(Result,2)= "dw")</formula>
    </cfRule>
  </conditionalFormatting>
  <conditionalFormatting sqref="D5">
    <cfRule type="expression" dxfId="237" priority="321">
      <formula>INDEX(total,2) &lt; INDEX(Home_scored,2) + INDEX(Away_scored,2)</formula>
    </cfRule>
    <cfRule type="expression" dxfId="236" priority="325">
      <formula>INDEX(total,2) &gt; INDEX(Home_scored,2) + INDEX(Away_scored,2)</formula>
    </cfRule>
  </conditionalFormatting>
  <conditionalFormatting sqref="E2">
    <cfRule type="expression" dxfId="235" priority="289">
      <formula>OR(INDEX(Result,1)= "L",INDEX(Result,1)= "dL")</formula>
    </cfRule>
    <cfRule type="expression" dxfId="234" priority="294">
      <formula>OR(INDEX(Result,1)= "w",INDEX(Result,1)= "dw")</formula>
    </cfRule>
  </conditionalFormatting>
  <conditionalFormatting sqref="E5">
    <cfRule type="expression" dxfId="233" priority="320">
      <formula>INDEX(total,1) &lt; INDEX(Home_scored,1) + INDEX(Away_scored,1)</formula>
    </cfRule>
    <cfRule type="expression" dxfId="232" priority="324">
      <formula>INDEX(total,1) &gt; INDEX(Home_scored,1) + INDEX(Away_scored,1)</formula>
    </cfRule>
  </conditionalFormatting>
  <conditionalFormatting sqref="E8">
    <cfRule type="expression" dxfId="229" priority="211">
      <formula>INDEX(TRB,8) &gt;INDEX(trb_a,8)</formula>
    </cfRule>
  </conditionalFormatting>
  <conditionalFormatting sqref="E9">
    <cfRule type="expression" dxfId="226" priority="205">
      <formula>INDEX(ORB,8) &gt;INDEX(orb_a,8)</formula>
    </cfRule>
  </conditionalFormatting>
  <conditionalFormatting sqref="E10">
    <cfRule type="expression" dxfId="223" priority="199">
      <formula>INDEX(DRB,8) &gt;INDEX(drb_a,8)</formula>
    </cfRule>
  </conditionalFormatting>
  <conditionalFormatting sqref="E12">
    <cfRule type="expression" dxfId="220" priority="193">
      <formula>INDEX(BLK,8) &gt;INDEX(blk_a,8)</formula>
    </cfRule>
  </conditionalFormatting>
  <conditionalFormatting sqref="E13">
    <cfRule type="expression" dxfId="217" priority="187">
      <formula>INDEX(AST,8) &gt;INDEX(ast_a,8)</formula>
    </cfRule>
  </conditionalFormatting>
  <conditionalFormatting sqref="E14">
    <cfRule type="expression" dxfId="214" priority="181">
      <formula>INDEX(STL,8) &gt;INDEX(stl_a,8)</formula>
    </cfRule>
  </conditionalFormatting>
  <conditionalFormatting sqref="E15">
    <cfRule type="expression" dxfId="211" priority="175">
      <formula>INDEX(tov,8) &lt;INDEX(tov_a,8)</formula>
    </cfRule>
  </conditionalFormatting>
  <conditionalFormatting sqref="E16">
    <cfRule type="expression" dxfId="208" priority="169">
      <formula>INDEX(pf,8) &lt;INDEX(pf_a,8)</formula>
    </cfRule>
  </conditionalFormatting>
  <conditionalFormatting sqref="E17">
    <cfRule type="expression" dxfId="205" priority="163">
      <formula>INDEX(poss,8) &gt;INDEX(poss_a,8)</formula>
    </cfRule>
  </conditionalFormatting>
  <conditionalFormatting sqref="E18">
    <cfRule type="expression" dxfId="202" priority="157">
      <formula>INDEX(pace,8) &gt;INDEX(pace_a,8)</formula>
    </cfRule>
  </conditionalFormatting>
  <conditionalFormatting sqref="E20">
    <cfRule type="expression" dxfId="199" priority="151">
      <formula>INDEX(trbp,8) &gt;INDEX(trbp_a,8)</formula>
    </cfRule>
  </conditionalFormatting>
  <conditionalFormatting sqref="E21">
    <cfRule type="expression" dxfId="196" priority="145">
      <formula>INDEX(astp,8) &gt;INDEX(astp_a,8)</formula>
    </cfRule>
  </conditionalFormatting>
  <conditionalFormatting sqref="E22">
    <cfRule type="expression" dxfId="193" priority="139">
      <formula>INDEX(tsp,8) &gt;INDEX(tsp_a,8)</formula>
    </cfRule>
  </conditionalFormatting>
  <conditionalFormatting sqref="G8">
    <cfRule type="expression" dxfId="190" priority="210">
      <formula>INDEX(trb_a,8) &gt;INDEX(TRB,8)</formula>
    </cfRule>
  </conditionalFormatting>
  <conditionalFormatting sqref="G9">
    <cfRule type="expression" dxfId="187" priority="204">
      <formula>INDEX(orb_a,8) &gt;INDEX(ORB,8)</formula>
    </cfRule>
  </conditionalFormatting>
  <conditionalFormatting sqref="G10">
    <cfRule type="expression" dxfId="184" priority="198">
      <formula>INDEX(drb_a,8) &gt;INDEX(DRB,8)</formula>
    </cfRule>
  </conditionalFormatting>
  <conditionalFormatting sqref="G12">
    <cfRule type="expression" dxfId="181" priority="192">
      <formula>INDEX(blk_a,8) &gt;INDEX(BLK,8)</formula>
    </cfRule>
  </conditionalFormatting>
  <conditionalFormatting sqref="G13">
    <cfRule type="expression" dxfId="178" priority="186">
      <formula>INDEX(ast_a,8) &gt;INDEX(AST,8)</formula>
    </cfRule>
  </conditionalFormatting>
  <conditionalFormatting sqref="G14">
    <cfRule type="expression" dxfId="175" priority="180">
      <formula>INDEX(stl_a,8) &gt;INDEX(STL,8)</formula>
    </cfRule>
  </conditionalFormatting>
  <conditionalFormatting sqref="G15">
    <cfRule type="expression" dxfId="172" priority="174">
      <formula>INDEX(tov,8) &gt; INDEX(tov_a,8)</formula>
    </cfRule>
  </conditionalFormatting>
  <conditionalFormatting sqref="G16">
    <cfRule type="expression" dxfId="169" priority="168">
      <formula>INDEX(pf,8) &gt;INDEX(pf_a,8)</formula>
    </cfRule>
  </conditionalFormatting>
  <conditionalFormatting sqref="G17">
    <cfRule type="expression" dxfId="166" priority="162">
      <formula>INDEX(poss,8) &lt;INDEX(poss_a,8)</formula>
    </cfRule>
  </conditionalFormatting>
  <conditionalFormatting sqref="G18">
    <cfRule type="expression" dxfId="163" priority="156">
      <formula>INDEX(pace,8) &lt;INDEX(pace_a,8)</formula>
    </cfRule>
  </conditionalFormatting>
  <conditionalFormatting sqref="G20">
    <cfRule type="expression" dxfId="160" priority="150">
      <formula>INDEX(trbp,8) &lt;INDEX(trbp_a,8)</formula>
    </cfRule>
  </conditionalFormatting>
  <conditionalFormatting sqref="G21">
    <cfRule type="expression" dxfId="157" priority="144">
      <formula>INDEX(astp,8) &lt;INDEX(astp_a,8)</formula>
    </cfRule>
  </conditionalFormatting>
  <conditionalFormatting sqref="G22">
    <cfRule type="expression" dxfId="154" priority="138">
      <formula>INDEX(tsp,8) &lt;INDEX(tsp_a,8)</formula>
    </cfRule>
  </conditionalFormatting>
  <conditionalFormatting sqref="I8">
    <cfRule type="expression" dxfId="151" priority="133">
      <formula>INDEX(efgp,8) &gt;INDEX(efgp_a,8)</formula>
    </cfRule>
  </conditionalFormatting>
  <conditionalFormatting sqref="I9">
    <cfRule type="expression" dxfId="148" priority="127">
      <formula>INDEX(tovp,8) &lt;INDEX(tovp_a,8)</formula>
    </cfRule>
  </conditionalFormatting>
  <conditionalFormatting sqref="I10">
    <cfRule type="expression" dxfId="145" priority="121">
      <formula>INDEX(orbp,8) &gt;INDEX(orbp_a,8)</formula>
    </cfRule>
  </conditionalFormatting>
  <conditionalFormatting sqref="I11">
    <cfRule type="expression" dxfId="142" priority="115">
      <formula>INDEX(ftfga,8) &gt;INDEX(ftfga_a,8)</formula>
    </cfRule>
  </conditionalFormatting>
  <conditionalFormatting sqref="I12">
    <cfRule type="expression" dxfId="139" priority="109">
      <formula>INDEX(ortg,8) &gt;INDEX(ortg_a,8)</formula>
    </cfRule>
  </conditionalFormatting>
  <conditionalFormatting sqref="I13">
    <cfRule type="expression" dxfId="136" priority="103">
      <formula>INDEX(drtg,8) &lt;INDEX(drtg_a,8)</formula>
    </cfRule>
  </conditionalFormatting>
  <conditionalFormatting sqref="I14">
    <cfRule type="expression" dxfId="133" priority="97">
      <formula>INDEX(scored,8) &gt;INDEX(scored_a,8)</formula>
    </cfRule>
  </conditionalFormatting>
  <conditionalFormatting sqref="I16">
    <cfRule type="expression" dxfId="130" priority="91">
      <formula>INDEX(efgpo,8) &lt;INDEX(efgpo_a,8)</formula>
    </cfRule>
  </conditionalFormatting>
  <conditionalFormatting sqref="I17">
    <cfRule type="expression" dxfId="127" priority="85">
      <formula>INDEX(tovpo,8) &gt;INDEX(tovpo_a,8)</formula>
    </cfRule>
  </conditionalFormatting>
  <conditionalFormatting sqref="I18">
    <cfRule type="expression" dxfId="124" priority="79">
      <formula>INDEX(orbpo,8) &lt;INDEX(orbpo_a,8)</formula>
    </cfRule>
  </conditionalFormatting>
  <conditionalFormatting sqref="I19">
    <cfRule type="expression" dxfId="121" priority="73">
      <formula>INDEX(ftfgao,8) &lt;INDEX(ftfgao_a,8)</formula>
    </cfRule>
  </conditionalFormatting>
  <conditionalFormatting sqref="I20">
    <cfRule type="expression" dxfId="118" priority="67">
      <formula>INDEX(allowed,8) &lt;INDEX(allowed_a,8)</formula>
    </cfRule>
  </conditionalFormatting>
  <conditionalFormatting sqref="K8">
    <cfRule type="expression" dxfId="115" priority="132">
      <formula>INDEX(efgp,8) &lt;INDEX(efgp_a,8)</formula>
    </cfRule>
  </conditionalFormatting>
  <conditionalFormatting sqref="K9">
    <cfRule type="expression" dxfId="112" priority="126">
      <formula>INDEX(tovp,8) &gt;INDEX(tovp_a,8)</formula>
    </cfRule>
  </conditionalFormatting>
  <conditionalFormatting sqref="K10">
    <cfRule type="expression" dxfId="109" priority="120">
      <formula>INDEX(orbp,8) &lt;INDEX(orbp_a,8)</formula>
    </cfRule>
  </conditionalFormatting>
  <conditionalFormatting sqref="K11">
    <cfRule type="expression" dxfId="106" priority="114">
      <formula>INDEX(ftfga,8) &lt;INDEX(ftfga_a,8)</formula>
    </cfRule>
  </conditionalFormatting>
  <conditionalFormatting sqref="K12">
    <cfRule type="expression" dxfId="103" priority="108">
      <formula>INDEX(ortg,8) &lt;INDEX(ortg_a,8)</formula>
    </cfRule>
  </conditionalFormatting>
  <conditionalFormatting sqref="K13">
    <cfRule type="expression" dxfId="100" priority="102">
      <formula>INDEX(drtg,8) &gt;INDEX(drtg_a,8)</formula>
    </cfRule>
  </conditionalFormatting>
  <conditionalFormatting sqref="K14">
    <cfRule type="expression" dxfId="97" priority="96">
      <formula>INDEX(scored,8) &lt;INDEX(scored_a,8)</formula>
    </cfRule>
  </conditionalFormatting>
  <conditionalFormatting sqref="K16">
    <cfRule type="expression" dxfId="94" priority="90">
      <formula>INDEX(efgpo,8) &gt;INDEX(efgpo_a,8)</formula>
    </cfRule>
  </conditionalFormatting>
  <conditionalFormatting sqref="K17">
    <cfRule type="expression" dxfId="91" priority="84">
      <formula>INDEX(tovpo,8) &lt;INDEX(tovpo_a,8)</formula>
    </cfRule>
  </conditionalFormatting>
  <conditionalFormatting sqref="K18">
    <cfRule type="expression" dxfId="88" priority="78">
      <formula>INDEX(orbpo,8) &gt;INDEX(orbpo_a,8)</formula>
    </cfRule>
  </conditionalFormatting>
  <conditionalFormatting sqref="K19">
    <cfRule type="expression" dxfId="85" priority="72">
      <formula>INDEX(ftfgao,8) &gt;INDEX(ftfgao_a,8)</formula>
    </cfRule>
  </conditionalFormatting>
  <conditionalFormatting sqref="K20">
    <cfRule type="expression" dxfId="82" priority="66">
      <formula>INDEX(allowed,8) &gt;INDEX(allowed_a,8)</formula>
    </cfRule>
  </conditionalFormatting>
  <conditionalFormatting sqref="M8">
    <cfRule type="expression" dxfId="79" priority="61">
      <formula>INDEX(Q1T,8) &gt;INDEX(q1t_a,8)</formula>
    </cfRule>
  </conditionalFormatting>
  <conditionalFormatting sqref="M9">
    <cfRule type="expression" dxfId="76" priority="55">
      <formula>INDEX(q2t,8) &gt;INDEX(q2t_a,8)</formula>
    </cfRule>
  </conditionalFormatting>
  <conditionalFormatting sqref="M10">
    <cfRule type="expression" dxfId="73" priority="48">
      <formula>INDEX(q3t,8) &gt;INDEX(q3t_a,8)</formula>
    </cfRule>
  </conditionalFormatting>
  <conditionalFormatting sqref="M11">
    <cfRule type="expression" dxfId="70" priority="47">
      <formula>INDEX(q4t,8) &gt;INDEX(q4t_a,8)</formula>
    </cfRule>
  </conditionalFormatting>
  <conditionalFormatting sqref="M12">
    <cfRule type="expression" dxfId="67" priority="46">
      <formula>INDEX(fht,8) &gt;INDEX(fht_a,8)</formula>
    </cfRule>
  </conditionalFormatting>
  <conditionalFormatting sqref="M13">
    <cfRule type="expression" dxfId="64" priority="45">
      <formula>INDEX(sht,8) &gt;INDEX(sht_a,8)</formula>
    </cfRule>
  </conditionalFormatting>
  <conditionalFormatting sqref="M16">
    <cfRule type="expression" dxfId="61" priority="24">
      <formula>INDEX(beth,8) &gt;INDEX(beth_a,8)</formula>
    </cfRule>
  </conditionalFormatting>
  <conditionalFormatting sqref="M17">
    <cfRule type="expression" dxfId="58" priority="23">
      <formula>INDEX(beta,8) &gt;INDEX(beta_a,8)</formula>
    </cfRule>
  </conditionalFormatting>
  <conditionalFormatting sqref="M18">
    <cfRule type="expression" dxfId="55" priority="22">
      <formula>INDEX(tover,8) &gt;INDEX(tover_a,8)</formula>
    </cfRule>
  </conditionalFormatting>
  <conditionalFormatting sqref="M19">
    <cfRule type="expression" dxfId="52" priority="21">
      <formula>INDEX(deviation,8) &lt;INDEX(deviation_a,8)</formula>
    </cfRule>
  </conditionalFormatting>
  <conditionalFormatting sqref="O2">
    <cfRule type="expression" dxfId="51" priority="283">
      <formula>OR(INDEX(result_a,5)= "w",INDEX(result_a,5)= "dw")</formula>
    </cfRule>
    <cfRule type="expression" dxfId="50" priority="288">
      <formula>OR(INDEX(result_a,5)= "L",INDEX(result_a,5)= "dL")</formula>
    </cfRule>
  </conditionalFormatting>
  <conditionalFormatting sqref="O5">
    <cfRule type="expression" dxfId="49" priority="316">
      <formula>INDEX(total_a,5) &gt; INDEX(Home_scored_a,5) + INDEX(Away_scored_a,5)</formula>
    </cfRule>
    <cfRule type="expression" dxfId="48" priority="317">
      <formula>INDEX(total_a,5) &lt; INDEX(Home_scored_a,5) + INDEX(Away_scored_a,5)</formula>
    </cfRule>
  </conditionalFormatting>
  <conditionalFormatting sqref="O8">
    <cfRule type="expression" dxfId="45" priority="60">
      <formula>INDEX(Q1T,8) &lt;INDEX(q1t_a,8)</formula>
    </cfRule>
  </conditionalFormatting>
  <conditionalFormatting sqref="O9">
    <cfRule type="expression" dxfId="42" priority="54">
      <formula>INDEX(q2t,8) &lt;INDEX(q2t_a,8)</formula>
    </cfRule>
  </conditionalFormatting>
  <conditionalFormatting sqref="O10">
    <cfRule type="expression" dxfId="39" priority="44">
      <formula>INDEX(q3t,8) &lt;INDEX(q3t_a,8)</formula>
    </cfRule>
  </conditionalFormatting>
  <conditionalFormatting sqref="O11">
    <cfRule type="expression" dxfId="36" priority="43">
      <formula>INDEX(q4t,8) &lt;INDEX(q4t_a,8)</formula>
    </cfRule>
  </conditionalFormatting>
  <conditionalFormatting sqref="O12">
    <cfRule type="expression" dxfId="33" priority="42">
      <formula>INDEX(fht,8) &lt;INDEX(fht_a,8)</formula>
    </cfRule>
  </conditionalFormatting>
  <conditionalFormatting sqref="O13">
    <cfRule type="expression" dxfId="30" priority="41">
      <formula>INDEX(sht,8) &lt;INDEX(sht_a,8)</formula>
    </cfRule>
  </conditionalFormatting>
  <conditionalFormatting sqref="O16">
    <cfRule type="expression" dxfId="27" priority="20">
      <formula>INDEX(beth,8) &lt;INDEX(beth_a,8)</formula>
    </cfRule>
  </conditionalFormatting>
  <conditionalFormatting sqref="O17">
    <cfRule type="expression" dxfId="24" priority="19">
      <formula>INDEX(beta,8) &lt;INDEX(beta_a,8)</formula>
    </cfRule>
  </conditionalFormatting>
  <conditionalFormatting sqref="O18">
    <cfRule type="expression" dxfId="21" priority="18">
      <formula>INDEX(tover,8) &lt;INDEX(tover_a,8)</formula>
    </cfRule>
  </conditionalFormatting>
  <conditionalFormatting sqref="O19">
    <cfRule type="expression" dxfId="18" priority="17">
      <formula>INDEX(deviation,8) &gt;INDEX(deviation_a,8)</formula>
    </cfRule>
  </conditionalFormatting>
  <conditionalFormatting sqref="P2">
    <cfRule type="expression" dxfId="17" priority="282">
      <formula>OR(INDEX(result_a,4)= "w",INDEX(result_a,4)= "dw")</formula>
    </cfRule>
    <cfRule type="expression" dxfId="16" priority="287">
      <formula>OR(INDEX(result_a,4)= "L",INDEX(result_a,4)= "dL")</formula>
    </cfRule>
  </conditionalFormatting>
  <conditionalFormatting sqref="P5">
    <cfRule type="expression" dxfId="15" priority="311">
      <formula>INDEX(total_a,4) &lt; INDEX(Home_scored_a,4) + INDEX(Away_scored_a,4)</formula>
    </cfRule>
    <cfRule type="expression" dxfId="14" priority="315">
      <formula>INDEX(total_a,4) &gt; INDEX(Home_scored_a,4) + INDEX(Away_scored_a,4)</formula>
    </cfRule>
  </conditionalFormatting>
  <conditionalFormatting sqref="Q2">
    <cfRule type="expression" dxfId="13" priority="281">
      <formula>OR(INDEX(result_a,3)= "w",INDEX(result_a,3)= "dw")</formula>
    </cfRule>
    <cfRule type="expression" dxfId="12" priority="286">
      <formula>OR(INDEX(result_a,3)= "L",INDEX(result_a,3)= "dL")</formula>
    </cfRule>
  </conditionalFormatting>
  <conditionalFormatting sqref="Q5">
    <cfRule type="expression" dxfId="11" priority="310">
      <formula>INDEX(total_a,3) &lt; INDEX(Home_scored_a,3) + INDEX(Away_scored_a,3)</formula>
    </cfRule>
    <cfRule type="expression" dxfId="10" priority="314">
      <formula>INDEX(total_a,3) &gt; INDEX(Home_scored_a,3) + INDEX(Away_scored_a,3)</formula>
    </cfRule>
  </conditionalFormatting>
  <conditionalFormatting sqref="R2">
    <cfRule type="expression" dxfId="9" priority="280">
      <formula>OR(INDEX(result_a,2)= "w",INDEX(result_a,2)= "dw")</formula>
    </cfRule>
    <cfRule type="expression" dxfId="8" priority="285">
      <formula>OR(INDEX(result_a,2)= "L",INDEX(result_a,2)= "dL")</formula>
    </cfRule>
  </conditionalFormatting>
  <conditionalFormatting sqref="R5">
    <cfRule type="expression" dxfId="7" priority="309">
      <formula>INDEX(total_a,2) &lt; INDEX(Home_scored_a,2) + INDEX(Away_scored_a,2)</formula>
    </cfRule>
    <cfRule type="expression" dxfId="6" priority="313">
      <formula>INDEX(total_a,2) &gt; INDEX(Home_scored_a,2) + INDEX(Away_scored_a,2)</formula>
    </cfRule>
  </conditionalFormatting>
  <conditionalFormatting sqref="S2">
    <cfRule type="expression" dxfId="5" priority="279">
      <formula>OR(INDEX(result_a,1)= "w",INDEX(result_a,1)= "dw")</formula>
    </cfRule>
    <cfRule type="expression" dxfId="4" priority="284">
      <formula>OR(INDEX(result_a,1)= "L",INDEX(result_a,1)= "dL")</formula>
    </cfRule>
  </conditionalFormatting>
  <conditionalFormatting sqref="S5">
    <cfRule type="expression" dxfId="3" priority="308">
      <formula>INDEX(total_a,1) &lt; INDEX(Home_scored_a,1) + INDEX(Away_scored_a,1)</formula>
    </cfRule>
    <cfRule type="expression" dxfId="2" priority="312">
      <formula>INDEX(total_a,1) &gt; INDEX(Home_scored_a,1) + INDEX(Away_scored_a,1)</formula>
    </cfRule>
  </conditionalFormatting>
  <dataValidations count="1">
    <dataValidation type="list" allowBlank="1" showInputMessage="1" showErrorMessage="1" sqref="A1:E1 O1" xr:uid="{C5DE95B3-127D-4AEB-85B5-155DB8D9FE19}">
      <formula1>TeamsName</formula1>
    </dataValidation>
  </dataValidations>
  <pageMargins left="0.7" right="0.7" top="0.75" bottom="0.75" header="0.3" footer="0.3"/>
  <pageSetup paperSize="9" orientation="portrait" horizontalDpi="200" verticalDpi="200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05" id="{00000000-000E-0000-0000-000027000000}">
            <xm:f>INDEX(FGA,9)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306" id="{00000000-000E-0000-0000-000028000000}">
            <xm:f>INDEX(FGA,9) &lt; check_data!$B$2</xm:f>
            <x14:dxf>
              <fill>
                <patternFill>
                  <bgColor rgb="FF92D050"/>
                </patternFill>
              </fill>
            </x14:dxf>
          </x14:cfRule>
          <xm:sqref>A8</xm:sqref>
        </x14:conditionalFormatting>
        <x14:conditionalFormatting xmlns:xm="http://schemas.microsoft.com/office/excel/2006/main">
          <x14:cfRule type="expression" priority="274" id="{00000000-000E-0000-0000-000008000000}">
            <xm:f>INDEX(FGM,9)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76" id="{00000000-000E-0000-0000-00000A000000}">
            <xm:f>INDEX(FGM,9) &gt;check_data!$A$2</xm:f>
            <x14:dxf>
              <fill>
                <patternFill>
                  <bgColor rgb="FFFF0000"/>
                </patternFill>
              </fill>
            </x14:dxf>
          </x14:cfRule>
          <xm:sqref>A9</xm:sqref>
        </x14:conditionalFormatting>
        <x14:conditionalFormatting xmlns:xm="http://schemas.microsoft.com/office/excel/2006/main">
          <x14:cfRule type="expression" priority="268" id="{00000000-000E-0000-0000-000002000000}">
            <xm:f>INDEX(FGp,9)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70" id="{00000000-000E-0000-0000-000004000000}">
            <xm:f>INDEX(FGp,9) &lt; check_data!$B$2</xm:f>
            <x14:dxf>
              <fill>
                <patternFill>
                  <bgColor rgb="FF92D050"/>
                </patternFill>
              </fill>
            </x14:dxf>
          </x14:cfRule>
          <xm:sqref>A10</xm:sqref>
        </x14:conditionalFormatting>
        <x14:conditionalFormatting xmlns:xm="http://schemas.microsoft.com/office/excel/2006/main">
          <x14:cfRule type="expression" priority="261" id="{B88FEBA6-19A7-4B67-B83B-9C751A311FC5}">
            <xm:f>INDEX(P2A,9)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63" id="{2FD8489C-0D9D-40C5-8B85-68F6FD317C90}">
            <xm:f>INDEX(P2A,9) &gt; check_data!$A$2</xm:f>
            <x14:dxf>
              <fill>
                <patternFill>
                  <bgColor rgb="FFFF0000"/>
                </patternFill>
              </fill>
            </x14:dxf>
          </x14:cfRule>
          <xm:sqref>A12</xm:sqref>
        </x14:conditionalFormatting>
        <x14:conditionalFormatting xmlns:xm="http://schemas.microsoft.com/office/excel/2006/main">
          <x14:cfRule type="expression" priority="255" id="{DE447050-6BE2-4520-917B-5729A4E148A2}">
            <xm:f>INDEX(P2M,9)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7" id="{575AD7CA-05FD-4FDD-8DE9-B36D0B6B2063}">
            <xm:f>INDEX(P2M,9) &gt; check_data!$A$2</xm:f>
            <x14:dxf>
              <fill>
                <patternFill>
                  <bgColor rgb="FFFF0000"/>
                </patternFill>
              </fill>
            </x14:dxf>
          </x14:cfRule>
          <xm:sqref>A13</xm:sqref>
        </x14:conditionalFormatting>
        <x14:conditionalFormatting xmlns:xm="http://schemas.microsoft.com/office/excel/2006/main">
          <x14:cfRule type="expression" priority="249" id="{EFDD0CA5-B6BB-4388-9742-E7DDB5407D92}">
            <xm:f>INDEX(P2p,9)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1" id="{0E91BF58-6688-4CDF-9B69-3AD59F27C06B}">
            <xm:f>INDEX(P2p,9) &gt; check_data!$A$2</xm:f>
            <x14:dxf>
              <fill>
                <patternFill>
                  <bgColor rgb="FFFF0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expression" priority="243" id="{D43F0B1F-BCFF-4DD7-B4FD-595FC92092D5}">
            <xm:f>INDEX(P3A,9)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45" id="{257E24DD-1152-4366-838F-40F42B4AA7F6}">
            <xm:f>INDEX(P3A,9) &gt; check_data!$A$2</xm:f>
            <x14:dxf>
              <fill>
                <patternFill>
                  <bgColor rgb="FFFF0000"/>
                </patternFill>
              </fill>
            </x14:dxf>
          </x14:cfRule>
          <xm:sqref>A16</xm:sqref>
        </x14:conditionalFormatting>
        <x14:conditionalFormatting xmlns:xm="http://schemas.microsoft.com/office/excel/2006/main">
          <x14:cfRule type="expression" priority="237" id="{2BEB4B00-6148-4238-9EB0-7E23D17E2C6D}">
            <xm:f>INDEX(P3M,9)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9" id="{D0896885-6CBC-4667-9072-8487B5A649FA}">
            <xm:f>INDEX(P3M,9) &gt; check_data!$A$2</xm:f>
            <x14:dxf>
              <fill>
                <patternFill>
                  <bgColor rgb="FFFF0000"/>
                </patternFill>
              </fill>
            </x14:dxf>
          </x14:cfRule>
          <xm:sqref>A17</xm:sqref>
        </x14:conditionalFormatting>
        <x14:conditionalFormatting xmlns:xm="http://schemas.microsoft.com/office/excel/2006/main">
          <x14:cfRule type="expression" priority="231" id="{B435EE17-B02F-4119-894A-CB600280CAAD}">
            <xm:f>INDEX(P3p,9)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3" id="{5FB1A1AB-C8EA-4470-8237-5813519EFA5B}">
            <xm:f>INDEX(P3p,9) &gt; check_data!$A$2</xm:f>
            <x14:dxf>
              <fill>
                <patternFill>
                  <bgColor rgb="FFFF0000"/>
                </patternFill>
              </fill>
            </x14:dxf>
          </x14:cfRule>
          <xm:sqref>A18</xm:sqref>
        </x14:conditionalFormatting>
        <x14:conditionalFormatting xmlns:xm="http://schemas.microsoft.com/office/excel/2006/main">
          <x14:cfRule type="expression" priority="225" id="{D9EE1084-D84B-4F69-A5DB-FF73AF742859}">
            <xm:f>INDEX(FTA,9)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7" id="{DE23F4B0-38BA-4E0E-A7E2-7E1324A7A6CE}">
            <xm:f>INDEX(FTA,9) &gt; check_data!$A$2</xm:f>
            <x14:dxf>
              <fill>
                <patternFill>
                  <bgColor rgb="FFFF0000"/>
                </patternFill>
              </fill>
            </x14:dxf>
          </x14:cfRule>
          <xm:sqref>A20</xm:sqref>
        </x14:conditionalFormatting>
        <x14:conditionalFormatting xmlns:xm="http://schemas.microsoft.com/office/excel/2006/main">
          <x14:cfRule type="expression" priority="219" id="{5CA3810D-D4DA-4C8B-9EF0-AEA83F8AC0A4}">
            <xm:f>INDEX(FTM,9)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1" id="{C1FD5E38-5EEE-40DE-BE9C-D551A37519FD}">
            <xm:f>INDEX(FTM,9) &gt; check_data!$A$2</xm:f>
            <x14:dxf>
              <fill>
                <patternFill>
                  <bgColor rgb="FFFF0000"/>
                </patternFill>
              </fill>
            </x14:dxf>
          </x14:cfRule>
          <xm:sqref>A21</xm:sqref>
        </x14:conditionalFormatting>
        <x14:conditionalFormatting xmlns:xm="http://schemas.microsoft.com/office/excel/2006/main">
          <x14:cfRule type="expression" priority="213" id="{04E3F902-F8A4-46EA-A043-D2E4681C8E4F}">
            <xm:f>INDEX(FTp,9)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15" id="{837C2F61-58D0-40C8-8866-077D00920626}">
            <xm:f>INDEX(FTp,9) &gt; check_data!$A$2</xm:f>
            <x14:dxf>
              <fill>
                <patternFill>
                  <bgColor rgb="FFFF0000"/>
                </patternFill>
              </fill>
            </x14:dxf>
          </x14:cfRule>
          <xm:sqref>A22</xm:sqref>
        </x14:conditionalFormatting>
        <x14:conditionalFormatting xmlns:xm="http://schemas.microsoft.com/office/excel/2006/main">
          <x14:cfRule type="expression" priority="303" id="{00000000-000E-0000-0000-000025000000}">
            <xm:f>INDEX(FGA_a,9) &gt;check_data!$A$2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304" id="{00000000-000E-0000-0000-000026000000}">
            <xm:f>INDEX(FGA_a,9) &lt; check_data!$B$2</xm:f>
            <x14:dxf>
              <fill>
                <patternFill>
                  <bgColor rgb="FF92D050"/>
                </patternFill>
              </fill>
            </x14:dxf>
          </x14:cfRule>
          <xm:sqref>C8</xm:sqref>
        </x14:conditionalFormatting>
        <x14:conditionalFormatting xmlns:xm="http://schemas.microsoft.com/office/excel/2006/main">
          <x14:cfRule type="expression" priority="273" id="{00000000-000E-0000-0000-000007000000}">
            <xm:f>INDEX(FGM_a,9)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75" id="{00000000-000E-0000-0000-000009000000}">
            <xm:f>INDEX(FGM_a,9) &gt; check_data!$A$2</xm:f>
            <x14:dxf>
              <fill>
                <patternFill>
                  <bgColor rgb="FFFF0000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expression" priority="267" id="{00000000-000E-0000-0000-000001000000}">
            <xm:f>INDEX(FGp_a,9)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69" id="{00000000-000E-0000-0000-000003000000}">
            <xm:f>INDEX(FGp_a,9) &lt; check_data!$B$2</xm:f>
            <x14:dxf>
              <fill>
                <patternFill>
                  <bgColor rgb="FF92D050"/>
                </patternFill>
              </fill>
            </x14:dxf>
          </x14:cfRule>
          <xm:sqref>C10</xm:sqref>
        </x14:conditionalFormatting>
        <x14:conditionalFormatting xmlns:xm="http://schemas.microsoft.com/office/excel/2006/main">
          <x14:cfRule type="expression" priority="260" id="{E932B985-E68E-48C6-8040-9DFE4AFFA5CE}">
            <xm:f>INDEX(P2A_a,9)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62" id="{666E2F66-BEE7-464E-9972-EDB100413A27}">
            <xm:f>INDEX(P2A_a,9) &gt; check_data!$A$2</xm:f>
            <x14:dxf>
              <fill>
                <patternFill>
                  <bgColor rgb="FFFF0000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expression" priority="254" id="{CE8381BC-3AB2-4389-8C2F-8BE99EE528F0}">
            <xm:f>INDEX(P2M_a,9)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6" id="{5CA75DE9-EF64-46A7-B8A6-E9957E144F4C}">
            <xm:f>INDEX(P2M_a,9) &gt; check_data!$A$2</xm:f>
            <x14:dxf>
              <fill>
                <patternFill>
                  <bgColor rgb="FFFF0000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expression" priority="248" id="{7B732E23-34C1-4566-BE39-09546CA4E867}">
            <xm:f>INDEX(p2p_a,9)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0" id="{6C997D75-0EDE-4246-BF0D-5251A6A00C44}">
            <xm:f>INDEX(p2p_a,9) &gt; check_data!$A$2</xm:f>
            <x14:dxf>
              <fill>
                <patternFill>
                  <bgColor rgb="FFFF0000"/>
                </patternFill>
              </fill>
            </x14:dxf>
          </x14:cfRule>
          <xm:sqref>C14</xm:sqref>
        </x14:conditionalFormatting>
        <x14:conditionalFormatting xmlns:xm="http://schemas.microsoft.com/office/excel/2006/main">
          <x14:cfRule type="expression" priority="242" id="{D5EEBBB7-2D56-449B-B542-D25A3EABD526}">
            <xm:f>INDEX(p3a_a,9)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44" id="{EB86FE9B-8DD6-43CD-8F8F-0525521A468E}">
            <xm:f>INDEX(p3a_a,9) &gt; check_data!$A$2</xm:f>
            <x14:dxf>
              <fill>
                <patternFill>
                  <bgColor rgb="FFFF0000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expression" priority="236" id="{89609068-E10F-4D1D-842B-3A1C1286C9C5}">
            <xm:f>INDEX(p3m_a,9)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8" id="{81FC9591-A79A-4DF5-93D6-E5410E41E8B5}">
            <xm:f>INDEX(p3m_a,9) &gt; check_data!$A$2</xm:f>
            <x14:dxf>
              <fill>
                <patternFill>
                  <bgColor rgb="FFFF0000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expression" priority="230" id="{EBA12490-B664-4D73-B62B-4B2B0B693883}">
            <xm:f>INDEX(p3p_a,9)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2" id="{8250D74F-ED14-4ED8-88F4-4861C4D24C03}">
            <xm:f>INDEX(p3p_a,9) &gt; check_data!$A$2</xm:f>
            <x14:dxf>
              <fill>
                <patternFill>
                  <bgColor rgb="FFFF0000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expression" priority="224" id="{B4E101D7-FA70-4B52-9BA7-43E191770E47}">
            <xm:f>INDEX(fta_a,9)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6" id="{6D9DC205-C1E2-41DC-B0DE-A73FC398FA37}">
            <xm:f>INDEX(fta_a,9) &gt; check_data!$A$2</xm:f>
            <x14:dxf>
              <fill>
                <patternFill>
                  <bgColor rgb="FFFF0000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218" id="{A31C73E6-3061-4C09-A2E3-EC4039C5B995}">
            <xm:f>INDEX(ftm_a,9)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0" id="{BE48A6A7-13C6-430C-B842-64BCE3697BB5}">
            <xm:f>INDEX(ftm_a,9) &gt; check_data!$A$2</xm:f>
            <x14:dxf>
              <fill>
                <patternFill>
                  <bgColor rgb="FFFF0000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expression" priority="212" id="{924ED68F-9A07-438F-BA29-7BE4D0177BE7}">
            <xm:f>INDEX(ftp_a,9)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14" id="{60F7247C-80CD-4F65-9143-E94FF4632173}">
            <xm:f>INDEX(ftp_a,9) &gt; check_data!$A$2</xm:f>
            <x14:dxf>
              <fill>
                <patternFill>
                  <bgColor rgb="FFFF0000"/>
                </patternFill>
              </fill>
            </x14:dxf>
          </x14:cfRule>
          <xm:sqref>C22</xm:sqref>
        </x14:conditionalFormatting>
        <x14:conditionalFormatting xmlns:xm="http://schemas.microsoft.com/office/excel/2006/main">
          <x14:cfRule type="expression" priority="207" id="{0EE3A8B1-8546-4DBB-8311-68264D207494}">
            <xm:f>INDEX(TRB,9)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9" id="{DAF98918-3A0E-4549-9A5E-A0CA848051C5}">
            <xm:f>INDEX(TRB,9) &gt; check_data!$A$2</xm:f>
            <x14:dxf>
              <fill>
                <patternFill>
                  <bgColor rgb="FFFF0000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201" id="{DE3FEDF9-C2F8-4804-82ED-C27D0AA708F0}">
            <xm:f>INDEX(ORB,9)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3" id="{59D5680C-850B-4CFB-9BA2-E57DA421D467}">
            <xm:f>INDEX(ORB,9) &gt; check_data!$A$2</xm:f>
            <x14:dxf>
              <fill>
                <patternFill>
                  <bgColor rgb="FFFF000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95" id="{958F233E-B2B2-4FF6-A0C6-ED9FB34A1128}">
            <xm:f>INDEX(DRB,9)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7" id="{0D49BCF2-FF66-4235-ADDD-173E3963D474}">
            <xm:f>INDEX(DRB,9) &gt; check_data!$A$2</xm:f>
            <x14:dxf>
              <fill>
                <patternFill>
                  <bgColor rgb="FFFF0000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89" id="{9EB5A22D-A032-4ED3-AC32-A42F6C640F3D}">
            <xm:f>INDEX(BLK,9)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1" id="{654CD91A-CBA1-4A1F-8A53-8B456060BFF3}">
            <xm:f>INDEX(BLK,9) &gt; check_data!$A$2</xm:f>
            <x14:dxf>
              <fill>
                <patternFill>
                  <bgColor rgb="FFFF0000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expression" priority="183" id="{FA3AA27D-10D7-429C-9C62-F36BDA3A32E6}">
            <xm:f>INDEX(AST,9)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85" id="{2097ACBB-771B-4C4C-B265-0DA9BD47604B}">
            <xm:f>INDEX(AST,9) &gt; check_data!$A$2</xm:f>
            <x14:dxf>
              <fill>
                <patternFill>
                  <bgColor rgb="FFFF0000"/>
                </patternFill>
              </fill>
            </x14:dxf>
          </x14:cfRule>
          <xm:sqref>E13</xm:sqref>
        </x14:conditionalFormatting>
        <x14:conditionalFormatting xmlns:xm="http://schemas.microsoft.com/office/excel/2006/main">
          <x14:cfRule type="expression" priority="177" id="{508E750C-7C31-456D-A2A5-6AB72AF04EAC}">
            <xm:f>INDEX(STL,9)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9" id="{422DDF85-455F-41FA-BC10-ACE8D507C557}">
            <xm:f>INDEX(STL,9) &gt; check_data!$A$2</xm:f>
            <x14:dxf>
              <fill>
                <patternFill>
                  <bgColor rgb="FFFF0000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expression" priority="171" id="{F3755CBA-D7B1-4BCC-91B5-AF7067B2216E}">
            <xm:f>INDEX(tov,9)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3" id="{6EC3A636-51DB-4D8B-BB44-D4FA67BFEA6A}">
            <xm:f>INDEX(tov,9) &gt; check_data!$A$2</xm:f>
            <x14:dxf>
              <fill>
                <patternFill>
                  <bgColor rgb="FFFF0000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expression" priority="165" id="{B5905C32-3620-456A-ADAE-5CBFF25F33C3}">
            <xm:f>INDEX(pf,9)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7" id="{F1994D1C-E851-4E79-98D5-6378852201EE}">
            <xm:f>INDEX(pf,9) &gt; check_data!$A$2</xm:f>
            <x14:dxf>
              <fill>
                <patternFill>
                  <bgColor rgb="FFFF0000"/>
                </patternFill>
              </fill>
            </x14:dxf>
          </x14:cfRule>
          <xm:sqref>E16</xm:sqref>
        </x14:conditionalFormatting>
        <x14:conditionalFormatting xmlns:xm="http://schemas.microsoft.com/office/excel/2006/main">
          <x14:cfRule type="expression" priority="159" id="{23353869-9F2B-427E-B17E-E297AF634359}">
            <xm:f>INDEX(poss,9)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1" id="{0A8EF7B3-C0D1-48CF-9622-3CE9F664BC62}">
            <xm:f>INDEX(poss,9) &gt; check_data!$A$2</xm:f>
            <x14:dxf>
              <fill>
                <patternFill>
                  <bgColor rgb="FFFF0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expression" priority="153" id="{3DBBAE5C-6C44-4846-A28E-B8689DF40F59}">
            <xm:f>INDEX(pace,9)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5" id="{AAEFAB37-29E5-41D4-B32D-1801A0CD48EC}">
            <xm:f>INDEX(pace,9) &gt; check_data!$A$2</xm:f>
            <x14:dxf>
              <fill>
                <patternFill>
                  <bgColor rgb="FFFF0000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expression" priority="147" id="{F3E2ABC0-A8C9-491B-90AD-DCC81E3F28C0}">
            <xm:f>INDEX(trbp,9)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9" id="{F2310731-C111-4F8F-A933-FD1FACA8A826}">
            <xm:f>INDEX(trbp,9) &gt; check_data!$A$2</xm:f>
            <x14:dxf>
              <fill>
                <patternFill>
                  <bgColor rgb="FFFF0000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expression" priority="141" id="{056F758C-5C9C-4573-9952-523AEBFAE7B6}">
            <xm:f>INDEX(astp,9)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3" id="{CC6FDDBC-576A-470C-87BE-D6D5B2DDD056}">
            <xm:f>INDEX(astp,9) &gt; check_data!$A$2</xm:f>
            <x14:dxf>
              <fill>
                <patternFill>
                  <bgColor rgb="FFFF0000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expression" priority="135" id="{B08716D5-68ED-4AFF-BBAD-5D3B4AFB4E8D}">
            <xm:f>INDEX(tsp,9)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7" id="{E6D7A624-0312-4DEF-99E7-A3D585A8290E}">
            <xm:f>INDEX(tsp,9) &gt; check_data!$A$2</xm:f>
            <x14:dxf>
              <fill>
                <patternFill>
                  <bgColor rgb="FFFF0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expression" priority="206" id="{C4D93330-6133-4353-BFE4-4F574F8A8F0F}">
            <xm:f>INDEX(trb_a,9)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8" id="{779097C6-8FF7-4CEA-9EFF-0323FF35469F}">
            <xm:f>INDEX(trb_a,9) &gt; check_data!$A$2</xm:f>
            <x14:dxf>
              <fill>
                <patternFill>
                  <bgColor rgb="FFFF000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200" id="{E2746C43-6FA8-4647-BC83-775A874F1105}">
            <xm:f>INDEX(orb_a,9)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2" id="{F062221E-1914-4EAE-9115-97BA6D1F490C}">
            <xm:f>INDEX(orb_a,9) &gt; check_data!$A$2</xm:f>
            <x14:dxf>
              <fill>
                <patternFill>
                  <bgColor rgb="FFFF0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194" id="{2BEB61DB-57D0-44DB-AA45-E6F388D6F9D9}">
            <xm:f>INDEX(drb_a,9)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6" id="{27709F8D-A1A3-4882-8A98-1A4448BE6D88}">
            <xm:f>INDEX(drb_a,9) &gt; check_data!$A$2</xm:f>
            <x14:dxf>
              <fill>
                <patternFill>
                  <bgColor rgb="FFFF0000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188" id="{33E8460A-8443-4646-8740-B0F22D67EE4E}">
            <xm:f>INDEX(blk_a,9)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0" id="{FD8E54A5-909E-4C95-BD9D-05FD1F7F270C}">
            <xm:f>INDEX(blk_a,9) &gt; check_data!$A$2</xm:f>
            <x14:dxf>
              <fill>
                <patternFill>
                  <bgColor rgb="FFFF0000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expression" priority="182" id="{D3F987C3-CD4E-4459-A61F-9D07C7D7600B}">
            <xm:f>INDEX(ast_a,9)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84" id="{CB1F2E43-C289-4DF0-8A9B-AD674D3CB4DD}">
            <xm:f>INDEX(ast_a,9) &gt; check_data!$A$2</xm:f>
            <x14:dxf>
              <fill>
                <patternFill>
                  <bgColor rgb="FFFF000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expression" priority="176" id="{BD7D9226-F19E-45AF-A27D-A988AE0234FA}">
            <xm:f>INDEX(stl_a,9)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8" id="{6D8C7A63-DC2E-4D31-9896-83E1F3F88318}">
            <xm:f>INDEX(stl_a,9) &gt; check_data!$A$2</xm:f>
            <x14:dxf>
              <fill>
                <patternFill>
                  <bgColor rgb="FFFF0000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expression" priority="170" id="{170893A6-F521-430A-89F4-E323A536AC2D}">
            <xm:f>INDEX(tov_a,9)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2" id="{7F071F15-1749-43A8-8242-4DCB3B5250BF}">
            <xm:f>INDEX(tov_a,9) &gt; check_data!$A$2</xm:f>
            <x14:dxf>
              <fill>
                <patternFill>
                  <bgColor rgb="FFFF0000"/>
                </patternFill>
              </fill>
            </x14:dxf>
          </x14:cfRule>
          <xm:sqref>G15</xm:sqref>
        </x14:conditionalFormatting>
        <x14:conditionalFormatting xmlns:xm="http://schemas.microsoft.com/office/excel/2006/main">
          <x14:cfRule type="expression" priority="164" id="{015AEA0D-4BE8-4ED8-B2C3-C2D50B0A0C9C}">
            <xm:f>INDEX(pf_a,9)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6" id="{C3CC024C-F5F9-4C4C-AE9C-A51F058825E2}">
            <xm:f>INDEX(pf_a,9) &gt; check_data!$A$2</xm:f>
            <x14:dxf>
              <fill>
                <patternFill>
                  <bgColor rgb="FFFF00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expression" priority="158" id="{F5FA3BA8-39B1-451D-B8D1-862AB37CFA37}">
            <xm:f>INDEX(poss_a,9)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0" id="{96EAF99E-4EF2-4865-99E2-24382806BF52}">
            <xm:f>INDEX(poss_a,9) &gt; check_data!$A$2</xm:f>
            <x14:dxf>
              <fill>
                <patternFill>
                  <bgColor rgb="FFFF0000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expression" priority="152" id="{C8E870AF-0FE7-49A4-A862-7FD135B8C946}">
            <xm:f>INDEX(pace_a,9)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4" id="{AFCE0A7C-31FD-40B0-873D-D1E92FE96005}">
            <xm:f>INDEX(pace_a,9) &gt; check_data!$A$2</xm:f>
            <x14:dxf>
              <fill>
                <patternFill>
                  <bgColor rgb="FFFF00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expression" priority="146" id="{BA4FE903-8F37-4E34-AE1C-2ADDECA1D945}">
            <xm:f>INDEX(trbp_a,9)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8" id="{663F8970-9BE7-46F6-95E1-1717E1051614}">
            <xm:f>INDEX(trbp_a,9) &gt; check_data!$A$2</xm:f>
            <x14:dxf>
              <fill>
                <patternFill>
                  <bgColor rgb="FFFF0000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expression" priority="140" id="{B4E5D87F-47DC-4D9B-B299-71BB62809AC1}">
            <xm:f>INDEX(astp_a,9)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2" id="{25115129-BB3C-486A-AA06-97A3C6C29742}">
            <xm:f>INDEX(astp_a,9) &gt; check_data!$A$2</xm:f>
            <x14:dxf>
              <fill>
                <patternFill>
                  <bgColor rgb="FFFF0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expression" priority="134" id="{8B069F56-4BFE-4E50-8EF0-D5A16994CA61}">
            <xm:f>INDEX(tsp_a,9)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6" id="{2BF2B9AF-8F30-4177-A736-35043BBBB95F}">
            <xm:f>INDEX(tsp_a,9) &gt; check_data!$A$2</xm:f>
            <x14:dxf>
              <fill>
                <patternFill>
                  <bgColor rgb="FFFF0000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expression" priority="129" id="{4D1497E5-5EF0-4FE6-9ACB-20E8639F1ED8}">
            <xm:f>INDEX(efgp,9)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1" id="{2AC2FB9F-B20B-4CFB-BF81-6209C138F0AB}">
            <xm:f>INDEX(efgp,9) &gt; check_data!$A$2</xm:f>
            <x14:dxf>
              <fill>
                <patternFill>
                  <bgColor rgb="FFFF0000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expression" priority="123" id="{AEB13094-263D-4C32-A6D0-EA690406DA33}">
            <xm:f>INDEX(tovp,9)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5" id="{0BA0B8BA-C0C6-457A-AA58-366AE7102F2B}">
            <xm:f>INDEX(tovp,9) &gt; check_data!$A$2</xm:f>
            <x14:dxf>
              <fill>
                <patternFill>
                  <bgColor rgb="FFFF0000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expression" priority="117" id="{FFF2A711-946B-45EE-A326-8ACF0D55A81C}">
            <xm:f>INDEX(orbp,9)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9" id="{FF63AD8D-3A4C-43BB-9A74-3E4775B46BE7}">
            <xm:f>INDEX(orbp,9) &gt; check_data!$A$2</xm:f>
            <x14:dxf>
              <fill>
                <patternFill>
                  <bgColor rgb="FFFF0000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expression" priority="111" id="{F54A41CA-16A5-4F70-91F4-15B588877D93}">
            <xm:f>INDEX(ftfga,9)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3" id="{39151E04-11CF-4EFC-8634-1462444E168B}">
            <xm:f>INDEX(ftfga,9) &gt; check_data!$A$2</xm:f>
            <x14:dxf>
              <fill>
                <patternFill>
                  <bgColor rgb="FFFF0000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expression" priority="105" id="{BAFB8C69-F43D-42A6-9F14-6F70640DAF4B}">
            <xm:f>INDEX(ortg,9)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7" id="{AC27DE24-1A8D-49AA-B7AB-15897844FA54}">
            <xm:f>INDEX(ortg,9) &gt; check_data!$A$2</xm:f>
            <x14:dxf>
              <font>
                <b val="0"/>
                <i val="0"/>
              </font>
              <fill>
                <patternFill>
                  <bgColor rgb="FFFF0000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expression" priority="99" id="{65438974-4C92-4C83-9194-2EF0FCECCB6D}">
            <xm:f>INDEX(drtg,9)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1" id="{D394BA87-27EB-4B1E-9F48-4C4576F81F67}">
            <xm:f>INDEX(drtg,9) &gt; check_data!$A$2</xm:f>
            <x14:dxf>
              <fill>
                <patternFill>
                  <bgColor rgb="FFFF0000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expression" priority="93" id="{5F572C4A-4E94-40F0-989B-E973046065B0}">
            <xm:f>INDEX(scored,9)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95" id="{A50D8ACC-4193-4082-9F14-DE600EF8DD09}">
            <xm:f>INDEX(scored,9) &gt; check_data!$A$2</xm:f>
            <x14:dxf>
              <fill>
                <patternFill>
                  <bgColor rgb="FFFF0000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expression" priority="87" id="{6C430D17-4131-4682-9694-8A3AFC3CCE43}">
            <xm:f>INDEX(efgpo,9)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9" id="{A48334A8-8B73-427A-B766-14C3D64AC8CB}">
            <xm:f>INDEX(efgpo,9) &gt; check_data!$A$2</xm:f>
            <x14:dxf>
              <fill>
                <patternFill>
                  <bgColor rgb="FFFF0000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expression" priority="81" id="{948CAFCD-E2F8-407E-AABA-02E24026BCA7}">
            <xm:f>INDEX(tovpo,9)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3" id="{E1BFB17E-DD44-4D86-AAAC-1135442FDDCE}">
            <xm:f>INDEX(tovpo,9) &gt; check_data!$A$2</xm:f>
            <x14:dxf>
              <fill>
                <patternFill>
                  <bgColor rgb="FFFF0000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expression" priority="75" id="{1E44FD31-9E02-462C-BECD-023F375FBD28}">
            <xm:f>INDEX(orbpo,9)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7" id="{7EA3945E-2AEE-4E10-B2FB-5373B48B077B}">
            <xm:f>INDEX(orbpo,9) &gt; check_data!$A$2</xm:f>
            <x14:dxf>
              <fill>
                <patternFill>
                  <bgColor rgb="FFFF0000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expression" priority="69" id="{A3D6D86E-95E8-4039-8AB2-2AEB143086A7}">
            <xm:f>INDEX(ftfgao,9)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1" id="{B1DAC36C-7220-471D-880D-7AB42F5E4E57}">
            <xm:f>INDEX(ftfgao,9) &gt; check_data!$A$2</xm:f>
            <x14:dxf>
              <fill>
                <patternFill>
                  <bgColor rgb="FFFF0000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expression" priority="63" id="{14A8C114-B163-48CD-82A6-E1A36CB08BC8}">
            <xm:f>INDEX(allowed,9)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65" id="{3BFF1DA3-B205-4D95-AA84-783E3442BDD5}">
            <xm:f>INDEX(allowed,9) &gt; check_data!$A$2</xm:f>
            <x14:dxf>
              <fill>
                <patternFill>
                  <bgColor rgb="FFFF0000"/>
                </patternFill>
              </fill>
            </x14:dxf>
          </x14:cfRule>
          <xm:sqref>I20</xm:sqref>
        </x14:conditionalFormatting>
        <x14:conditionalFormatting xmlns:xm="http://schemas.microsoft.com/office/excel/2006/main">
          <x14:cfRule type="expression" priority="128" id="{6ADDABD7-3CC2-4A9B-8D95-1BAC8201C78E}">
            <xm:f>INDEX(efgp_a,9)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0" id="{D282A1EE-2D63-46DA-9966-1B1340728F54}">
            <xm:f>INDEX(efgp_a,9) &gt; check_data!$A$2</xm:f>
            <x14:dxf>
              <fill>
                <patternFill>
                  <bgColor rgb="FFFF0000"/>
                </patternFill>
              </fill>
            </x14:dxf>
          </x14:cfRule>
          <xm:sqref>K8</xm:sqref>
        </x14:conditionalFormatting>
        <x14:conditionalFormatting xmlns:xm="http://schemas.microsoft.com/office/excel/2006/main">
          <x14:cfRule type="expression" priority="122" id="{EF8855B5-33C9-4981-AC58-9D1F1E56A45A}">
            <xm:f>INDEX(tovp_a,9)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4" id="{048C0984-765E-42DD-A490-B36570DB3752}">
            <xm:f>INDEX(tovp_a,9) &gt; check_data!$A$2</xm:f>
            <x14:dxf>
              <fill>
                <patternFill>
                  <bgColor rgb="FFFF0000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expression" priority="116" id="{FD45E5EC-6949-41CA-94F4-08083651D9A5}">
            <xm:f>INDEX(orbp_a,9)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8" id="{BEABB487-91D2-4016-9CF8-A8426FF7AD21}">
            <xm:f>INDEX(orbp_a,9) &gt; check_data!$A$2</xm:f>
            <x14:dxf>
              <fill>
                <patternFill>
                  <bgColor rgb="FFFF0000"/>
                </patternFill>
              </fill>
            </x14:dxf>
          </x14:cfRule>
          <xm:sqref>K10</xm:sqref>
        </x14:conditionalFormatting>
        <x14:conditionalFormatting xmlns:xm="http://schemas.microsoft.com/office/excel/2006/main">
          <x14:cfRule type="expression" priority="110" id="{3CEBE172-505F-4496-8140-F56B035CACA0}">
            <xm:f>INDEX(ftfga_a,9)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2" id="{8684FE73-5BC2-4C26-B970-3304FEC0F9F1}">
            <xm:f>INDEX(ftfga_a,9) &gt; check_data!$A$2</xm:f>
            <x14:dxf>
              <fill>
                <patternFill>
                  <bgColor rgb="FFFF0000"/>
                </patternFill>
              </fill>
            </x14:dxf>
          </x14:cfRule>
          <xm:sqref>K11</xm:sqref>
        </x14:conditionalFormatting>
        <x14:conditionalFormatting xmlns:xm="http://schemas.microsoft.com/office/excel/2006/main">
          <x14:cfRule type="expression" priority="104" id="{88D263A5-9201-4728-A45D-7EFFA93100A0}">
            <xm:f>INDEX(ortg_a,9)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6" id="{E9BC2899-A7A8-47E5-B36C-5387ABBA85EA}">
            <xm:f>INDEX(ortg_a,9) &gt; check_data!$A$2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  <x14:conditionalFormatting xmlns:xm="http://schemas.microsoft.com/office/excel/2006/main">
          <x14:cfRule type="expression" priority="98" id="{7F6A8E14-36EC-4E80-8146-FE56DC445824}">
            <xm:f>INDEX(drtg_a,9)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0" id="{F998489F-5EA0-4B66-A5E2-812E83F60D60}">
            <xm:f>INDEX(drtg_a,9) &gt; check_data!$A$2</xm:f>
            <x14:dxf>
              <fill>
                <patternFill>
                  <bgColor rgb="FFFF0000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expression" priority="92" id="{39DF0073-C9AD-4CDA-A6BF-AFA3B67C3623}">
            <xm:f>INDEX(scored_a,9)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94" id="{8346E99D-CFAE-4354-AD0F-E325425B2062}">
            <xm:f>INDEX(scored_a,9) &gt; check_data!$A$2</xm:f>
            <x14:dxf>
              <fill>
                <patternFill>
                  <bgColor rgb="FFFF0000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expression" priority="86" id="{EF8C967F-0823-440C-8AE9-015592DDC12C}">
            <xm:f>INDEX(efgpo_a,9)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8" id="{973F6DF0-B140-4C30-B82A-C58220EA1D9E}">
            <xm:f>INDEX(efgpo_a,9) &gt; check_data!$A$2</xm:f>
            <x14:dxf>
              <fill>
                <patternFill>
                  <bgColor rgb="FFFF0000"/>
                </patternFill>
              </fill>
            </x14:dxf>
          </x14:cfRule>
          <xm:sqref>K16</xm:sqref>
        </x14:conditionalFormatting>
        <x14:conditionalFormatting xmlns:xm="http://schemas.microsoft.com/office/excel/2006/main">
          <x14:cfRule type="expression" priority="80" id="{BD65F13C-2DF8-4361-976B-39F76348B365}">
            <xm:f>INDEX(tovpo_a,9)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2" id="{BF654BB2-0090-4F94-802F-6DBCDF195AB9}">
            <xm:f>INDEX(tovpo_a,9) &gt; check_data!$A$2</xm:f>
            <x14:dxf>
              <fill>
                <patternFill>
                  <bgColor rgb="FFFF0000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expression" priority="74" id="{C2F10C99-F63E-4F67-9E00-E46D26043C7D}">
            <xm:f>INDEX(orbpo_a,9)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6" id="{D72BBC2B-8E15-4133-B13F-81D86F5B9B8A}">
            <xm:f>INDEX(orbpo_a,9) &gt; check_data!$A$2</xm:f>
            <x14:dxf>
              <fill>
                <patternFill>
                  <bgColor rgb="FFFF0000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expression" priority="68" id="{CAB1A9F2-7AFE-44A2-9C6D-5AC11B051AB5}">
            <xm:f>INDEX(ftfgao_a,9)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0" id="{F825AF9A-C95A-427F-8650-786B492C81AA}">
            <xm:f>INDEX(ftfgao_a,9) &gt; check_data!$A$2</xm:f>
            <x14:dxf>
              <fill>
                <patternFill>
                  <bgColor rgb="FFFF0000"/>
                </patternFill>
              </fill>
            </x14:dxf>
          </x14:cfRule>
          <xm:sqref>K19</xm:sqref>
        </x14:conditionalFormatting>
        <x14:conditionalFormatting xmlns:xm="http://schemas.microsoft.com/office/excel/2006/main">
          <x14:cfRule type="expression" priority="62" id="{8676FAFB-BE9F-4CC4-932F-5E00E41DD149}">
            <xm:f>INDEX(allowed_a,9)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64" id="{291727C8-8DCC-4CA0-A3A1-06D34A60AF07}">
            <xm:f>INDEX(allowed_a,9) &gt; check_data!$A$2</xm:f>
            <x14:dxf>
              <fill>
                <patternFill>
                  <bgColor rgb="FFFF0000"/>
                </patternFill>
              </fill>
            </x14:dxf>
          </x14:cfRule>
          <xm:sqref>K20</xm:sqref>
        </x14:conditionalFormatting>
        <x14:conditionalFormatting xmlns:xm="http://schemas.microsoft.com/office/excel/2006/main">
          <x14:cfRule type="expression" priority="57" id="{E85A8B67-1A60-49DC-92AB-21E3032BC5CF}">
            <xm:f>INDEX(Q1T,9)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9" id="{1418D5F5-1ACC-4AAD-8360-6A9179FEA526}">
            <xm:f>INDEX(Q1T,9) &gt; check_data!$A$2</xm:f>
            <x14:dxf>
              <fill>
                <patternFill>
                  <bgColor rgb="FFFF000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expression" priority="50" id="{789A98F1-6106-41EF-AE9B-787A488C59BF}">
            <xm:f>INDEX(q2t,9)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3" id="{B7942DEB-3DDB-487C-B0D7-1BFF8A3DE839}">
            <xm:f>INDEX(q2t,9) &gt; check_data!$A$2</xm:f>
            <x14:dxf>
              <fill>
                <patternFill>
                  <bgColor rgb="FFFF0000"/>
                </patternFill>
              </fill>
            </x14:dxf>
          </x14:cfRule>
          <xm:sqref>M9</xm:sqref>
        </x14:conditionalFormatting>
        <x14:conditionalFormatting xmlns:xm="http://schemas.microsoft.com/office/excel/2006/main">
          <x14:cfRule type="expression" priority="32" id="{7724A799-D401-4845-8F81-18492D178557}">
            <xm:f>INDEX(q3t,9)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40" id="{C3D9EE4A-45D5-4F9A-BA12-7942078D48A3}">
            <xm:f>INDEX(q3t,9) &gt; check_data!$A$2</xm:f>
            <x14:dxf>
              <fill>
                <patternFill>
                  <bgColor rgb="FFFF0000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expression" priority="31" id="{10C16472-D59C-4DC9-B3D9-86160656B946}">
            <xm:f>INDEX(q4t,9)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9" id="{20D0E14A-F60E-4BA9-AD4C-D650CCA89597}">
            <xm:f>INDEX(q4t,9) &gt; check_data!$A$2</xm:f>
            <x14:dxf>
              <fill>
                <patternFill>
                  <bgColor rgb="FFFF0000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expression" priority="30" id="{182FF7F8-67DE-448B-8320-DDC7D6564F99}">
            <xm:f>INDEX(fht,9)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8" id="{0266901E-381C-4EDE-B3EC-1997E6B14532}">
            <xm:f>INDEX(htt,9) &gt; check_data!$A$2</xm:f>
            <x14:dxf>
              <fill>
                <patternFill>
                  <bgColor rgb="FFFF0000"/>
                </patternFill>
              </fill>
            </x14:dxf>
          </x14:cfRule>
          <xm:sqref>M12</xm:sqref>
        </x14:conditionalFormatting>
        <x14:conditionalFormatting xmlns:xm="http://schemas.microsoft.com/office/excel/2006/main">
          <x14:cfRule type="expression" priority="29" id="{50A7CF4D-CC8D-4C34-A604-1F9687961735}">
            <xm:f>INDEX(sht,9)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7" id="{CD55D5C9-0D31-4DF2-9BAF-BA81873170E9}">
            <xm:f>INDEX(sht,9) &gt; check_data!$A$2</xm:f>
            <x14:dxf>
              <fill>
                <patternFill>
                  <bgColor rgb="FFFF0000"/>
                </patternFill>
              </fill>
            </x14:dxf>
          </x14:cfRule>
          <xm:sqref>M13</xm:sqref>
        </x14:conditionalFormatting>
        <x14:conditionalFormatting xmlns:xm="http://schemas.microsoft.com/office/excel/2006/main">
          <x14:cfRule type="expression" priority="8" id="{04BAB98E-1188-47F3-BE8A-7E275CE1E102}">
            <xm:f>INDEX(beth,9)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" id="{48B9ED68-9E23-4647-BB5A-3040CF63E7BD}">
            <xm:f>INDEX(beth,9) &gt; check_data!$A$2</xm:f>
            <x14:dxf>
              <fill>
                <patternFill>
                  <bgColor rgb="FFFF0000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expression" priority="7" id="{FBF74F1F-CE90-41D7-BE85-96285BA206FE}">
            <xm:f>INDEX(beta,9)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" id="{00708198-9AC0-4723-B6B5-710A484E3D06}">
            <xm:f>INDEX(beta,9) &gt; check_data!$A$2</xm:f>
            <x14:dxf>
              <fill>
                <patternFill>
                  <bgColor rgb="FFFF0000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expression" priority="6" id="{9A0EB2C3-5B43-4CB9-A1EA-B7941CF15C66}">
            <xm:f>INDEX(tover,9)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" id="{7702B100-9EA5-44FA-B853-9146275A3616}">
            <xm:f>INDEX(tover,9) &gt; check_data!$A$2</xm:f>
            <x14:dxf>
              <fill>
                <patternFill>
                  <bgColor rgb="FFFF0000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expression" priority="5" id="{A671AF56-2C09-4F2E-9B8A-395BC5F9AEDF}">
            <xm:f>INDEX(deviation,9)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" id="{5B22A8CE-0FA6-48AF-906C-883675D8DA97}">
            <xm:f>INDEX(deviation,9) &gt; check_data!$A$2</xm:f>
            <x14:dxf>
              <fill>
                <patternFill>
                  <bgColor rgb="FFFF0000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expression" priority="56" id="{B10D43A3-7E8B-45C4-8E9B-04518676C6EF}">
            <xm:f>INDEX(q1t_a,9)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8" id="{E22F5D5E-93AE-42B8-B074-A0804B290BAF}">
            <xm:f>INDEX(q1t_a,9) &gt; check_data!$A$2</xm:f>
            <x14:dxf>
              <fill>
                <patternFill>
                  <bgColor rgb="FFFF0000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expression" priority="49" id="{DB5B2D5B-B2B3-47E8-B0A0-1F0483830395}">
            <xm:f>INDEX(q2t_a,9)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2" id="{9BA30FBE-1855-4958-AC3E-EB152B6C32BF}">
            <xm:f>INDEX(q2t_a,9) &gt; check_data!$A$2</xm:f>
            <x14:dxf>
              <fill>
                <patternFill>
                  <bgColor rgb="FFFF0000"/>
                </patternFill>
              </fill>
            </x14:dxf>
          </x14:cfRule>
          <xm:sqref>O9</xm:sqref>
        </x14:conditionalFormatting>
        <x14:conditionalFormatting xmlns:xm="http://schemas.microsoft.com/office/excel/2006/main">
          <x14:cfRule type="expression" priority="28" id="{113C4BA4-1917-4C01-8FBF-105D31255DDD}">
            <xm:f>INDEX(q3t_a,9)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6" id="{E2727A22-F24F-4D6F-9089-F34F68E6D91B}">
            <xm:f>INDEX(q3t_a,9) &gt; check_data!$A$2</xm:f>
            <x14:dxf>
              <fill>
                <patternFill>
                  <bgColor rgb="FFFF0000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expression" priority="27" id="{BE15BC7D-797E-47A3-997C-3D86BFE3981E}">
            <xm:f>INDEX(q4t_a,9)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5" id="{19B276DF-DBC0-4553-93C5-8419C961BD9D}">
            <xm:f>INDEX(q4t_a,9) &gt; check_data!$A$2</xm:f>
            <x14:dxf>
              <fill>
                <patternFill>
                  <bgColor rgb="FFFF000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expression" priority="26" id="{BB312881-2D53-4970-8BE7-59858D302A88}">
            <xm:f>INDEX(fht_a,9)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4" id="{6047D41A-4EB5-4981-AECF-550937008005}">
            <xm:f>INDEX(fht_a,9) &gt; check_data!$A$2</xm:f>
            <x14:dxf>
              <fill>
                <patternFill>
                  <bgColor rgb="FFFF0000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expression" priority="25" id="{09EFA7C5-C8CE-4428-BC86-F82EA6F8C120}">
            <xm:f>INDEX(sht_a,9)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3" id="{789471BC-997B-4DC1-96D1-3D5BAB00159A}">
            <xm:f>INDEX(sht_a,9) &gt; check_data!$A$2</xm:f>
            <x14:dxf>
              <fill>
                <patternFill>
                  <bgColor rgb="FFFF0000"/>
                </patternFill>
              </fill>
            </x14:dxf>
          </x14:cfRule>
          <xm:sqref>O13</xm:sqref>
        </x14:conditionalFormatting>
        <x14:conditionalFormatting xmlns:xm="http://schemas.microsoft.com/office/excel/2006/main">
          <x14:cfRule type="expression" priority="4" id="{6C60063E-DAC6-42F8-A96C-6D7505216459}">
            <xm:f>INDEX(beth_a,9)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" id="{A3C26E59-7E20-401A-BAAA-C649F7AFF4A1}">
            <xm:f>INDEX(beth_a,9) &gt; check_data!$A$2</xm:f>
            <x14:dxf>
              <fill>
                <patternFill>
                  <bgColor rgb="FFFF0000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expression" priority="3" id="{0965CE36-425C-4F7B-9B5E-F652F4112F0E}">
            <xm:f>INDEX(beta_a,9)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" id="{125F4C01-09A7-422B-BDF1-759679178E85}">
            <xm:f>INDEX(beta_a,9) &gt; check_data!$A$2</xm:f>
            <x14:dxf>
              <fill>
                <patternFill>
                  <bgColor rgb="FFFF0000"/>
                </patternFill>
              </fill>
            </x14:dxf>
          </x14:cfRule>
          <xm:sqref>O17</xm:sqref>
        </x14:conditionalFormatting>
        <x14:conditionalFormatting xmlns:xm="http://schemas.microsoft.com/office/excel/2006/main">
          <x14:cfRule type="expression" priority="2" id="{BF5CD6F0-FC3D-4047-AB90-F5F76DD998D9}">
            <xm:f>INDEX(tover_a,9)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" id="{62FD8744-6821-43C9-9A34-D09F8FAE82B9}">
            <xm:f>INDEX(tover_a,9) &gt; check_data!$A$2</xm:f>
            <x14:dxf>
              <fill>
                <patternFill>
                  <bgColor rgb="FFFF0000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expression" priority="1" id="{DFEEB9B9-FE65-4BBC-AFD1-FA39A734332F}">
            <xm:f>INDEX(deviation_a,9)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9" id="{FC6FFBC6-3C1A-4CCB-A482-2589A11AB22E}">
            <xm:f>INDEX(deviation_a,9) &gt; check_data!$A$2</xm:f>
            <x14:dxf>
              <fill>
                <patternFill>
                  <bgColor rgb="FFFF0000"/>
                </patternFill>
              </fill>
            </x14:dxf>
          </x14:cfRule>
          <xm:sqref>O19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3C36C-16DC-42C5-93A8-532F22C2F907}">
  <sheetPr codeName="Sheet3"/>
  <dimension ref="A1:GD17"/>
  <sheetViews>
    <sheetView workbookViewId="0">
      <pane xSplit="1" topLeftCell="B1" activePane="topRight" state="frozen"/>
      <selection pane="topRight" activeCell="A9" sqref="A9"/>
    </sheetView>
  </sheetViews>
  <sheetFormatPr defaultRowHeight="15" x14ac:dyDescent="0.25"/>
  <cols>
    <col min="2" max="2" width="11.85546875" customWidth="1"/>
    <col min="3" max="3" width="13.42578125" customWidth="1"/>
    <col min="7" max="7" width="10.5703125" bestFit="1" customWidth="1"/>
    <col min="9" max="9" width="9.7109375" customWidth="1"/>
    <col min="13" max="13" width="9.42578125" customWidth="1"/>
    <col min="19" max="19" width="9.42578125" customWidth="1"/>
    <col min="25" max="25" width="9.5703125" bestFit="1" customWidth="1"/>
    <col min="27" max="27" width="9.5703125" bestFit="1" customWidth="1"/>
    <col min="46" max="46" width="10.7109375" customWidth="1"/>
    <col min="47" max="47" width="13" customWidth="1"/>
    <col min="48" max="48" width="11.28515625" customWidth="1"/>
    <col min="49" max="49" width="13.5703125" customWidth="1"/>
    <col min="50" max="50" width="10.5703125" customWidth="1"/>
    <col min="51" max="51" width="12.85546875" customWidth="1"/>
    <col min="52" max="52" width="11" customWidth="1"/>
    <col min="53" max="53" width="13.28515625" customWidth="1"/>
    <col min="54" max="54" width="10.42578125" customWidth="1"/>
    <col min="55" max="55" width="12.7109375" customWidth="1"/>
    <col min="56" max="56" width="10.28515625" customWidth="1"/>
    <col min="57" max="57" width="12.5703125" customWidth="1"/>
    <col min="58" max="58" width="11" customWidth="1"/>
    <col min="59" max="59" width="13.28515625" customWidth="1"/>
    <col min="60" max="60" width="10.42578125" customWidth="1"/>
    <col min="61" max="61" width="12.7109375" customWidth="1"/>
    <col min="62" max="62" width="10.28515625" customWidth="1"/>
    <col min="63" max="63" width="12.5703125" customWidth="1"/>
    <col min="64" max="64" width="10.85546875" customWidth="1"/>
    <col min="65" max="65" width="13.140625" customWidth="1"/>
    <col min="66" max="66" width="10.28515625" customWidth="1"/>
    <col min="67" max="67" width="12.5703125" customWidth="1"/>
    <col min="68" max="68" width="10.140625" customWidth="1"/>
    <col min="69" max="69" width="12.42578125" customWidth="1"/>
    <col min="70" max="70" width="10.7109375" customWidth="1"/>
    <col min="71" max="71" width="13" customWidth="1"/>
    <col min="72" max="72" width="10.5703125" customWidth="1"/>
    <col min="73" max="73" width="12.85546875" customWidth="1"/>
    <col min="74" max="74" width="10.28515625" customWidth="1"/>
    <col min="75" max="75" width="12.5703125" customWidth="1"/>
    <col min="76" max="76" width="10.28515625" customWidth="1"/>
    <col min="77" max="77" width="12.5703125" customWidth="1"/>
    <col min="78" max="78" width="9.85546875" customWidth="1"/>
    <col min="79" max="79" width="12.140625" customWidth="1"/>
    <col min="80" max="80" width="10.140625" customWidth="1"/>
    <col min="81" max="81" width="12.42578125" customWidth="1"/>
    <col min="82" max="82" width="10.7109375" customWidth="1"/>
    <col min="83" max="83" width="13" customWidth="1"/>
    <col min="85" max="85" width="11.42578125" customWidth="1"/>
    <col min="89" max="89" width="10.140625" customWidth="1"/>
    <col min="91" max="91" width="10.28515625" customWidth="1"/>
    <col min="93" max="93" width="10.140625" customWidth="1"/>
    <col min="95" max="95" width="9.85546875" customWidth="1"/>
    <col min="97" max="97" width="9.42578125" customWidth="1"/>
    <col min="99" max="99" width="9.85546875" customWidth="1"/>
    <col min="100" max="100" width="10" customWidth="1"/>
    <col min="101" max="101" width="12.28515625" customWidth="1"/>
    <col min="103" max="103" width="10.28515625" customWidth="1"/>
    <col min="105" max="105" width="9.28515625" customWidth="1"/>
    <col min="109" max="109" width="9.5703125" customWidth="1"/>
    <col min="110" max="110" width="10.140625" customWidth="1"/>
    <col min="111" max="111" width="12.42578125" customWidth="1"/>
    <col min="112" max="112" width="11.7109375" customWidth="1"/>
    <col min="113" max="113" width="14" customWidth="1"/>
    <col min="114" max="114" width="11.85546875" customWidth="1"/>
    <col min="115" max="115" width="14.140625" customWidth="1"/>
    <col min="116" max="116" width="11.7109375" customWidth="1"/>
    <col min="117" max="117" width="14" customWidth="1"/>
    <col min="118" max="118" width="11.42578125" customWidth="1"/>
    <col min="119" max="119" width="13.7109375" customWidth="1"/>
    <col min="120" max="120" width="11" customWidth="1"/>
    <col min="121" max="121" width="13.28515625" customWidth="1"/>
    <col min="122" max="122" width="11.42578125" customWidth="1"/>
    <col min="123" max="123" width="13.7109375" customWidth="1"/>
    <col min="124" max="124" width="13.85546875" customWidth="1"/>
    <col min="125" max="125" width="16.140625" customWidth="1"/>
    <col min="126" max="126" width="11.85546875" customWidth="1"/>
    <col min="127" max="127" width="14.140625" customWidth="1"/>
    <col min="128" max="128" width="11.28515625" customWidth="1"/>
    <col min="129" max="129" width="13.140625" customWidth="1"/>
    <col min="130" max="130" width="11.140625" customWidth="1"/>
    <col min="131" max="131" width="13" customWidth="1"/>
    <col min="139" max="139" width="9.5703125" bestFit="1" customWidth="1"/>
    <col min="154" max="154" width="10.5703125" bestFit="1" customWidth="1"/>
    <col min="156" max="156" width="10.28515625" customWidth="1"/>
    <col min="157" max="157" width="9.5703125" customWidth="1"/>
  </cols>
  <sheetData>
    <row r="1" spans="1:186" x14ac:dyDescent="0.25">
      <c r="A1" t="s">
        <v>76</v>
      </c>
      <c r="B1" t="s">
        <v>147</v>
      </c>
      <c r="C1" t="s">
        <v>148</v>
      </c>
      <c r="D1" t="s">
        <v>150</v>
      </c>
      <c r="E1" t="s">
        <v>252</v>
      </c>
      <c r="F1" t="s">
        <v>78</v>
      </c>
      <c r="G1" t="s">
        <v>174</v>
      </c>
      <c r="H1" t="s">
        <v>79</v>
      </c>
      <c r="I1" t="s">
        <v>175</v>
      </c>
      <c r="J1" t="s">
        <v>9</v>
      </c>
      <c r="K1" t="s">
        <v>176</v>
      </c>
      <c r="L1" t="s">
        <v>80</v>
      </c>
      <c r="M1" t="s">
        <v>177</v>
      </c>
      <c r="N1" t="s">
        <v>82</v>
      </c>
      <c r="O1" t="s">
        <v>178</v>
      </c>
      <c r="P1" t="s">
        <v>77</v>
      </c>
      <c r="Q1" t="s">
        <v>179</v>
      </c>
      <c r="R1" t="s">
        <v>10</v>
      </c>
      <c r="S1" t="s">
        <v>180</v>
      </c>
      <c r="T1" t="s">
        <v>81</v>
      </c>
      <c r="U1" t="s">
        <v>181</v>
      </c>
      <c r="V1" t="s">
        <v>83</v>
      </c>
      <c r="W1" t="s">
        <v>182</v>
      </c>
      <c r="X1" t="s">
        <v>11</v>
      </c>
      <c r="Y1" t="s">
        <v>183</v>
      </c>
      <c r="Z1" t="s">
        <v>84</v>
      </c>
      <c r="AA1" t="s">
        <v>184</v>
      </c>
      <c r="AB1" t="s">
        <v>86</v>
      </c>
      <c r="AC1" t="s">
        <v>185</v>
      </c>
      <c r="AD1" t="s">
        <v>12</v>
      </c>
      <c r="AE1" t="s">
        <v>186</v>
      </c>
      <c r="AF1" t="s">
        <v>85</v>
      </c>
      <c r="AG1" t="s">
        <v>187</v>
      </c>
      <c r="AH1" t="s">
        <v>13</v>
      </c>
      <c r="AI1" t="s">
        <v>188</v>
      </c>
      <c r="AJ1" t="s">
        <v>14</v>
      </c>
      <c r="AK1" t="s">
        <v>189</v>
      </c>
      <c r="AL1" t="s">
        <v>15</v>
      </c>
      <c r="AM1" t="s">
        <v>190</v>
      </c>
      <c r="AN1" t="s">
        <v>16</v>
      </c>
      <c r="AO1" t="s">
        <v>191</v>
      </c>
      <c r="AP1" t="s">
        <v>17</v>
      </c>
      <c r="AQ1" t="s">
        <v>192</v>
      </c>
      <c r="AR1" t="s">
        <v>18</v>
      </c>
      <c r="AS1" t="s">
        <v>193</v>
      </c>
      <c r="AT1" t="s">
        <v>19</v>
      </c>
      <c r="AU1" t="s">
        <v>194</v>
      </c>
      <c r="AV1" t="s">
        <v>20</v>
      </c>
      <c r="AW1" t="s">
        <v>195</v>
      </c>
      <c r="AX1" t="s">
        <v>91</v>
      </c>
      <c r="AY1" t="s">
        <v>196</v>
      </c>
      <c r="AZ1" t="s">
        <v>90</v>
      </c>
      <c r="BA1" t="s">
        <v>197</v>
      </c>
      <c r="BB1" t="s">
        <v>92</v>
      </c>
      <c r="BC1" t="s">
        <v>198</v>
      </c>
      <c r="BD1" t="s">
        <v>93</v>
      </c>
      <c r="BE1" t="s">
        <v>199</v>
      </c>
      <c r="BF1" t="s">
        <v>95</v>
      </c>
      <c r="BG1" t="s">
        <v>200</v>
      </c>
      <c r="BH1" t="s">
        <v>96</v>
      </c>
      <c r="BI1" t="s">
        <v>201</v>
      </c>
      <c r="BJ1" t="s">
        <v>99</v>
      </c>
      <c r="BK1" t="s">
        <v>202</v>
      </c>
      <c r="BL1" t="s">
        <v>100</v>
      </c>
      <c r="BM1" t="s">
        <v>203</v>
      </c>
      <c r="BN1" t="s">
        <v>101</v>
      </c>
      <c r="BO1" t="s">
        <v>204</v>
      </c>
      <c r="BP1" t="s">
        <v>102</v>
      </c>
      <c r="BQ1" t="s">
        <v>205</v>
      </c>
      <c r="BR1" t="s">
        <v>104</v>
      </c>
      <c r="BS1" t="s">
        <v>206</v>
      </c>
      <c r="BT1" t="s">
        <v>105</v>
      </c>
      <c r="BU1" t="s">
        <v>207</v>
      </c>
      <c r="BV1" t="s">
        <v>107</v>
      </c>
      <c r="BW1" t="s">
        <v>208</v>
      </c>
      <c r="BX1" t="s">
        <v>108</v>
      </c>
      <c r="BY1" t="s">
        <v>209</v>
      </c>
      <c r="BZ1" t="s">
        <v>109</v>
      </c>
      <c r="CA1" t="s">
        <v>210</v>
      </c>
      <c r="CB1" t="s">
        <v>110</v>
      </c>
      <c r="CC1" t="s">
        <v>211</v>
      </c>
      <c r="CD1" t="s">
        <v>111</v>
      </c>
      <c r="CE1" t="s">
        <v>212</v>
      </c>
      <c r="CF1" t="s">
        <v>112</v>
      </c>
      <c r="CG1" t="s">
        <v>213</v>
      </c>
      <c r="CH1" t="s">
        <v>113</v>
      </c>
      <c r="CI1" t="s">
        <v>214</v>
      </c>
      <c r="CJ1" t="s">
        <v>114</v>
      </c>
      <c r="CK1" t="s">
        <v>215</v>
      </c>
      <c r="CL1" t="s">
        <v>116</v>
      </c>
      <c r="CM1" t="s">
        <v>216</v>
      </c>
      <c r="CN1" t="s">
        <v>117</v>
      </c>
      <c r="CO1" t="s">
        <v>217</v>
      </c>
      <c r="CP1" t="s">
        <v>118</v>
      </c>
      <c r="CQ1" t="s">
        <v>218</v>
      </c>
      <c r="CR1" t="s">
        <v>119</v>
      </c>
      <c r="CS1" t="s">
        <v>219</v>
      </c>
      <c r="CT1" t="s">
        <v>120</v>
      </c>
      <c r="CU1" t="s">
        <v>220</v>
      </c>
      <c r="CV1" t="s">
        <v>37</v>
      </c>
      <c r="CW1" t="s">
        <v>221</v>
      </c>
      <c r="CX1" t="s">
        <v>121</v>
      </c>
      <c r="CY1" t="s">
        <v>222</v>
      </c>
      <c r="CZ1" t="s">
        <v>122</v>
      </c>
      <c r="DA1" t="s">
        <v>223</v>
      </c>
      <c r="DB1" t="s">
        <v>123</v>
      </c>
      <c r="DC1" t="s">
        <v>224</v>
      </c>
      <c r="DD1" t="s">
        <v>41</v>
      </c>
      <c r="DE1" t="s">
        <v>225</v>
      </c>
      <c r="DF1" t="s">
        <v>42</v>
      </c>
      <c r="DG1" t="s">
        <v>226</v>
      </c>
      <c r="DH1" t="s">
        <v>43</v>
      </c>
      <c r="DI1" t="s">
        <v>227</v>
      </c>
      <c r="DJ1" t="s">
        <v>124</v>
      </c>
      <c r="DK1" t="s">
        <v>228</v>
      </c>
      <c r="DL1" t="s">
        <v>125</v>
      </c>
      <c r="DM1" t="s">
        <v>229</v>
      </c>
      <c r="DN1" t="s">
        <v>126</v>
      </c>
      <c r="DO1" t="s">
        <v>230</v>
      </c>
      <c r="DP1" t="s">
        <v>127</v>
      </c>
      <c r="DQ1" t="s">
        <v>231</v>
      </c>
      <c r="DR1" t="s">
        <v>128</v>
      </c>
      <c r="DS1" t="s">
        <v>232</v>
      </c>
      <c r="DT1" t="s">
        <v>129</v>
      </c>
      <c r="DU1" t="s">
        <v>233</v>
      </c>
      <c r="DV1" t="s">
        <v>130</v>
      </c>
      <c r="DW1" t="s">
        <v>234</v>
      </c>
      <c r="DX1" t="s">
        <v>131</v>
      </c>
      <c r="DY1" t="s">
        <v>235</v>
      </c>
      <c r="DZ1" t="s">
        <v>132</v>
      </c>
      <c r="EA1" t="s">
        <v>236</v>
      </c>
      <c r="EB1" t="s">
        <v>133</v>
      </c>
      <c r="EC1" t="s">
        <v>237</v>
      </c>
      <c r="ED1" t="s">
        <v>134</v>
      </c>
      <c r="EE1" t="s">
        <v>238</v>
      </c>
      <c r="EF1" t="s">
        <v>55</v>
      </c>
      <c r="EG1" t="s">
        <v>239</v>
      </c>
      <c r="EH1" t="s">
        <v>56</v>
      </c>
      <c r="EI1" t="s">
        <v>240</v>
      </c>
      <c r="EJ1" t="s">
        <v>57</v>
      </c>
      <c r="EK1" t="s">
        <v>241</v>
      </c>
      <c r="EL1" t="s">
        <v>58</v>
      </c>
      <c r="EM1" t="s">
        <v>242</v>
      </c>
      <c r="EN1" t="s">
        <v>59</v>
      </c>
      <c r="EO1" t="s">
        <v>243</v>
      </c>
      <c r="EP1" t="s">
        <v>60</v>
      </c>
      <c r="EQ1" t="s">
        <v>244</v>
      </c>
      <c r="ER1" t="s">
        <v>61</v>
      </c>
      <c r="ES1" t="s">
        <v>245</v>
      </c>
      <c r="ET1" t="s">
        <v>62</v>
      </c>
      <c r="EU1" t="s">
        <v>246</v>
      </c>
      <c r="EV1" t="s">
        <v>135</v>
      </c>
      <c r="EW1" t="s">
        <v>247</v>
      </c>
      <c r="EX1" t="s">
        <v>136</v>
      </c>
      <c r="EY1" t="s">
        <v>248</v>
      </c>
      <c r="EZ1" t="s">
        <v>137</v>
      </c>
      <c r="FA1" t="s">
        <v>249</v>
      </c>
      <c r="FB1" t="s">
        <v>138</v>
      </c>
      <c r="FC1" t="s">
        <v>250</v>
      </c>
      <c r="FD1" t="s">
        <v>142</v>
      </c>
      <c r="FE1" t="s">
        <v>141</v>
      </c>
      <c r="FF1" t="s">
        <v>151</v>
      </c>
      <c r="FG1" t="s">
        <v>152</v>
      </c>
      <c r="FH1" t="s">
        <v>144</v>
      </c>
      <c r="FI1" t="s">
        <v>157</v>
      </c>
      <c r="FJ1" t="s">
        <v>251</v>
      </c>
      <c r="FK1" t="s">
        <v>275</v>
      </c>
      <c r="FL1" t="s">
        <v>284</v>
      </c>
      <c r="FM1" t="s">
        <v>276</v>
      </c>
      <c r="FN1" t="s">
        <v>287</v>
      </c>
      <c r="FO1" t="s">
        <v>277</v>
      </c>
      <c r="FP1" t="s">
        <v>286</v>
      </c>
      <c r="FQ1" t="s">
        <v>278</v>
      </c>
      <c r="FR1" t="s">
        <v>288</v>
      </c>
      <c r="FS1" t="s">
        <v>279</v>
      </c>
      <c r="FT1" t="s">
        <v>285</v>
      </c>
      <c r="FU1" t="s">
        <v>280</v>
      </c>
      <c r="FV1" t="s">
        <v>289</v>
      </c>
      <c r="FW1" t="s">
        <v>282</v>
      </c>
      <c r="FX1" t="s">
        <v>290</v>
      </c>
      <c r="FY1" t="s">
        <v>283</v>
      </c>
      <c r="FZ1" t="s">
        <v>291</v>
      </c>
      <c r="GA1" t="s">
        <v>292</v>
      </c>
      <c r="GB1" t="s">
        <v>294</v>
      </c>
      <c r="GC1" t="s">
        <v>293</v>
      </c>
      <c r="GD1" t="s">
        <v>295</v>
      </c>
    </row>
    <row r="2" spans="1:186" x14ac:dyDescent="0.25">
      <c r="A2" s="9" t="s">
        <v>348</v>
      </c>
      <c r="B2" t="s">
        <v>302</v>
      </c>
      <c r="C2" t="s">
        <v>303</v>
      </c>
      <c r="D2" t="s">
        <v>304</v>
      </c>
      <c r="E2">
        <f>_xlfn.RANK.EQ(all[[#This Row],[AVG_RT]],all[AVG_RT],1)</f>
        <v>4</v>
      </c>
      <c r="F2" s="6">
        <f>AVERAGE(bourg[Home_scored])</f>
        <v>90.028571428571425</v>
      </c>
      <c r="G2" s="16">
        <f>_xlfn.RANK.EQ(all[[#This Row],[PM]],all[PM])</f>
        <v>3</v>
      </c>
      <c r="H2" s="6">
        <f>AVERAGE(bourg[Away_scored])</f>
        <v>84.51428571428572</v>
      </c>
      <c r="I2" s="16">
        <f>_xlfn.RANK.EQ(all[[#This Row],[PC]],all[PC],1)</f>
        <v>10</v>
      </c>
      <c r="J2" s="6">
        <f>AVERAGE(bourg[FGA])</f>
        <v>62.771428571428572</v>
      </c>
      <c r="K2" s="16">
        <f>_xlfn.RANK.EQ(all[[#This Row],[FGA]],all[FGA])</f>
        <v>5</v>
      </c>
      <c r="L2" s="6">
        <f>AVERAGE(bourg[FGM])</f>
        <v>30.6</v>
      </c>
      <c r="M2" s="16">
        <f>_xlfn.RANK.EQ(all[[#This Row],[FGM]],all[FGM])</f>
        <v>3</v>
      </c>
      <c r="N2" s="7">
        <f>AVERAGE(bourg[FGp])</f>
        <v>0.48786571428571435</v>
      </c>
      <c r="O2" s="16">
        <f>_xlfn.RANK.EQ(all[[#This Row],[FGp]],all[FGp])</f>
        <v>6</v>
      </c>
      <c r="P2" s="6">
        <f>AVERAGE(bourg[P2M])</f>
        <v>22.342857142857142</v>
      </c>
      <c r="Q2" s="16">
        <f>_xlfn.RANK.EQ(all[[#This Row],[P2M]],all[P2M])</f>
        <v>2</v>
      </c>
      <c r="R2" s="6">
        <f>AVERAGE(bourg[P2A])</f>
        <v>39.628571428571426</v>
      </c>
      <c r="S2" s="16">
        <f>_xlfn.RANK.EQ(all[[#This Row],[P2A]],all[P2A])</f>
        <v>2</v>
      </c>
      <c r="T2" s="7">
        <f>AVERAGE(bourg[P2p])</f>
        <v>0.56613714285714289</v>
      </c>
      <c r="U2" s="16">
        <f>_xlfn.RANK.EQ(all[[#This Row],[P2p]],all[P2p])</f>
        <v>8</v>
      </c>
      <c r="V2" s="6">
        <f>AVERAGE(bourg[P3M])</f>
        <v>8.257142857142858</v>
      </c>
      <c r="W2" s="16">
        <f>_xlfn.RANK.EQ(all[[#This Row],[P3M]],all[P3M])</f>
        <v>13</v>
      </c>
      <c r="X2" s="6">
        <f>AVERAGE(bourg[P3A])</f>
        <v>23.142857142857142</v>
      </c>
      <c r="Y2" s="16">
        <f>_xlfn.RANK.EQ(all[[#This Row],[P3A]],all[P3A])</f>
        <v>14</v>
      </c>
      <c r="Z2" s="7">
        <f>AVERAGE(bourg[P3p])</f>
        <v>0.35522285714285712</v>
      </c>
      <c r="AA2" s="16">
        <f>_xlfn.RANK.EQ(all[[#This Row],[P3p]],all[P3p])</f>
        <v>6</v>
      </c>
      <c r="AB2" s="6">
        <f>AVERAGE(bourg[FTM])</f>
        <v>20.571428571428573</v>
      </c>
      <c r="AC2" s="16">
        <f>_xlfn.RANK.EQ(all[[#This Row],[FTM]],all[FTM])</f>
        <v>2</v>
      </c>
      <c r="AD2" s="6">
        <f>AVERAGE(bourg[FTA])</f>
        <v>26.771428571428572</v>
      </c>
      <c r="AE2" s="16">
        <f>_xlfn.RANK.EQ(all[[#This Row],[FTA]],all[FTA])</f>
        <v>2</v>
      </c>
      <c r="AF2" s="7">
        <f>AVERAGE(bourg[FTp])</f>
        <v>0.7622000000000001</v>
      </c>
      <c r="AG2" s="16">
        <f>_xlfn.RANK.EQ(all[[#This Row],[FTp]],all[FTp])</f>
        <v>6</v>
      </c>
      <c r="AH2" s="6">
        <f>AVERAGE(bourg[ORB])</f>
        <v>11.685714285714285</v>
      </c>
      <c r="AI2" s="16">
        <f>_xlfn.RANK.EQ(all[[#This Row],[ORB]],all[ORB])</f>
        <v>6</v>
      </c>
      <c r="AJ2" s="6">
        <f>AVERAGE(bourg[DRB])</f>
        <v>23.6</v>
      </c>
      <c r="AK2" s="16">
        <f>_xlfn.RANK.EQ(all[[#This Row],[DRB]],all[DRB])</f>
        <v>9</v>
      </c>
      <c r="AL2" s="6">
        <f>AVERAGE(bourg[TRB])</f>
        <v>35.285714285714285</v>
      </c>
      <c r="AM2" s="16">
        <f>_xlfn.RANK.EQ(all[[#This Row],[TRB]],all[TRB])</f>
        <v>5</v>
      </c>
      <c r="AN2" s="6">
        <f>AVERAGE(bourg[AST])</f>
        <v>20.771428571428572</v>
      </c>
      <c r="AO2" s="16">
        <f>_xlfn.RANK.EQ(all[[#This Row],[AST]],all[AST])</f>
        <v>3</v>
      </c>
      <c r="AP2" s="6">
        <f>AVERAGE(bourg[STL])</f>
        <v>7.5428571428571427</v>
      </c>
      <c r="AQ2" s="16">
        <f>_xlfn.RANK.EQ(all[[#This Row],[STL]],all[STL])</f>
        <v>2</v>
      </c>
      <c r="AR2" s="6">
        <f>AVERAGE(bourg[BLK])</f>
        <v>3.8285714285714287</v>
      </c>
      <c r="AS2" s="16">
        <f>_xlfn.RANK.EQ(all[[#This Row],[BLK]],all[BLK])</f>
        <v>6</v>
      </c>
      <c r="AT2" s="6">
        <f>AVERAGE(bourg[TOV])</f>
        <v>11.4</v>
      </c>
      <c r="AU2" s="16">
        <f>_xlfn.RANK.EQ(all[[#This Row],[TOV]],all[TOV],1)</f>
        <v>5</v>
      </c>
      <c r="AV2" s="6">
        <f>AVERAGE(bourg[PF])</f>
        <v>22.342857142857142</v>
      </c>
      <c r="AW2" s="16">
        <f>_xlfn.RANK.EQ(all[[#This Row],[PF]],all[PF],1)</f>
        <v>11</v>
      </c>
      <c r="AX2" s="6">
        <f>AVERAGE(bourg[FGAop])</f>
        <v>61.685714285714283</v>
      </c>
      <c r="AY2" s="16">
        <f>_xlfn.RANK.EQ(all[[#This Row],[FGA opp]],all[FGA opp],1)</f>
        <v>7</v>
      </c>
      <c r="AZ2" s="6">
        <f>AVERAGE(bourg[FGMop])</f>
        <v>29.942857142857143</v>
      </c>
      <c r="BA2" s="16">
        <f>_xlfn.RANK.EQ(all[[#This Row],[FGM opp]],all[FGM opp],1)</f>
        <v>10</v>
      </c>
      <c r="BB2" s="7">
        <f>AVERAGE(bourg[FGpop])</f>
        <v>0.48702285714285715</v>
      </c>
      <c r="BC2" s="16">
        <f>_xlfn.RANK.EQ(all[[#This Row],[FGp opp]],all[FGp opp],1)</f>
        <v>14</v>
      </c>
      <c r="BD2" s="6">
        <f>AVERAGE(bourg[P2Mop])</f>
        <v>21.771428571428572</v>
      </c>
      <c r="BE2" s="16">
        <f>_xlfn.RANK.EQ(all[[#This Row],[P2M opp]],all[P2M opp],1)</f>
        <v>14</v>
      </c>
      <c r="BF2" s="6">
        <f>AVERAGE(bourg[P2Aop])</f>
        <v>38.4</v>
      </c>
      <c r="BG2" s="16">
        <f>_xlfn.RANK.EQ(all[[#This Row],[P2A opp]],all[P2A opp],1)</f>
        <v>14</v>
      </c>
      <c r="BH2">
        <f>AVERAGE(bourg[P2pop])</f>
        <v>0.56943428571428556</v>
      </c>
      <c r="BI2" s="16">
        <f>_xlfn.RANK.EQ(all[[#This Row],[P2p opp]],all[P2p opp],1)</f>
        <v>10</v>
      </c>
      <c r="BJ2" s="6">
        <f>AVERAGE(bourg[P3Mop])</f>
        <v>8.1714285714285708</v>
      </c>
      <c r="BK2" s="16">
        <f>_xlfn.RANK.EQ(all[[#This Row],[P3M opp]],all[P3M opp],1)</f>
        <v>2</v>
      </c>
      <c r="BL2" s="6">
        <f>AVERAGE(bourg[P3Aop])</f>
        <v>23.285714285714285</v>
      </c>
      <c r="BM2" s="16">
        <f>_xlfn.RANK.EQ(all[[#This Row],[P3A opp]],all[P3A opp],1)</f>
        <v>2</v>
      </c>
      <c r="BN2" s="7">
        <f>AVERAGE(bourg[P3pop])</f>
        <v>0.35040285714285713</v>
      </c>
      <c r="BO2" s="16">
        <f>_xlfn.RANK.EQ(all[[#This Row],[P3p opp]],all[P3p opp],1)</f>
        <v>6</v>
      </c>
      <c r="BP2" s="6">
        <f>AVERAGE(bourg[FTMop])</f>
        <v>16.457142857142856</v>
      </c>
      <c r="BQ2" s="16">
        <f>_xlfn.RANK.EQ(all[[#This Row],[FTM opp]],all[FTM opp],1)</f>
        <v>10</v>
      </c>
      <c r="BR2" s="6">
        <f>AVERAGE(bourg[FTAop])</f>
        <v>22.057142857142857</v>
      </c>
      <c r="BS2" s="16">
        <f>_xlfn.RANK.EQ(all[[#This Row],[FTA opp]],all[FTA opp],1)</f>
        <v>11</v>
      </c>
      <c r="BT2" s="7">
        <f>AVERAGE(bourg[FTpop])</f>
        <v>0.73961428571428567</v>
      </c>
      <c r="BU2" s="16">
        <f>_xlfn.RANK.EQ(all[[#This Row],[FTp opp]],all[FTp opp],1)</f>
        <v>6</v>
      </c>
      <c r="BV2" s="6">
        <f>AVERAGE(bourg[ORBop])</f>
        <v>10.457142857142857</v>
      </c>
      <c r="BW2" s="16">
        <f>_xlfn.RANK.EQ(all[[#This Row],[ORB opp]],all[ORB opp],1)</f>
        <v>6</v>
      </c>
      <c r="BX2" s="6">
        <f>AVERAGE(bourg[DRBop])</f>
        <v>22.914285714285715</v>
      </c>
      <c r="BY2" s="16">
        <f>_xlfn.RANK.EQ(all[[#This Row],[DRB opp]],all[DRB opp],1)</f>
        <v>6</v>
      </c>
      <c r="BZ2" s="6">
        <f>AVERAGE(bourg[TRBop])</f>
        <v>33.371428571428574</v>
      </c>
      <c r="CA2" s="16">
        <f>_xlfn.RANK.EQ(all[[#This Row],[TRB opp]],all[TRB opp],1)</f>
        <v>6</v>
      </c>
      <c r="CB2" s="6">
        <f>AVERAGE(bourg[ASTop])</f>
        <v>19.257142857142856</v>
      </c>
      <c r="CC2" s="16">
        <f>_xlfn.RANK.EQ(all[[#This Row],[AST opp]],all[AST opp],1)</f>
        <v>7</v>
      </c>
      <c r="CD2" s="6">
        <f>AVERAGE(bourg[STLop])</f>
        <v>5.6857142857142859</v>
      </c>
      <c r="CE2" s="16">
        <f>_xlfn.RANK.EQ(all[[#This Row],[STL opp]],all[STL opp],1)</f>
        <v>5</v>
      </c>
      <c r="CF2" s="6">
        <f>AVERAGE(bourg[BLKop])</f>
        <v>2.7428571428571429</v>
      </c>
      <c r="CG2" s="16">
        <f>_xlfn.RANK.EQ(all[[#This Row],[BLK opp]],all[BLK opp],1)</f>
        <v>8</v>
      </c>
      <c r="CH2" s="6">
        <f>AVERAGE(bourg[TOVop])</f>
        <v>13.285714285714286</v>
      </c>
      <c r="CI2" s="16">
        <f>_xlfn.RANK.EQ(all[[#This Row],[TOV opp]],all[TOV opp])</f>
        <v>3</v>
      </c>
      <c r="CJ2" s="6">
        <f>AVERAGE(bourg[PFop])</f>
        <v>24.771428571428572</v>
      </c>
      <c r="CK2" s="16">
        <f>_xlfn.RANK.EQ(all[[#This Row],[PF opp]],all[PF opp])</f>
        <v>2</v>
      </c>
      <c r="CL2" s="7">
        <f>AVERAGE(bourg[TS%])</f>
        <v>0.60624285714285708</v>
      </c>
      <c r="CM2" s="16">
        <f>_xlfn.RANK.EQ(all[[#This Row],[TSp]],all[TSp])</f>
        <v>5</v>
      </c>
      <c r="CN2" s="7">
        <f>AVERAGE(bourg[eFG%])</f>
        <v>0.55434285714285714</v>
      </c>
      <c r="CO2" s="16">
        <f>_xlfn.RANK.EQ(all[[#This Row],[eFGp]],all[eFGp])</f>
        <v>7</v>
      </c>
      <c r="CP2" s="7">
        <f>AVERAGE(bourg[ORB%])</f>
        <v>0.3328228571428572</v>
      </c>
      <c r="CQ2" s="16">
        <f>_xlfn.RANK.EQ(all[[#This Row],[ORBp]],all[ORBp])</f>
        <v>5</v>
      </c>
      <c r="CR2" s="7">
        <f>AVERAGE(bourg[DRB%])</f>
        <v>0.69813142857142874</v>
      </c>
      <c r="CS2" s="16">
        <f>_xlfn.RANK.EQ(all[[#This Row],[DRBp]],all[DRBp])</f>
        <v>6</v>
      </c>
      <c r="CT2" s="7">
        <f>AVERAGE(bourg[TRB%])</f>
        <v>0.51262857142857166</v>
      </c>
      <c r="CU2" s="16">
        <f>_xlfn.RANK.EQ(all[[#This Row],[TRBp]],all[TRBp])</f>
        <v>6</v>
      </c>
      <c r="CV2" s="6">
        <f>AVERAGE(bourg[Poss])</f>
        <v>73.355200000000025</v>
      </c>
      <c r="CW2" s="16">
        <f>_xlfn.RANK.EQ(all[[#This Row],[Poss]],all[Poss])</f>
        <v>3</v>
      </c>
      <c r="CX2" s="7">
        <f>AVERAGE(bourg[AST%])</f>
        <v>0.67720571428571419</v>
      </c>
      <c r="CY2" s="16">
        <f>_xlfn.RANK.EQ(all[[#This Row],[ASTp]],all[ASTp])</f>
        <v>8</v>
      </c>
      <c r="CZ2" s="7">
        <f>AVERAGE(bourg[FTFGA%])</f>
        <v>0.33476000000000011</v>
      </c>
      <c r="DA2" s="16">
        <f>_xlfn.RANK.EQ(all[[#This Row],[FTFGAp]],all[FTFGAp])</f>
        <v>2</v>
      </c>
      <c r="DB2" s="7">
        <f>AVERAGE(bourg[TOV%])</f>
        <v>0.13192857142857142</v>
      </c>
      <c r="DC2" s="16">
        <f>_xlfn.RANK.EQ(all[[#This Row],[TOVp]],all[TOVp],1)</f>
        <v>4</v>
      </c>
      <c r="DD2" s="6">
        <f>AVERAGE(bourg[ORtg])</f>
        <v>123.14285714285717</v>
      </c>
      <c r="DE2" s="16">
        <f>_xlfn.RANK.EQ(all[[#This Row],[ORtg]],all[ORtg])</f>
        <v>4</v>
      </c>
      <c r="DF2" s="6">
        <f>AVERAGE(bourg[DRtg])</f>
        <v>115.79714285714284</v>
      </c>
      <c r="DG2" s="16">
        <f>_xlfn.RANK.EQ(all[[#This Row],[DRtg]],all[DRtg],1)</f>
        <v>7</v>
      </c>
      <c r="DH2" s="6">
        <f>AVERAGE(bourg[Pace])</f>
        <v>73.188985714285707</v>
      </c>
      <c r="DI2" s="16">
        <f>_xlfn.RANK.EQ(all[[#This Row],[Pace]],all[Pace])</f>
        <v>3</v>
      </c>
      <c r="DJ2" s="7">
        <f>AVERAGE(bourg[TS%op])</f>
        <v>0.59223428571428571</v>
      </c>
      <c r="DK2" s="16">
        <f>_xlfn.RANK.EQ(all[[#This Row],[TSp opp]],all[TSp opp],1)</f>
        <v>12</v>
      </c>
      <c r="DL2" s="7">
        <f>AVERAGE(bourg[eFG%op])</f>
        <v>0.55380857142857154</v>
      </c>
      <c r="DM2" s="16">
        <f>_xlfn.RANK.EQ(all[[#This Row],[eFGp opp]],all[eFGp opp],1)</f>
        <v>11</v>
      </c>
      <c r="DN2" s="7">
        <f>AVERAGE(bourg[ORB%op])</f>
        <v>0.30187428571428565</v>
      </c>
      <c r="DO2" s="16">
        <f>_xlfn.RANK.EQ(all[[#This Row],[ORBp opp]],all[ORBp opp],1)</f>
        <v>6</v>
      </c>
      <c r="DP2" s="7">
        <f>AVERAGE(bourg[DRB%op])</f>
        <v>0.66718</v>
      </c>
      <c r="DQ2" s="16">
        <f>_xlfn.RANK.EQ(all[[#This Row],[DRBp opp]],all[DRBp opp],1)</f>
        <v>5</v>
      </c>
      <c r="DR2" s="7">
        <f>AVERAGE(bourg[TRB%op])</f>
        <v>0.48737142857142834</v>
      </c>
      <c r="DS2" s="16">
        <f>_xlfn.RANK.EQ(all[[#This Row],[TRBp opp]],all[TRBp opp],1)</f>
        <v>6</v>
      </c>
      <c r="DT2" s="6">
        <f>AVERAGE(bourg[Possop])</f>
        <v>73.022771428571446</v>
      </c>
      <c r="DU2" s="16">
        <f>_xlfn.RANK.EQ(all[[#This Row],[Poss opp]],all[Poss opp],1)</f>
        <v>13</v>
      </c>
      <c r="DV2" s="7">
        <f>AVERAGE(bourg[AST%op])</f>
        <v>0.64718571428571448</v>
      </c>
      <c r="DW2" s="16">
        <f>_xlfn.RANK.EQ(all[[#This Row],[ASTp opp]],all[ASTp opp],1)</f>
        <v>5</v>
      </c>
      <c r="DX2" s="7">
        <f>AVERAGE(bourg[FTFGA%op])</f>
        <v>0.27149142857142855</v>
      </c>
      <c r="DY2" s="16">
        <f>_xlfn.RANK.EQ(all[[#This Row],[FTFGAp opp]],all[FTFGAp opp],1)</f>
        <v>10</v>
      </c>
      <c r="DZ2" s="7">
        <f>AVERAGE(bourg[TOV%op])</f>
        <v>0.15619142857142859</v>
      </c>
      <c r="EA2" s="16">
        <f>_xlfn.RANK.EQ(all[[#This Row],[TOVp opp]],all[TOVp opp])</f>
        <v>4</v>
      </c>
      <c r="EB2" s="6">
        <f>AVERAGE(bourg[ORtgop])</f>
        <v>115.79714285714284</v>
      </c>
      <c r="EC2" s="16">
        <f>_xlfn.RANK.EQ(all[[#This Row],[ORtg opp]],all[ORtg opp],1)</f>
        <v>7</v>
      </c>
      <c r="ED2" s="6">
        <f>AVERAGE(bourg[DRtgop])</f>
        <v>123.14285714285717</v>
      </c>
      <c r="EE2" s="16">
        <f>_xlfn.RANK.EQ(all[[#This Row],[DRtg opp]],all[DRtg opp])</f>
        <v>4</v>
      </c>
      <c r="EF2" s="6">
        <f>AVERAGE(bourg[Q1H])</f>
        <v>23.314285714285713</v>
      </c>
      <c r="EG2" s="16">
        <f>_xlfn.RANK.EQ(all[[#This Row],[Q1H]],all[Q1H])</f>
        <v>2</v>
      </c>
      <c r="EH2" s="6">
        <f>AVERAGE(bourg[Q2H])</f>
        <v>24.6</v>
      </c>
      <c r="EI2" s="16">
        <f>_xlfn.RANK.EQ(all[[#This Row],[Q2H]],all[Q2H])</f>
        <v>2</v>
      </c>
      <c r="EJ2" s="6">
        <f>AVERAGE(bourg[Q3H])</f>
        <v>21.857142857142858</v>
      </c>
      <c r="EK2" s="16">
        <f>_xlfn.RANK.EQ(all[[#This Row],[Q3H]],all[Q3H])</f>
        <v>7</v>
      </c>
      <c r="EL2" s="6">
        <f>AVERAGE(bourg[Q4H])</f>
        <v>20.257142857142856</v>
      </c>
      <c r="EM2" s="16">
        <f>_xlfn.RANK.EQ(all[[#This Row],[Q4H]],all[Q4H])</f>
        <v>10</v>
      </c>
      <c r="EN2" s="6">
        <f>AVERAGE(bourg[Q1A])</f>
        <v>20.457142857142856</v>
      </c>
      <c r="EO2" s="16">
        <f>_xlfn.RANK.EQ(all[[#This Row],[Q1A]],all[Q1A],1)</f>
        <v>7</v>
      </c>
      <c r="EP2" s="6">
        <f>AVERAGE(bourg[Q2A])</f>
        <v>20.514285714285716</v>
      </c>
      <c r="EQ2" s="16">
        <f>_xlfn.RANK.EQ(all[[#This Row],[Q2A]],all[Q2A],1)</f>
        <v>7</v>
      </c>
      <c r="ER2" s="6">
        <f>AVERAGE(bourg[Q3A])</f>
        <v>22.114285714285714</v>
      </c>
      <c r="ES2" s="16">
        <f>_xlfn.RANK.EQ(all[[#This Row],[Q3A]],all[Q3A],1)</f>
        <v>13</v>
      </c>
      <c r="ET2" s="6">
        <f>AVERAGE(bourg[Q4A])</f>
        <v>21.428571428571427</v>
      </c>
      <c r="EU2" s="16">
        <f>_xlfn.RANK.EQ(all[[#This Row],[Q4A]],all[Q4A],1)</f>
        <v>12</v>
      </c>
      <c r="EV2" s="6">
        <f>AVERAGE(bourg[FhalfH])</f>
        <v>47.914285714285711</v>
      </c>
      <c r="EW2" s="16">
        <f>_xlfn.RANK.EQ(all[[#This Row],[FHH]],all[FHH])</f>
        <v>2</v>
      </c>
      <c r="EX2" s="5">
        <f>AVERAGE(bourg[FhalfA])</f>
        <v>40.971428571428568</v>
      </c>
      <c r="EY2" s="16">
        <f>_xlfn.RANK.EQ(all[[#This Row],[FHA]],all[FHA],1)</f>
        <v>6</v>
      </c>
      <c r="EZ2" s="6">
        <f>AVERAGE(bourg[ShalfH])</f>
        <v>42.114285714285714</v>
      </c>
      <c r="FA2" s="16">
        <f>_xlfn.RANK.EQ(all[[#This Row],[SHH]],all[SHH])</f>
        <v>9</v>
      </c>
      <c r="FB2" s="6">
        <f>AVERAGE(bourg[ShalfA])</f>
        <v>43.542857142857144</v>
      </c>
      <c r="FC2" s="16">
        <f>_xlfn.RANK.EQ(all[[#This Row],[SHA]],all[SHA],1)</f>
        <v>14</v>
      </c>
      <c r="FD2" s="6">
        <f ca="1">AVERAGE(LARGE(OFFSET(bourg[Home_scored],COUNTA(bourg[Home_scored])-5, 0, 5, 1),2), LARGE(OFFSET(bourg[Home_scored],COUNTA(bourg[Home_scored])-5, 0, 5, 1),3),LARGE(OFFSET(bourg[Home_scored],COUNTA(bourg[Home_scored])-5, 0, 5, 1),4))</f>
        <v>94</v>
      </c>
      <c r="FE2" s="6">
        <f ca="1">AVERAGE(LARGE(OFFSET(bourg[Away_scored],COUNTA(bourg[Away_scored])-5, 0, 5, 1),2), LARGE(OFFSET(bourg[Away_scored],COUNTA(bourg[Away_scored])-5, 0, 5, 1),3),LARGE(OFFSET(bourg[Away_scored],COUNTA(bourg[Away_scored])-5, 0, 5, 1),4))</f>
        <v>97.333333333333329</v>
      </c>
      <c r="FF2" s="16">
        <f ca="1">COUNTIF(INDIRECT(all[[#This Row],[Table name]]&amp;"[result]"),"w")+COUNTIF(INDIRECT(all[[#This Row],[Table name]]&amp;"[result]"),"dw")</f>
        <v>20</v>
      </c>
      <c r="FG2" s="16">
        <f ca="1">COUNTIF(INDIRECT(all[[#This Row],[Table name]]&amp;"[result]"),"l")+COUNTIF(INDIRECT(all[[#This Row],[Table name]]&amp;"[result]"),"dl")</f>
        <v>15</v>
      </c>
      <c r="FH2" s="7">
        <f ca="1">all[[#This Row],[Wins]]/(all[[#This Row],[Wins]]+all[[#This Row],[Losses]])</f>
        <v>0.5714285714285714</v>
      </c>
      <c r="FI2">
        <f ca="1">_xlfn.RANK.EQ(all[[#This Row],[rating]],all[rating])</f>
        <v>6</v>
      </c>
      <c r="FJ2" s="5">
        <f t="shared" ref="FJ2:FJ17" si="0">AVERAGE(G2,I2,K2,M2,O2,Q2,S2,U2,W2,Y2,AA2,AC2,AE2,AG2,AI2,AK2,AM2,AO2,AQ2,AS2,AU2,AW2,AY2,BA2,BC2,BE2,BG2,BI2,BK2,BM2,BO2,BQ2,BS2,BU2,BW2,BY2,CA2,CC2,CE2,CG2,CI2,CK2,CM2,CO2,CQ2,CS2,CU2,CW2,CY2,DA2,DC2,DE2,DG2,DI2,DK2,DM2,DO2,DQ2,DS2,DU2,DW2,DY2,EA2,EC2,EE2)</f>
        <v>6.476923076923077</v>
      </c>
      <c r="FK2" s="6">
        <f>all[[#This Row],[Q1H]]+all[[#This Row],[Q1A]]</f>
        <v>43.771428571428572</v>
      </c>
      <c r="FL2" s="16">
        <f>_xlfn.RANK.EQ(all[[#This Row],[Q1T]],all[Q1T])</f>
        <v>2</v>
      </c>
      <c r="FM2" s="6">
        <f>all[[#This Row],[Q2H]]+all[[#This Row],[Q2A]]</f>
        <v>45.114285714285714</v>
      </c>
      <c r="FN2" s="16">
        <f>_xlfn.RANK.EQ(all[[#This Row],[Q2T]],all[Q2T])</f>
        <v>4</v>
      </c>
      <c r="FO2" s="6">
        <f>all[[#This Row],[Q3H]]+all[[#This Row],[Q3A]]</f>
        <v>43.971428571428575</v>
      </c>
      <c r="FP2" s="16">
        <f>_xlfn.RANK.EQ(all[[#This Row],[Q3T]],all[Q3T])</f>
        <v>6</v>
      </c>
      <c r="FQ2" s="6">
        <f>all[[#This Row],[Q4H]]+all[[#This Row],[Q4A]]</f>
        <v>41.685714285714283</v>
      </c>
      <c r="FR2" s="16">
        <f>_xlfn.RANK.EQ(all[[#This Row],[Q4T]],all[Q4T])</f>
        <v>9</v>
      </c>
      <c r="FS2" s="6">
        <f>all[[#This Row],[FHH]]+all[[#This Row],[FHA]]</f>
        <v>88.885714285714272</v>
      </c>
      <c r="FT2" s="16">
        <f>_xlfn.RANK.EQ(all[[#This Row],[FHT]],all[FHT])</f>
        <v>2</v>
      </c>
      <c r="FU2" s="6">
        <f>all[[#This Row],[SHH]]+all[[#This Row],[SHA]]</f>
        <v>85.657142857142858</v>
      </c>
      <c r="FV2" s="16">
        <f>_xlfn.RANK.EQ(all[[#This Row],[SHT]],all[SHT])</f>
        <v>6</v>
      </c>
      <c r="FW2" s="6">
        <f ca="1">SUM(INDIRECT(all[[#This Row],[Table name]]&amp;"[BetH]"))</f>
        <v>-3.0700000000000003</v>
      </c>
      <c r="FX2" s="16">
        <f ca="1">_xlfn.RANK.EQ(all[[#This Row],[BetH]],all[BetH])</f>
        <v>9</v>
      </c>
      <c r="FY2" s="6">
        <f ca="1">SUM(INDIRECT(all[[#This Row],[Table name]]&amp;"[BetA]"))</f>
        <v>-0.91999999999999993</v>
      </c>
      <c r="FZ2" s="16">
        <f ca="1">_xlfn.RANK.EQ(all[[#This Row],[BetA]],all[BetA])</f>
        <v>9</v>
      </c>
      <c r="GA2" s="16">
        <f ca="1">SUM(INDIRECT(all[[#This Row],[Table name]]&amp;"[Tover]"))</f>
        <v>26</v>
      </c>
      <c r="GB2" s="16">
        <f ca="1">_xlfn.RANK.EQ(all[[#This Row],[Tover]],all[Tover])</f>
        <v>2</v>
      </c>
      <c r="GC2" s="6">
        <f ca="1">AVERAGE(INDIRECT(all[[#This Row],[Table name]]&amp;"[Deviation]"))</f>
        <v>12.942857142857143</v>
      </c>
      <c r="GD2" s="16">
        <f ca="1">_xlfn.RANK.EQ(all[[#This Row],[Deviation]],all[Deviation],1)</f>
        <v>5</v>
      </c>
    </row>
    <row r="3" spans="1:186" x14ac:dyDescent="0.25">
      <c r="A3" s="9" t="s">
        <v>360</v>
      </c>
      <c r="B3" t="s">
        <v>305</v>
      </c>
      <c r="C3" t="s">
        <v>306</v>
      </c>
      <c r="D3" t="s">
        <v>307</v>
      </c>
      <c r="E3">
        <f>_xlfn.RANK.EQ(all[[#This Row],[AVG_RT]],all[AVG_RT],1)</f>
        <v>7</v>
      </c>
      <c r="F3" s="6">
        <f>AVERAGE(chalon[Home_scored])</f>
        <v>85.82352941176471</v>
      </c>
      <c r="G3" s="16">
        <f>_xlfn.RANK.EQ(all[[#This Row],[PM]],all[PM])</f>
        <v>6</v>
      </c>
      <c r="H3" s="6">
        <f>AVERAGE(chalon[Away_scored])</f>
        <v>85.17647058823529</v>
      </c>
      <c r="I3" s="16">
        <f>_xlfn.RANK.EQ(all[[#This Row],[PC]],all[PC],1)</f>
        <v>12</v>
      </c>
      <c r="J3" s="6">
        <f>AVERAGE(chalon[FGA])</f>
        <v>60.882352941176471</v>
      </c>
      <c r="K3" s="16">
        <f>_xlfn.RANK.EQ(all[[#This Row],[FGA]],all[FGA])</f>
        <v>10</v>
      </c>
      <c r="L3" s="6">
        <f>AVERAGE(chalon[FGM])</f>
        <v>30.147058823529413</v>
      </c>
      <c r="M3" s="16">
        <f>_xlfn.RANK.EQ(all[[#This Row],[FGM]],all[FGM])</f>
        <v>6</v>
      </c>
      <c r="N3" s="7">
        <f>AVERAGE(chalon[FGp])</f>
        <v>0.49637058823529412</v>
      </c>
      <c r="O3" s="16">
        <f>_xlfn.RANK.EQ(all[[#This Row],[FGp]],all[FGp])</f>
        <v>3</v>
      </c>
      <c r="P3" s="6">
        <f>AVERAGE(chalon[P2M])</f>
        <v>20.323529411764707</v>
      </c>
      <c r="Q3" s="16">
        <f>_xlfn.RANK.EQ(all[[#This Row],[P2M]],all[P2M])</f>
        <v>7</v>
      </c>
      <c r="R3" s="6">
        <f>AVERAGE(chalon[P2A])</f>
        <v>35.882352941176471</v>
      </c>
      <c r="S3" s="16">
        <f>_xlfn.RANK.EQ(all[[#This Row],[P2A]],all[P2A])</f>
        <v>6</v>
      </c>
      <c r="T3" s="7">
        <f>AVERAGE(chalon[P2p])</f>
        <v>0.56967941176470571</v>
      </c>
      <c r="U3" s="16">
        <f>_xlfn.RANK.EQ(all[[#This Row],[P2p]],all[P2p])</f>
        <v>7</v>
      </c>
      <c r="V3" s="6">
        <f>AVERAGE(chalon[P3M])</f>
        <v>9.8235294117647065</v>
      </c>
      <c r="W3" s="16">
        <f>_xlfn.RANK.EQ(all[[#This Row],[P3M]],all[P3M])</f>
        <v>5</v>
      </c>
      <c r="X3" s="6">
        <f>AVERAGE(chalon[P3A])</f>
        <v>25</v>
      </c>
      <c r="Y3" s="16">
        <f>_xlfn.RANK.EQ(all[[#This Row],[P3A]],all[P3A])</f>
        <v>11</v>
      </c>
      <c r="Z3" s="7">
        <f>AVERAGE(chalon[P3p])</f>
        <v>0.38982058823529409</v>
      </c>
      <c r="AA3" s="16">
        <f>_xlfn.RANK.EQ(all[[#This Row],[P3p]],all[P3p])</f>
        <v>1</v>
      </c>
      <c r="AB3" s="6">
        <f>AVERAGE(chalon[FTM])</f>
        <v>15.705882352941176</v>
      </c>
      <c r="AC3" s="16">
        <f>_xlfn.RANK.EQ(all[[#This Row],[FTM]],all[FTM])</f>
        <v>10</v>
      </c>
      <c r="AD3" s="6">
        <f>AVERAGE(chalon[FTA])</f>
        <v>21.529411764705884</v>
      </c>
      <c r="AE3" s="16">
        <f>_xlfn.RANK.EQ(all[[#This Row],[FTA]],all[FTA])</f>
        <v>8</v>
      </c>
      <c r="AF3" s="7">
        <f>AVERAGE(chalon[FTp])</f>
        <v>0.72972647058823537</v>
      </c>
      <c r="AG3" s="16">
        <f>_xlfn.RANK.EQ(all[[#This Row],[FTp]],all[FTp])</f>
        <v>12</v>
      </c>
      <c r="AH3" s="6">
        <f>AVERAGE(chalon[ORB])</f>
        <v>10.058823529411764</v>
      </c>
      <c r="AI3" s="16">
        <f>_xlfn.RANK.EQ(all[[#This Row],[ORB]],all[ORB])</f>
        <v>12</v>
      </c>
      <c r="AJ3" s="6">
        <f>AVERAGE(chalon[DRB])</f>
        <v>24</v>
      </c>
      <c r="AK3" s="16">
        <f>_xlfn.RANK.EQ(all[[#This Row],[DRB]],all[DRB])</f>
        <v>7</v>
      </c>
      <c r="AL3" s="6">
        <f>AVERAGE(chalon[TRB])</f>
        <v>34.058823529411768</v>
      </c>
      <c r="AM3" s="16">
        <f>_xlfn.RANK.EQ(all[[#This Row],[TRB]],all[TRB])</f>
        <v>8</v>
      </c>
      <c r="AN3" s="6">
        <f>AVERAGE(chalon[AST])</f>
        <v>20.647058823529413</v>
      </c>
      <c r="AO3" s="16">
        <f>_xlfn.RANK.EQ(all[[#This Row],[AST]],all[AST])</f>
        <v>4</v>
      </c>
      <c r="AP3" s="6">
        <f>AVERAGE(chalon[STL])</f>
        <v>6.1470588235294121</v>
      </c>
      <c r="AQ3" s="16">
        <f>_xlfn.RANK.EQ(all[[#This Row],[STL]],all[STL])</f>
        <v>8</v>
      </c>
      <c r="AR3" s="6">
        <f>AVERAGE(chalon[BLK])</f>
        <v>2.8529411764705883</v>
      </c>
      <c r="AS3" s="16">
        <f>_xlfn.RANK.EQ(all[[#This Row],[BLK]],all[BLK])</f>
        <v>7</v>
      </c>
      <c r="AT3" s="6">
        <f>AVERAGE(chalon[TOV])</f>
        <v>13.147058823529411</v>
      </c>
      <c r="AU3" s="16">
        <f>_xlfn.RANK.EQ(all[[#This Row],[TOV]],all[TOV],1)</f>
        <v>11</v>
      </c>
      <c r="AV3" s="6">
        <f>AVERAGE(chalon[PF])</f>
        <v>20.705882352941178</v>
      </c>
      <c r="AW3" s="16">
        <f>_xlfn.RANK.EQ(all[[#This Row],[PF]],all[PF],1)</f>
        <v>7</v>
      </c>
      <c r="AX3" s="6">
        <f>AVERAGE(chalon[FGAop])</f>
        <v>63.382352941176471</v>
      </c>
      <c r="AY3" s="16">
        <f>_xlfn.RANK.EQ(all[[#This Row],[FGA opp]],all[FGA opp],1)</f>
        <v>12</v>
      </c>
      <c r="AZ3" s="6">
        <f>AVERAGE(chalon[FGMop])</f>
        <v>30.176470588235293</v>
      </c>
      <c r="BA3" s="16">
        <f>_xlfn.RANK.EQ(all[[#This Row],[FGM opp]],all[FGM opp],1)</f>
        <v>13</v>
      </c>
      <c r="BB3" s="7">
        <f>AVERAGE(chalon[FGpop])</f>
        <v>0.47573823529411757</v>
      </c>
      <c r="BC3" s="16">
        <f>_xlfn.RANK.EQ(all[[#This Row],[FGp opp]],all[FGp opp],1)</f>
        <v>9</v>
      </c>
      <c r="BD3" s="6">
        <f>AVERAGE(chalon[P2Mop])</f>
        <v>20.323529411764707</v>
      </c>
      <c r="BE3" s="16">
        <f>_xlfn.RANK.EQ(all[[#This Row],[P2M opp]],all[P2M opp],1)</f>
        <v>9</v>
      </c>
      <c r="BF3" s="6">
        <f>AVERAGE(chalon[P2Aop])</f>
        <v>35.058823529411768</v>
      </c>
      <c r="BG3" s="16">
        <f>_xlfn.RANK.EQ(all[[#This Row],[P2A opp]],all[P2A opp],1)</f>
        <v>6</v>
      </c>
      <c r="BH3">
        <f>AVERAGE(chalon[P2pop])</f>
        <v>0.58055294117647072</v>
      </c>
      <c r="BI3" s="16">
        <f>_xlfn.RANK.EQ(all[[#This Row],[P2p opp]],all[P2p opp],1)</f>
        <v>14</v>
      </c>
      <c r="BJ3" s="6">
        <f>AVERAGE(chalon[P3Mop])</f>
        <v>9.8529411764705888</v>
      </c>
      <c r="BK3" s="16">
        <f>_xlfn.RANK.EQ(all[[#This Row],[P3M opp]],all[P3M opp],1)</f>
        <v>13</v>
      </c>
      <c r="BL3" s="6">
        <f>AVERAGE(chalon[P3Aop])</f>
        <v>28.323529411764707</v>
      </c>
      <c r="BM3" s="16">
        <f>_xlfn.RANK.EQ(all[[#This Row],[P3A opp]],all[P3A opp],1)</f>
        <v>14</v>
      </c>
      <c r="BN3" s="7">
        <f>AVERAGE(chalon[P3pop])</f>
        <v>0.34528529411764702</v>
      </c>
      <c r="BO3" s="16">
        <f>_xlfn.RANK.EQ(all[[#This Row],[P3p opp]],all[P3p opp],1)</f>
        <v>5</v>
      </c>
      <c r="BP3" s="6">
        <f>AVERAGE(chalon[FTMop])</f>
        <v>14.970588235294118</v>
      </c>
      <c r="BQ3" s="16">
        <f>_xlfn.RANK.EQ(all[[#This Row],[FTM opp]],all[FTM opp],1)</f>
        <v>5</v>
      </c>
      <c r="BR3" s="6">
        <f>AVERAGE(chalon[FTAop])</f>
        <v>20.088235294117649</v>
      </c>
      <c r="BS3" s="16">
        <f>_xlfn.RANK.EQ(all[[#This Row],[FTA opp]],all[FTA opp],1)</f>
        <v>5</v>
      </c>
      <c r="BT3" s="7">
        <f>AVERAGE(chalon[FTpop])</f>
        <v>0.75379117647058835</v>
      </c>
      <c r="BU3" s="16">
        <f>_xlfn.RANK.EQ(all[[#This Row],[FTp opp]],all[FTp opp],1)</f>
        <v>11</v>
      </c>
      <c r="BV3" s="6">
        <f>AVERAGE(chalon[ORBop])</f>
        <v>10.441176470588236</v>
      </c>
      <c r="BW3" s="16">
        <f>_xlfn.RANK.EQ(all[[#This Row],[ORB opp]],all[ORB opp],1)</f>
        <v>5</v>
      </c>
      <c r="BX3" s="6">
        <f>AVERAGE(chalon[DRBop])</f>
        <v>23</v>
      </c>
      <c r="BY3" s="16">
        <f>_xlfn.RANK.EQ(all[[#This Row],[DRB opp]],all[DRB opp],1)</f>
        <v>7</v>
      </c>
      <c r="BZ3" s="6">
        <f>AVERAGE(chalon[TRBop])</f>
        <v>33.441176470588232</v>
      </c>
      <c r="CA3" s="16">
        <f>_xlfn.RANK.EQ(all[[#This Row],[TRB opp]],all[TRB opp],1)</f>
        <v>7</v>
      </c>
      <c r="CB3" s="6">
        <f>AVERAGE(chalon[ASTop])</f>
        <v>19.735294117647058</v>
      </c>
      <c r="CC3" s="16">
        <f>_xlfn.RANK.EQ(all[[#This Row],[AST opp]],all[AST opp],1)</f>
        <v>11</v>
      </c>
      <c r="CD3" s="6">
        <f>AVERAGE(chalon[STLop])</f>
        <v>6.5294117647058822</v>
      </c>
      <c r="CE3" s="16">
        <f>_xlfn.RANK.EQ(all[[#This Row],[STL opp]],all[STL opp],1)</f>
        <v>11</v>
      </c>
      <c r="CF3" s="6">
        <f>AVERAGE(chalon[BLKop])</f>
        <v>3.2058823529411766</v>
      </c>
      <c r="CG3" s="16">
        <f>_xlfn.RANK.EQ(all[[#This Row],[BLK opp]],all[BLK opp],1)</f>
        <v>11</v>
      </c>
      <c r="CH3" s="6">
        <f>AVERAGE(chalon[TOVop])</f>
        <v>11.676470588235293</v>
      </c>
      <c r="CI3" s="16">
        <f>_xlfn.RANK.EQ(all[[#This Row],[TOV opp]],all[TOV opp])</f>
        <v>12</v>
      </c>
      <c r="CJ3" s="6">
        <f>AVERAGE(chalon[PFop])</f>
        <v>21.529411764705884</v>
      </c>
      <c r="CK3" s="16">
        <f>_xlfn.RANK.EQ(all[[#This Row],[PF opp]],all[PF opp])</f>
        <v>7</v>
      </c>
      <c r="CL3" s="7">
        <f>AVERAGE(chalon[TS%])</f>
        <v>0.61073235294117645</v>
      </c>
      <c r="CM3" s="16">
        <f>_xlfn.RANK.EQ(all[[#This Row],[TSp]],all[TSp])</f>
        <v>4</v>
      </c>
      <c r="CN3" s="7">
        <f>AVERAGE(chalon[eFG%])</f>
        <v>0.57757058823529406</v>
      </c>
      <c r="CO3" s="16">
        <f>_xlfn.RANK.EQ(all[[#This Row],[eFGp]],all[eFGp])</f>
        <v>4</v>
      </c>
      <c r="CP3" s="7">
        <f>AVERAGE(chalon[ORB%])</f>
        <v>0.30224705882352937</v>
      </c>
      <c r="CQ3" s="16">
        <f>_xlfn.RANK.EQ(all[[#This Row],[ORBp]],all[ORBp])</f>
        <v>11</v>
      </c>
      <c r="CR3" s="7">
        <f>AVERAGE(chalon[DRB%])</f>
        <v>0.69805588235294125</v>
      </c>
      <c r="CS3" s="16">
        <f>_xlfn.RANK.EQ(all[[#This Row],[DRBp]],all[DRBp])</f>
        <v>7</v>
      </c>
      <c r="CT3" s="7">
        <f>AVERAGE(chalon[TRB%])</f>
        <v>0.50463235294117648</v>
      </c>
      <c r="CU3" s="16">
        <f>_xlfn.RANK.EQ(all[[#This Row],[TRBp]],all[TRBp])</f>
        <v>8</v>
      </c>
      <c r="CV3" s="6">
        <f>AVERAGE(chalon[Poss])</f>
        <v>72.846176470588233</v>
      </c>
      <c r="CW3" s="16">
        <f>_xlfn.RANK.EQ(all[[#This Row],[Poss]],all[Poss])</f>
        <v>5</v>
      </c>
      <c r="CX3" s="7">
        <f>AVERAGE(chalon[AST%])</f>
        <v>0.68393823529411768</v>
      </c>
      <c r="CY3" s="16">
        <f>_xlfn.RANK.EQ(all[[#This Row],[ASTp]],all[ASTp])</f>
        <v>6</v>
      </c>
      <c r="CZ3" s="7">
        <f>AVERAGE(chalon[FTFGA%])</f>
        <v>0.26000294117647055</v>
      </c>
      <c r="DA3" s="16">
        <f>_xlfn.RANK.EQ(all[[#This Row],[FTFGAp]],all[FTFGAp])</f>
        <v>9</v>
      </c>
      <c r="DB3" s="7">
        <f>AVERAGE(chalon[TOV%])</f>
        <v>0.15687058823529415</v>
      </c>
      <c r="DC3" s="16">
        <f>_xlfn.RANK.EQ(all[[#This Row],[TOVp]],all[TOVp],1)</f>
        <v>11</v>
      </c>
      <c r="DD3" s="6">
        <f>AVERAGE(chalon[ORtg])</f>
        <v>118.6941176470588</v>
      </c>
      <c r="DE3" s="16">
        <f>_xlfn.RANK.EQ(all[[#This Row],[ORtg]],all[ORtg])</f>
        <v>7</v>
      </c>
      <c r="DF3" s="6">
        <f>AVERAGE(chalon[DRtg])</f>
        <v>117.55588235294121</v>
      </c>
      <c r="DG3" s="16">
        <f>_xlfn.RANK.EQ(all[[#This Row],[DRtg]],all[DRtg],1)</f>
        <v>11</v>
      </c>
      <c r="DH3" s="6">
        <f>AVERAGE(chalon[Pace])</f>
        <v>72.365176470588224</v>
      </c>
      <c r="DI3" s="16">
        <f>_xlfn.RANK.EQ(all[[#This Row],[Pace]],all[Pace])</f>
        <v>6</v>
      </c>
      <c r="DJ3" s="7">
        <f>AVERAGE(chalon[TS%op])</f>
        <v>0.58885882352941166</v>
      </c>
      <c r="DK3" s="16">
        <f>_xlfn.RANK.EQ(all[[#This Row],[TSp opp]],all[TSp opp],1)</f>
        <v>9</v>
      </c>
      <c r="DL3" s="7">
        <f>AVERAGE(chalon[eFG%op])</f>
        <v>0.55387647058823519</v>
      </c>
      <c r="DM3" s="16">
        <f>_xlfn.RANK.EQ(all[[#This Row],[eFGp opp]],all[eFGp opp],1)</f>
        <v>12</v>
      </c>
      <c r="DN3" s="7">
        <f>AVERAGE(chalon[ORB%op])</f>
        <v>0.30194705882352946</v>
      </c>
      <c r="DO3" s="16">
        <f>_xlfn.RANK.EQ(all[[#This Row],[ORBp opp]],all[ORBp opp],1)</f>
        <v>7</v>
      </c>
      <c r="DP3" s="7">
        <f>AVERAGE(chalon[DRB%op])</f>
        <v>0.69776176470588247</v>
      </c>
      <c r="DQ3" s="16">
        <f>_xlfn.RANK.EQ(all[[#This Row],[DRBp opp]],all[DRBp opp],1)</f>
        <v>11</v>
      </c>
      <c r="DR3" s="7">
        <f>AVERAGE(chalon[TRB%op])</f>
        <v>0.49536764705882347</v>
      </c>
      <c r="DS3" s="16">
        <f>_xlfn.RANK.EQ(all[[#This Row],[TRBp opp]],all[TRBp opp],1)</f>
        <v>8</v>
      </c>
      <c r="DT3" s="6">
        <f>AVERAGE(chalon[Possop])</f>
        <v>71.884176470588244</v>
      </c>
      <c r="DU3" s="16">
        <f>_xlfn.RANK.EQ(all[[#This Row],[Poss opp]],all[Poss opp],1)</f>
        <v>10</v>
      </c>
      <c r="DV3" s="7">
        <f>AVERAGE(chalon[AST%op])</f>
        <v>0.65324117647058833</v>
      </c>
      <c r="DW3" s="16">
        <f>_xlfn.RANK.EQ(all[[#This Row],[ASTp opp]],all[ASTp opp],1)</f>
        <v>6</v>
      </c>
      <c r="DX3" s="7">
        <f>AVERAGE(chalon[FTFGA%op])</f>
        <v>0.23854705882352942</v>
      </c>
      <c r="DY3" s="16">
        <f>_xlfn.RANK.EQ(all[[#This Row],[FTFGAp opp]],all[FTFGAp opp],1)</f>
        <v>5</v>
      </c>
      <c r="DZ3" s="7">
        <f>AVERAGE(chalon[TOV%op])</f>
        <v>0.13831764705882352</v>
      </c>
      <c r="EA3" s="16">
        <f>_xlfn.RANK.EQ(all[[#This Row],[TOVp opp]],all[TOVp opp])</f>
        <v>13</v>
      </c>
      <c r="EB3" s="6">
        <f>AVERAGE(chalon[ORtgop])</f>
        <v>117.55588235294121</v>
      </c>
      <c r="EC3" s="16">
        <f>_xlfn.RANK.EQ(all[[#This Row],[ORtg opp]],all[ORtg opp],1)</f>
        <v>11</v>
      </c>
      <c r="ED3" s="6">
        <f>AVERAGE(chalon[DRtgop])</f>
        <v>118.6941176470588</v>
      </c>
      <c r="EE3" s="16">
        <f>_xlfn.RANK.EQ(all[[#This Row],[DRtg opp]],all[DRtg opp])</f>
        <v>7</v>
      </c>
      <c r="EF3" s="6">
        <f>AVERAGE(chalon[Q1H])</f>
        <v>20.764705882352942</v>
      </c>
      <c r="EG3" s="16">
        <f>_xlfn.RANK.EQ(all[[#This Row],[Q1H]],all[Q1H])</f>
        <v>9</v>
      </c>
      <c r="EH3" s="6">
        <f>AVERAGE(chalon[Q2H])</f>
        <v>20.882352941176471</v>
      </c>
      <c r="EI3" s="16">
        <f>_xlfn.RANK.EQ(all[[#This Row],[Q2H]],all[Q2H])</f>
        <v>8</v>
      </c>
      <c r="EJ3" s="6">
        <f>AVERAGE(chalon[Q3H])</f>
        <v>22.764705882352942</v>
      </c>
      <c r="EK3" s="16">
        <f>_xlfn.RANK.EQ(all[[#This Row],[Q3H]],all[Q3H])</f>
        <v>4</v>
      </c>
      <c r="EL3" s="6">
        <f>AVERAGE(chalon[Q4H])</f>
        <v>21.411764705882351</v>
      </c>
      <c r="EM3" s="16">
        <f>_xlfn.RANK.EQ(all[[#This Row],[Q4H]],all[Q4H])</f>
        <v>6</v>
      </c>
      <c r="EN3" s="6">
        <f>AVERAGE(chalon[Q1A])</f>
        <v>21</v>
      </c>
      <c r="EO3" s="16">
        <f>_xlfn.RANK.EQ(all[[#This Row],[Q1A]],all[Q1A],1)</f>
        <v>9</v>
      </c>
      <c r="EP3" s="6">
        <f>AVERAGE(chalon[Q2A])</f>
        <v>20.852941176470587</v>
      </c>
      <c r="EQ3" s="16">
        <f>_xlfn.RANK.EQ(all[[#This Row],[Q2A]],all[Q2A],1)</f>
        <v>9</v>
      </c>
      <c r="ER3" s="6">
        <f>AVERAGE(chalon[Q3A])</f>
        <v>22.794117647058822</v>
      </c>
      <c r="ES3" s="16">
        <f>_xlfn.RANK.EQ(all[[#This Row],[Q3A]],all[Q3A],1)</f>
        <v>15</v>
      </c>
      <c r="ET3" s="6">
        <f>AVERAGE(chalon[Q4A])</f>
        <v>20.529411764705884</v>
      </c>
      <c r="EU3" s="16">
        <f>_xlfn.RANK.EQ(all[[#This Row],[Q4A]],all[Q4A],1)</f>
        <v>7</v>
      </c>
      <c r="EV3" s="6">
        <f>AVERAGE(chalon[FhalfH])</f>
        <v>41.647058823529413</v>
      </c>
      <c r="EW3" s="16">
        <f>_xlfn.RANK.EQ(all[[#This Row],[FHH]],all[FHH])</f>
        <v>6</v>
      </c>
      <c r="EX3" s="5">
        <f>AVERAGE(chalon[FhalfA])</f>
        <v>41.852941176470587</v>
      </c>
      <c r="EY3" s="16">
        <f>_xlfn.RANK.EQ(all[[#This Row],[FHA]],all[FHA],1)</f>
        <v>9</v>
      </c>
      <c r="EZ3" s="6">
        <f>AVERAGE(chalon[ShalfH])</f>
        <v>44.176470588235297</v>
      </c>
      <c r="FA3" s="16">
        <f>_xlfn.RANK.EQ(all[[#This Row],[SHH]],all[SHH])</f>
        <v>3</v>
      </c>
      <c r="FB3" s="6">
        <f>AVERAGE(chalon[ShalfA])</f>
        <v>43.323529411764703</v>
      </c>
      <c r="FC3" s="16">
        <f>_xlfn.RANK.EQ(all[[#This Row],[SHA]],all[SHA],1)</f>
        <v>13</v>
      </c>
      <c r="FD3" s="6">
        <f ca="1">AVERAGE(LARGE(OFFSET(chalon[Home_scored],COUNTA(chalon[Home_scored])-5, 0, 5, 1),2), LARGE(OFFSET(chalon[Home_scored],COUNTA(chalon[Home_scored])-5, 0, 5, 1),3),LARGE(OFFSET(chalon[Home_scored],COUNTA(chalon[Home_scored])-5, 0, 5, 1),4))</f>
        <v>87.333333333333329</v>
      </c>
      <c r="FE3" s="6">
        <f ca="1">AVERAGE(LARGE(OFFSET(chalon[Away_scored],COUNTA(chalon[Away_scored])-5, 0, 5, 1),2), LARGE(OFFSET(chalon[Away_scored],COUNTA(chalon[Away_scored])-5, 0, 5, 1),3),LARGE(OFFSET(chalon[Away_scored],COUNTA(chalon[Away_scored])-5, 0, 5, 1),4))</f>
        <v>84.333333333333329</v>
      </c>
      <c r="FF3" s="16">
        <f ca="1">COUNTIF(INDIRECT(all[[#This Row],[Table name]]&amp;"[result]"),"w")+COUNTIF(INDIRECT(all[[#This Row],[Table name]]&amp;"[result]"),"dw")</f>
        <v>17</v>
      </c>
      <c r="FG3" s="16">
        <f ca="1">COUNTIF(INDIRECT(all[[#This Row],[Table name]]&amp;"[result]"),"l")+COUNTIF(INDIRECT(all[[#This Row],[Table name]]&amp;"[result]"),"dl")</f>
        <v>17</v>
      </c>
      <c r="FH3" s="7">
        <f ca="1">all[[#This Row],[Wins]]/(all[[#This Row],[Wins]]+all[[#This Row],[Losses]])</f>
        <v>0.5</v>
      </c>
      <c r="FI3">
        <f ca="1">_xlfn.RANK.EQ(all[[#This Row],[rating]],all[rating])</f>
        <v>7</v>
      </c>
      <c r="FJ3" s="5">
        <f t="shared" si="0"/>
        <v>8.3538461538461544</v>
      </c>
      <c r="FK3" s="6">
        <f>all[[#This Row],[Q1H]]+all[[#This Row],[Q1A]]</f>
        <v>41.764705882352942</v>
      </c>
      <c r="FL3" s="16">
        <f>_xlfn.RANK.EQ(all[[#This Row],[Q1T]],all[Q1T])</f>
        <v>5</v>
      </c>
      <c r="FM3" s="6">
        <f>all[[#This Row],[Q2H]]+all[[#This Row],[Q2A]]</f>
        <v>41.735294117647058</v>
      </c>
      <c r="FN3" s="16">
        <f>_xlfn.RANK.EQ(all[[#This Row],[Q2T]],all[Q2T])</f>
        <v>7</v>
      </c>
      <c r="FO3" s="6">
        <f>all[[#This Row],[Q3H]]+all[[#This Row],[Q3A]]</f>
        <v>45.558823529411768</v>
      </c>
      <c r="FP3" s="16">
        <f>_xlfn.RANK.EQ(all[[#This Row],[Q3T]],all[Q3T])</f>
        <v>3</v>
      </c>
      <c r="FQ3" s="6">
        <f>all[[#This Row],[Q4H]]+all[[#This Row],[Q4A]]</f>
        <v>41.941176470588232</v>
      </c>
      <c r="FR3" s="16">
        <f>_xlfn.RANK.EQ(all[[#This Row],[Q4T]],all[Q4T])</f>
        <v>8</v>
      </c>
      <c r="FS3" s="6">
        <f>all[[#This Row],[FHH]]+all[[#This Row],[FHA]]</f>
        <v>83.5</v>
      </c>
      <c r="FT3" s="16">
        <f>_xlfn.RANK.EQ(all[[#This Row],[FHT]],all[FHT])</f>
        <v>8</v>
      </c>
      <c r="FU3" s="6">
        <f>all[[#This Row],[SHH]]+all[[#This Row],[SHA]]</f>
        <v>87.5</v>
      </c>
      <c r="FV3" s="16">
        <f>_xlfn.RANK.EQ(all[[#This Row],[SHT]],all[SHT])</f>
        <v>4</v>
      </c>
      <c r="FW3" s="6">
        <f ca="1">SUM(INDIRECT(all[[#This Row],[Table name]]&amp;"[BetH]"))</f>
        <v>3.16</v>
      </c>
      <c r="FX3" s="16">
        <f ca="1">_xlfn.RANK.EQ(all[[#This Row],[BetH]],all[BetH])</f>
        <v>2</v>
      </c>
      <c r="FY3" s="6">
        <f ca="1">SUM(INDIRECT(all[[#This Row],[Table name]]&amp;"[BetA]"))</f>
        <v>-10.200000000000003</v>
      </c>
      <c r="FZ3" s="16">
        <f ca="1">_xlfn.RANK.EQ(all[[#This Row],[BetA]],all[BetA])</f>
        <v>15</v>
      </c>
      <c r="GA3" s="16">
        <f ca="1">SUM(INDIRECT(all[[#This Row],[Table name]]&amp;"[Tover]"))</f>
        <v>24</v>
      </c>
      <c r="GB3" s="16">
        <f ca="1">_xlfn.RANK.EQ(all[[#This Row],[Tover]],all[Tover])</f>
        <v>3</v>
      </c>
      <c r="GC3" s="6">
        <f ca="1">AVERAGE(INDIRECT(all[[#This Row],[Table name]]&amp;"[Deviation]"))</f>
        <v>15.764705882352942</v>
      </c>
      <c r="GD3" s="16">
        <f ca="1">_xlfn.RANK.EQ(all[[#This Row],[Deviation]],all[Deviation],1)</f>
        <v>15</v>
      </c>
    </row>
    <row r="4" spans="1:186" x14ac:dyDescent="0.25">
      <c r="A4" s="9" t="s">
        <v>308</v>
      </c>
      <c r="B4" t="s">
        <v>308</v>
      </c>
      <c r="C4" t="s">
        <v>309</v>
      </c>
      <c r="D4" t="s">
        <v>310</v>
      </c>
      <c r="E4">
        <f>_xlfn.RANK.EQ(all[[#This Row],[AVG_RT]],all[AVG_RT],1)</f>
        <v>5</v>
      </c>
      <c r="F4" s="6">
        <f>AVERAGE(cholet[Home_scored])</f>
        <v>84.71875</v>
      </c>
      <c r="G4" s="16">
        <f>_xlfn.RANK.EQ(all[[#This Row],[PM]],all[PM])</f>
        <v>8</v>
      </c>
      <c r="H4" s="6">
        <f>AVERAGE(cholet[Away_scored])</f>
        <v>82.1875</v>
      </c>
      <c r="I4" s="16">
        <f>_xlfn.RANK.EQ(all[[#This Row],[PC]],all[PC],1)</f>
        <v>4</v>
      </c>
      <c r="J4" s="6">
        <f>AVERAGE(cholet[FGA])</f>
        <v>63.21875</v>
      </c>
      <c r="K4" s="16">
        <f>_xlfn.RANK.EQ(all[[#This Row],[FGA]],all[FGA])</f>
        <v>4</v>
      </c>
      <c r="L4" s="6">
        <f>AVERAGE(cholet[FGM])</f>
        <v>30.28125</v>
      </c>
      <c r="M4" s="16">
        <f>_xlfn.RANK.EQ(all[[#This Row],[FGM]],all[FGM])</f>
        <v>4</v>
      </c>
      <c r="N4" s="7">
        <f>AVERAGE(cholet[FGp])</f>
        <v>0.48065312500000007</v>
      </c>
      <c r="O4" s="16">
        <f>_xlfn.RANK.EQ(all[[#This Row],[FGp]],all[FGp])</f>
        <v>8</v>
      </c>
      <c r="P4" s="6">
        <f>AVERAGE(cholet[P2M])</f>
        <v>21.84375</v>
      </c>
      <c r="Q4" s="16">
        <f>_xlfn.RANK.EQ(all[[#This Row],[P2M]],all[P2M])</f>
        <v>4</v>
      </c>
      <c r="R4" s="6">
        <f>AVERAGE(cholet[P2A])</f>
        <v>37.84375</v>
      </c>
      <c r="S4" s="16">
        <f>_xlfn.RANK.EQ(all[[#This Row],[P2A]],all[P2A])</f>
        <v>3</v>
      </c>
      <c r="T4" s="7">
        <f>AVERAGE(cholet[P2p])</f>
        <v>0.57994999999999985</v>
      </c>
      <c r="U4" s="16">
        <f>_xlfn.RANK.EQ(all[[#This Row],[P2p]],all[P2p])</f>
        <v>5</v>
      </c>
      <c r="V4" s="6">
        <f>AVERAGE(cholet[P3M])</f>
        <v>8.4375</v>
      </c>
      <c r="W4" s="16">
        <f>_xlfn.RANK.EQ(all[[#This Row],[P3M]],all[P3M])</f>
        <v>12</v>
      </c>
      <c r="X4" s="6">
        <f>AVERAGE(cholet[P3A])</f>
        <v>25.375</v>
      </c>
      <c r="Y4" s="16">
        <f>_xlfn.RANK.EQ(all[[#This Row],[P3A]],all[P3A])</f>
        <v>8</v>
      </c>
      <c r="Z4" s="7">
        <f>AVERAGE(cholet[P3p])</f>
        <v>0.33539062500000005</v>
      </c>
      <c r="AA4" s="16">
        <f>_xlfn.RANK.EQ(all[[#This Row],[P3p]],all[P3p])</f>
        <v>13</v>
      </c>
      <c r="AB4" s="6">
        <f>AVERAGE(cholet[FTM])</f>
        <v>15.71875</v>
      </c>
      <c r="AC4" s="16">
        <f>_xlfn.RANK.EQ(all[[#This Row],[FTM]],all[FTM])</f>
        <v>9</v>
      </c>
      <c r="AD4" s="6">
        <f>AVERAGE(cholet[FTA])</f>
        <v>21.71875</v>
      </c>
      <c r="AE4" s="16">
        <f>_xlfn.RANK.EQ(all[[#This Row],[FTA]],all[FTA])</f>
        <v>7</v>
      </c>
      <c r="AF4" s="7">
        <f>AVERAGE(cholet[FTp])</f>
        <v>0.72365000000000013</v>
      </c>
      <c r="AG4" s="16">
        <f>_xlfn.RANK.EQ(all[[#This Row],[FTp]],all[FTp])</f>
        <v>14</v>
      </c>
      <c r="AH4" s="6">
        <f>AVERAGE(cholet[ORB])</f>
        <v>11.84375</v>
      </c>
      <c r="AI4" s="16">
        <f>_xlfn.RANK.EQ(all[[#This Row],[ORB]],all[ORB])</f>
        <v>5</v>
      </c>
      <c r="AJ4" s="6">
        <f>AVERAGE(cholet[DRB])</f>
        <v>24.46875</v>
      </c>
      <c r="AK4" s="16">
        <f>_xlfn.RANK.EQ(all[[#This Row],[DRB]],all[DRB])</f>
        <v>4</v>
      </c>
      <c r="AL4" s="6">
        <f>AVERAGE(cholet[TRB])</f>
        <v>36.3125</v>
      </c>
      <c r="AM4" s="16">
        <f>_xlfn.RANK.EQ(all[[#This Row],[TRB]],all[TRB])</f>
        <v>2</v>
      </c>
      <c r="AN4" s="6">
        <f>AVERAGE(cholet[AST])</f>
        <v>21.125</v>
      </c>
      <c r="AO4" s="16">
        <f>_xlfn.RANK.EQ(all[[#This Row],[AST]],all[AST])</f>
        <v>1</v>
      </c>
      <c r="AP4" s="6">
        <f>AVERAGE(cholet[STL])</f>
        <v>6.625</v>
      </c>
      <c r="AQ4" s="16">
        <f>_xlfn.RANK.EQ(all[[#This Row],[STL]],all[STL])</f>
        <v>5</v>
      </c>
      <c r="AR4" s="6">
        <f>AVERAGE(cholet[BLK])</f>
        <v>2.53125</v>
      </c>
      <c r="AS4" s="16">
        <f>_xlfn.RANK.EQ(all[[#This Row],[BLK]],all[BLK])</f>
        <v>11</v>
      </c>
      <c r="AT4" s="6">
        <f>AVERAGE(cholet[TOV])</f>
        <v>14.21875</v>
      </c>
      <c r="AU4" s="16">
        <f>_xlfn.RANK.EQ(all[[#This Row],[TOV]],all[TOV],1)</f>
        <v>15</v>
      </c>
      <c r="AV4" s="6">
        <f>AVERAGE(cholet[PF])</f>
        <v>23.875</v>
      </c>
      <c r="AW4" s="16">
        <f>_xlfn.RANK.EQ(all[[#This Row],[PF]],all[PF],1)</f>
        <v>15</v>
      </c>
      <c r="AX4" s="6">
        <f>AVERAGE(cholet[FGAop])</f>
        <v>60.28125</v>
      </c>
      <c r="AY4" s="16">
        <f>_xlfn.RANK.EQ(all[[#This Row],[FGA opp]],all[FGA opp],1)</f>
        <v>4</v>
      </c>
      <c r="AZ4" s="6">
        <f>AVERAGE(cholet[FGMop])</f>
        <v>27.46875</v>
      </c>
      <c r="BA4" s="16">
        <f>_xlfn.RANK.EQ(all[[#This Row],[FGM opp]],all[FGM opp],1)</f>
        <v>2</v>
      </c>
      <c r="BB4" s="7">
        <f>AVERAGE(cholet[FGpop])</f>
        <v>0.45369375000000001</v>
      </c>
      <c r="BC4" s="16">
        <f>_xlfn.RANK.EQ(all[[#This Row],[FGp opp]],all[FGp opp],1)</f>
        <v>2</v>
      </c>
      <c r="BD4" s="6">
        <f>AVERAGE(cholet[P2Mop])</f>
        <v>17.9375</v>
      </c>
      <c r="BE4" s="16">
        <f>_xlfn.RANK.EQ(all[[#This Row],[P2M opp]],all[P2M opp],1)</f>
        <v>2</v>
      </c>
      <c r="BF4" s="6">
        <f>AVERAGE(cholet[P2Aop])</f>
        <v>33.6875</v>
      </c>
      <c r="BG4" s="16">
        <f>_xlfn.RANK.EQ(all[[#This Row],[P2A opp]],all[P2A opp],1)</f>
        <v>4</v>
      </c>
      <c r="BH4">
        <f>AVERAGE(cholet[P2pop])</f>
        <v>0.53034375</v>
      </c>
      <c r="BI4" s="16">
        <f>_xlfn.RANK.EQ(all[[#This Row],[P2p opp]],all[P2p opp],1)</f>
        <v>3</v>
      </c>
      <c r="BJ4" s="6">
        <f>AVERAGE(cholet[P3Mop])</f>
        <v>9.53125</v>
      </c>
      <c r="BK4" s="16">
        <f>_xlfn.RANK.EQ(all[[#This Row],[P3M opp]],all[P3M opp],1)</f>
        <v>11</v>
      </c>
      <c r="BL4" s="6">
        <f>AVERAGE(cholet[P3Aop])</f>
        <v>26.59375</v>
      </c>
      <c r="BM4" s="16">
        <f>_xlfn.RANK.EQ(all[[#This Row],[P3A opp]],all[P3A opp],1)</f>
        <v>12</v>
      </c>
      <c r="BN4" s="7">
        <f>AVERAGE(cholet[P3pop])</f>
        <v>0.35324062499999992</v>
      </c>
      <c r="BO4" s="16">
        <f>_xlfn.RANK.EQ(all[[#This Row],[P3p opp]],all[P3p opp],1)</f>
        <v>9</v>
      </c>
      <c r="BP4" s="6">
        <f>AVERAGE(cholet[FTMop])</f>
        <v>17.71875</v>
      </c>
      <c r="BQ4" s="16">
        <f>_xlfn.RANK.EQ(all[[#This Row],[FTM opp]],all[FTM opp],1)</f>
        <v>13</v>
      </c>
      <c r="BR4" s="6">
        <f>AVERAGE(cholet[FTAop])</f>
        <v>24.21875</v>
      </c>
      <c r="BS4" s="16">
        <f>_xlfn.RANK.EQ(all[[#This Row],[FTA opp]],all[FTA opp],1)</f>
        <v>15</v>
      </c>
      <c r="BT4" s="7">
        <f>AVERAGE(cholet[FTpop])</f>
        <v>0.73101249999999995</v>
      </c>
      <c r="BU4" s="16">
        <f>_xlfn.RANK.EQ(all[[#This Row],[FTp opp]],all[FTp opp],1)</f>
        <v>4</v>
      </c>
      <c r="BV4" s="6">
        <f>AVERAGE(cholet[ORBop])</f>
        <v>10.59375</v>
      </c>
      <c r="BW4" s="16">
        <f>_xlfn.RANK.EQ(all[[#This Row],[ORB opp]],all[ORB opp],1)</f>
        <v>8</v>
      </c>
      <c r="BX4" s="6">
        <f>AVERAGE(cholet[DRBop])</f>
        <v>23.21875</v>
      </c>
      <c r="BY4" s="16">
        <f>_xlfn.RANK.EQ(all[[#This Row],[DRB opp]],all[DRB opp],1)</f>
        <v>9</v>
      </c>
      <c r="BZ4" s="6">
        <f>AVERAGE(cholet[TRBop])</f>
        <v>33.8125</v>
      </c>
      <c r="CA4" s="16">
        <f>_xlfn.RANK.EQ(all[[#This Row],[TRB opp]],all[TRB opp],1)</f>
        <v>9</v>
      </c>
      <c r="CB4" s="6">
        <f>AVERAGE(cholet[ASTop])</f>
        <v>18.71875</v>
      </c>
      <c r="CC4" s="16">
        <f>_xlfn.RANK.EQ(all[[#This Row],[AST opp]],all[AST opp],1)</f>
        <v>4</v>
      </c>
      <c r="CD4" s="6">
        <f>AVERAGE(cholet[STLop])</f>
        <v>7.40625</v>
      </c>
      <c r="CE4" s="16">
        <f>_xlfn.RANK.EQ(all[[#This Row],[STL opp]],all[STL opp],1)</f>
        <v>15</v>
      </c>
      <c r="CF4" s="6">
        <f>AVERAGE(cholet[BLKop])</f>
        <v>3</v>
      </c>
      <c r="CG4" s="16">
        <f>_xlfn.RANK.EQ(all[[#This Row],[BLK opp]],all[BLK opp],1)</f>
        <v>10</v>
      </c>
      <c r="CH4" s="6">
        <f>AVERAGE(cholet[TOVop])</f>
        <v>14.65625</v>
      </c>
      <c r="CI4" s="16">
        <f>_xlfn.RANK.EQ(all[[#This Row],[TOV opp]],all[TOV opp])</f>
        <v>2</v>
      </c>
      <c r="CJ4" s="6">
        <f>AVERAGE(cholet[PFop])</f>
        <v>22.53125</v>
      </c>
      <c r="CK4" s="16">
        <f>_xlfn.RANK.EQ(all[[#This Row],[PF opp]],all[PF opp])</f>
        <v>6</v>
      </c>
      <c r="CL4" s="7">
        <f>AVERAGE(cholet[TS%])</f>
        <v>0.58345937500000011</v>
      </c>
      <c r="CM4" s="16">
        <f>_xlfn.RANK.EQ(all[[#This Row],[TSp]],all[TSp])</f>
        <v>9</v>
      </c>
      <c r="CN4" s="7">
        <f>AVERAGE(cholet[eFG%])</f>
        <v>0.54752187500000005</v>
      </c>
      <c r="CO4" s="16">
        <f>_xlfn.RANK.EQ(all[[#This Row],[eFGp]],all[eFGp])</f>
        <v>9</v>
      </c>
      <c r="CP4" s="7">
        <f>AVERAGE(cholet[ORB%])</f>
        <v>0.329290625</v>
      </c>
      <c r="CQ4" s="16">
        <f>_xlfn.RANK.EQ(all[[#This Row],[ORBp]],all[ORBp])</f>
        <v>6</v>
      </c>
      <c r="CR4" s="7">
        <f>AVERAGE(cholet[DRB%])</f>
        <v>0.70042812499999996</v>
      </c>
      <c r="CS4" s="16">
        <f>_xlfn.RANK.EQ(all[[#This Row],[DRBp]],all[DRBp])</f>
        <v>5</v>
      </c>
      <c r="CT4" s="7">
        <f>AVERAGE(cholet[TRB%])</f>
        <v>0.51752500000000001</v>
      </c>
      <c r="CU4" s="16">
        <f>_xlfn.RANK.EQ(all[[#This Row],[TRBp]],all[TRBp])</f>
        <v>5</v>
      </c>
      <c r="CV4" s="6">
        <f>AVERAGE(cholet[Poss])</f>
        <v>74.464562500000014</v>
      </c>
      <c r="CW4" s="16">
        <f>_xlfn.RANK.EQ(all[[#This Row],[Poss]],all[Poss])</f>
        <v>1</v>
      </c>
      <c r="CX4" s="7">
        <f>AVERAGE(cholet[AST%])</f>
        <v>0.69576562500000017</v>
      </c>
      <c r="CY4" s="16">
        <f>_xlfn.RANK.EQ(all[[#This Row],[ASTp]],all[ASTp])</f>
        <v>4</v>
      </c>
      <c r="CZ4" s="7">
        <f>AVERAGE(cholet[FTFGA%])</f>
        <v>0.25258750000000008</v>
      </c>
      <c r="DA4" s="16">
        <f>_xlfn.RANK.EQ(all[[#This Row],[FTFGAp]],all[FTFGAp])</f>
        <v>11</v>
      </c>
      <c r="DB4" s="7">
        <f>AVERAGE(cholet[TOV%])</f>
        <v>0.16300624999999996</v>
      </c>
      <c r="DC4" s="16">
        <f>_xlfn.RANK.EQ(all[[#This Row],[TOVp]],all[TOVp],1)</f>
        <v>12</v>
      </c>
      <c r="DD4" s="6">
        <f>AVERAGE(cholet[ORtg])</f>
        <v>114.55312499999998</v>
      </c>
      <c r="DE4" s="16">
        <f>_xlfn.RANK.EQ(all[[#This Row],[ORtg]],all[ORtg])</f>
        <v>9</v>
      </c>
      <c r="DF4" s="6">
        <f>AVERAGE(cholet[DRtg])</f>
        <v>111.16562500000002</v>
      </c>
      <c r="DG4" s="16">
        <f>_xlfn.RANK.EQ(all[[#This Row],[DRtg]],all[DRtg],1)</f>
        <v>2</v>
      </c>
      <c r="DH4" s="6">
        <f>AVERAGE(cholet[Pace])</f>
        <v>74.027218749999989</v>
      </c>
      <c r="DI4" s="16">
        <f>_xlfn.RANK.EQ(all[[#This Row],[Pace]],all[Pace])</f>
        <v>1</v>
      </c>
      <c r="DJ4" s="7">
        <f>AVERAGE(cholet[TS%op])</f>
        <v>0.57813124999999999</v>
      </c>
      <c r="DK4" s="16">
        <f>_xlfn.RANK.EQ(all[[#This Row],[TSp opp]],all[TSp opp],1)</f>
        <v>2</v>
      </c>
      <c r="DL4" s="7">
        <f>AVERAGE(cholet[eFG%op])</f>
        <v>0.53200312500000002</v>
      </c>
      <c r="DM4" s="16">
        <f>_xlfn.RANK.EQ(all[[#This Row],[eFGp opp]],all[eFGp opp],1)</f>
        <v>2</v>
      </c>
      <c r="DN4" s="7">
        <f>AVERAGE(cholet[ORB%op])</f>
        <v>0.29957812500000003</v>
      </c>
      <c r="DO4" s="16">
        <f>_xlfn.RANK.EQ(all[[#This Row],[ORBp opp]],all[ORBp opp],1)</f>
        <v>5</v>
      </c>
      <c r="DP4" s="7">
        <f>AVERAGE(cholet[DRB%op])</f>
        <v>0.67071875000000003</v>
      </c>
      <c r="DQ4" s="16">
        <f>_xlfn.RANK.EQ(all[[#This Row],[DRBp opp]],all[DRBp opp],1)</f>
        <v>6</v>
      </c>
      <c r="DR4" s="7">
        <f>AVERAGE(cholet[TRB%op])</f>
        <v>0.48248124999999992</v>
      </c>
      <c r="DS4" s="16">
        <f>_xlfn.RANK.EQ(all[[#This Row],[TRBp opp]],all[TRBp opp],1)</f>
        <v>5</v>
      </c>
      <c r="DT4" s="6">
        <f>AVERAGE(cholet[Possop])</f>
        <v>73.589875000000021</v>
      </c>
      <c r="DU4" s="16">
        <f>_xlfn.RANK.EQ(all[[#This Row],[Poss opp]],all[Poss opp],1)</f>
        <v>14</v>
      </c>
      <c r="DV4" s="7">
        <f>AVERAGE(cholet[AST%op])</f>
        <v>0.68691562500000003</v>
      </c>
      <c r="DW4" s="16">
        <f>_xlfn.RANK.EQ(all[[#This Row],[ASTp opp]],all[ASTp opp],1)</f>
        <v>13</v>
      </c>
      <c r="DX4" s="7">
        <f>AVERAGE(cholet[FTFGA%op])</f>
        <v>0.30078437500000005</v>
      </c>
      <c r="DY4" s="16">
        <f>_xlfn.RANK.EQ(all[[#This Row],[FTFGAp opp]],all[FTFGAp opp],1)</f>
        <v>13</v>
      </c>
      <c r="DZ4" s="7">
        <f>AVERAGE(cholet[TOV%op])</f>
        <v>0.17109374999999999</v>
      </c>
      <c r="EA4" s="16">
        <f>_xlfn.RANK.EQ(all[[#This Row],[TOVp opp]],all[TOVp opp])</f>
        <v>2</v>
      </c>
      <c r="EB4" s="6">
        <f>AVERAGE(cholet[ORtgop])</f>
        <v>111.16562500000002</v>
      </c>
      <c r="EC4" s="16">
        <f>_xlfn.RANK.EQ(all[[#This Row],[ORtg opp]],all[ORtg opp],1)</f>
        <v>2</v>
      </c>
      <c r="ED4" s="6">
        <f>AVERAGE(cholet[DRtgop])</f>
        <v>114.55312499999998</v>
      </c>
      <c r="EE4" s="16">
        <f>_xlfn.RANK.EQ(all[[#This Row],[DRtg opp]],all[DRtg opp])</f>
        <v>9</v>
      </c>
      <c r="EF4" s="6">
        <f>AVERAGE(cholet[Q1H])</f>
        <v>20.9375</v>
      </c>
      <c r="EG4" s="16">
        <f>_xlfn.RANK.EQ(all[[#This Row],[Q1H]],all[Q1H])</f>
        <v>8</v>
      </c>
      <c r="EH4" s="6">
        <f>AVERAGE(cholet[Q2H])</f>
        <v>21.21875</v>
      </c>
      <c r="EI4" s="16">
        <f>_xlfn.RANK.EQ(all[[#This Row],[Q2H]],all[Q2H])</f>
        <v>6</v>
      </c>
      <c r="EJ4" s="6">
        <f>AVERAGE(cholet[Q3H])</f>
        <v>22.53125</v>
      </c>
      <c r="EK4" s="16">
        <f>_xlfn.RANK.EQ(all[[#This Row],[Q3H]],all[Q3H])</f>
        <v>5</v>
      </c>
      <c r="EL4" s="6">
        <f>AVERAGE(cholet[Q4H])</f>
        <v>20.03125</v>
      </c>
      <c r="EM4" s="16">
        <f>_xlfn.RANK.EQ(all[[#This Row],[Q4H]],all[Q4H])</f>
        <v>11</v>
      </c>
      <c r="EN4" s="6">
        <f>AVERAGE(cholet[Q1A])</f>
        <v>20.59375</v>
      </c>
      <c r="EO4" s="16">
        <f>_xlfn.RANK.EQ(all[[#This Row],[Q1A]],all[Q1A],1)</f>
        <v>8</v>
      </c>
      <c r="EP4" s="6">
        <f>AVERAGE(cholet[Q2A])</f>
        <v>19.75</v>
      </c>
      <c r="EQ4" s="16">
        <f>_xlfn.RANK.EQ(all[[#This Row],[Q2A]],all[Q2A],1)</f>
        <v>2</v>
      </c>
      <c r="ER4" s="6">
        <f>AVERAGE(cholet[Q3A])</f>
        <v>22.3125</v>
      </c>
      <c r="ES4" s="16">
        <f>_xlfn.RANK.EQ(all[[#This Row],[Q3A]],all[Q3A],1)</f>
        <v>14</v>
      </c>
      <c r="ET4" s="6">
        <f>AVERAGE(cholet[Q4A])</f>
        <v>19.53125</v>
      </c>
      <c r="EU4" s="16">
        <f>_xlfn.RANK.EQ(all[[#This Row],[Q4A]],all[Q4A],1)</f>
        <v>4</v>
      </c>
      <c r="EV4" s="6">
        <f>AVERAGE(cholet[FhalfH])</f>
        <v>42.15625</v>
      </c>
      <c r="EW4" s="16">
        <f>_xlfn.RANK.EQ(all[[#This Row],[FHH]],all[FHH])</f>
        <v>5</v>
      </c>
      <c r="EX4" s="5">
        <f>AVERAGE(cholet[FhalfA])</f>
        <v>40.34375</v>
      </c>
      <c r="EY4" s="16">
        <f>_xlfn.RANK.EQ(all[[#This Row],[FHA]],all[FHA],1)</f>
        <v>4</v>
      </c>
      <c r="EZ4" s="6">
        <f>AVERAGE(cholet[ShalfH])</f>
        <v>42.5625</v>
      </c>
      <c r="FA4" s="16">
        <f>_xlfn.RANK.EQ(all[[#This Row],[SHH]],all[SHH])</f>
        <v>8</v>
      </c>
      <c r="FB4" s="6">
        <f>AVERAGE(cholet[ShalfA])</f>
        <v>41.84375</v>
      </c>
      <c r="FC4" s="16">
        <f>_xlfn.RANK.EQ(all[[#This Row],[SHA]],all[SHA],1)</f>
        <v>9</v>
      </c>
      <c r="FD4" s="6">
        <f ca="1">AVERAGE(LARGE(OFFSET(cholet[Home_scored],COUNTA(cholet[Home_scored])-5, 0, 5, 1),2), LARGE(OFFSET(cholet[Home_scored],COUNTA(cholet[Home_scored])-5, 0, 5, 1),3),LARGE(OFFSET(cholet[Home_scored],COUNTA(cholet[Home_scored])-5, 0, 5, 1),4))</f>
        <v>84.333333333333329</v>
      </c>
      <c r="FE4" s="6">
        <f ca="1">AVERAGE(LARGE(OFFSET(cholet[Away_scored],COUNTA(cholet[Away_scored])-5, 0, 5, 1),2), LARGE(OFFSET(cholet[Away_scored],COUNTA(cholet[Away_scored])-5, 0, 5, 1),3),LARGE(OFFSET(cholet[Away_scored],COUNTA(cholet[Away_scored])-5, 0, 5, 1),4))</f>
        <v>91.333333333333329</v>
      </c>
      <c r="FF4" s="16">
        <f ca="1">COUNTIF(INDIRECT(all[[#This Row],[Table name]]&amp;"[result]"),"w")+COUNTIF(INDIRECT(all[[#This Row],[Table name]]&amp;"[result]"),"dw")</f>
        <v>21</v>
      </c>
      <c r="FG4" s="16">
        <f ca="1">COUNTIF(INDIRECT(all[[#This Row],[Table name]]&amp;"[result]"),"l")+COUNTIF(INDIRECT(all[[#This Row],[Table name]]&amp;"[result]"),"dl")</f>
        <v>11</v>
      </c>
      <c r="FH4" s="7">
        <f ca="1">all[[#This Row],[Wins]]/(all[[#This Row],[Wins]]+all[[#This Row],[Losses]])</f>
        <v>0.65625</v>
      </c>
      <c r="FI4">
        <f ca="1">_xlfn.RANK.EQ(all[[#This Row],[rating]],all[rating])</f>
        <v>5</v>
      </c>
      <c r="FJ4" s="5">
        <f t="shared" si="0"/>
        <v>6.953846153846154</v>
      </c>
      <c r="FK4" s="6">
        <f>all[[#This Row],[Q1H]]+all[[#This Row],[Q1A]]</f>
        <v>41.53125</v>
      </c>
      <c r="FL4" s="16">
        <f>_xlfn.RANK.EQ(all[[#This Row],[Q1T]],all[Q1T])</f>
        <v>6</v>
      </c>
      <c r="FM4" s="6">
        <f>all[[#This Row],[Q2H]]+all[[#This Row],[Q2A]]</f>
        <v>40.96875</v>
      </c>
      <c r="FN4" s="16">
        <f>_xlfn.RANK.EQ(all[[#This Row],[Q2T]],all[Q2T])</f>
        <v>11</v>
      </c>
      <c r="FO4" s="6">
        <f>all[[#This Row],[Q3H]]+all[[#This Row],[Q3A]]</f>
        <v>44.84375</v>
      </c>
      <c r="FP4" s="16">
        <f>_xlfn.RANK.EQ(all[[#This Row],[Q3T]],all[Q3T])</f>
        <v>5</v>
      </c>
      <c r="FQ4" s="6">
        <f>all[[#This Row],[Q4H]]+all[[#This Row],[Q4A]]</f>
        <v>39.5625</v>
      </c>
      <c r="FR4" s="16">
        <f>_xlfn.RANK.EQ(all[[#This Row],[Q4T]],all[Q4T])</f>
        <v>12</v>
      </c>
      <c r="FS4" s="6">
        <f>all[[#This Row],[FHH]]+all[[#This Row],[FHA]]</f>
        <v>82.5</v>
      </c>
      <c r="FT4" s="16">
        <f>_xlfn.RANK.EQ(all[[#This Row],[FHT]],all[FHT])</f>
        <v>10</v>
      </c>
      <c r="FU4" s="6">
        <f>all[[#This Row],[SHH]]+all[[#This Row],[SHA]]</f>
        <v>84.40625</v>
      </c>
      <c r="FV4" s="16">
        <f>_xlfn.RANK.EQ(all[[#This Row],[SHT]],all[SHT])</f>
        <v>8</v>
      </c>
      <c r="FW4" s="6">
        <f ca="1">SUM(INDIRECT(all[[#This Row],[Table name]]&amp;"[BetH]"))</f>
        <v>4.9900000000000011</v>
      </c>
      <c r="FX4" s="16">
        <f ca="1">_xlfn.RANK.EQ(all[[#This Row],[BetH]],all[BetH])</f>
        <v>1</v>
      </c>
      <c r="FY4" s="6">
        <f ca="1">SUM(INDIRECT(all[[#This Row],[Table name]]&amp;"[BetA]"))</f>
        <v>-10.510000000000002</v>
      </c>
      <c r="FZ4" s="16">
        <f ca="1">_xlfn.RANK.EQ(all[[#This Row],[BetA]],all[BetA])</f>
        <v>16</v>
      </c>
      <c r="GA4" s="16">
        <f ca="1">SUM(INDIRECT(all[[#This Row],[Table name]]&amp;"[Tover]"))</f>
        <v>17</v>
      </c>
      <c r="GB4" s="16">
        <f ca="1">_xlfn.RANK.EQ(all[[#This Row],[Tover]],all[Tover])</f>
        <v>9</v>
      </c>
      <c r="GC4" s="6">
        <f ca="1">AVERAGE(INDIRECT(all[[#This Row],[Table name]]&amp;"[Deviation]"))</f>
        <v>11.9375</v>
      </c>
      <c r="GD4" s="16">
        <f ca="1">_xlfn.RANK.EQ(all[[#This Row],[Deviation]],all[Deviation],1)</f>
        <v>1</v>
      </c>
    </row>
    <row r="5" spans="1:186" x14ac:dyDescent="0.25">
      <c r="A5" s="9" t="s">
        <v>311</v>
      </c>
      <c r="B5" t="s">
        <v>311</v>
      </c>
      <c r="C5" t="s">
        <v>312</v>
      </c>
      <c r="D5" t="s">
        <v>313</v>
      </c>
      <c r="E5">
        <f>_xlfn.RANK.EQ(all[[#This Row],[AVG_RT]],all[AVG_RT],1)</f>
        <v>10</v>
      </c>
      <c r="F5" s="6">
        <f>AVERAGE(dijon[Home_scored])</f>
        <v>89</v>
      </c>
      <c r="G5" s="16">
        <f>_xlfn.RANK.EQ(all[[#This Row],[PM]],all[PM])</f>
        <v>4</v>
      </c>
      <c r="H5" s="6">
        <f>AVERAGE(dijon[Away_scored])</f>
        <v>91</v>
      </c>
      <c r="I5" s="16">
        <f>_xlfn.RANK.EQ(all[[#This Row],[PC]],all[PC],1)</f>
        <v>16</v>
      </c>
      <c r="J5" s="6">
        <f>AVERAGE(dijon[FGA])</f>
        <v>65</v>
      </c>
      <c r="K5" s="16">
        <f>_xlfn.RANK.EQ(all[[#This Row],[FGA]],all[FGA])</f>
        <v>2</v>
      </c>
      <c r="L5" s="6">
        <f>AVERAGE(dijon[FGM])</f>
        <v>30</v>
      </c>
      <c r="M5" s="16">
        <f>_xlfn.RANK.EQ(all[[#This Row],[FGM]],all[FGM])</f>
        <v>7</v>
      </c>
      <c r="N5" s="7">
        <f>AVERAGE(dijon[FGp])</f>
        <v>0.46150000000000002</v>
      </c>
      <c r="O5" s="16">
        <f>_xlfn.RANK.EQ(all[[#This Row],[FGp]],all[FGp])</f>
        <v>11</v>
      </c>
      <c r="P5" s="6">
        <f>AVERAGE(dijon[P2M])</f>
        <v>19</v>
      </c>
      <c r="Q5" s="16">
        <f>_xlfn.RANK.EQ(all[[#This Row],[P2M]],all[P2M])</f>
        <v>10</v>
      </c>
      <c r="R5" s="6">
        <f>AVERAGE(dijon[P2A])</f>
        <v>34</v>
      </c>
      <c r="S5" s="16">
        <f>_xlfn.RANK.EQ(all[[#This Row],[P2A]],all[P2A])</f>
        <v>10</v>
      </c>
      <c r="T5" s="7">
        <f>AVERAGE(dijon[P2p])</f>
        <v>0.55879999999999996</v>
      </c>
      <c r="U5" s="16">
        <f>_xlfn.RANK.EQ(all[[#This Row],[P2p]],all[P2p])</f>
        <v>10</v>
      </c>
      <c r="V5" s="6">
        <f>AVERAGE(dijon[P3M])</f>
        <v>11</v>
      </c>
      <c r="W5" s="16">
        <f>_xlfn.RANK.EQ(all[[#This Row],[P3M]],all[P3M])</f>
        <v>2</v>
      </c>
      <c r="X5" s="6">
        <f>AVERAGE(dijon[P3A])</f>
        <v>31</v>
      </c>
      <c r="Y5" s="16">
        <f>_xlfn.RANK.EQ(all[[#This Row],[P3A]],all[P3A])</f>
        <v>2</v>
      </c>
      <c r="Z5" s="7">
        <f>AVERAGE(dijon[P3p])</f>
        <v>0.3548</v>
      </c>
      <c r="AA5" s="16">
        <f>_xlfn.RANK.EQ(all[[#This Row],[P3p]],all[P3p])</f>
        <v>8</v>
      </c>
      <c r="AB5" s="6">
        <f>AVERAGE(dijon[FTM])</f>
        <v>18</v>
      </c>
      <c r="AC5" s="16">
        <f>_xlfn.RANK.EQ(all[[#This Row],[FTM]],all[FTM])</f>
        <v>4</v>
      </c>
      <c r="AD5" s="6">
        <f>AVERAGE(dijon[FTA])</f>
        <v>22</v>
      </c>
      <c r="AE5" s="16">
        <f>_xlfn.RANK.EQ(all[[#This Row],[FTA]],all[FTA])</f>
        <v>5</v>
      </c>
      <c r="AF5" s="7">
        <f>AVERAGE(dijon[FTp])</f>
        <v>0.81820000000000004</v>
      </c>
      <c r="AG5" s="16">
        <f>_xlfn.RANK.EQ(all[[#This Row],[FTp]],all[FTp])</f>
        <v>1</v>
      </c>
      <c r="AH5" s="6">
        <f>AVERAGE(dijon[ORB])</f>
        <v>16</v>
      </c>
      <c r="AI5" s="16">
        <f>_xlfn.RANK.EQ(all[[#This Row],[ORB]],all[ORB])</f>
        <v>1</v>
      </c>
      <c r="AJ5" s="6">
        <f>AVERAGE(dijon[DRB])</f>
        <v>11</v>
      </c>
      <c r="AK5" s="16">
        <f>_xlfn.RANK.EQ(all[[#This Row],[DRB]],all[DRB])</f>
        <v>16</v>
      </c>
      <c r="AL5" s="6">
        <f>AVERAGE(dijon[TRB])</f>
        <v>27</v>
      </c>
      <c r="AM5" s="16">
        <f>_xlfn.RANK.EQ(all[[#This Row],[TRB]],all[TRB])</f>
        <v>16</v>
      </c>
      <c r="AN5" s="6">
        <f>AVERAGE(dijon[AST])</f>
        <v>21</v>
      </c>
      <c r="AO5" s="16">
        <f>_xlfn.RANK.EQ(all[[#This Row],[AST]],all[AST])</f>
        <v>2</v>
      </c>
      <c r="AP5" s="6">
        <f>AVERAGE(dijon[STL])</f>
        <v>0</v>
      </c>
      <c r="AQ5" s="16">
        <f>_xlfn.RANK.EQ(all[[#This Row],[STL]],all[STL])</f>
        <v>16</v>
      </c>
      <c r="AR5" s="6">
        <f>AVERAGE(dijon[BLK])</f>
        <v>13</v>
      </c>
      <c r="AS5" s="16">
        <f>_xlfn.RANK.EQ(all[[#This Row],[BLK]],all[BLK])</f>
        <v>2</v>
      </c>
      <c r="AT5" s="6">
        <f>AVERAGE(dijon[TOV])</f>
        <v>7</v>
      </c>
      <c r="AU5" s="16">
        <f>_xlfn.RANK.EQ(all[[#This Row],[TOV]],all[TOV],1)</f>
        <v>2</v>
      </c>
      <c r="AV5" s="6">
        <f>AVERAGE(dijon[PF])</f>
        <v>27</v>
      </c>
      <c r="AW5" s="16">
        <f>_xlfn.RANK.EQ(all[[#This Row],[PF]],all[PF],1)</f>
        <v>16</v>
      </c>
      <c r="AX5" s="6">
        <f>AVERAGE(dijon[FGAop])</f>
        <v>56</v>
      </c>
      <c r="AY5" s="16">
        <f>_xlfn.RANK.EQ(all[[#This Row],[FGA opp]],all[FGA opp],1)</f>
        <v>1</v>
      </c>
      <c r="AZ5" s="6">
        <f>AVERAGE(dijon[FGMop])</f>
        <v>30</v>
      </c>
      <c r="BA5" s="16">
        <f>_xlfn.RANK.EQ(all[[#This Row],[FGM opp]],all[FGM opp],1)</f>
        <v>11</v>
      </c>
      <c r="BB5" s="7">
        <f>AVERAGE(dijon[FGpop])</f>
        <v>0.53569999999999995</v>
      </c>
      <c r="BC5" s="16">
        <f>_xlfn.RANK.EQ(all[[#This Row],[FGp opp]],all[FGp opp],1)</f>
        <v>16</v>
      </c>
      <c r="BD5" s="6">
        <f>AVERAGE(dijon[P2Mop])</f>
        <v>21</v>
      </c>
      <c r="BE5" s="16">
        <f>_xlfn.RANK.EQ(all[[#This Row],[P2M opp]],all[P2M opp],1)</f>
        <v>10</v>
      </c>
      <c r="BF5" s="6">
        <f>AVERAGE(dijon[P2Aop])</f>
        <v>32</v>
      </c>
      <c r="BG5" s="16">
        <f>_xlfn.RANK.EQ(all[[#This Row],[P2A opp]],all[P2A opp],1)</f>
        <v>2</v>
      </c>
      <c r="BH5">
        <f>AVERAGE(dijon[P2pop])</f>
        <v>0.65629999999999999</v>
      </c>
      <c r="BI5" s="16">
        <f>_xlfn.RANK.EQ(all[[#This Row],[P2p opp]],all[P2p opp],1)</f>
        <v>16</v>
      </c>
      <c r="BJ5" s="6">
        <f>AVERAGE(dijon[P3Mop])</f>
        <v>9</v>
      </c>
      <c r="BK5" s="16">
        <f>_xlfn.RANK.EQ(all[[#This Row],[P3M opp]],all[P3M opp],1)</f>
        <v>7</v>
      </c>
      <c r="BL5" s="6">
        <f>AVERAGE(dijon[P3Aop])</f>
        <v>24</v>
      </c>
      <c r="BM5" s="16">
        <f>_xlfn.RANK.EQ(all[[#This Row],[P3A opp]],all[P3A opp],1)</f>
        <v>3</v>
      </c>
      <c r="BN5" s="7">
        <f>AVERAGE(dijon[P3pop])</f>
        <v>0.375</v>
      </c>
      <c r="BO5" s="16">
        <f>_xlfn.RANK.EQ(all[[#This Row],[P3p opp]],all[P3p opp],1)</f>
        <v>15</v>
      </c>
      <c r="BP5" s="6">
        <f>AVERAGE(dijon[FTMop])</f>
        <v>22</v>
      </c>
      <c r="BQ5" s="16">
        <f>_xlfn.RANK.EQ(all[[#This Row],[FTM opp]],all[FTM opp],1)</f>
        <v>16</v>
      </c>
      <c r="BR5" s="6">
        <f>AVERAGE(dijon[FTAop])</f>
        <v>27</v>
      </c>
      <c r="BS5" s="16">
        <f>_xlfn.RANK.EQ(all[[#This Row],[FTA opp]],all[FTA opp],1)</f>
        <v>16</v>
      </c>
      <c r="BT5" s="7">
        <f>AVERAGE(dijon[FTpop])</f>
        <v>0.81479999999999997</v>
      </c>
      <c r="BU5" s="16">
        <f>_xlfn.RANK.EQ(all[[#This Row],[FTp opp]],all[FTp opp],1)</f>
        <v>15</v>
      </c>
      <c r="BV5" s="6">
        <f>AVERAGE(dijon[ORBop])</f>
        <v>14</v>
      </c>
      <c r="BW5" s="16">
        <f>_xlfn.RANK.EQ(all[[#This Row],[ORB opp]],all[ORB opp],1)</f>
        <v>15</v>
      </c>
      <c r="BX5" s="6">
        <f>AVERAGE(dijon[DRBop])</f>
        <v>19</v>
      </c>
      <c r="BY5" s="16">
        <f>_xlfn.RANK.EQ(all[[#This Row],[DRB opp]],all[DRB opp],1)</f>
        <v>2</v>
      </c>
      <c r="BZ5" s="6">
        <f>AVERAGE(dijon[TRBop])</f>
        <v>33</v>
      </c>
      <c r="CA5" s="16">
        <f>_xlfn.RANK.EQ(all[[#This Row],[TRB opp]],all[TRB opp],1)</f>
        <v>5</v>
      </c>
      <c r="CB5" s="6">
        <f>AVERAGE(dijon[ASTop])</f>
        <v>16</v>
      </c>
      <c r="CC5" s="16">
        <f>_xlfn.RANK.EQ(all[[#This Row],[AST opp]],all[AST opp],1)</f>
        <v>1</v>
      </c>
      <c r="CD5" s="6">
        <f>AVERAGE(dijon[STLop])</f>
        <v>5</v>
      </c>
      <c r="CE5" s="16">
        <f>_xlfn.RANK.EQ(all[[#This Row],[STL opp]],all[STL opp],1)</f>
        <v>2</v>
      </c>
      <c r="CF5" s="6">
        <f>AVERAGE(dijon[BLKop])</f>
        <v>18</v>
      </c>
      <c r="CG5" s="16">
        <f>_xlfn.RANK.EQ(all[[#This Row],[BLK opp]],all[BLK opp],1)</f>
        <v>16</v>
      </c>
      <c r="CH5" s="6">
        <f>AVERAGE(dijon[TOVop])</f>
        <v>5</v>
      </c>
      <c r="CI5" s="16">
        <f>_xlfn.RANK.EQ(all[[#This Row],[TOV opp]],all[TOV opp])</f>
        <v>16</v>
      </c>
      <c r="CJ5" s="6">
        <f>AVERAGE(dijon[PFop])</f>
        <v>17</v>
      </c>
      <c r="CK5" s="16">
        <f>_xlfn.RANK.EQ(all[[#This Row],[PF opp]],all[PF opp])</f>
        <v>16</v>
      </c>
      <c r="CL5" s="7">
        <f>AVERAGE(dijon[TS%])</f>
        <v>0.59589999999999999</v>
      </c>
      <c r="CM5" s="16">
        <f>_xlfn.RANK.EQ(all[[#This Row],[TSp]],all[TSp])</f>
        <v>7</v>
      </c>
      <c r="CN5" s="7">
        <f>AVERAGE(dijon[eFG%])</f>
        <v>0.54620000000000002</v>
      </c>
      <c r="CO5" s="16">
        <f>_xlfn.RANK.EQ(all[[#This Row],[eFGp]],all[eFGp])</f>
        <v>10</v>
      </c>
      <c r="CP5" s="7">
        <f>AVERAGE(dijon[ORB%])</f>
        <v>0.45710000000000001</v>
      </c>
      <c r="CQ5" s="16">
        <f>_xlfn.RANK.EQ(all[[#This Row],[ORBp]],all[ORBp])</f>
        <v>2</v>
      </c>
      <c r="CR5" s="7">
        <f>AVERAGE(dijon[DRB%])</f>
        <v>0.44</v>
      </c>
      <c r="CS5" s="16">
        <f>_xlfn.RANK.EQ(all[[#This Row],[DRBp]],all[DRBp])</f>
        <v>16</v>
      </c>
      <c r="CT5" s="7">
        <f>AVERAGE(dijon[TRB%])</f>
        <v>0.45</v>
      </c>
      <c r="CU5" s="16">
        <f>_xlfn.RANK.EQ(all[[#This Row],[TRBp]],all[TRBp])</f>
        <v>15</v>
      </c>
      <c r="CV5" s="6">
        <f>AVERAGE(dijon[Poss])</f>
        <v>58.606999999999999</v>
      </c>
      <c r="CW5" s="16">
        <f>_xlfn.RANK.EQ(all[[#This Row],[Poss]],all[Poss])</f>
        <v>16</v>
      </c>
      <c r="CX5" s="7">
        <f>AVERAGE(dijon[AST%])</f>
        <v>0.7</v>
      </c>
      <c r="CY5" s="16">
        <f>_xlfn.RANK.EQ(all[[#This Row],[ASTp]],all[ASTp])</f>
        <v>3</v>
      </c>
      <c r="CZ5" s="7">
        <f>AVERAGE(dijon[FTFGA%])</f>
        <v>0.27689999999999998</v>
      </c>
      <c r="DA5" s="16">
        <f>_xlfn.RANK.EQ(all[[#This Row],[FTFGAp]],all[FTFGAp])</f>
        <v>6</v>
      </c>
      <c r="DB5" s="7">
        <f>AVERAGE(dijon[TOV%])</f>
        <v>8.5699999999999998E-2</v>
      </c>
      <c r="DC5" s="16">
        <f>_xlfn.RANK.EQ(all[[#This Row],[TOVp]],all[TOVp],1)</f>
        <v>2</v>
      </c>
      <c r="DD5" s="6">
        <f>AVERAGE(dijon[ORtg])</f>
        <v>150.1</v>
      </c>
      <c r="DE5" s="16">
        <f>_xlfn.RANK.EQ(all[[#This Row],[ORtg]],all[ORtg])</f>
        <v>2</v>
      </c>
      <c r="DF5" s="6">
        <f>AVERAGE(dijon[DRtg])</f>
        <v>153.5</v>
      </c>
      <c r="DG5" s="16">
        <f>_xlfn.RANK.EQ(all[[#This Row],[DRtg]],all[DRtg],1)</f>
        <v>16</v>
      </c>
      <c r="DH5" s="6">
        <f>AVERAGE(dijon[Pace])</f>
        <v>59.302500000000002</v>
      </c>
      <c r="DI5" s="16">
        <f>_xlfn.RANK.EQ(all[[#This Row],[Pace]],all[Pace])</f>
        <v>15</v>
      </c>
      <c r="DJ5" s="7">
        <f>AVERAGE(dijon[TS%op])</f>
        <v>0.67030000000000001</v>
      </c>
      <c r="DK5" s="16">
        <f>_xlfn.RANK.EQ(all[[#This Row],[TSp opp]],all[TSp opp],1)</f>
        <v>16</v>
      </c>
      <c r="DL5" s="7">
        <f>AVERAGE(dijon[eFG%op])</f>
        <v>0.61609999999999998</v>
      </c>
      <c r="DM5" s="16">
        <f>_xlfn.RANK.EQ(all[[#This Row],[eFGp opp]],all[eFGp opp],1)</f>
        <v>16</v>
      </c>
      <c r="DN5" s="7">
        <f>AVERAGE(dijon[ORB%op])</f>
        <v>0.56000000000000005</v>
      </c>
      <c r="DO5" s="16">
        <f>_xlfn.RANK.EQ(all[[#This Row],[ORBp opp]],all[ORBp opp],1)</f>
        <v>16</v>
      </c>
      <c r="DP5" s="7">
        <f>AVERAGE(dijon[DRB%op])</f>
        <v>0.54290000000000005</v>
      </c>
      <c r="DQ5" s="16">
        <f>_xlfn.RANK.EQ(all[[#This Row],[DRBp opp]],all[DRBp opp],1)</f>
        <v>2</v>
      </c>
      <c r="DR5" s="7">
        <f>AVERAGE(dijon[TRB%op])</f>
        <v>0.55000000000000004</v>
      </c>
      <c r="DS5" s="16">
        <f>_xlfn.RANK.EQ(all[[#This Row],[TRBp opp]],all[TRBp opp],1)</f>
        <v>15</v>
      </c>
      <c r="DT5" s="6">
        <f>AVERAGE(dijon[Possop])</f>
        <v>59.997999999999998</v>
      </c>
      <c r="DU5" s="16">
        <f>_xlfn.RANK.EQ(all[[#This Row],[Poss opp]],all[Poss opp],1)</f>
        <v>2</v>
      </c>
      <c r="DV5" s="7">
        <f>AVERAGE(dijon[AST%op])</f>
        <v>0.5333</v>
      </c>
      <c r="DW5" s="16">
        <f>_xlfn.RANK.EQ(all[[#This Row],[ASTp opp]],all[ASTp opp],1)</f>
        <v>1</v>
      </c>
      <c r="DX5" s="7">
        <f>AVERAGE(dijon[FTFGA%op])</f>
        <v>0.39290000000000003</v>
      </c>
      <c r="DY5" s="16">
        <f>_xlfn.RANK.EQ(all[[#This Row],[FTFGAp opp]],all[FTFGAp opp],1)</f>
        <v>16</v>
      </c>
      <c r="DZ5" s="7">
        <f>AVERAGE(dijon[TOV%op])</f>
        <v>6.8599999999999994E-2</v>
      </c>
      <c r="EA5" s="16">
        <f>_xlfn.RANK.EQ(all[[#This Row],[TOVp opp]],all[TOVp opp])</f>
        <v>16</v>
      </c>
      <c r="EB5" s="6">
        <f>AVERAGE(dijon[ORtgop])</f>
        <v>153.5</v>
      </c>
      <c r="EC5" s="16">
        <f>_xlfn.RANK.EQ(all[[#This Row],[ORtg opp]],all[ORtg opp],1)</f>
        <v>16</v>
      </c>
      <c r="ED5" s="6">
        <f>AVERAGE(dijon[DRtgop])</f>
        <v>150.1</v>
      </c>
      <c r="EE5" s="16">
        <f>_xlfn.RANK.EQ(all[[#This Row],[DRtg opp]],all[DRtg opp])</f>
        <v>2</v>
      </c>
      <c r="EF5" s="6">
        <f>AVERAGE(dijon[Q1H])</f>
        <v>22</v>
      </c>
      <c r="EG5" s="16">
        <f>_xlfn.RANK.EQ(all[[#This Row],[Q1H]],all[Q1H])</f>
        <v>4</v>
      </c>
      <c r="EH5" s="6">
        <f>AVERAGE(dijon[Q2H])</f>
        <v>24</v>
      </c>
      <c r="EI5" s="16">
        <f>_xlfn.RANK.EQ(all[[#This Row],[Q2H]],all[Q2H])</f>
        <v>3</v>
      </c>
      <c r="EJ5" s="6">
        <f>AVERAGE(dijon[Q3H])</f>
        <v>20</v>
      </c>
      <c r="EK5" s="16">
        <f>_xlfn.RANK.EQ(all[[#This Row],[Q3H]],all[Q3H])</f>
        <v>10</v>
      </c>
      <c r="EL5" s="6">
        <f>AVERAGE(dijon[Q4H])</f>
        <v>23</v>
      </c>
      <c r="EM5" s="16">
        <f>_xlfn.RANK.EQ(all[[#This Row],[Q4H]],all[Q4H])</f>
        <v>1</v>
      </c>
      <c r="EN5" s="6">
        <f>AVERAGE(dijon[Q1A])</f>
        <v>16</v>
      </c>
      <c r="EO5" s="16">
        <f>_xlfn.RANK.EQ(all[[#This Row],[Q1A]],all[Q1A],1)</f>
        <v>1</v>
      </c>
      <c r="EP5" s="6">
        <f>AVERAGE(dijon[Q2A])</f>
        <v>25</v>
      </c>
      <c r="EQ5" s="16">
        <f>_xlfn.RANK.EQ(all[[#This Row],[Q2A]],all[Q2A],1)</f>
        <v>16</v>
      </c>
      <c r="ER5" s="6">
        <f>AVERAGE(dijon[Q3A])</f>
        <v>27</v>
      </c>
      <c r="ES5" s="16">
        <f>_xlfn.RANK.EQ(all[[#This Row],[Q3A]],all[Q3A],1)</f>
        <v>16</v>
      </c>
      <c r="ET5" s="6">
        <f>AVERAGE(dijon[Q4A])</f>
        <v>23</v>
      </c>
      <c r="EU5" s="16">
        <f>_xlfn.RANK.EQ(all[[#This Row],[Q4A]],all[Q4A],1)</f>
        <v>14</v>
      </c>
      <c r="EV5" s="6">
        <f>AVERAGE(dijon[FhalfH])</f>
        <v>46</v>
      </c>
      <c r="EW5" s="16">
        <f>_xlfn.RANK.EQ(all[[#This Row],[FHH]],all[FHH])</f>
        <v>3</v>
      </c>
      <c r="EX5" s="5">
        <f>AVERAGE(dijon[FhalfA])</f>
        <v>41</v>
      </c>
      <c r="EY5" s="16">
        <f>_xlfn.RANK.EQ(all[[#This Row],[FHA]],all[FHA],1)</f>
        <v>7</v>
      </c>
      <c r="EZ5" s="6">
        <f>AVERAGE(dijon[ShalfH])</f>
        <v>43</v>
      </c>
      <c r="FA5" s="16">
        <f>_xlfn.RANK.EQ(all[[#This Row],[SHH]],all[SHH])</f>
        <v>7</v>
      </c>
      <c r="FB5" s="6">
        <f>AVERAGE(dijon[ShalfA])</f>
        <v>50</v>
      </c>
      <c r="FC5" s="16">
        <f>_xlfn.RANK.EQ(all[[#This Row],[SHA]],all[SHA],1)</f>
        <v>16</v>
      </c>
      <c r="FD5" s="6" t="e">
        <f ca="1">AVERAGE(LARGE(OFFSET(dijon[Home_scored],COUNTA(dijon[Home_scored])-5, 0, 5, 1),2), LARGE(OFFSET(dijon[Home_scored],COUNTA(dijon[Home_scored])-5, 0, 5, 1),3),LARGE(OFFSET(dijon[Home_scored],COUNTA(dijon[Home_scored])-5, 0, 5, 1),4))</f>
        <v>#REF!</v>
      </c>
      <c r="FE5" s="6" t="e">
        <f ca="1">AVERAGE(LARGE(OFFSET(dijon[Away_scored],COUNTA(dijon[Away_scored])-5, 0, 5, 1),2), LARGE(OFFSET(dijon[Away_scored],COUNTA(dijon[Away_scored])-5, 0, 5, 1),3),LARGE(OFFSET(dijon[Away_scored],COUNTA(dijon[Away_scored])-5, 0, 5, 1),4))</f>
        <v>#REF!</v>
      </c>
      <c r="FF5" s="16">
        <f ca="1">COUNTIF(INDIRECT(all[[#This Row],[Table name]]&amp;"[result]"),"w")+COUNTIF(INDIRECT(all[[#This Row],[Table name]]&amp;"[result]"),"dw")</f>
        <v>0</v>
      </c>
      <c r="FG5" s="16">
        <f ca="1">COUNTIF(INDIRECT(all[[#This Row],[Table name]]&amp;"[result]"),"l")+COUNTIF(INDIRECT(all[[#This Row],[Table name]]&amp;"[result]"),"dl")</f>
        <v>1</v>
      </c>
      <c r="FH5" s="7">
        <f ca="1">all[[#This Row],[Wins]]/(all[[#This Row],[Wins]]+all[[#This Row],[Losses]])</f>
        <v>0</v>
      </c>
      <c r="FI5">
        <f ca="1">_xlfn.RANK.EQ(all[[#This Row],[rating]],all[rating])</f>
        <v>16</v>
      </c>
      <c r="FJ5" s="5">
        <f t="shared" si="0"/>
        <v>9.1076923076923073</v>
      </c>
      <c r="FK5" s="6">
        <f>all[[#This Row],[Q1H]]+all[[#This Row],[Q1A]]</f>
        <v>38</v>
      </c>
      <c r="FL5" s="16">
        <f>_xlfn.RANK.EQ(all[[#This Row],[Q1T]],all[Q1T])</f>
        <v>15</v>
      </c>
      <c r="FM5" s="6">
        <f>all[[#This Row],[Q2H]]+all[[#This Row],[Q2A]]</f>
        <v>49</v>
      </c>
      <c r="FN5" s="16">
        <f>_xlfn.RANK.EQ(all[[#This Row],[Q2T]],all[Q2T])</f>
        <v>1</v>
      </c>
      <c r="FO5" s="6">
        <f>all[[#This Row],[Q3H]]+all[[#This Row],[Q3A]]</f>
        <v>47</v>
      </c>
      <c r="FP5" s="16">
        <f>_xlfn.RANK.EQ(all[[#This Row],[Q3T]],all[Q3T])</f>
        <v>1</v>
      </c>
      <c r="FQ5" s="6">
        <f>all[[#This Row],[Q4H]]+all[[#This Row],[Q4A]]</f>
        <v>46</v>
      </c>
      <c r="FR5" s="16">
        <f>_xlfn.RANK.EQ(all[[#This Row],[Q4T]],all[Q4T])</f>
        <v>1</v>
      </c>
      <c r="FS5" s="6">
        <f>all[[#This Row],[FHH]]+all[[#This Row],[FHA]]</f>
        <v>87</v>
      </c>
      <c r="FT5" s="16">
        <f>_xlfn.RANK.EQ(all[[#This Row],[FHT]],all[FHT])</f>
        <v>3</v>
      </c>
      <c r="FU5" s="6">
        <f>all[[#This Row],[SHH]]+all[[#This Row],[SHA]]</f>
        <v>93</v>
      </c>
      <c r="FV5" s="16">
        <f>_xlfn.RANK.EQ(all[[#This Row],[SHT]],all[SHT])</f>
        <v>1</v>
      </c>
      <c r="FW5" s="6">
        <f ca="1">SUM(INDIRECT(all[[#This Row],[Table name]]&amp;"[BetH]"))</f>
        <v>-1</v>
      </c>
      <c r="FX5" s="16">
        <f ca="1">_xlfn.RANK.EQ(all[[#This Row],[BetH]],all[BetH])</f>
        <v>6</v>
      </c>
      <c r="FY5" s="6">
        <f ca="1">SUM(INDIRECT(all[[#This Row],[Table name]]&amp;"[BetA]"))</f>
        <v>1.2000000000000002</v>
      </c>
      <c r="FZ5" s="16">
        <f ca="1">_xlfn.RANK.EQ(all[[#This Row],[BetA]],all[BetA])</f>
        <v>7</v>
      </c>
      <c r="GA5" s="16">
        <f ca="1">SUM(INDIRECT(all[[#This Row],[Table name]]&amp;"[Tover]"))</f>
        <v>1</v>
      </c>
      <c r="GB5" s="16">
        <f ca="1">_xlfn.RANK.EQ(all[[#This Row],[Tover]],all[Tover])</f>
        <v>15</v>
      </c>
      <c r="GC5" s="6">
        <f ca="1">AVERAGE(INDIRECT(all[[#This Row],[Table name]]&amp;"[Deviation]"))</f>
        <v>12</v>
      </c>
      <c r="GD5" s="16">
        <f ca="1">_xlfn.RANK.EQ(all[[#This Row],[Deviation]],all[Deviation],1)</f>
        <v>2</v>
      </c>
    </row>
    <row r="6" spans="1:186" x14ac:dyDescent="0.25">
      <c r="A6" s="9" t="s">
        <v>384</v>
      </c>
      <c r="B6" t="s">
        <v>314</v>
      </c>
      <c r="C6" t="s">
        <v>315</v>
      </c>
      <c r="D6" t="s">
        <v>316</v>
      </c>
      <c r="E6">
        <f>_xlfn.RANK.EQ(all[[#This Row],[AVG_RT]],all[AVG_RT],1)</f>
        <v>8</v>
      </c>
      <c r="F6" s="6">
        <f>AVERAGE(dunker[Home_scored])</f>
        <v>79.066666666666663</v>
      </c>
      <c r="G6" s="16">
        <f>_xlfn.RANK.EQ(all[[#This Row],[PM]],all[PM])</f>
        <v>12</v>
      </c>
      <c r="H6" s="6">
        <f>AVERAGE(dunker[Away_scored])</f>
        <v>82.433333333333337</v>
      </c>
      <c r="I6" s="16">
        <f>_xlfn.RANK.EQ(all[[#This Row],[PC]],all[PC],1)</f>
        <v>5</v>
      </c>
      <c r="J6" s="6">
        <f>AVERAGE(dunker[FGA])</f>
        <v>60</v>
      </c>
      <c r="K6" s="16">
        <f>_xlfn.RANK.EQ(all[[#This Row],[FGA]],all[FGA])</f>
        <v>11</v>
      </c>
      <c r="L6" s="6">
        <f>AVERAGE(dunker[FGM])</f>
        <v>26.533333333333335</v>
      </c>
      <c r="M6" s="16">
        <f>_xlfn.RANK.EQ(all[[#This Row],[FGM]],all[FGM])</f>
        <v>14</v>
      </c>
      <c r="N6" s="7">
        <f>AVERAGE(dunker[FGp])</f>
        <v>0.44292000000000004</v>
      </c>
      <c r="O6" s="16">
        <f>_xlfn.RANK.EQ(all[[#This Row],[FGp]],all[FGp])</f>
        <v>13</v>
      </c>
      <c r="P6" s="6">
        <f>AVERAGE(dunker[P2M])</f>
        <v>17.399999999999999</v>
      </c>
      <c r="Q6" s="16">
        <f>_xlfn.RANK.EQ(all[[#This Row],[P2M]],all[P2M])</f>
        <v>15</v>
      </c>
      <c r="R6" s="6">
        <f>AVERAGE(dunker[P2A])</f>
        <v>33.366666666666667</v>
      </c>
      <c r="S6" s="16">
        <f>_xlfn.RANK.EQ(all[[#This Row],[P2A]],all[P2A])</f>
        <v>14</v>
      </c>
      <c r="T6" s="7">
        <f>AVERAGE(dunker[P2p])</f>
        <v>0.52254999999999996</v>
      </c>
      <c r="U6" s="16">
        <f>_xlfn.RANK.EQ(all[[#This Row],[P2p]],all[P2p])</f>
        <v>13</v>
      </c>
      <c r="V6" s="6">
        <f>AVERAGE(dunker[P3M])</f>
        <v>9.1333333333333329</v>
      </c>
      <c r="W6" s="16">
        <f>_xlfn.RANK.EQ(all[[#This Row],[P3M]],all[P3M])</f>
        <v>8</v>
      </c>
      <c r="X6" s="6">
        <f>AVERAGE(dunker[P3A])</f>
        <v>26.633333333333333</v>
      </c>
      <c r="Y6" s="16">
        <f>_xlfn.RANK.EQ(all[[#This Row],[P3A]],all[P3A])</f>
        <v>5</v>
      </c>
      <c r="Z6" s="7">
        <f>AVERAGE(dunker[P3p])</f>
        <v>0.34157333333333334</v>
      </c>
      <c r="AA6" s="16">
        <f>_xlfn.RANK.EQ(all[[#This Row],[P3p]],all[P3p])</f>
        <v>12</v>
      </c>
      <c r="AB6" s="6">
        <f>AVERAGE(dunker[FTM])</f>
        <v>16.866666666666667</v>
      </c>
      <c r="AC6" s="16">
        <f>_xlfn.RANK.EQ(all[[#This Row],[FTM]],all[FTM])</f>
        <v>6</v>
      </c>
      <c r="AD6" s="6">
        <f>AVERAGE(dunker[FTA])</f>
        <v>22.066666666666666</v>
      </c>
      <c r="AE6" s="16">
        <f>_xlfn.RANK.EQ(all[[#This Row],[FTA]],all[FTA])</f>
        <v>4</v>
      </c>
      <c r="AF6" s="7">
        <f>AVERAGE(dunker[FTp])</f>
        <v>0.76676333333333335</v>
      </c>
      <c r="AG6" s="16">
        <f>_xlfn.RANK.EQ(all[[#This Row],[FTp]],all[FTp])</f>
        <v>5</v>
      </c>
      <c r="AH6" s="6">
        <f>AVERAGE(dunker[ORB])</f>
        <v>9.3333333333333339</v>
      </c>
      <c r="AI6" s="16">
        <f>_xlfn.RANK.EQ(all[[#This Row],[ORB]],all[ORB])</f>
        <v>14</v>
      </c>
      <c r="AJ6" s="6">
        <f>AVERAGE(dunker[DRB])</f>
        <v>24.8</v>
      </c>
      <c r="AK6" s="16">
        <f>_xlfn.RANK.EQ(all[[#This Row],[DRB]],all[DRB])</f>
        <v>3</v>
      </c>
      <c r="AL6" s="6">
        <f>AVERAGE(dunker[TRB])</f>
        <v>34.133333333333333</v>
      </c>
      <c r="AM6" s="16">
        <f>_xlfn.RANK.EQ(all[[#This Row],[TRB]],all[TRB])</f>
        <v>7</v>
      </c>
      <c r="AN6" s="6">
        <f>AVERAGE(dunker[AST])</f>
        <v>16.033333333333335</v>
      </c>
      <c r="AO6" s="16">
        <f>_xlfn.RANK.EQ(all[[#This Row],[AST]],all[AST])</f>
        <v>15</v>
      </c>
      <c r="AP6" s="6">
        <f>AVERAGE(dunker[STL])</f>
        <v>5.8666666666666663</v>
      </c>
      <c r="AQ6" s="16">
        <f>_xlfn.RANK.EQ(all[[#This Row],[STL]],all[STL])</f>
        <v>11</v>
      </c>
      <c r="AR6" s="6">
        <f>AVERAGE(dunker[BLK])</f>
        <v>1.4666666666666666</v>
      </c>
      <c r="AS6" s="16">
        <f>_xlfn.RANK.EQ(all[[#This Row],[BLK]],all[BLK])</f>
        <v>16</v>
      </c>
      <c r="AT6" s="6">
        <f>AVERAGE(dunker[TOV])</f>
        <v>11.466666666666667</v>
      </c>
      <c r="AU6" s="16">
        <f>_xlfn.RANK.EQ(all[[#This Row],[TOV]],all[TOV],1)</f>
        <v>6</v>
      </c>
      <c r="AV6" s="6">
        <f>AVERAGE(dunker[PF])</f>
        <v>20.399999999999999</v>
      </c>
      <c r="AW6" s="16">
        <f>_xlfn.RANK.EQ(all[[#This Row],[PF]],all[PF],1)</f>
        <v>6</v>
      </c>
      <c r="AX6" s="6">
        <f>AVERAGE(dunker[FGAop])</f>
        <v>62</v>
      </c>
      <c r="AY6" s="16">
        <f>_xlfn.RANK.EQ(all[[#This Row],[FGA opp]],all[FGA opp],1)</f>
        <v>9</v>
      </c>
      <c r="AZ6" s="6">
        <f>AVERAGE(dunker[FGMop])</f>
        <v>29.4</v>
      </c>
      <c r="BA6" s="16">
        <f>_xlfn.RANK.EQ(all[[#This Row],[FGM opp]],all[FGM opp],1)</f>
        <v>7</v>
      </c>
      <c r="BB6" s="7">
        <f>AVERAGE(dunker[FGpop])</f>
        <v>0.47750000000000004</v>
      </c>
      <c r="BC6" s="16">
        <f>_xlfn.RANK.EQ(all[[#This Row],[FGp opp]],all[FGp opp],1)</f>
        <v>10</v>
      </c>
      <c r="BD6" s="6">
        <f>AVERAGE(dunker[P2Mop])</f>
        <v>20.066666666666666</v>
      </c>
      <c r="BE6" s="16">
        <f>_xlfn.RANK.EQ(all[[#This Row],[P2M opp]],all[P2M opp],1)</f>
        <v>8</v>
      </c>
      <c r="BF6" s="6">
        <f>AVERAGE(dunker[P2Aop])</f>
        <v>36.233333333333334</v>
      </c>
      <c r="BG6" s="16">
        <f>_xlfn.RANK.EQ(all[[#This Row],[P2A opp]],all[P2A opp],1)</f>
        <v>9</v>
      </c>
      <c r="BH6">
        <f>AVERAGE(dunker[P2pop])</f>
        <v>0.55622666666666665</v>
      </c>
      <c r="BI6" s="16">
        <f>_xlfn.RANK.EQ(all[[#This Row],[P2p opp]],all[P2p opp],1)</f>
        <v>5</v>
      </c>
      <c r="BJ6" s="6">
        <f>AVERAGE(dunker[P3Mop])</f>
        <v>9.3333333333333339</v>
      </c>
      <c r="BK6" s="16">
        <f>_xlfn.RANK.EQ(all[[#This Row],[P3M opp]],all[P3M opp],1)</f>
        <v>9</v>
      </c>
      <c r="BL6" s="6">
        <f>AVERAGE(dunker[P3Aop])</f>
        <v>25.766666666666666</v>
      </c>
      <c r="BM6" s="16">
        <f>_xlfn.RANK.EQ(all[[#This Row],[P3A opp]],all[P3A opp],1)</f>
        <v>9</v>
      </c>
      <c r="BN6" s="7">
        <f>AVERAGE(dunker[P3pop])</f>
        <v>0.36310666666666674</v>
      </c>
      <c r="BO6" s="16">
        <f>_xlfn.RANK.EQ(all[[#This Row],[P3p opp]],all[P3p opp],1)</f>
        <v>12</v>
      </c>
      <c r="BP6" s="6">
        <f>AVERAGE(dunker[FTMop])</f>
        <v>14.3</v>
      </c>
      <c r="BQ6" s="16">
        <f>_xlfn.RANK.EQ(all[[#This Row],[FTM opp]],all[FTM opp],1)</f>
        <v>4</v>
      </c>
      <c r="BR6" s="6">
        <f>AVERAGE(dunker[FTAop])</f>
        <v>19.399999999999999</v>
      </c>
      <c r="BS6" s="16">
        <f>_xlfn.RANK.EQ(all[[#This Row],[FTA opp]],all[FTA opp],1)</f>
        <v>4</v>
      </c>
      <c r="BT6" s="7">
        <f>AVERAGE(dunker[FTpop])</f>
        <v>0.72314999999999996</v>
      </c>
      <c r="BU6" s="16">
        <f>_xlfn.RANK.EQ(all[[#This Row],[FTp opp]],all[FTp opp],1)</f>
        <v>1</v>
      </c>
      <c r="BV6" s="6">
        <f>AVERAGE(dunker[ORBop])</f>
        <v>9.4333333333333336</v>
      </c>
      <c r="BW6" s="16">
        <f>_xlfn.RANK.EQ(all[[#This Row],[ORB opp]],all[ORB opp],1)</f>
        <v>2</v>
      </c>
      <c r="BX6" s="6">
        <f>AVERAGE(dunker[DRBop])</f>
        <v>25.633333333333333</v>
      </c>
      <c r="BY6" s="16">
        <f>_xlfn.RANK.EQ(all[[#This Row],[DRB opp]],all[DRB opp],1)</f>
        <v>15</v>
      </c>
      <c r="BZ6" s="6">
        <f>AVERAGE(dunker[TRBop])</f>
        <v>35.06666666666667</v>
      </c>
      <c r="CA6" s="16">
        <f>_xlfn.RANK.EQ(all[[#This Row],[TRB opp]],all[TRB opp],1)</f>
        <v>12</v>
      </c>
      <c r="CB6" s="6">
        <f>AVERAGE(dunker[ASTop])</f>
        <v>18.600000000000001</v>
      </c>
      <c r="CC6" s="16">
        <f>_xlfn.RANK.EQ(all[[#This Row],[AST opp]],all[AST opp],1)</f>
        <v>3</v>
      </c>
      <c r="CD6" s="6">
        <f>AVERAGE(dunker[STLop])</f>
        <v>5.3666666666666663</v>
      </c>
      <c r="CE6" s="16">
        <f>_xlfn.RANK.EQ(all[[#This Row],[STL opp]],all[STL opp],1)</f>
        <v>4</v>
      </c>
      <c r="CF6" s="6">
        <f>AVERAGE(dunker[BLKop])</f>
        <v>2.6</v>
      </c>
      <c r="CG6" s="16">
        <f>_xlfn.RANK.EQ(all[[#This Row],[BLK opp]],all[BLK opp],1)</f>
        <v>6</v>
      </c>
      <c r="CH6" s="6">
        <f>AVERAGE(dunker[TOVop])</f>
        <v>11.5</v>
      </c>
      <c r="CI6" s="16">
        <f>_xlfn.RANK.EQ(all[[#This Row],[TOV opp]],all[TOV opp])</f>
        <v>13</v>
      </c>
      <c r="CJ6" s="6">
        <f>AVERAGE(dunker[PFop])</f>
        <v>23.033333333333335</v>
      </c>
      <c r="CK6" s="16">
        <f>_xlfn.RANK.EQ(all[[#This Row],[PF opp]],all[PF opp])</f>
        <v>5</v>
      </c>
      <c r="CL6" s="7">
        <f>AVERAGE(dunker[TS%])</f>
        <v>0.56789333333333325</v>
      </c>
      <c r="CM6" s="16">
        <f>_xlfn.RANK.EQ(all[[#This Row],[TSp]],all[TSp])</f>
        <v>11</v>
      </c>
      <c r="CN6" s="7">
        <f>AVERAGE(dunker[eFG%])</f>
        <v>0.51918999999999993</v>
      </c>
      <c r="CO6" s="16">
        <f>_xlfn.RANK.EQ(all[[#This Row],[eFGp]],all[eFGp])</f>
        <v>14</v>
      </c>
      <c r="CP6" s="7">
        <f>AVERAGE(dunker[ORB%])</f>
        <v>0.26451999999999998</v>
      </c>
      <c r="CQ6" s="16">
        <f>_xlfn.RANK.EQ(all[[#This Row],[ORBp]],all[ORBp])</f>
        <v>14</v>
      </c>
      <c r="CR6" s="7">
        <f>AVERAGE(dunker[DRB%])</f>
        <v>0.73100333333333334</v>
      </c>
      <c r="CS6" s="16">
        <f>_xlfn.RANK.EQ(all[[#This Row],[DRBp]],all[DRBp])</f>
        <v>1</v>
      </c>
      <c r="CT6" s="7">
        <f>AVERAGE(dunker[TRB%])</f>
        <v>0.49392666666666668</v>
      </c>
      <c r="CU6" s="16">
        <f>_xlfn.RANK.EQ(all[[#This Row],[TRBp]],all[TRBp])</f>
        <v>10</v>
      </c>
      <c r="CV6" s="6">
        <f>AVERAGE(dunker[Poss])</f>
        <v>70.289933333333366</v>
      </c>
      <c r="CW6" s="16">
        <f>_xlfn.RANK.EQ(all[[#This Row],[Poss]],all[Poss])</f>
        <v>12</v>
      </c>
      <c r="CX6" s="7">
        <f>AVERAGE(dunker[AST%])</f>
        <v>0.60368000000000011</v>
      </c>
      <c r="CY6" s="16">
        <f>_xlfn.RANK.EQ(all[[#This Row],[ASTp]],all[ASTp])</f>
        <v>13</v>
      </c>
      <c r="CZ6" s="7">
        <f>AVERAGE(dunker[FTFGA%])</f>
        <v>0.29055999999999998</v>
      </c>
      <c r="DA6" s="16">
        <f>_xlfn.RANK.EQ(all[[#This Row],[FTFGAp]],all[FTFGAp])</f>
        <v>4</v>
      </c>
      <c r="DB6" s="7">
        <f>AVERAGE(dunker[TOV%])</f>
        <v>0.13905666666666669</v>
      </c>
      <c r="DC6" s="16">
        <f>_xlfn.RANK.EQ(all[[#This Row],[TOVp]],all[TOVp],1)</f>
        <v>6</v>
      </c>
      <c r="DD6" s="6">
        <f>AVERAGE(dunker[ORtg])</f>
        <v>111.40999999999998</v>
      </c>
      <c r="DE6" s="16">
        <f>_xlfn.RANK.EQ(all[[#This Row],[ORtg]],all[ORtg])</f>
        <v>11</v>
      </c>
      <c r="DF6" s="6">
        <f>AVERAGE(dunker[DRtg])</f>
        <v>116.2033333333333</v>
      </c>
      <c r="DG6" s="16">
        <f>_xlfn.RANK.EQ(all[[#This Row],[DRtg]],all[DRtg],1)</f>
        <v>8</v>
      </c>
      <c r="DH6" s="6">
        <f>AVERAGE(dunker[Pace])</f>
        <v>70.990316666666658</v>
      </c>
      <c r="DI6" s="16">
        <f>_xlfn.RANK.EQ(all[[#This Row],[Pace]],all[Pace])</f>
        <v>11</v>
      </c>
      <c r="DJ6" s="7">
        <f>AVERAGE(dunker[TS%op])</f>
        <v>0.58724999999999994</v>
      </c>
      <c r="DK6" s="16">
        <f>_xlfn.RANK.EQ(all[[#This Row],[TSp opp]],all[TSp opp],1)</f>
        <v>8</v>
      </c>
      <c r="DL6" s="7">
        <f>AVERAGE(dunker[eFG%op])</f>
        <v>0.55364666666666651</v>
      </c>
      <c r="DM6" s="16">
        <f>_xlfn.RANK.EQ(all[[#This Row],[eFGp opp]],all[eFGp opp],1)</f>
        <v>10</v>
      </c>
      <c r="DN6" s="7">
        <f>AVERAGE(dunker[ORB%op])</f>
        <v>0.26899666666666672</v>
      </c>
      <c r="DO6" s="16">
        <f>_xlfn.RANK.EQ(all[[#This Row],[ORBp opp]],all[ORBp opp],1)</f>
        <v>1</v>
      </c>
      <c r="DP6" s="7">
        <f>AVERAGE(dunker[DRB%op])</f>
        <v>0.73548333333333338</v>
      </c>
      <c r="DQ6" s="16">
        <f>_xlfn.RANK.EQ(all[[#This Row],[DRBp opp]],all[DRBp opp],1)</f>
        <v>14</v>
      </c>
      <c r="DR6" s="7">
        <f>AVERAGE(dunker[TRB%op])</f>
        <v>0.50607999999999997</v>
      </c>
      <c r="DS6" s="16">
        <f>_xlfn.RANK.EQ(all[[#This Row],[TRBp opp]],all[TRBp opp],1)</f>
        <v>10</v>
      </c>
      <c r="DT6" s="6">
        <f>AVERAGE(dunker[Possop])</f>
        <v>71.690700000000007</v>
      </c>
      <c r="DU6" s="16">
        <f>_xlfn.RANK.EQ(all[[#This Row],[Poss opp]],all[Poss opp],1)</f>
        <v>9</v>
      </c>
      <c r="DV6" s="7">
        <f>AVERAGE(dunker[AST%op])</f>
        <v>0.62744999999999995</v>
      </c>
      <c r="DW6" s="16">
        <f>_xlfn.RANK.EQ(all[[#This Row],[ASTp opp]],all[ASTp opp],1)</f>
        <v>3</v>
      </c>
      <c r="DX6" s="7">
        <f>AVERAGE(dunker[FTFGA%op])</f>
        <v>0.23637666666666668</v>
      </c>
      <c r="DY6" s="16">
        <f>_xlfn.RANK.EQ(all[[#This Row],[FTFGAp opp]],all[FTFGAp opp],1)</f>
        <v>4</v>
      </c>
      <c r="DZ6" s="7">
        <f>AVERAGE(dunker[TOV%op])</f>
        <v>0.14070333333333332</v>
      </c>
      <c r="EA6" s="16">
        <f>_xlfn.RANK.EQ(all[[#This Row],[TOVp opp]],all[TOVp opp])</f>
        <v>10</v>
      </c>
      <c r="EB6" s="6">
        <f>AVERAGE(dunker[ORtgop])</f>
        <v>116.2033333333333</v>
      </c>
      <c r="EC6" s="16">
        <f>_xlfn.RANK.EQ(all[[#This Row],[ORtg opp]],all[ORtg opp],1)</f>
        <v>8</v>
      </c>
      <c r="ED6" s="6">
        <f>AVERAGE(dunker[DRtgop])</f>
        <v>111.40999999999998</v>
      </c>
      <c r="EE6" s="16">
        <f>_xlfn.RANK.EQ(all[[#This Row],[DRtg opp]],all[DRtg opp])</f>
        <v>11</v>
      </c>
      <c r="EF6" s="6">
        <f>AVERAGE(dunker[Q1H])</f>
        <v>21.333333333333332</v>
      </c>
      <c r="EG6" s="16">
        <f>_xlfn.RANK.EQ(all[[#This Row],[Q1H]],all[Q1H])</f>
        <v>6</v>
      </c>
      <c r="EH6" s="6">
        <f>AVERAGE(dunker[Q2H])</f>
        <v>19.3</v>
      </c>
      <c r="EI6" s="16">
        <f>_xlfn.RANK.EQ(all[[#This Row],[Q2H]],all[Q2H])</f>
        <v>14</v>
      </c>
      <c r="EJ6" s="6">
        <f>AVERAGE(dunker[Q3H])</f>
        <v>18.833333333333332</v>
      </c>
      <c r="EK6" s="16">
        <f>_xlfn.RANK.EQ(all[[#This Row],[Q3H]],all[Q3H])</f>
        <v>13</v>
      </c>
      <c r="EL6" s="6">
        <f>AVERAGE(dunker[Q4H])</f>
        <v>19.600000000000001</v>
      </c>
      <c r="EM6" s="16">
        <f>_xlfn.RANK.EQ(all[[#This Row],[Q4H]],all[Q4H])</f>
        <v>13</v>
      </c>
      <c r="EN6" s="6">
        <f>AVERAGE(dunker[Q1A])</f>
        <v>20.100000000000001</v>
      </c>
      <c r="EO6" s="16">
        <f>_xlfn.RANK.EQ(all[[#This Row],[Q1A]],all[Q1A],1)</f>
        <v>5</v>
      </c>
      <c r="EP6" s="6">
        <f>AVERAGE(dunker[Q2A])</f>
        <v>21.9</v>
      </c>
      <c r="EQ6" s="16">
        <f>_xlfn.RANK.EQ(all[[#This Row],[Q2A]],all[Q2A],1)</f>
        <v>12</v>
      </c>
      <c r="ER6" s="6">
        <f>AVERAGE(dunker[Q3A])</f>
        <v>21.033333333333335</v>
      </c>
      <c r="ES6" s="16">
        <f>_xlfn.RANK.EQ(all[[#This Row],[Q3A]],all[Q3A],1)</f>
        <v>10</v>
      </c>
      <c r="ET6" s="6">
        <f>AVERAGE(dunker[Q4A])</f>
        <v>19.399999999999999</v>
      </c>
      <c r="EU6" s="16">
        <f>_xlfn.RANK.EQ(all[[#This Row],[Q4A]],all[Q4A],1)</f>
        <v>3</v>
      </c>
      <c r="EV6" s="6">
        <f>AVERAGE(dunker[FhalfH])</f>
        <v>40.633333333333333</v>
      </c>
      <c r="EW6" s="16">
        <f>_xlfn.RANK.EQ(all[[#This Row],[FHH]],all[FHH])</f>
        <v>10</v>
      </c>
      <c r="EX6" s="5">
        <f>AVERAGE(dunker[FhalfA])</f>
        <v>42</v>
      </c>
      <c r="EY6" s="16">
        <f>_xlfn.RANK.EQ(all[[#This Row],[FHA]],all[FHA],1)</f>
        <v>10</v>
      </c>
      <c r="EZ6" s="6">
        <f>AVERAGE(dunker[ShalfH])</f>
        <v>38.43333333333333</v>
      </c>
      <c r="FA6" s="16">
        <f>_xlfn.RANK.EQ(all[[#This Row],[SHH]],all[SHH])</f>
        <v>14</v>
      </c>
      <c r="FB6" s="6">
        <f>AVERAGE(dunker[ShalfA])</f>
        <v>40.43333333333333</v>
      </c>
      <c r="FC6" s="16">
        <f>_xlfn.RANK.EQ(all[[#This Row],[SHA]],all[SHA],1)</f>
        <v>4</v>
      </c>
      <c r="FD6" s="6">
        <f ca="1">AVERAGE(LARGE(OFFSET(dunker[Home_scored],COUNTA(dunker[Home_scored])-5, 0, 5, 1),2), LARGE(OFFSET(dunker[Home_scored],COUNTA(dunker[Home_scored])-5, 0, 5, 1),3),LARGE(OFFSET(dunker[Home_scored],COUNTA(dunker[Home_scored])-5, 0, 5, 1),4))</f>
        <v>83</v>
      </c>
      <c r="FE6" s="6">
        <f ca="1">AVERAGE(LARGE(OFFSET(dunker[Away_scored],COUNTA(dunker[Away_scored])-5, 0, 5, 1),2), LARGE(OFFSET(dunker[Away_scored],COUNTA(dunker[Away_scored])-5, 0, 5, 1),3),LARGE(OFFSET(dunker[Away_scored],COUNTA(dunker[Away_scored])-5, 0, 5, 1),4))</f>
        <v>83</v>
      </c>
      <c r="FF6" s="16">
        <f ca="1">COUNTIF(INDIRECT(all[[#This Row],[Table name]]&amp;"[result]"),"w")+COUNTIF(INDIRECT(all[[#This Row],[Table name]]&amp;"[result]"),"dw")</f>
        <v>12</v>
      </c>
      <c r="FG6" s="16">
        <f ca="1">COUNTIF(INDIRECT(all[[#This Row],[Table name]]&amp;"[result]"),"l")+COUNTIF(INDIRECT(all[[#This Row],[Table name]]&amp;"[result]"),"dl")</f>
        <v>18</v>
      </c>
      <c r="FH6" s="7">
        <f ca="1">all[[#This Row],[Wins]]/(all[[#This Row],[Wins]]+all[[#This Row],[Losses]])</f>
        <v>0.4</v>
      </c>
      <c r="FI6">
        <f ca="1">_xlfn.RANK.EQ(all[[#This Row],[rating]],all[rating])</f>
        <v>10</v>
      </c>
      <c r="FJ6" s="5">
        <f t="shared" si="0"/>
        <v>8.6923076923076916</v>
      </c>
      <c r="FK6" s="6">
        <f>all[[#This Row],[Q1H]]+all[[#This Row],[Q1A]]</f>
        <v>41.433333333333337</v>
      </c>
      <c r="FL6" s="16">
        <f>_xlfn.RANK.EQ(all[[#This Row],[Q1T]],all[Q1T])</f>
        <v>7</v>
      </c>
      <c r="FM6" s="6">
        <f>all[[#This Row],[Q2H]]+all[[#This Row],[Q2A]]</f>
        <v>41.2</v>
      </c>
      <c r="FN6" s="16">
        <f>_xlfn.RANK.EQ(all[[#This Row],[Q2T]],all[Q2T])</f>
        <v>10</v>
      </c>
      <c r="FO6" s="6">
        <f>all[[#This Row],[Q3H]]+all[[#This Row],[Q3A]]</f>
        <v>39.866666666666667</v>
      </c>
      <c r="FP6" s="16">
        <f>_xlfn.RANK.EQ(all[[#This Row],[Q3T]],all[Q3T])</f>
        <v>12</v>
      </c>
      <c r="FQ6" s="6">
        <f>all[[#This Row],[Q4H]]+all[[#This Row],[Q4A]]</f>
        <v>39</v>
      </c>
      <c r="FR6" s="16">
        <f>_xlfn.RANK.EQ(all[[#This Row],[Q4T]],all[Q4T])</f>
        <v>13</v>
      </c>
      <c r="FS6" s="6">
        <f>all[[#This Row],[FHH]]+all[[#This Row],[FHA]]</f>
        <v>82.633333333333326</v>
      </c>
      <c r="FT6" s="16">
        <f>_xlfn.RANK.EQ(all[[#This Row],[FHT]],all[FHT])</f>
        <v>9</v>
      </c>
      <c r="FU6" s="6">
        <f>all[[#This Row],[SHH]]+all[[#This Row],[SHA]]</f>
        <v>78.86666666666666</v>
      </c>
      <c r="FV6" s="16">
        <f>_xlfn.RANK.EQ(all[[#This Row],[SHT]],all[SHT])</f>
        <v>13</v>
      </c>
      <c r="FW6" s="6">
        <f ca="1">SUM(INDIRECT(all[[#This Row],[Table name]]&amp;"[BetH]"))</f>
        <v>-5.3899999999999988</v>
      </c>
      <c r="FX6" s="16">
        <f ca="1">_xlfn.RANK.EQ(all[[#This Row],[BetH]],all[BetH])</f>
        <v>12</v>
      </c>
      <c r="FY6" s="6">
        <f ca="1">SUM(INDIRECT(all[[#This Row],[Table name]]&amp;"[BetA]"))</f>
        <v>-0.81999999999999895</v>
      </c>
      <c r="FZ6" s="16">
        <f ca="1">_xlfn.RANK.EQ(all[[#This Row],[BetA]],all[BetA])</f>
        <v>8</v>
      </c>
      <c r="GA6" s="16">
        <f ca="1">SUM(INDIRECT(all[[#This Row],[Table name]]&amp;"[Tover]"))</f>
        <v>21</v>
      </c>
      <c r="GB6" s="16">
        <f ca="1">_xlfn.RANK.EQ(all[[#This Row],[Tover]],all[Tover])</f>
        <v>5</v>
      </c>
      <c r="GC6" s="6">
        <f ca="1">AVERAGE(INDIRECT(all[[#This Row],[Table name]]&amp;"[Deviation]"))</f>
        <v>12.966666666666667</v>
      </c>
      <c r="GD6" s="16">
        <f ca="1">_xlfn.RANK.EQ(all[[#This Row],[Deviation]],all[Deviation],1)</f>
        <v>6</v>
      </c>
    </row>
    <row r="7" spans="1:186" x14ac:dyDescent="0.25">
      <c r="A7" s="9" t="s">
        <v>393</v>
      </c>
      <c r="B7" t="s">
        <v>317</v>
      </c>
      <c r="C7" t="s">
        <v>318</v>
      </c>
      <c r="D7" t="s">
        <v>319</v>
      </c>
      <c r="E7">
        <f>_xlfn.RANK.EQ(all[[#This Row],[AVG_RT]],all[AVG_RT],1)</f>
        <v>6</v>
      </c>
      <c r="F7" s="6">
        <f>AVERAGE(leman[Home_scored])</f>
        <v>91</v>
      </c>
      <c r="G7" s="16">
        <f>_xlfn.RANK.EQ(all[[#This Row],[PM]],all[PM])</f>
        <v>2</v>
      </c>
      <c r="H7" s="6">
        <f>AVERAGE(leman[Away_scored])</f>
        <v>89</v>
      </c>
      <c r="I7" s="16">
        <f>_xlfn.RANK.EQ(all[[#This Row],[PC]],all[PC],1)</f>
        <v>15</v>
      </c>
      <c r="J7" s="6">
        <f>AVERAGE(leman[FGA])</f>
        <v>56</v>
      </c>
      <c r="K7" s="16">
        <f>_xlfn.RANK.EQ(all[[#This Row],[FGA]],all[FGA])</f>
        <v>16</v>
      </c>
      <c r="L7" s="6">
        <f>AVERAGE(leman[FGM])</f>
        <v>30</v>
      </c>
      <c r="M7" s="16">
        <f>_xlfn.RANK.EQ(all[[#This Row],[FGM]],all[FGM])</f>
        <v>7</v>
      </c>
      <c r="N7" s="7">
        <f>AVERAGE(leman[FGp])</f>
        <v>0.53569999999999995</v>
      </c>
      <c r="O7" s="16">
        <f>_xlfn.RANK.EQ(all[[#This Row],[FGp]],all[FGp])</f>
        <v>1</v>
      </c>
      <c r="P7" s="6">
        <f>AVERAGE(leman[P2M])</f>
        <v>21</v>
      </c>
      <c r="Q7" s="16">
        <f>_xlfn.RANK.EQ(all[[#This Row],[P2M]],all[P2M])</f>
        <v>5</v>
      </c>
      <c r="R7" s="6">
        <f>AVERAGE(leman[P2A])</f>
        <v>32</v>
      </c>
      <c r="S7" s="16">
        <f>_xlfn.RANK.EQ(all[[#This Row],[P2A]],all[P2A])</f>
        <v>16</v>
      </c>
      <c r="T7" s="7">
        <f>AVERAGE(leman[P2p])</f>
        <v>0.65629999999999999</v>
      </c>
      <c r="U7" s="16">
        <f>_xlfn.RANK.EQ(all[[#This Row],[P2p]],all[P2p])</f>
        <v>1</v>
      </c>
      <c r="V7" s="6">
        <f>AVERAGE(leman[P3M])</f>
        <v>9</v>
      </c>
      <c r="W7" s="16">
        <f>_xlfn.RANK.EQ(all[[#This Row],[P3M]],all[P3M])</f>
        <v>9</v>
      </c>
      <c r="X7" s="6">
        <f>AVERAGE(leman[P3A])</f>
        <v>24</v>
      </c>
      <c r="Y7" s="16">
        <f>_xlfn.RANK.EQ(all[[#This Row],[P3A]],all[P3A])</f>
        <v>12</v>
      </c>
      <c r="Z7" s="7">
        <f>AVERAGE(leman[P3p])</f>
        <v>0.375</v>
      </c>
      <c r="AA7" s="16">
        <f>_xlfn.RANK.EQ(all[[#This Row],[P3p]],all[P3p])</f>
        <v>4</v>
      </c>
      <c r="AB7" s="6">
        <f>AVERAGE(leman[FTM])</f>
        <v>22</v>
      </c>
      <c r="AC7" s="16">
        <f>_xlfn.RANK.EQ(all[[#This Row],[FTM]],all[FTM])</f>
        <v>1</v>
      </c>
      <c r="AD7" s="6">
        <f>AVERAGE(leman[FTA])</f>
        <v>27</v>
      </c>
      <c r="AE7" s="16">
        <f>_xlfn.RANK.EQ(all[[#This Row],[FTA]],all[FTA])</f>
        <v>1</v>
      </c>
      <c r="AF7" s="7">
        <f>AVERAGE(leman[FTp])</f>
        <v>0.81479999999999997</v>
      </c>
      <c r="AG7" s="16">
        <f>_xlfn.RANK.EQ(all[[#This Row],[FTp]],all[FTp])</f>
        <v>2</v>
      </c>
      <c r="AH7" s="6">
        <f>AVERAGE(leman[ORB])</f>
        <v>14</v>
      </c>
      <c r="AI7" s="16">
        <f>_xlfn.RANK.EQ(all[[#This Row],[ORB]],all[ORB])</f>
        <v>2</v>
      </c>
      <c r="AJ7" s="6">
        <f>AVERAGE(leman[DRB])</f>
        <v>19</v>
      </c>
      <c r="AK7" s="16">
        <f>_xlfn.RANK.EQ(all[[#This Row],[DRB]],all[DRB])</f>
        <v>15</v>
      </c>
      <c r="AL7" s="6">
        <f>AVERAGE(leman[TRB])</f>
        <v>33</v>
      </c>
      <c r="AM7" s="16">
        <f>_xlfn.RANK.EQ(all[[#This Row],[TRB]],all[TRB])</f>
        <v>12</v>
      </c>
      <c r="AN7" s="6">
        <f>AVERAGE(leman[AST])</f>
        <v>16</v>
      </c>
      <c r="AO7" s="16">
        <f>_xlfn.RANK.EQ(all[[#This Row],[AST]],all[AST])</f>
        <v>16</v>
      </c>
      <c r="AP7" s="6">
        <f>AVERAGE(leman[STL])</f>
        <v>5</v>
      </c>
      <c r="AQ7" s="16">
        <f>_xlfn.RANK.EQ(all[[#This Row],[STL]],all[STL])</f>
        <v>14</v>
      </c>
      <c r="AR7" s="6">
        <f>AVERAGE(leman[BLK])</f>
        <v>18</v>
      </c>
      <c r="AS7" s="16">
        <f>_xlfn.RANK.EQ(all[[#This Row],[BLK]],all[BLK])</f>
        <v>1</v>
      </c>
      <c r="AT7" s="6">
        <f>AVERAGE(leman[TOV])</f>
        <v>5</v>
      </c>
      <c r="AU7" s="16">
        <f>_xlfn.RANK.EQ(all[[#This Row],[TOV]],all[TOV],1)</f>
        <v>1</v>
      </c>
      <c r="AV7" s="6">
        <f>AVERAGE(leman[PF])</f>
        <v>17</v>
      </c>
      <c r="AW7" s="16">
        <f>_xlfn.RANK.EQ(all[[#This Row],[PF]],all[PF],1)</f>
        <v>1</v>
      </c>
      <c r="AX7" s="6">
        <f>AVERAGE(leman[FGAop])</f>
        <v>65</v>
      </c>
      <c r="AY7" s="16">
        <f>_xlfn.RANK.EQ(all[[#This Row],[FGA opp]],all[FGA opp],1)</f>
        <v>15</v>
      </c>
      <c r="AZ7" s="6">
        <f>AVERAGE(leman[FGMop])</f>
        <v>30</v>
      </c>
      <c r="BA7" s="16">
        <f>_xlfn.RANK.EQ(all[[#This Row],[FGM opp]],all[FGM opp],1)</f>
        <v>11</v>
      </c>
      <c r="BB7" s="7">
        <f>AVERAGE(leman[FGpop])</f>
        <v>0.46150000000000002</v>
      </c>
      <c r="BC7" s="16">
        <f>_xlfn.RANK.EQ(all[[#This Row],[FGp opp]],all[FGp opp],1)</f>
        <v>3</v>
      </c>
      <c r="BD7" s="6">
        <f>AVERAGE(leman[P2Mop])</f>
        <v>19</v>
      </c>
      <c r="BE7" s="16">
        <f>_xlfn.RANK.EQ(all[[#This Row],[P2M opp]],all[P2M opp],1)</f>
        <v>4</v>
      </c>
      <c r="BF7" s="6">
        <f>AVERAGE(leman[P2Aop])</f>
        <v>34</v>
      </c>
      <c r="BG7" s="16">
        <f>_xlfn.RANK.EQ(all[[#This Row],[P2A opp]],all[P2A opp],1)</f>
        <v>5</v>
      </c>
      <c r="BH7">
        <f>AVERAGE(leman[P2pop])</f>
        <v>0.55879999999999996</v>
      </c>
      <c r="BI7" s="16">
        <f>_xlfn.RANK.EQ(all[[#This Row],[P2p opp]],all[P2p opp],1)</f>
        <v>7</v>
      </c>
      <c r="BJ7" s="6">
        <f>AVERAGE(leman[P3Mop])</f>
        <v>11</v>
      </c>
      <c r="BK7" s="16">
        <f>_xlfn.RANK.EQ(all[[#This Row],[P3M opp]],all[P3M opp],1)</f>
        <v>16</v>
      </c>
      <c r="BL7" s="6">
        <f>AVERAGE(leman[P3Aop])</f>
        <v>31</v>
      </c>
      <c r="BM7" s="16">
        <f>_xlfn.RANK.EQ(all[[#This Row],[P3A opp]],all[P3A opp],1)</f>
        <v>16</v>
      </c>
      <c r="BN7" s="7">
        <f>AVERAGE(leman[P3pop])</f>
        <v>0.3548</v>
      </c>
      <c r="BO7" s="16">
        <f>_xlfn.RANK.EQ(all[[#This Row],[P3p opp]],all[P3p opp],1)</f>
        <v>11</v>
      </c>
      <c r="BP7" s="6">
        <f>AVERAGE(leman[FTMop])</f>
        <v>18</v>
      </c>
      <c r="BQ7" s="16">
        <f>_xlfn.RANK.EQ(all[[#This Row],[FTM opp]],all[FTM opp],1)</f>
        <v>15</v>
      </c>
      <c r="BR7" s="6">
        <f>AVERAGE(leman[FTAop])</f>
        <v>22</v>
      </c>
      <c r="BS7" s="16">
        <f>_xlfn.RANK.EQ(all[[#This Row],[FTA opp]],all[FTA opp],1)</f>
        <v>10</v>
      </c>
      <c r="BT7" s="7">
        <f>AVERAGE(leman[FTpop])</f>
        <v>0.81820000000000004</v>
      </c>
      <c r="BU7" s="16">
        <f>_xlfn.RANK.EQ(all[[#This Row],[FTp opp]],all[FTp opp],1)</f>
        <v>16</v>
      </c>
      <c r="BV7" s="6">
        <f>AVERAGE(leman[ORBop])</f>
        <v>16</v>
      </c>
      <c r="BW7" s="16">
        <f>_xlfn.RANK.EQ(all[[#This Row],[ORB opp]],all[ORB opp],1)</f>
        <v>16</v>
      </c>
      <c r="BX7" s="6">
        <f>AVERAGE(leman[DRBop])</f>
        <v>11</v>
      </c>
      <c r="BY7" s="16">
        <f>_xlfn.RANK.EQ(all[[#This Row],[DRB opp]],all[DRB opp],1)</f>
        <v>1</v>
      </c>
      <c r="BZ7" s="6">
        <f>AVERAGE(leman[TRBop])</f>
        <v>27</v>
      </c>
      <c r="CA7" s="16">
        <f>_xlfn.RANK.EQ(all[[#This Row],[TRB opp]],all[TRB opp],1)</f>
        <v>1</v>
      </c>
      <c r="CB7" s="6">
        <f>AVERAGE(leman[ASTop])</f>
        <v>21</v>
      </c>
      <c r="CC7" s="16">
        <f>_xlfn.RANK.EQ(all[[#This Row],[AST opp]],all[AST opp],1)</f>
        <v>15</v>
      </c>
      <c r="CD7" s="6">
        <f>AVERAGE(leman[STLop])</f>
        <v>0</v>
      </c>
      <c r="CE7" s="16">
        <f>_xlfn.RANK.EQ(all[[#This Row],[STL opp]],all[STL opp],1)</f>
        <v>1</v>
      </c>
      <c r="CF7" s="6">
        <f>AVERAGE(leman[BLKop])</f>
        <v>13</v>
      </c>
      <c r="CG7" s="16">
        <f>_xlfn.RANK.EQ(all[[#This Row],[BLK opp]],all[BLK opp],1)</f>
        <v>15</v>
      </c>
      <c r="CH7" s="6">
        <f>AVERAGE(leman[TOVop])</f>
        <v>7</v>
      </c>
      <c r="CI7" s="16">
        <f>_xlfn.RANK.EQ(all[[#This Row],[TOV opp]],all[TOV opp])</f>
        <v>15</v>
      </c>
      <c r="CJ7" s="6">
        <f>AVERAGE(leman[PFop])</f>
        <v>27</v>
      </c>
      <c r="CK7" s="16">
        <f>_xlfn.RANK.EQ(all[[#This Row],[PF opp]],all[PF opp])</f>
        <v>1</v>
      </c>
      <c r="CL7" s="7">
        <f>AVERAGE(leman[TS%])</f>
        <v>0.67030000000000001</v>
      </c>
      <c r="CM7" s="16">
        <f>_xlfn.RANK.EQ(all[[#This Row],[TSp]],all[TSp])</f>
        <v>1</v>
      </c>
      <c r="CN7" s="7">
        <f>AVERAGE(leman[eFG%])</f>
        <v>0.61609999999999998</v>
      </c>
      <c r="CO7" s="16">
        <f>_xlfn.RANK.EQ(all[[#This Row],[eFGp]],all[eFGp])</f>
        <v>1</v>
      </c>
      <c r="CP7" s="7">
        <f>AVERAGE(leman[ORB%])</f>
        <v>0.56000000000000005</v>
      </c>
      <c r="CQ7" s="16">
        <f>_xlfn.RANK.EQ(all[[#This Row],[ORBp]],all[ORBp])</f>
        <v>1</v>
      </c>
      <c r="CR7" s="7">
        <f>AVERAGE(leman[DRB%])</f>
        <v>0.54290000000000005</v>
      </c>
      <c r="CS7" s="16">
        <f>_xlfn.RANK.EQ(all[[#This Row],[DRBp]],all[DRBp])</f>
        <v>15</v>
      </c>
      <c r="CT7" s="7">
        <f>AVERAGE(leman[TRB%])</f>
        <v>0.55000000000000004</v>
      </c>
      <c r="CU7" s="16">
        <f>_xlfn.RANK.EQ(all[[#This Row],[TRBp]],all[TRBp])</f>
        <v>1</v>
      </c>
      <c r="CV7" s="6">
        <f>AVERAGE(leman[Poss])</f>
        <v>59.997999999999998</v>
      </c>
      <c r="CW7" s="16">
        <f>_xlfn.RANK.EQ(all[[#This Row],[Poss]],all[Poss])</f>
        <v>15</v>
      </c>
      <c r="CX7" s="7">
        <f>AVERAGE(leman[AST%])</f>
        <v>0.5333</v>
      </c>
      <c r="CY7" s="16">
        <f>_xlfn.RANK.EQ(all[[#This Row],[ASTp]],all[ASTp])</f>
        <v>16</v>
      </c>
      <c r="CZ7" s="7">
        <f>AVERAGE(leman[FTFGA%])</f>
        <v>0.39290000000000003</v>
      </c>
      <c r="DA7" s="16">
        <f>_xlfn.RANK.EQ(all[[#This Row],[FTFGAp]],all[FTFGAp])</f>
        <v>1</v>
      </c>
      <c r="DB7" s="7">
        <f>AVERAGE(leman[TOV%])</f>
        <v>6.8599999999999994E-2</v>
      </c>
      <c r="DC7" s="16">
        <f>_xlfn.RANK.EQ(all[[#This Row],[TOVp]],all[TOVp],1)</f>
        <v>1</v>
      </c>
      <c r="DD7" s="6">
        <f>AVERAGE(leman[ORtg])</f>
        <v>153.5</v>
      </c>
      <c r="DE7" s="16">
        <f>_xlfn.RANK.EQ(all[[#This Row],[ORtg]],all[ORtg])</f>
        <v>1</v>
      </c>
      <c r="DF7" s="6">
        <f>AVERAGE(leman[DRtg])</f>
        <v>150.1</v>
      </c>
      <c r="DG7" s="16">
        <f>_xlfn.RANK.EQ(all[[#This Row],[DRtg]],all[DRtg],1)</f>
        <v>15</v>
      </c>
      <c r="DH7" s="6">
        <f>AVERAGE(leman[Pace])</f>
        <v>59.302500000000002</v>
      </c>
      <c r="DI7" s="16">
        <f>_xlfn.RANK.EQ(all[[#This Row],[Pace]],all[Pace])</f>
        <v>15</v>
      </c>
      <c r="DJ7" s="7">
        <f>AVERAGE(leman[TS%op])</f>
        <v>0.59589999999999999</v>
      </c>
      <c r="DK7" s="16">
        <f>_xlfn.RANK.EQ(all[[#This Row],[TSp opp]],all[TSp opp],1)</f>
        <v>14</v>
      </c>
      <c r="DL7" s="7">
        <f>AVERAGE(leman[eFG%op])</f>
        <v>0.54620000000000002</v>
      </c>
      <c r="DM7" s="16">
        <f>_xlfn.RANK.EQ(all[[#This Row],[eFGp opp]],all[eFGp opp],1)</f>
        <v>6</v>
      </c>
      <c r="DN7" s="7">
        <f>AVERAGE(leman[ORB%op])</f>
        <v>0.45710000000000001</v>
      </c>
      <c r="DO7" s="16">
        <f>_xlfn.RANK.EQ(all[[#This Row],[ORBp opp]],all[ORBp opp],1)</f>
        <v>15</v>
      </c>
      <c r="DP7" s="7">
        <f>AVERAGE(leman[DRB%op])</f>
        <v>0.44</v>
      </c>
      <c r="DQ7" s="16">
        <f>_xlfn.RANK.EQ(all[[#This Row],[DRBp opp]],all[DRBp opp],1)</f>
        <v>1</v>
      </c>
      <c r="DR7" s="7">
        <f>AVERAGE(leman[TRB%op])</f>
        <v>0.45</v>
      </c>
      <c r="DS7" s="16">
        <f>_xlfn.RANK.EQ(all[[#This Row],[TRBp opp]],all[TRBp opp],1)</f>
        <v>1</v>
      </c>
      <c r="DT7" s="6">
        <f>AVERAGE(leman[Possop])</f>
        <v>58.606999999999999</v>
      </c>
      <c r="DU7" s="16">
        <f>_xlfn.RANK.EQ(all[[#This Row],[Poss opp]],all[Poss opp],1)</f>
        <v>1</v>
      </c>
      <c r="DV7" s="7">
        <f>AVERAGE(leman[AST%op])</f>
        <v>0.7</v>
      </c>
      <c r="DW7" s="16">
        <f>_xlfn.RANK.EQ(all[[#This Row],[ASTp opp]],all[ASTp opp],1)</f>
        <v>14</v>
      </c>
      <c r="DX7" s="7">
        <f>AVERAGE(leman[FTFGA%op])</f>
        <v>0.27689999999999998</v>
      </c>
      <c r="DY7" s="16">
        <f>_xlfn.RANK.EQ(all[[#This Row],[FTFGAp opp]],all[FTFGAp opp],1)</f>
        <v>11</v>
      </c>
      <c r="DZ7" s="7">
        <f>AVERAGE(leman[TOV%op])</f>
        <v>8.5699999999999998E-2</v>
      </c>
      <c r="EA7" s="16">
        <f>_xlfn.RANK.EQ(all[[#This Row],[TOVp opp]],all[TOVp opp])</f>
        <v>15</v>
      </c>
      <c r="EB7" s="6">
        <f>AVERAGE(leman[ORtgop])</f>
        <v>150.1</v>
      </c>
      <c r="EC7" s="16">
        <f>_xlfn.RANK.EQ(all[[#This Row],[ORtg opp]],all[ORtg opp],1)</f>
        <v>15</v>
      </c>
      <c r="ED7" s="6">
        <f>AVERAGE(leman[DRtgop])</f>
        <v>153.5</v>
      </c>
      <c r="EE7" s="16">
        <f>_xlfn.RANK.EQ(all[[#This Row],[DRtg opp]],all[DRtg opp])</f>
        <v>1</v>
      </c>
      <c r="EF7" s="6">
        <f>AVERAGE(leman[Q1H])</f>
        <v>16</v>
      </c>
      <c r="EG7" s="16">
        <f>_xlfn.RANK.EQ(all[[#This Row],[Q1H]],all[Q1H])</f>
        <v>16</v>
      </c>
      <c r="EH7" s="6">
        <f>AVERAGE(leman[Q2H])</f>
        <v>25</v>
      </c>
      <c r="EI7" s="16">
        <f>_xlfn.RANK.EQ(all[[#This Row],[Q2H]],all[Q2H])</f>
        <v>1</v>
      </c>
      <c r="EJ7" s="6">
        <f>AVERAGE(leman[Q3H])</f>
        <v>27</v>
      </c>
      <c r="EK7" s="16">
        <f>_xlfn.RANK.EQ(all[[#This Row],[Q3H]],all[Q3H])</f>
        <v>1</v>
      </c>
      <c r="EL7" s="6">
        <f>AVERAGE(leman[Q4H])</f>
        <v>23</v>
      </c>
      <c r="EM7" s="16">
        <f>_xlfn.RANK.EQ(all[[#This Row],[Q4H]],all[Q4H])</f>
        <v>1</v>
      </c>
      <c r="EN7" s="6">
        <f>AVERAGE(leman[Q1A])</f>
        <v>22</v>
      </c>
      <c r="EO7" s="16">
        <f>_xlfn.RANK.EQ(all[[#This Row],[Q1A]],all[Q1A],1)</f>
        <v>13</v>
      </c>
      <c r="EP7" s="6">
        <f>AVERAGE(leman[Q2A])</f>
        <v>24</v>
      </c>
      <c r="EQ7" s="16">
        <f>_xlfn.RANK.EQ(all[[#This Row],[Q2A]],all[Q2A],1)</f>
        <v>15</v>
      </c>
      <c r="ER7" s="6">
        <f>AVERAGE(leman[Q3A])</f>
        <v>20</v>
      </c>
      <c r="ES7" s="16">
        <f>_xlfn.RANK.EQ(all[[#This Row],[Q3A]],all[Q3A],1)</f>
        <v>3</v>
      </c>
      <c r="ET7" s="6">
        <f>AVERAGE(leman[Q4A])</f>
        <v>23</v>
      </c>
      <c r="EU7" s="16">
        <f>_xlfn.RANK.EQ(all[[#This Row],[Q4A]],all[Q4A],1)</f>
        <v>14</v>
      </c>
      <c r="EV7" s="6">
        <f>AVERAGE(leman[FhalfH])</f>
        <v>41</v>
      </c>
      <c r="EW7" s="16">
        <f>_xlfn.RANK.EQ(all[[#This Row],[FHH]],all[FHH])</f>
        <v>9</v>
      </c>
      <c r="EX7" s="5">
        <f>AVERAGE(leman[FhalfA])</f>
        <v>46</v>
      </c>
      <c r="EY7" s="16">
        <f>_xlfn.RANK.EQ(all[[#This Row],[FHA]],all[FHA],1)</f>
        <v>16</v>
      </c>
      <c r="EZ7" s="6">
        <f>AVERAGE(leman[ShalfH])</f>
        <v>50</v>
      </c>
      <c r="FA7" s="16">
        <f>_xlfn.RANK.EQ(all[[#This Row],[SHH]],all[SHH])</f>
        <v>1</v>
      </c>
      <c r="FB7" s="6">
        <f>AVERAGE(leman[ShalfA])</f>
        <v>43</v>
      </c>
      <c r="FC7" s="16">
        <f>_xlfn.RANK.EQ(all[[#This Row],[SHA]],all[SHA],1)</f>
        <v>12</v>
      </c>
      <c r="FD7" s="6" t="e">
        <f ca="1">AVERAGE(LARGE(OFFSET(leman[Home_scored],COUNTA(leman[Home_scored])-5, 0, 5, 1),2), LARGE(OFFSET(leman[Home_scored],COUNTA(leman[Home_scored])-5, 0, 5, 1),3),LARGE(OFFSET(leman[Home_scored],COUNTA(leman[Home_scored])-5, 0, 5, 1),4))</f>
        <v>#REF!</v>
      </c>
      <c r="FE7" s="6" t="e">
        <f ca="1">AVERAGE(LARGE(OFFSET(leman[Away_scored],COUNTA(leman[Away_scored])-5, 0, 5, 1),2), LARGE(OFFSET(leman[Away_scored],COUNTA(leman[Away_scored])-5, 0, 5, 1),3),LARGE(OFFSET(leman[Away_scored],COUNTA(leman[Away_scored])-5, 0, 5, 1),4))</f>
        <v>#REF!</v>
      </c>
      <c r="FF7" s="16">
        <f ca="1">COUNTIF(INDIRECT(all[[#This Row],[Table name]]&amp;"[result]"),"w")+COUNTIF(INDIRECT(all[[#This Row],[Table name]]&amp;"[result]"),"dw")</f>
        <v>1</v>
      </c>
      <c r="FG7" s="16">
        <f ca="1">COUNTIF(INDIRECT(all[[#This Row],[Table name]]&amp;"[result]"),"l")+COUNTIF(INDIRECT(all[[#This Row],[Table name]]&amp;"[result]"),"dl")</f>
        <v>0</v>
      </c>
      <c r="FH7" s="7">
        <f ca="1">all[[#This Row],[Wins]]/(all[[#This Row],[Wins]]+all[[#This Row],[Losses]])</f>
        <v>1</v>
      </c>
      <c r="FI7">
        <f ca="1">_xlfn.RANK.EQ(all[[#This Row],[rating]],all[rating])</f>
        <v>1</v>
      </c>
      <c r="FJ7" s="5">
        <f t="shared" si="0"/>
        <v>8.0769230769230766</v>
      </c>
      <c r="FK7" s="6">
        <f>all[[#This Row],[Q1H]]+all[[#This Row],[Q1A]]</f>
        <v>38</v>
      </c>
      <c r="FL7" s="16">
        <f>_xlfn.RANK.EQ(all[[#This Row],[Q1T]],all[Q1T])</f>
        <v>15</v>
      </c>
      <c r="FM7" s="6">
        <f>all[[#This Row],[Q2H]]+all[[#This Row],[Q2A]]</f>
        <v>49</v>
      </c>
      <c r="FN7" s="16">
        <f>_xlfn.RANK.EQ(all[[#This Row],[Q2T]],all[Q2T])</f>
        <v>1</v>
      </c>
      <c r="FO7" s="6">
        <f>all[[#This Row],[Q3H]]+all[[#This Row],[Q3A]]</f>
        <v>47</v>
      </c>
      <c r="FP7" s="16">
        <f>_xlfn.RANK.EQ(all[[#This Row],[Q3T]],all[Q3T])</f>
        <v>1</v>
      </c>
      <c r="FQ7" s="6">
        <f>all[[#This Row],[Q4H]]+all[[#This Row],[Q4A]]</f>
        <v>46</v>
      </c>
      <c r="FR7" s="16">
        <f>_xlfn.RANK.EQ(all[[#This Row],[Q4T]],all[Q4T])</f>
        <v>1</v>
      </c>
      <c r="FS7" s="6">
        <f>all[[#This Row],[FHH]]+all[[#This Row],[FHA]]</f>
        <v>87</v>
      </c>
      <c r="FT7" s="16">
        <f>_xlfn.RANK.EQ(all[[#This Row],[FHT]],all[FHT])</f>
        <v>3</v>
      </c>
      <c r="FU7" s="6">
        <f>all[[#This Row],[SHH]]+all[[#This Row],[SHA]]</f>
        <v>93</v>
      </c>
      <c r="FV7" s="16">
        <f>_xlfn.RANK.EQ(all[[#This Row],[SHT]],all[SHT])</f>
        <v>1</v>
      </c>
      <c r="FW7" s="6">
        <f ca="1">SUM(INDIRECT(all[[#This Row],[Table name]]&amp;"[BetH]"))</f>
        <v>1.2000000000000002</v>
      </c>
      <c r="FX7" s="16">
        <f ca="1">_xlfn.RANK.EQ(all[[#This Row],[BetH]],all[BetH])</f>
        <v>3</v>
      </c>
      <c r="FY7" s="6">
        <f ca="1">SUM(INDIRECT(all[[#This Row],[Table name]]&amp;"[BetA]"))</f>
        <v>-1</v>
      </c>
      <c r="FZ7" s="16">
        <f ca="1">_xlfn.RANK.EQ(all[[#This Row],[BetA]],all[BetA])</f>
        <v>10</v>
      </c>
      <c r="GA7" s="16">
        <f ca="1">SUM(INDIRECT(all[[#This Row],[Table name]]&amp;"[Tover]"))</f>
        <v>1</v>
      </c>
      <c r="GB7" s="16">
        <f ca="1">_xlfn.RANK.EQ(all[[#This Row],[Tover]],all[Tover])</f>
        <v>15</v>
      </c>
      <c r="GC7" s="6">
        <f ca="1">AVERAGE(INDIRECT(all[[#This Row],[Table name]]&amp;"[Deviation]"))</f>
        <v>12</v>
      </c>
      <c r="GD7" s="16">
        <f ca="1">_xlfn.RANK.EQ(all[[#This Row],[Deviation]],all[Deviation],1)</f>
        <v>2</v>
      </c>
    </row>
    <row r="8" spans="1:186" x14ac:dyDescent="0.25">
      <c r="A8" s="9" t="s">
        <v>402</v>
      </c>
      <c r="B8" t="s">
        <v>320</v>
      </c>
      <c r="C8" t="s">
        <v>321</v>
      </c>
      <c r="D8" t="s">
        <v>322</v>
      </c>
      <c r="E8">
        <f>_xlfn.RANK.EQ(all[[#This Row],[AVG_RT]],all[AVG_RT],1)</f>
        <v>16</v>
      </c>
      <c r="F8" s="6">
        <f>AVERAGE(portel[Home_scored])</f>
        <v>73.933333333333337</v>
      </c>
      <c r="G8" s="16">
        <f>_xlfn.RANK.EQ(all[[#This Row],[PM]],all[PM])</f>
        <v>15</v>
      </c>
      <c r="H8" s="6">
        <f>AVERAGE(portel[Away_scored])</f>
        <v>82.9</v>
      </c>
      <c r="I8" s="16">
        <f>_xlfn.RANK.EQ(all[[#This Row],[PC]],all[PC],1)</f>
        <v>6</v>
      </c>
      <c r="J8" s="6">
        <f>AVERAGE(portel[FGA])</f>
        <v>57.466666666666669</v>
      </c>
      <c r="K8" s="16">
        <f>_xlfn.RANK.EQ(all[[#This Row],[FGA]],all[FGA])</f>
        <v>14</v>
      </c>
      <c r="L8" s="6">
        <f>AVERAGE(portel[FGM])</f>
        <v>25.3</v>
      </c>
      <c r="M8" s="16">
        <f>_xlfn.RANK.EQ(all[[#This Row],[FGM]],all[FGM])</f>
        <v>15</v>
      </c>
      <c r="N8" s="7">
        <f>AVERAGE(portel[FGp])</f>
        <v>0.44041666666666662</v>
      </c>
      <c r="O8" s="16">
        <f>_xlfn.RANK.EQ(all[[#This Row],[FGp]],all[FGp])</f>
        <v>14</v>
      </c>
      <c r="P8" s="6">
        <f>AVERAGE(portel[P2M])</f>
        <v>17.8</v>
      </c>
      <c r="Q8" s="16">
        <f>_xlfn.RANK.EQ(all[[#This Row],[P2M]],all[P2M])</f>
        <v>14</v>
      </c>
      <c r="R8" s="6">
        <f>AVERAGE(portel[P2A])</f>
        <v>34.6</v>
      </c>
      <c r="S8" s="16">
        <f>_xlfn.RANK.EQ(all[[#This Row],[P2A]],all[P2A])</f>
        <v>8</v>
      </c>
      <c r="T8" s="7">
        <f>AVERAGE(portel[P2p])</f>
        <v>0.51531333333333329</v>
      </c>
      <c r="U8" s="16">
        <f>_xlfn.RANK.EQ(all[[#This Row],[P2p]],all[P2p])</f>
        <v>14</v>
      </c>
      <c r="V8" s="6">
        <f>AVERAGE(portel[P3M])</f>
        <v>7.5</v>
      </c>
      <c r="W8" s="16">
        <f>_xlfn.RANK.EQ(all[[#This Row],[P3M]],all[P3M])</f>
        <v>14</v>
      </c>
      <c r="X8" s="6">
        <f>AVERAGE(portel[P3A])</f>
        <v>22.866666666666667</v>
      </c>
      <c r="Y8" s="16">
        <f>_xlfn.RANK.EQ(all[[#This Row],[P3A]],all[P3A])</f>
        <v>15</v>
      </c>
      <c r="Z8" s="7">
        <f>AVERAGE(portel[P3p])</f>
        <v>0.32523333333333332</v>
      </c>
      <c r="AA8" s="16">
        <f>_xlfn.RANK.EQ(all[[#This Row],[P3p]],all[P3p])</f>
        <v>15</v>
      </c>
      <c r="AB8" s="6">
        <f>AVERAGE(portel[FTM])</f>
        <v>15.833333333333334</v>
      </c>
      <c r="AC8" s="16">
        <f>_xlfn.RANK.EQ(all[[#This Row],[FTM]],all[FTM])</f>
        <v>8</v>
      </c>
      <c r="AD8" s="6">
        <f>AVERAGE(portel[FTA])</f>
        <v>20.166666666666668</v>
      </c>
      <c r="AE8" s="16">
        <f>_xlfn.RANK.EQ(all[[#This Row],[FTA]],all[FTA])</f>
        <v>11</v>
      </c>
      <c r="AF8" s="7">
        <f>AVERAGE(portel[FTp])</f>
        <v>0.78747333333333325</v>
      </c>
      <c r="AG8" s="16">
        <f>_xlfn.RANK.EQ(all[[#This Row],[FTp]],all[FTp])</f>
        <v>4</v>
      </c>
      <c r="AH8" s="6">
        <f>AVERAGE(portel[ORB])</f>
        <v>8.9</v>
      </c>
      <c r="AI8" s="16">
        <f>_xlfn.RANK.EQ(all[[#This Row],[ORB]],all[ORB])</f>
        <v>15</v>
      </c>
      <c r="AJ8" s="6">
        <f>AVERAGE(portel[DRB])</f>
        <v>21.766666666666666</v>
      </c>
      <c r="AK8" s="16">
        <f>_xlfn.RANK.EQ(all[[#This Row],[DRB]],all[DRB])</f>
        <v>13</v>
      </c>
      <c r="AL8" s="6">
        <f>AVERAGE(portel[TRB])</f>
        <v>30.666666666666668</v>
      </c>
      <c r="AM8" s="16">
        <f>_xlfn.RANK.EQ(all[[#This Row],[TRB]],all[TRB])</f>
        <v>15</v>
      </c>
      <c r="AN8" s="6">
        <f>AVERAGE(portel[AST])</f>
        <v>16.133333333333333</v>
      </c>
      <c r="AO8" s="16">
        <f>_xlfn.RANK.EQ(all[[#This Row],[AST]],all[AST])</f>
        <v>14</v>
      </c>
      <c r="AP8" s="6">
        <f>AVERAGE(portel[STL])</f>
        <v>7.2</v>
      </c>
      <c r="AQ8" s="16">
        <f>_xlfn.RANK.EQ(all[[#This Row],[STL]],all[STL])</f>
        <v>3</v>
      </c>
      <c r="AR8" s="6">
        <f>AVERAGE(portel[BLK])</f>
        <v>2.6333333333333333</v>
      </c>
      <c r="AS8" s="16">
        <f>_xlfn.RANK.EQ(all[[#This Row],[BLK]],all[BLK])</f>
        <v>9</v>
      </c>
      <c r="AT8" s="6">
        <f>AVERAGE(portel[TOV])</f>
        <v>13.466666666666667</v>
      </c>
      <c r="AU8" s="16">
        <f>_xlfn.RANK.EQ(all[[#This Row],[TOV]],all[TOV],1)</f>
        <v>12</v>
      </c>
      <c r="AV8" s="6">
        <f>AVERAGE(portel[PF])</f>
        <v>20.333333333333332</v>
      </c>
      <c r="AW8" s="16">
        <f>_xlfn.RANK.EQ(all[[#This Row],[PF]],all[PF],1)</f>
        <v>5</v>
      </c>
      <c r="AX8" s="6">
        <f>AVERAGE(portel[FGAop])</f>
        <v>61.5</v>
      </c>
      <c r="AY8" s="16">
        <f>_xlfn.RANK.EQ(all[[#This Row],[FGA opp]],all[FGA opp],1)</f>
        <v>6</v>
      </c>
      <c r="AZ8" s="6">
        <f>AVERAGE(portel[FGMop])</f>
        <v>29.7</v>
      </c>
      <c r="BA8" s="16">
        <f>_xlfn.RANK.EQ(all[[#This Row],[FGM opp]],all[FGM opp],1)</f>
        <v>9</v>
      </c>
      <c r="BB8" s="7">
        <f>AVERAGE(portel[FGpop])</f>
        <v>0.48472666666666658</v>
      </c>
      <c r="BC8" s="16">
        <f>_xlfn.RANK.EQ(all[[#This Row],[FGp opp]],all[FGp opp],1)</f>
        <v>13</v>
      </c>
      <c r="BD8" s="6">
        <f>AVERAGE(portel[P2Mop])</f>
        <v>21.566666666666666</v>
      </c>
      <c r="BE8" s="16">
        <f>_xlfn.RANK.EQ(all[[#This Row],[P2M opp]],all[P2M opp],1)</f>
        <v>13</v>
      </c>
      <c r="BF8" s="6">
        <f>AVERAGE(portel[P2Aop])</f>
        <v>38.533333333333331</v>
      </c>
      <c r="BG8" s="16">
        <f>_xlfn.RANK.EQ(all[[#This Row],[P2A opp]],all[P2A opp],1)</f>
        <v>15</v>
      </c>
      <c r="BH8">
        <f>AVERAGE(portel[P2pop])</f>
        <v>0.56302666666666668</v>
      </c>
      <c r="BI8" s="16">
        <f>_xlfn.RANK.EQ(all[[#This Row],[P2p opp]],all[P2p opp],1)</f>
        <v>9</v>
      </c>
      <c r="BJ8" s="6">
        <f>AVERAGE(portel[P3Mop])</f>
        <v>8.1333333333333329</v>
      </c>
      <c r="BK8" s="16">
        <f>_xlfn.RANK.EQ(all[[#This Row],[P3M opp]],all[P3M opp],1)</f>
        <v>1</v>
      </c>
      <c r="BL8" s="6">
        <f>AVERAGE(portel[P3Aop])</f>
        <v>22.966666666666665</v>
      </c>
      <c r="BM8" s="16">
        <f>_xlfn.RANK.EQ(all[[#This Row],[P3A opp]],all[P3A opp],1)</f>
        <v>1</v>
      </c>
      <c r="BN8" s="7">
        <f>AVERAGE(portel[P3pop])</f>
        <v>0.35067000000000004</v>
      </c>
      <c r="BO8" s="16">
        <f>_xlfn.RANK.EQ(all[[#This Row],[P3p opp]],all[P3p opp],1)</f>
        <v>7</v>
      </c>
      <c r="BP8" s="6">
        <f>AVERAGE(portel[FTMop])</f>
        <v>15.366666666666667</v>
      </c>
      <c r="BQ8" s="16">
        <f>_xlfn.RANK.EQ(all[[#This Row],[FTM opp]],all[FTM opp],1)</f>
        <v>7</v>
      </c>
      <c r="BR8" s="6">
        <f>AVERAGE(portel[FTAop])</f>
        <v>20.100000000000001</v>
      </c>
      <c r="BS8" s="16">
        <f>_xlfn.RANK.EQ(all[[#This Row],[FTA opp]],all[FTA opp],1)</f>
        <v>6</v>
      </c>
      <c r="BT8" s="7">
        <f>AVERAGE(portel[FTpop])</f>
        <v>0.75587000000000004</v>
      </c>
      <c r="BU8" s="16">
        <f>_xlfn.RANK.EQ(all[[#This Row],[FTp opp]],all[FTp opp],1)</f>
        <v>12</v>
      </c>
      <c r="BV8" s="6">
        <f>AVERAGE(portel[ORBop])</f>
        <v>11.466666666666667</v>
      </c>
      <c r="BW8" s="16">
        <f>_xlfn.RANK.EQ(all[[#This Row],[ORB opp]],all[ORB opp],1)</f>
        <v>12</v>
      </c>
      <c r="BX8" s="6">
        <f>AVERAGE(portel[DRBop])</f>
        <v>24.533333333333335</v>
      </c>
      <c r="BY8" s="16">
        <f>_xlfn.RANK.EQ(all[[#This Row],[DRB opp]],all[DRB opp],1)</f>
        <v>11</v>
      </c>
      <c r="BZ8" s="6">
        <f>AVERAGE(portel[TRBop])</f>
        <v>36</v>
      </c>
      <c r="CA8" s="16">
        <f>_xlfn.RANK.EQ(all[[#This Row],[TRB opp]],all[TRB opp],1)</f>
        <v>14</v>
      </c>
      <c r="CB8" s="6">
        <f>AVERAGE(portel[ASTop])</f>
        <v>19.466666666666665</v>
      </c>
      <c r="CC8" s="16">
        <f>_xlfn.RANK.EQ(all[[#This Row],[AST opp]],all[AST opp],1)</f>
        <v>8</v>
      </c>
      <c r="CD8" s="6">
        <f>AVERAGE(portel[STLop])</f>
        <v>7.5666666666666664</v>
      </c>
      <c r="CE8" s="16">
        <f>_xlfn.RANK.EQ(all[[#This Row],[STL opp]],all[STL opp],1)</f>
        <v>16</v>
      </c>
      <c r="CF8" s="6">
        <f>AVERAGE(portel[BLKop])</f>
        <v>2.1333333333333333</v>
      </c>
      <c r="CG8" s="16">
        <f>_xlfn.RANK.EQ(all[[#This Row],[BLK opp]],all[BLK opp],1)</f>
        <v>1</v>
      </c>
      <c r="CH8" s="6">
        <f>AVERAGE(portel[TOVop])</f>
        <v>11.866666666666667</v>
      </c>
      <c r="CI8" s="16">
        <f>_xlfn.RANK.EQ(all[[#This Row],[TOV opp]],all[TOV opp])</f>
        <v>11</v>
      </c>
      <c r="CJ8" s="6">
        <f>AVERAGE(portel[PFop])</f>
        <v>19.600000000000001</v>
      </c>
      <c r="CK8" s="16">
        <f>_xlfn.RANK.EQ(all[[#This Row],[PF opp]],all[PF opp])</f>
        <v>14</v>
      </c>
      <c r="CL8" s="7">
        <f>AVERAGE(portel[TS%])</f>
        <v>0.55762333333333325</v>
      </c>
      <c r="CM8" s="16">
        <f>_xlfn.RANK.EQ(all[[#This Row],[TSp]],all[TSp])</f>
        <v>14</v>
      </c>
      <c r="CN8" s="7">
        <f>AVERAGE(portel[eFG%])</f>
        <v>0.50573999999999997</v>
      </c>
      <c r="CO8" s="16">
        <f>_xlfn.RANK.EQ(all[[#This Row],[eFGp]],all[eFGp])</f>
        <v>15</v>
      </c>
      <c r="CP8" s="7">
        <f>AVERAGE(portel[ORB%])</f>
        <v>0.26356000000000002</v>
      </c>
      <c r="CQ8" s="16">
        <f>_xlfn.RANK.EQ(all[[#This Row],[ORBp]],all[ORBp])</f>
        <v>15</v>
      </c>
      <c r="CR8" s="7">
        <f>AVERAGE(portel[DRB%])</f>
        <v>0.66535999999999995</v>
      </c>
      <c r="CS8" s="16">
        <f>_xlfn.RANK.EQ(all[[#This Row],[DRBp]],all[DRBp])</f>
        <v>13</v>
      </c>
      <c r="CT8" s="7">
        <f>AVERAGE(portel[TRB%])</f>
        <v>0.46213999999999994</v>
      </c>
      <c r="CU8" s="16">
        <f>_xlfn.RANK.EQ(all[[#This Row],[TRBp]],all[TRBp])</f>
        <v>14</v>
      </c>
      <c r="CV8" s="6">
        <f>AVERAGE(portel[Poss])</f>
        <v>68.915366666666657</v>
      </c>
      <c r="CW8" s="16">
        <f>_xlfn.RANK.EQ(all[[#This Row],[Poss]],all[Poss])</f>
        <v>14</v>
      </c>
      <c r="CX8" s="7">
        <f>AVERAGE(portel[AST%])</f>
        <v>0.63738333333333341</v>
      </c>
      <c r="CY8" s="16">
        <f>_xlfn.RANK.EQ(all[[#This Row],[ASTp]],all[ASTp])</f>
        <v>12</v>
      </c>
      <c r="CZ8" s="7">
        <f>AVERAGE(portel[FTFGA%])</f>
        <v>0.27893333333333337</v>
      </c>
      <c r="DA8" s="16">
        <f>_xlfn.RANK.EQ(all[[#This Row],[FTFGAp]],all[FTFGAp])</f>
        <v>5</v>
      </c>
      <c r="DB8" s="7">
        <f>AVERAGE(portel[TOV%])</f>
        <v>0.16828333333333331</v>
      </c>
      <c r="DC8" s="16">
        <f>_xlfn.RANK.EQ(all[[#This Row],[TOVp]],all[TOVp],1)</f>
        <v>14</v>
      </c>
      <c r="DD8" s="6">
        <f>AVERAGE(portel[ORtg])</f>
        <v>106.28333333333336</v>
      </c>
      <c r="DE8" s="16">
        <f>_xlfn.RANK.EQ(all[[#This Row],[ORtg]],all[ORtg])</f>
        <v>15</v>
      </c>
      <c r="DF8" s="6">
        <f>AVERAGE(portel[DRtg])</f>
        <v>118.94666666666669</v>
      </c>
      <c r="DG8" s="16">
        <f>_xlfn.RANK.EQ(all[[#This Row],[DRtg]],all[DRtg],1)</f>
        <v>13</v>
      </c>
      <c r="DH8" s="6">
        <f>AVERAGE(portel[Pace])</f>
        <v>69.611183333333344</v>
      </c>
      <c r="DI8" s="16">
        <f>_xlfn.RANK.EQ(all[[#This Row],[Pace]],all[Pace])</f>
        <v>13</v>
      </c>
      <c r="DJ8" s="7">
        <f>AVERAGE(portel[TS%op])</f>
        <v>0.59158666666666671</v>
      </c>
      <c r="DK8" s="16">
        <f>_xlfn.RANK.EQ(all[[#This Row],[TSp opp]],all[TSp opp],1)</f>
        <v>11</v>
      </c>
      <c r="DL8" s="7">
        <f>AVERAGE(portel[eFG%op])</f>
        <v>0.55140333333333336</v>
      </c>
      <c r="DM8" s="16">
        <f>_xlfn.RANK.EQ(all[[#This Row],[eFGp opp]],all[eFGp opp],1)</f>
        <v>9</v>
      </c>
      <c r="DN8" s="7">
        <f>AVERAGE(portel[ORB%op])</f>
        <v>0.33464666666666659</v>
      </c>
      <c r="DO8" s="16">
        <f>_xlfn.RANK.EQ(all[[#This Row],[ORBp opp]],all[ORBp opp],1)</f>
        <v>13</v>
      </c>
      <c r="DP8" s="7">
        <f>AVERAGE(portel[DRB%op])</f>
        <v>0.73644666666666647</v>
      </c>
      <c r="DQ8" s="16">
        <f>_xlfn.RANK.EQ(all[[#This Row],[DRBp opp]],all[DRBp opp],1)</f>
        <v>15</v>
      </c>
      <c r="DR8" s="7">
        <f>AVERAGE(portel[TRB%op])</f>
        <v>0.53786000000000012</v>
      </c>
      <c r="DS8" s="16">
        <f>_xlfn.RANK.EQ(all[[#This Row],[TRBp opp]],all[TRBp opp],1)</f>
        <v>14</v>
      </c>
      <c r="DT8" s="6">
        <f>AVERAGE(portel[Possop])</f>
        <v>70.307000000000002</v>
      </c>
      <c r="DU8" s="16">
        <f>_xlfn.RANK.EQ(all[[#This Row],[Poss opp]],all[Poss opp],1)</f>
        <v>5</v>
      </c>
      <c r="DV8" s="7">
        <f>AVERAGE(portel[AST%op])</f>
        <v>0.65476333333333347</v>
      </c>
      <c r="DW8" s="16">
        <f>_xlfn.RANK.EQ(all[[#This Row],[ASTp opp]],all[ASTp opp],1)</f>
        <v>7</v>
      </c>
      <c r="DX8" s="7">
        <f>AVERAGE(portel[FTFGA%op])</f>
        <v>0.25589000000000001</v>
      </c>
      <c r="DY8" s="16">
        <f>_xlfn.RANK.EQ(all[[#This Row],[FTFGAp opp]],all[FTFGAp opp],1)</f>
        <v>8</v>
      </c>
      <c r="DZ8" s="7">
        <f>AVERAGE(portel[TOV%op])</f>
        <v>0.14457333333333328</v>
      </c>
      <c r="EA8" s="16">
        <f>_xlfn.RANK.EQ(all[[#This Row],[TOVp opp]],all[TOVp opp])</f>
        <v>9</v>
      </c>
      <c r="EB8" s="6">
        <f>AVERAGE(portel[ORtgop])</f>
        <v>118.94666666666669</v>
      </c>
      <c r="EC8" s="16">
        <f>_xlfn.RANK.EQ(all[[#This Row],[ORtg opp]],all[ORtg opp],1)</f>
        <v>13</v>
      </c>
      <c r="ED8" s="6">
        <f>AVERAGE(portel[DRtgop])</f>
        <v>106.28333333333336</v>
      </c>
      <c r="EE8" s="16">
        <f>_xlfn.RANK.EQ(all[[#This Row],[DRtg opp]],all[DRtg opp])</f>
        <v>15</v>
      </c>
      <c r="EF8" s="6">
        <f>AVERAGE(portel[Q1H])</f>
        <v>18.133333333333333</v>
      </c>
      <c r="EG8" s="16">
        <f>_xlfn.RANK.EQ(all[[#This Row],[Q1H]],all[Q1H])</f>
        <v>15</v>
      </c>
      <c r="EH8" s="6">
        <f>AVERAGE(portel[Q2H])</f>
        <v>20.233333333333334</v>
      </c>
      <c r="EI8" s="16">
        <f>_xlfn.RANK.EQ(all[[#This Row],[Q2H]],all[Q2H])</f>
        <v>10</v>
      </c>
      <c r="EJ8" s="6">
        <f>AVERAGE(portel[Q3H])</f>
        <v>16.600000000000001</v>
      </c>
      <c r="EK8" s="16">
        <f>_xlfn.RANK.EQ(all[[#This Row],[Q3H]],all[Q3H])</f>
        <v>16</v>
      </c>
      <c r="EL8" s="6">
        <f>AVERAGE(portel[Q4H])</f>
        <v>18.966666666666665</v>
      </c>
      <c r="EM8" s="16">
        <f>_xlfn.RANK.EQ(all[[#This Row],[Q4H]],all[Q4H])</f>
        <v>14</v>
      </c>
      <c r="EN8" s="6">
        <f>AVERAGE(portel[Q1A])</f>
        <v>22.666666666666668</v>
      </c>
      <c r="EO8" s="16">
        <f>_xlfn.RANK.EQ(all[[#This Row],[Q1A]],all[Q1A],1)</f>
        <v>16</v>
      </c>
      <c r="EP8" s="6">
        <f>AVERAGE(portel[Q2A])</f>
        <v>20.100000000000001</v>
      </c>
      <c r="EQ8" s="16">
        <f>_xlfn.RANK.EQ(all[[#This Row],[Q2A]],all[Q2A],1)</f>
        <v>4</v>
      </c>
      <c r="ER8" s="6">
        <f>AVERAGE(portel[Q3A])</f>
        <v>20.566666666666666</v>
      </c>
      <c r="ES8" s="16">
        <f>_xlfn.RANK.EQ(all[[#This Row],[Q3A]],all[Q3A],1)</f>
        <v>5</v>
      </c>
      <c r="ET8" s="6">
        <f>AVERAGE(portel[Q4A])</f>
        <v>19.566666666666666</v>
      </c>
      <c r="EU8" s="16">
        <f>_xlfn.RANK.EQ(all[[#This Row],[Q4A]],all[Q4A],1)</f>
        <v>5</v>
      </c>
      <c r="EV8" s="6">
        <f>AVERAGE(portel[FhalfH])</f>
        <v>38.366666666666667</v>
      </c>
      <c r="EW8" s="16">
        <f>_xlfn.RANK.EQ(all[[#This Row],[FHH]],all[FHH])</f>
        <v>14</v>
      </c>
      <c r="EX8" s="5">
        <f>AVERAGE(portel[FhalfA])</f>
        <v>42.766666666666666</v>
      </c>
      <c r="EY8" s="16">
        <f>_xlfn.RANK.EQ(all[[#This Row],[FHA]],all[FHA],1)</f>
        <v>12</v>
      </c>
      <c r="EZ8" s="6">
        <f>AVERAGE(portel[ShalfH])</f>
        <v>35.56666666666667</v>
      </c>
      <c r="FA8" s="16">
        <f>_xlfn.RANK.EQ(all[[#This Row],[SHH]],all[SHH])</f>
        <v>15</v>
      </c>
      <c r="FB8" s="6">
        <f>AVERAGE(portel[ShalfA])</f>
        <v>40.133333333333333</v>
      </c>
      <c r="FC8" s="16">
        <f>_xlfn.RANK.EQ(all[[#This Row],[SHA]],all[SHA],1)</f>
        <v>3</v>
      </c>
      <c r="FD8" s="6">
        <f ca="1">AVERAGE(LARGE(OFFSET(portel[Home_scored],COUNTA(portel[Home_scored])-5, 0, 5, 1),2), LARGE(OFFSET(portel[Home_scored],COUNTA(portel[Home_scored])-5, 0, 5, 1),3),LARGE(OFFSET(portel[Home_scored],COUNTA(portel[Home_scored])-5, 0, 5, 1),4))</f>
        <v>78</v>
      </c>
      <c r="FE8" s="6">
        <f ca="1">AVERAGE(LARGE(OFFSET(portel[Away_scored],COUNTA(portel[Away_scored])-5, 0, 5, 1),2), LARGE(OFFSET(portel[Away_scored],COUNTA(portel[Away_scored])-5, 0, 5, 1),3),LARGE(OFFSET(portel[Away_scored],COUNTA(portel[Away_scored])-5, 0, 5, 1),4))</f>
        <v>87.666666666666671</v>
      </c>
      <c r="FF8" s="16">
        <f ca="1">COUNTIF(INDIRECT(all[[#This Row],[Table name]]&amp;"[result]"),"w")+COUNTIF(INDIRECT(all[[#This Row],[Table name]]&amp;"[result]"),"dw")</f>
        <v>8</v>
      </c>
      <c r="FG8" s="16">
        <f ca="1">COUNTIF(INDIRECT(all[[#This Row],[Table name]]&amp;"[result]"),"l")+COUNTIF(INDIRECT(all[[#This Row],[Table name]]&amp;"[result]"),"dl")</f>
        <v>22</v>
      </c>
      <c r="FH8" s="7">
        <f ca="1">all[[#This Row],[Wins]]/(all[[#This Row],[Wins]]+all[[#This Row],[Losses]])</f>
        <v>0.26666666666666666</v>
      </c>
      <c r="FI8">
        <f ca="1">_xlfn.RANK.EQ(all[[#This Row],[rating]],all[rating])</f>
        <v>14</v>
      </c>
      <c r="FJ8" s="5">
        <f t="shared" si="0"/>
        <v>11</v>
      </c>
      <c r="FK8" s="6">
        <f>all[[#This Row],[Q1H]]+all[[#This Row],[Q1A]]</f>
        <v>40.799999999999997</v>
      </c>
      <c r="FL8" s="16">
        <f>_xlfn.RANK.EQ(all[[#This Row],[Q1T]],all[Q1T])</f>
        <v>9</v>
      </c>
      <c r="FM8" s="6">
        <f>all[[#This Row],[Q2H]]+all[[#This Row],[Q2A]]</f>
        <v>40.333333333333336</v>
      </c>
      <c r="FN8" s="16">
        <f>_xlfn.RANK.EQ(all[[#This Row],[Q2T]],all[Q2T])</f>
        <v>13</v>
      </c>
      <c r="FO8" s="6">
        <f>all[[#This Row],[Q3H]]+all[[#This Row],[Q3A]]</f>
        <v>37.166666666666671</v>
      </c>
      <c r="FP8" s="16">
        <f>_xlfn.RANK.EQ(all[[#This Row],[Q3T]],all[Q3T])</f>
        <v>16</v>
      </c>
      <c r="FQ8" s="6">
        <f>all[[#This Row],[Q4H]]+all[[#This Row],[Q4A]]</f>
        <v>38.533333333333331</v>
      </c>
      <c r="FR8" s="16">
        <f>_xlfn.RANK.EQ(all[[#This Row],[Q4T]],all[Q4T])</f>
        <v>14</v>
      </c>
      <c r="FS8" s="6">
        <f>all[[#This Row],[FHH]]+all[[#This Row],[FHA]]</f>
        <v>81.133333333333326</v>
      </c>
      <c r="FT8" s="16">
        <f>_xlfn.RANK.EQ(all[[#This Row],[FHT]],all[FHT])</f>
        <v>12</v>
      </c>
      <c r="FU8" s="6">
        <f>all[[#This Row],[SHH]]+all[[#This Row],[SHA]]</f>
        <v>75.7</v>
      </c>
      <c r="FV8" s="16">
        <f>_xlfn.RANK.EQ(all[[#This Row],[SHT]],all[SHT])</f>
        <v>16</v>
      </c>
      <c r="FW8" s="6">
        <f ca="1">SUM(INDIRECT(all[[#This Row],[Table name]]&amp;"[BetH]"))</f>
        <v>-10.52</v>
      </c>
      <c r="FX8" s="16">
        <f ca="1">_xlfn.RANK.EQ(all[[#This Row],[BetH]],all[BetH])</f>
        <v>16</v>
      </c>
      <c r="FY8" s="6">
        <f ca="1">SUM(INDIRECT(all[[#This Row],[Table name]]&amp;"[BetA]"))</f>
        <v>1.7199999999999998</v>
      </c>
      <c r="FZ8" s="16">
        <f ca="1">_xlfn.RANK.EQ(all[[#This Row],[BetA]],all[BetA])</f>
        <v>6</v>
      </c>
      <c r="GA8" s="16">
        <f ca="1">SUM(INDIRECT(all[[#This Row],[Table name]]&amp;"[Tover]"))</f>
        <v>15</v>
      </c>
      <c r="GB8" s="16">
        <f ca="1">_xlfn.RANK.EQ(all[[#This Row],[Tover]],all[Tover])</f>
        <v>10</v>
      </c>
      <c r="GC8" s="6">
        <f ca="1">AVERAGE(INDIRECT(all[[#This Row],[Table name]]&amp;"[Deviation]"))</f>
        <v>12.566666666666666</v>
      </c>
      <c r="GD8" s="16">
        <f ca="1">_xlfn.RANK.EQ(all[[#This Row],[Deviation]],all[Deviation],1)</f>
        <v>4</v>
      </c>
    </row>
    <row r="9" spans="1:186" x14ac:dyDescent="0.25">
      <c r="A9" s="9" t="s">
        <v>621</v>
      </c>
      <c r="B9" t="s">
        <v>621</v>
      </c>
      <c r="C9" t="s">
        <v>623</v>
      </c>
      <c r="D9" t="s">
        <v>622</v>
      </c>
      <c r="E9">
        <f>_xlfn.RANK.EQ(all[[#This Row],[AVG_RT]],all[AVG_RT],1)</f>
        <v>15</v>
      </c>
      <c r="F9" s="6">
        <f>AVERAGE(boulazac[Home_scored])</f>
        <v>72.033333333333331</v>
      </c>
      <c r="G9" s="16">
        <f>_xlfn.RANK.EQ(all[[#This Row],[PM]],all[PM])</f>
        <v>16</v>
      </c>
      <c r="H9" s="6">
        <f>AVERAGE(boulazac[Away_scored])</f>
        <v>83.2</v>
      </c>
      <c r="I9" s="16">
        <f>_xlfn.RANK.EQ(all[[#This Row],[PC]],all[PC],1)</f>
        <v>7</v>
      </c>
      <c r="J9" s="6">
        <f>AVERAGE(boulazac[FGA])</f>
        <v>57.1</v>
      </c>
      <c r="K9" s="16">
        <f>_xlfn.RANK.EQ(all[[#This Row],[FGA]],all[FGA])</f>
        <v>15</v>
      </c>
      <c r="L9" s="6">
        <f>AVERAGE(boulazac[FGM])</f>
        <v>24.966666666666665</v>
      </c>
      <c r="M9" s="16">
        <f>_xlfn.RANK.EQ(all[[#This Row],[FGM]],all[FGM])</f>
        <v>16</v>
      </c>
      <c r="N9" s="7">
        <f>AVERAGE(boulazac[FGp])</f>
        <v>0.43906333333333325</v>
      </c>
      <c r="O9" s="16">
        <f>_xlfn.RANK.EQ(all[[#This Row],[FGp]],all[FGp])</f>
        <v>15</v>
      </c>
      <c r="P9" s="6">
        <f>AVERAGE(boulazac[P2M])</f>
        <v>17.899999999999999</v>
      </c>
      <c r="Q9" s="16">
        <f>_xlfn.RANK.EQ(all[[#This Row],[P2M]],all[P2M])</f>
        <v>13</v>
      </c>
      <c r="R9" s="6">
        <f>AVERAGE(boulazac[P2A])</f>
        <v>33.766666666666666</v>
      </c>
      <c r="S9" s="16">
        <f>_xlfn.RANK.EQ(all[[#This Row],[P2A]],all[P2A])</f>
        <v>11</v>
      </c>
      <c r="T9" s="7">
        <f>AVERAGE(boulazac[P2p])</f>
        <v>0.53337000000000001</v>
      </c>
      <c r="U9" s="16">
        <f>_xlfn.RANK.EQ(all[[#This Row],[P2p]],all[P2p])</f>
        <v>12</v>
      </c>
      <c r="V9" s="6">
        <f>AVERAGE(boulazac[P3M])</f>
        <v>7.0666666666666664</v>
      </c>
      <c r="W9" s="16">
        <f>_xlfn.RANK.EQ(all[[#This Row],[P3M]],all[P3M])</f>
        <v>16</v>
      </c>
      <c r="X9" s="6">
        <f>AVERAGE(boulazac[P3A])</f>
        <v>23.333333333333332</v>
      </c>
      <c r="Y9" s="16">
        <f>_xlfn.RANK.EQ(all[[#This Row],[P3A]],all[P3A])</f>
        <v>13</v>
      </c>
      <c r="Z9" s="7">
        <f>AVERAGE(boulazac[P3p])</f>
        <v>0.30351333333333341</v>
      </c>
      <c r="AA9" s="16">
        <f>_xlfn.RANK.EQ(all[[#This Row],[P3p]],all[P3p])</f>
        <v>16</v>
      </c>
      <c r="AB9" s="6">
        <f>AVERAGE(boulazac[FTM])</f>
        <v>15.033333333333333</v>
      </c>
      <c r="AC9" s="16">
        <f>_xlfn.RANK.EQ(all[[#This Row],[FTM]],all[FTM])</f>
        <v>11</v>
      </c>
      <c r="AD9" s="6">
        <f>AVERAGE(boulazac[FTA])</f>
        <v>20.100000000000001</v>
      </c>
      <c r="AE9" s="16">
        <f>_xlfn.RANK.EQ(all[[#This Row],[FTA]],all[FTA])</f>
        <v>12</v>
      </c>
      <c r="AF9" s="7">
        <f>AVERAGE(boulazac[FTp])</f>
        <v>0.73722333333333345</v>
      </c>
      <c r="AG9" s="16">
        <f>_xlfn.RANK.EQ(all[[#This Row],[FTp]],all[FTp])</f>
        <v>9</v>
      </c>
      <c r="AH9" s="6">
        <f>AVERAGE(boulazac[ORB])</f>
        <v>6.8</v>
      </c>
      <c r="AI9" s="16">
        <f>_xlfn.RANK.EQ(all[[#This Row],[ORB]],all[ORB])</f>
        <v>16</v>
      </c>
      <c r="AJ9" s="6">
        <f>AVERAGE(boulazac[DRB])</f>
        <v>23.966666666666665</v>
      </c>
      <c r="AK9" s="16">
        <f>_xlfn.RANK.EQ(all[[#This Row],[DRB]],all[DRB])</f>
        <v>8</v>
      </c>
      <c r="AL9" s="6">
        <f>AVERAGE(boulazac[TRB])</f>
        <v>30.766666666666666</v>
      </c>
      <c r="AM9" s="16">
        <f>_xlfn.RANK.EQ(all[[#This Row],[TRB]],all[TRB])</f>
        <v>14</v>
      </c>
      <c r="AN9" s="6">
        <f>AVERAGE(boulazac[AST])</f>
        <v>19.5</v>
      </c>
      <c r="AO9" s="16">
        <f>_xlfn.RANK.EQ(all[[#This Row],[AST]],all[AST])</f>
        <v>8</v>
      </c>
      <c r="AP9" s="6">
        <f>AVERAGE(boulazac[STL])</f>
        <v>6.9333333333333336</v>
      </c>
      <c r="AQ9" s="16">
        <f>_xlfn.RANK.EQ(all[[#This Row],[STL]],all[STL])</f>
        <v>4</v>
      </c>
      <c r="AR9" s="6">
        <f>AVERAGE(boulazac[BLK])</f>
        <v>2</v>
      </c>
      <c r="AS9" s="16">
        <f>_xlfn.RANK.EQ(all[[#This Row],[BLK]],all[BLK])</f>
        <v>14</v>
      </c>
      <c r="AT9" s="6">
        <f>AVERAGE(boulazac[TOV])</f>
        <v>13.866666666666667</v>
      </c>
      <c r="AU9" s="16">
        <f>_xlfn.RANK.EQ(all[[#This Row],[TOV]],all[TOV],1)</f>
        <v>14</v>
      </c>
      <c r="AV9" s="6">
        <f>AVERAGE(boulazac[PF])</f>
        <v>19.466666666666665</v>
      </c>
      <c r="AW9" s="16">
        <f>_xlfn.RANK.EQ(all[[#This Row],[PF]],all[PF],1)</f>
        <v>4</v>
      </c>
      <c r="AX9" s="6">
        <f>AVERAGE(boulazac[FGAop])</f>
        <v>63.43333333333333</v>
      </c>
      <c r="AY9" s="16">
        <f>_xlfn.RANK.EQ(all[[#This Row],[FGA opp]],all[FGA opp],1)</f>
        <v>13</v>
      </c>
      <c r="AZ9" s="6">
        <f>AVERAGE(boulazac[FGMop])</f>
        <v>29.366666666666667</v>
      </c>
      <c r="BA9" s="16">
        <f>_xlfn.RANK.EQ(all[[#This Row],[FGM opp]],all[FGM opp],1)</f>
        <v>6</v>
      </c>
      <c r="BB9" s="7">
        <f>AVERAGE(boulazac[FGpop])</f>
        <v>0.46439666666666668</v>
      </c>
      <c r="BC9" s="16">
        <f>_xlfn.RANK.EQ(all[[#This Row],[FGp opp]],all[FGp opp],1)</f>
        <v>4</v>
      </c>
      <c r="BD9" s="6">
        <f>AVERAGE(boulazac[P2Mop])</f>
        <v>18.833333333333332</v>
      </c>
      <c r="BE9" s="16">
        <f>_xlfn.RANK.EQ(all[[#This Row],[P2M opp]],all[P2M opp],1)</f>
        <v>3</v>
      </c>
      <c r="BF9" s="6">
        <f>AVERAGE(boulazac[P2Aop])</f>
        <v>35.9</v>
      </c>
      <c r="BG9" s="16">
        <f>_xlfn.RANK.EQ(all[[#This Row],[P2A opp]],all[P2A opp],1)</f>
        <v>8</v>
      </c>
      <c r="BH9">
        <f>AVERAGE(boulazac[P2pop])</f>
        <v>0.52512999999999999</v>
      </c>
      <c r="BI9" s="16">
        <f>_xlfn.RANK.EQ(all[[#This Row],[P2p opp]],all[P2p opp],1)</f>
        <v>2</v>
      </c>
      <c r="BJ9" s="6">
        <f>AVERAGE(boulazac[P3Mop])</f>
        <v>10.533333333333333</v>
      </c>
      <c r="BK9" s="16">
        <f>_xlfn.RANK.EQ(all[[#This Row],[P3M opp]],all[P3M opp],1)</f>
        <v>15</v>
      </c>
      <c r="BL9" s="6">
        <f>AVERAGE(boulazac[P3Aop])</f>
        <v>27.533333333333335</v>
      </c>
      <c r="BM9" s="16">
        <f>_xlfn.RANK.EQ(all[[#This Row],[P3A opp]],all[P3A opp],1)</f>
        <v>13</v>
      </c>
      <c r="BN9" s="7">
        <f>AVERAGE(boulazac[P3pop])</f>
        <v>0.38096333333333326</v>
      </c>
      <c r="BO9" s="16">
        <f>_xlfn.RANK.EQ(all[[#This Row],[P3p opp]],all[P3p opp],1)</f>
        <v>16</v>
      </c>
      <c r="BP9" s="6">
        <f>AVERAGE(boulazac[FTMop])</f>
        <v>13.933333333333334</v>
      </c>
      <c r="BQ9" s="16">
        <f>_xlfn.RANK.EQ(all[[#This Row],[FTM opp]],all[FTM opp],1)</f>
        <v>2</v>
      </c>
      <c r="BR9" s="6">
        <f>AVERAGE(boulazac[FTAop])</f>
        <v>18.100000000000001</v>
      </c>
      <c r="BS9" s="16">
        <f>_xlfn.RANK.EQ(all[[#This Row],[FTA opp]],all[FTA opp],1)</f>
        <v>2</v>
      </c>
      <c r="BT9" s="7">
        <f>AVERAGE(boulazac[FTpop])</f>
        <v>0.77840000000000009</v>
      </c>
      <c r="BU9" s="16">
        <f>_xlfn.RANK.EQ(all[[#This Row],[FTp opp]],all[FTp opp],1)</f>
        <v>14</v>
      </c>
      <c r="BV9" s="6">
        <f>AVERAGE(boulazac[ORBop])</f>
        <v>11.3</v>
      </c>
      <c r="BW9" s="16">
        <f>_xlfn.RANK.EQ(all[[#This Row],[ORB opp]],all[ORB opp],1)</f>
        <v>11</v>
      </c>
      <c r="BX9" s="6">
        <f>AVERAGE(boulazac[DRBop])</f>
        <v>27.4</v>
      </c>
      <c r="BY9" s="16">
        <f>_xlfn.RANK.EQ(all[[#This Row],[DRB opp]],all[DRB opp],1)</f>
        <v>16</v>
      </c>
      <c r="BZ9" s="6">
        <f>AVERAGE(boulazac[TRBop])</f>
        <v>38.700000000000003</v>
      </c>
      <c r="CA9" s="16">
        <f>_xlfn.RANK.EQ(all[[#This Row],[TRB opp]],all[TRB opp],1)</f>
        <v>16</v>
      </c>
      <c r="CB9" s="6">
        <f>AVERAGE(boulazac[ASTop])</f>
        <v>19.733333333333334</v>
      </c>
      <c r="CC9" s="16">
        <f>_xlfn.RANK.EQ(all[[#This Row],[AST opp]],all[AST opp],1)</f>
        <v>10</v>
      </c>
      <c r="CD9" s="6">
        <f>AVERAGE(boulazac[STLop])</f>
        <v>7.2666666666666666</v>
      </c>
      <c r="CE9" s="16">
        <f>_xlfn.RANK.EQ(all[[#This Row],[STL opp]],all[STL opp],1)</f>
        <v>13</v>
      </c>
      <c r="CF9" s="6">
        <f>AVERAGE(boulazac[BLKop])</f>
        <v>2.6333333333333333</v>
      </c>
      <c r="CG9" s="16">
        <f>_xlfn.RANK.EQ(all[[#This Row],[BLK opp]],all[BLK opp],1)</f>
        <v>7</v>
      </c>
      <c r="CH9" s="6">
        <f>AVERAGE(boulazac[TOVop])</f>
        <v>13.2</v>
      </c>
      <c r="CI9" s="16">
        <f>_xlfn.RANK.EQ(all[[#This Row],[TOV opp]],all[TOV opp])</f>
        <v>4</v>
      </c>
      <c r="CJ9" s="6">
        <f>AVERAGE(boulazac[PFop])</f>
        <v>20.833333333333332</v>
      </c>
      <c r="CK9" s="16">
        <f>_xlfn.RANK.EQ(all[[#This Row],[PF opp]],all[PF opp])</f>
        <v>9</v>
      </c>
      <c r="CL9" s="7">
        <f>AVERAGE(boulazac[TS%])</f>
        <v>0.54696666666666671</v>
      </c>
      <c r="CM9" s="16">
        <f>_xlfn.RANK.EQ(all[[#This Row],[TSp]],all[TSp])</f>
        <v>16</v>
      </c>
      <c r="CN9" s="7">
        <f>AVERAGE(boulazac[eFG%])</f>
        <v>0.50113666666666667</v>
      </c>
      <c r="CO9" s="16">
        <f>_xlfn.RANK.EQ(all[[#This Row],[eFGp]],all[eFGp])</f>
        <v>16</v>
      </c>
      <c r="CP9" s="7">
        <f>AVERAGE(boulazac[ORB%])</f>
        <v>0.19817999999999997</v>
      </c>
      <c r="CQ9" s="16">
        <f>_xlfn.RANK.EQ(all[[#This Row],[ORBp]],all[ORBp])</f>
        <v>16</v>
      </c>
      <c r="CR9" s="7">
        <f>AVERAGE(boulazac[DRB%])</f>
        <v>0.68306333333333336</v>
      </c>
      <c r="CS9" s="16">
        <f>_xlfn.RANK.EQ(all[[#This Row],[DRBp]],all[DRBp])</f>
        <v>10</v>
      </c>
      <c r="CT9" s="7">
        <f>AVERAGE(boulazac[TRB%])</f>
        <v>0.44309666666666653</v>
      </c>
      <c r="CU9" s="16">
        <f>_xlfn.RANK.EQ(all[[#This Row],[TRBp]],all[TRBp])</f>
        <v>16</v>
      </c>
      <c r="CV9" s="6">
        <f>AVERAGE(boulazac[Poss])</f>
        <v>71.349466666666657</v>
      </c>
      <c r="CW9" s="16">
        <f>_xlfn.RANK.EQ(all[[#This Row],[Poss]],all[Poss])</f>
        <v>8</v>
      </c>
      <c r="CX9" s="7">
        <f>AVERAGE(boulazac[AST%])</f>
        <v>0.79166666666666663</v>
      </c>
      <c r="CY9" s="16">
        <f>_xlfn.RANK.EQ(all[[#This Row],[ASTp]],all[ASTp])</f>
        <v>1</v>
      </c>
      <c r="CZ9" s="7">
        <f>AVERAGE(boulazac[FTFGA%])</f>
        <v>0.27135999999999999</v>
      </c>
      <c r="DA9" s="16">
        <f>_xlfn.RANK.EQ(all[[#This Row],[FTFGAp]],all[FTFGAp])</f>
        <v>7</v>
      </c>
      <c r="DB9" s="7">
        <f>AVERAGE(boulazac[TOV%])</f>
        <v>0.17372333333333337</v>
      </c>
      <c r="DC9" s="16">
        <f>_xlfn.RANK.EQ(all[[#This Row],[TOVp]],all[TOVp],1)</f>
        <v>15</v>
      </c>
      <c r="DD9" s="6">
        <f>AVERAGE(boulazac[ORtg])</f>
        <v>99.943333333333314</v>
      </c>
      <c r="DE9" s="16">
        <f>_xlfn.RANK.EQ(all[[#This Row],[ORtg]],all[ORtg])</f>
        <v>16</v>
      </c>
      <c r="DF9" s="6">
        <f>AVERAGE(boulazac[DRtg])</f>
        <v>115.26999999999998</v>
      </c>
      <c r="DG9" s="16">
        <f>_xlfn.RANK.EQ(all[[#This Row],[DRtg]],all[DRtg],1)</f>
        <v>5</v>
      </c>
      <c r="DH9" s="6">
        <f>AVERAGE(boulazac[Pace])</f>
        <v>72.177149999999997</v>
      </c>
      <c r="DI9" s="16">
        <f>_xlfn.RANK.EQ(all[[#This Row],[Pace]],all[Pace])</f>
        <v>7</v>
      </c>
      <c r="DJ9" s="7">
        <f>AVERAGE(boulazac[TS%op])</f>
        <v>0.58397333333333334</v>
      </c>
      <c r="DK9" s="16">
        <f>_xlfn.RANK.EQ(all[[#This Row],[TSp opp]],all[TSp opp],1)</f>
        <v>5</v>
      </c>
      <c r="DL9" s="7">
        <f>AVERAGE(boulazac[eFG%op])</f>
        <v>0.54769000000000001</v>
      </c>
      <c r="DM9" s="16">
        <f>_xlfn.RANK.EQ(all[[#This Row],[eFGp opp]],all[eFGp opp],1)</f>
        <v>7</v>
      </c>
      <c r="DN9" s="7">
        <f>AVERAGE(boulazac[ORB%op])</f>
        <v>0.31695333333333336</v>
      </c>
      <c r="DO9" s="16">
        <f>_xlfn.RANK.EQ(all[[#This Row],[ORBp opp]],all[ORBp opp],1)</f>
        <v>10</v>
      </c>
      <c r="DP9" s="7">
        <f>AVERAGE(boulazac[DRB%op])</f>
        <v>0.80182333333333322</v>
      </c>
      <c r="DQ9" s="16">
        <f>_xlfn.RANK.EQ(all[[#This Row],[DRBp opp]],all[DRBp opp],1)</f>
        <v>16</v>
      </c>
      <c r="DR9" s="7">
        <f>AVERAGE(boulazac[TRB%op])</f>
        <v>0.55690333333333331</v>
      </c>
      <c r="DS9" s="16">
        <f>_xlfn.RANK.EQ(all[[#This Row],[TRBp opp]],all[TRBp opp],1)</f>
        <v>16</v>
      </c>
      <c r="DT9" s="6">
        <f>AVERAGE(boulazac[Possop])</f>
        <v>73.004833333333352</v>
      </c>
      <c r="DU9" s="16">
        <f>_xlfn.RANK.EQ(all[[#This Row],[Poss opp]],all[Poss opp],1)</f>
        <v>12</v>
      </c>
      <c r="DV9" s="7">
        <f>AVERAGE(boulazac[AST%op])</f>
        <v>0.67649666666666652</v>
      </c>
      <c r="DW9" s="16">
        <f>_xlfn.RANK.EQ(all[[#This Row],[ASTp opp]],all[ASTp opp],1)</f>
        <v>10</v>
      </c>
      <c r="DX9" s="7">
        <f>AVERAGE(boulazac[FTFGA%op])</f>
        <v>0.22178666666666669</v>
      </c>
      <c r="DY9" s="16">
        <f>_xlfn.RANK.EQ(all[[#This Row],[FTFGAp opp]],all[FTFGAp opp],1)</f>
        <v>2</v>
      </c>
      <c r="DZ9" s="7">
        <f>AVERAGE(boulazac[TOV%op])</f>
        <v>0.15564333333333336</v>
      </c>
      <c r="EA9" s="16">
        <f>_xlfn.RANK.EQ(all[[#This Row],[TOVp opp]],all[TOVp opp])</f>
        <v>5</v>
      </c>
      <c r="EB9" s="6">
        <f>AVERAGE(boulazac[ORtgop])</f>
        <v>115.26999999999998</v>
      </c>
      <c r="EC9" s="16">
        <f>_xlfn.RANK.EQ(all[[#This Row],[ORtg opp]],all[ORtg opp],1)</f>
        <v>5</v>
      </c>
      <c r="ED9" s="6">
        <f>AVERAGE(boulazac[DRtgop])</f>
        <v>99.943333333333314</v>
      </c>
      <c r="EE9" s="16">
        <f>_xlfn.RANK.EQ(all[[#This Row],[DRtg opp]],all[DRtg opp])</f>
        <v>16</v>
      </c>
      <c r="EF9" s="6">
        <f>AVERAGE(boulazac[Q1H])</f>
        <v>19.033333333333335</v>
      </c>
      <c r="EG9" s="16">
        <f>_xlfn.RANK.EQ(all[[#This Row],[Q1H]],all[Q1H])</f>
        <v>11</v>
      </c>
      <c r="EH9" s="6">
        <f>AVERAGE(boulazac[Q2H])</f>
        <v>17.433333333333334</v>
      </c>
      <c r="EI9" s="16">
        <f>_xlfn.RANK.EQ(all[[#This Row],[Q2H]],all[Q2H])</f>
        <v>16</v>
      </c>
      <c r="EJ9" s="6">
        <f>AVERAGE(boulazac[Q3H])</f>
        <v>17.666666666666668</v>
      </c>
      <c r="EK9" s="16">
        <f>_xlfn.RANK.EQ(all[[#This Row],[Q3H]],all[Q3H])</f>
        <v>15</v>
      </c>
      <c r="EL9" s="6">
        <f>AVERAGE(boulazac[Q4H])</f>
        <v>17.899999999999999</v>
      </c>
      <c r="EM9" s="16">
        <f>_xlfn.RANK.EQ(all[[#This Row],[Q4H]],all[Q4H])</f>
        <v>16</v>
      </c>
      <c r="EN9" s="6">
        <f>AVERAGE(boulazac[Q1A])</f>
        <v>21.733333333333334</v>
      </c>
      <c r="EO9" s="16">
        <f>_xlfn.RANK.EQ(all[[#This Row],[Q1A]],all[Q1A],1)</f>
        <v>12</v>
      </c>
      <c r="EP9" s="6">
        <f>AVERAGE(boulazac[Q2A])</f>
        <v>20.399999999999999</v>
      </c>
      <c r="EQ9" s="16">
        <f>_xlfn.RANK.EQ(all[[#This Row],[Q2A]],all[Q2A],1)</f>
        <v>5</v>
      </c>
      <c r="ER9" s="6">
        <f>AVERAGE(boulazac[Q3A])</f>
        <v>20.433333333333334</v>
      </c>
      <c r="ES9" s="16">
        <f>_xlfn.RANK.EQ(all[[#This Row],[Q3A]],all[Q3A],1)</f>
        <v>4</v>
      </c>
      <c r="ET9" s="6">
        <f>AVERAGE(boulazac[Q4A])</f>
        <v>20.633333333333333</v>
      </c>
      <c r="EU9" s="16">
        <f>_xlfn.RANK.EQ(all[[#This Row],[Q4A]],all[Q4A],1)</f>
        <v>8</v>
      </c>
      <c r="EV9" s="6">
        <f>AVERAGE(boulazac[FhalfH])</f>
        <v>36.466666666666669</v>
      </c>
      <c r="EW9" s="16">
        <f>_xlfn.RANK.EQ(all[[#This Row],[FHH]],all[FHH])</f>
        <v>16</v>
      </c>
      <c r="EX9" s="5">
        <f>AVERAGE(boulazac[FhalfA])</f>
        <v>42.133333333333333</v>
      </c>
      <c r="EY9" s="16">
        <f>_xlfn.RANK.EQ(all[[#This Row],[FHA]],all[FHA],1)</f>
        <v>11</v>
      </c>
      <c r="EZ9" s="6">
        <f>AVERAGE(boulazac[ShalfH])</f>
        <v>35.56666666666667</v>
      </c>
      <c r="FA9" s="16">
        <f>_xlfn.RANK.EQ(all[[#This Row],[SHH]],all[SHH])</f>
        <v>15</v>
      </c>
      <c r="FB9" s="6">
        <f>AVERAGE(boulazac[ShalfA])</f>
        <v>41.06666666666667</v>
      </c>
      <c r="FC9" s="16">
        <f>_xlfn.RANK.EQ(all[[#This Row],[SHA]],all[SHA],1)</f>
        <v>5</v>
      </c>
      <c r="FD9" s="6">
        <f ca="1">AVERAGE(LARGE(OFFSET(boulazac[Home_scored],COUNTA(boulazac[Home_scored])-5, 0, 5, 1),2), LARGE(OFFSET(boulazac[Home_scored],COUNTA(boulazac[Home_scored])-5, 0, 5, 1),3),LARGE(OFFSET(boulazac[Home_scored],COUNTA(boulazac[Home_scored])-5, 0, 5, 1),4))</f>
        <v>66</v>
      </c>
      <c r="FE9" s="6">
        <f ca="1">AVERAGE(LARGE(OFFSET(boulazac[Away_scored],COUNTA(boulazac[Away_scored])-5, 0, 5, 1),2), LARGE(OFFSET(boulazac[Away_scored],COUNTA(boulazac[Away_scored])-5, 0, 5, 1),3),LARGE(OFFSET(boulazac[Away_scored],COUNTA(boulazac[Away_scored])-5, 0, 5, 1),4))</f>
        <v>77.333333333333329</v>
      </c>
      <c r="FF9" s="16">
        <f ca="1">COUNTIF(INDIRECT(all[[#This Row],[Table name]]&amp;"[result]"),"w")+COUNTIF(INDIRECT(all[[#This Row],[Table name]]&amp;"[result]"),"dw")</f>
        <v>4</v>
      </c>
      <c r="FG9" s="16">
        <f ca="1">COUNTIF(INDIRECT(all[[#This Row],[Table name]]&amp;"[result]"),"l")+COUNTIF(INDIRECT(all[[#This Row],[Table name]]&amp;"[result]"),"dl")</f>
        <v>26</v>
      </c>
      <c r="FH9" s="7">
        <f ca="1">all[[#This Row],[Wins]]/(all[[#This Row],[Wins]]+all[[#This Row],[Losses]])</f>
        <v>0.13333333333333333</v>
      </c>
      <c r="FI9">
        <f ca="1">_xlfn.RANK.EQ(all[[#This Row],[rating]],all[rating])</f>
        <v>15</v>
      </c>
      <c r="FJ9" s="5">
        <f t="shared" si="0"/>
        <v>10.538461538461538</v>
      </c>
      <c r="FK9" s="6">
        <f>all[[#This Row],[Q1H]]+all[[#This Row],[Q1A]]</f>
        <v>40.766666666666666</v>
      </c>
      <c r="FL9" s="16">
        <f>_xlfn.RANK.EQ(all[[#This Row],[Q1T]],all[Q1T])</f>
        <v>10</v>
      </c>
      <c r="FM9" s="6">
        <f>all[[#This Row],[Q2H]]+all[[#This Row],[Q2A]]</f>
        <v>37.833333333333329</v>
      </c>
      <c r="FN9" s="16">
        <f>_xlfn.RANK.EQ(all[[#This Row],[Q2T]],all[Q2T])</f>
        <v>16</v>
      </c>
      <c r="FO9" s="6">
        <f>all[[#This Row],[Q3H]]+all[[#This Row],[Q3A]]</f>
        <v>38.1</v>
      </c>
      <c r="FP9" s="16">
        <f>_xlfn.RANK.EQ(all[[#This Row],[Q3T]],all[Q3T])</f>
        <v>15</v>
      </c>
      <c r="FQ9" s="6">
        <f>all[[#This Row],[Q4H]]+all[[#This Row],[Q4A]]</f>
        <v>38.533333333333331</v>
      </c>
      <c r="FR9" s="16">
        <f>_xlfn.RANK.EQ(all[[#This Row],[Q4T]],all[Q4T])</f>
        <v>14</v>
      </c>
      <c r="FS9" s="6">
        <f>all[[#This Row],[FHH]]+all[[#This Row],[FHA]]</f>
        <v>78.599999999999994</v>
      </c>
      <c r="FT9" s="16">
        <f>_xlfn.RANK.EQ(all[[#This Row],[FHT]],all[FHT])</f>
        <v>15</v>
      </c>
      <c r="FU9" s="6">
        <f>all[[#This Row],[SHH]]+all[[#This Row],[SHA]]</f>
        <v>76.63333333333334</v>
      </c>
      <c r="FV9" s="16">
        <f>_xlfn.RANK.EQ(all[[#This Row],[SHT]],all[SHT])</f>
        <v>15</v>
      </c>
      <c r="FW9" s="6">
        <f ca="1">SUM(INDIRECT(all[[#This Row],[Table name]]&amp;"[BetH]"))</f>
        <v>-10.379999999999999</v>
      </c>
      <c r="FX9" s="16">
        <f ca="1">_xlfn.RANK.EQ(all[[#This Row],[BetH]],all[BetH])</f>
        <v>15</v>
      </c>
      <c r="FY9" s="6">
        <f ca="1">SUM(INDIRECT(all[[#This Row],[Table name]]&amp;"[BetA]"))</f>
        <v>3.589999999999999</v>
      </c>
      <c r="FZ9" s="16">
        <f ca="1">_xlfn.RANK.EQ(all[[#This Row],[BetA]],all[BetA])</f>
        <v>2</v>
      </c>
      <c r="GA9" s="16">
        <f ca="1">SUM(INDIRECT(all[[#This Row],[Table name]]&amp;"[Tover]"))</f>
        <v>14</v>
      </c>
      <c r="GB9" s="16">
        <f ca="1">_xlfn.RANK.EQ(all[[#This Row],[Tover]],all[Tover])</f>
        <v>12</v>
      </c>
      <c r="GC9" s="6">
        <f ca="1">AVERAGE(INDIRECT(all[[#This Row],[Table name]]&amp;"[Deviation]"))</f>
        <v>13.733333333333333</v>
      </c>
      <c r="GD9" s="16">
        <f ca="1">_xlfn.RANK.EQ(all[[#This Row],[Deviation]],all[Deviation],1)</f>
        <v>8</v>
      </c>
    </row>
    <row r="10" spans="1:186" x14ac:dyDescent="0.25">
      <c r="A10" s="9" t="s">
        <v>324</v>
      </c>
      <c r="B10" t="s">
        <v>324</v>
      </c>
      <c r="C10" t="s">
        <v>325</v>
      </c>
      <c r="D10" t="s">
        <v>326</v>
      </c>
      <c r="E10">
        <f>_xlfn.RANK.EQ(all[[#This Row],[AVG_RT]],all[AVG_RT],1)</f>
        <v>13</v>
      </c>
      <c r="F10" s="6">
        <f>AVERAGE(limoneg[Home_scored])</f>
        <v>78.066666666666663</v>
      </c>
      <c r="G10" s="16">
        <f>_xlfn.RANK.EQ(all[[#This Row],[PM]],all[PM])</f>
        <v>13</v>
      </c>
      <c r="H10" s="6">
        <f>AVERAGE(limoneg[Away_scored])</f>
        <v>83.8</v>
      </c>
      <c r="I10" s="16">
        <f>_xlfn.RANK.EQ(all[[#This Row],[PC]],all[PC],1)</f>
        <v>9</v>
      </c>
      <c r="J10" s="6">
        <f>AVERAGE(limoneg[FGA])</f>
        <v>61.666666666666664</v>
      </c>
      <c r="K10" s="16">
        <f>_xlfn.RANK.EQ(all[[#This Row],[FGA]],all[FGA])</f>
        <v>9</v>
      </c>
      <c r="L10" s="6">
        <f>AVERAGE(limoneg[FGM])</f>
        <v>27.7</v>
      </c>
      <c r="M10" s="16">
        <f>_xlfn.RANK.EQ(all[[#This Row],[FGM]],all[FGM])</f>
        <v>12</v>
      </c>
      <c r="N10" s="7">
        <f>AVERAGE(limoneg[FGp])</f>
        <v>0.45030000000000003</v>
      </c>
      <c r="O10" s="16">
        <f>_xlfn.RANK.EQ(all[[#This Row],[FGp]],all[FGp])</f>
        <v>12</v>
      </c>
      <c r="P10" s="6">
        <f>AVERAGE(limoneg[P2M])</f>
        <v>18.8</v>
      </c>
      <c r="Q10" s="16">
        <f>_xlfn.RANK.EQ(all[[#This Row],[P2M]],all[P2M])</f>
        <v>12</v>
      </c>
      <c r="R10" s="6">
        <f>AVERAGE(limoneg[P2A])</f>
        <v>36.5</v>
      </c>
      <c r="S10" s="16">
        <f>_xlfn.RANK.EQ(all[[#This Row],[P2A]],all[P2A])</f>
        <v>5</v>
      </c>
      <c r="T10" s="7">
        <f>AVERAGE(limoneg[P2p])</f>
        <v>0.51301000000000008</v>
      </c>
      <c r="U10" s="16">
        <f>_xlfn.RANK.EQ(all[[#This Row],[P2p]],all[P2p])</f>
        <v>16</v>
      </c>
      <c r="V10" s="6">
        <f>AVERAGE(limoneg[P3M])</f>
        <v>8.9</v>
      </c>
      <c r="W10" s="16">
        <f>_xlfn.RANK.EQ(all[[#This Row],[P3M]],all[P3M])</f>
        <v>10</v>
      </c>
      <c r="X10" s="6">
        <f>AVERAGE(limoneg[P3A])</f>
        <v>25.166666666666668</v>
      </c>
      <c r="Y10" s="16">
        <f>_xlfn.RANK.EQ(all[[#This Row],[P3A]],all[P3A])</f>
        <v>9</v>
      </c>
      <c r="Z10" s="7">
        <f>AVERAGE(limoneg[P3p])</f>
        <v>0.35496000000000005</v>
      </c>
      <c r="AA10" s="16">
        <f>_xlfn.RANK.EQ(all[[#This Row],[P3p]],all[P3p])</f>
        <v>7</v>
      </c>
      <c r="AB10" s="6">
        <f>AVERAGE(limoneg[FTM])</f>
        <v>13.766666666666667</v>
      </c>
      <c r="AC10" s="16">
        <f>_xlfn.RANK.EQ(all[[#This Row],[FTM]],all[FTM])</f>
        <v>15</v>
      </c>
      <c r="AD10" s="6">
        <f>AVERAGE(limoneg[FTA])</f>
        <v>19.166666666666668</v>
      </c>
      <c r="AE10" s="16">
        <f>_xlfn.RANK.EQ(all[[#This Row],[FTA]],all[FTA])</f>
        <v>13</v>
      </c>
      <c r="AF10" s="7">
        <f>AVERAGE(limoneg[FTp])</f>
        <v>0.70749333333333331</v>
      </c>
      <c r="AG10" s="16">
        <f>_xlfn.RANK.EQ(all[[#This Row],[FTp]],all[FTp])</f>
        <v>15</v>
      </c>
      <c r="AH10" s="6">
        <f>AVERAGE(limoneg[ORB])</f>
        <v>10.366666666666667</v>
      </c>
      <c r="AI10" s="16">
        <f>_xlfn.RANK.EQ(all[[#This Row],[ORB]],all[ORB])</f>
        <v>10</v>
      </c>
      <c r="AJ10" s="6">
        <f>AVERAGE(limoneg[DRB])</f>
        <v>23.233333333333334</v>
      </c>
      <c r="AK10" s="16">
        <f>_xlfn.RANK.EQ(all[[#This Row],[DRB]],all[DRB])</f>
        <v>12</v>
      </c>
      <c r="AL10" s="6">
        <f>AVERAGE(limoneg[TRB])</f>
        <v>33.6</v>
      </c>
      <c r="AM10" s="16">
        <f>_xlfn.RANK.EQ(all[[#This Row],[TRB]],all[TRB])</f>
        <v>10</v>
      </c>
      <c r="AN10" s="6">
        <f>AVERAGE(limoneg[AST])</f>
        <v>19.8</v>
      </c>
      <c r="AO10" s="16">
        <f>_xlfn.RANK.EQ(all[[#This Row],[AST]],all[AST])</f>
        <v>7</v>
      </c>
      <c r="AP10" s="6">
        <f>AVERAGE(limoneg[STL])</f>
        <v>6.0333333333333332</v>
      </c>
      <c r="AQ10" s="16">
        <f>_xlfn.RANK.EQ(all[[#This Row],[STL]],all[STL])</f>
        <v>9</v>
      </c>
      <c r="AR10" s="6">
        <f>AVERAGE(limoneg[BLK])</f>
        <v>2.4</v>
      </c>
      <c r="AS10" s="16">
        <f>_xlfn.RANK.EQ(all[[#This Row],[BLK]],all[BLK])</f>
        <v>12</v>
      </c>
      <c r="AT10" s="6">
        <f>AVERAGE(limoneg[TOV])</f>
        <v>12.733333333333333</v>
      </c>
      <c r="AU10" s="16">
        <f>_xlfn.RANK.EQ(all[[#This Row],[TOV]],all[TOV],1)</f>
        <v>9</v>
      </c>
      <c r="AV10" s="6">
        <f>AVERAGE(limoneg[PF])</f>
        <v>18.899999999999999</v>
      </c>
      <c r="AW10" s="16">
        <f>_xlfn.RANK.EQ(all[[#This Row],[PF]],all[PF],1)</f>
        <v>3</v>
      </c>
      <c r="AX10" s="6">
        <f>AVERAGE(limoneg[FGAop])</f>
        <v>62.56666666666667</v>
      </c>
      <c r="AY10" s="16">
        <f>_xlfn.RANK.EQ(all[[#This Row],[FGA opp]],all[FGA opp],1)</f>
        <v>10</v>
      </c>
      <c r="AZ10" s="6">
        <f>AVERAGE(limoneg[FGMop])</f>
        <v>30.266666666666666</v>
      </c>
      <c r="BA10" s="16">
        <f>_xlfn.RANK.EQ(all[[#This Row],[FGM opp]],all[FGM opp],1)</f>
        <v>15</v>
      </c>
      <c r="BB10" s="7">
        <f>AVERAGE(limoneg[FGpop])</f>
        <v>0.48314999999999991</v>
      </c>
      <c r="BC10" s="16">
        <f>_xlfn.RANK.EQ(all[[#This Row],[FGp opp]],all[FGp opp],1)</f>
        <v>12</v>
      </c>
      <c r="BD10" s="6">
        <f>AVERAGE(limoneg[P2Mop])</f>
        <v>21.033333333333335</v>
      </c>
      <c r="BE10" s="16">
        <f>_xlfn.RANK.EQ(all[[#This Row],[P2M opp]],all[P2M opp],1)</f>
        <v>11</v>
      </c>
      <c r="BF10" s="6">
        <f>AVERAGE(limoneg[P2Aop])</f>
        <v>36.533333333333331</v>
      </c>
      <c r="BG10" s="16">
        <f>_xlfn.RANK.EQ(all[[#This Row],[P2A opp]],all[P2A opp],1)</f>
        <v>10</v>
      </c>
      <c r="BH10">
        <f>AVERAGE(limoneg[P2pop])</f>
        <v>0.57440999999999998</v>
      </c>
      <c r="BI10" s="16">
        <f>_xlfn.RANK.EQ(all[[#This Row],[P2p opp]],all[P2p opp],1)</f>
        <v>13</v>
      </c>
      <c r="BJ10" s="6">
        <f>AVERAGE(limoneg[P3Mop])</f>
        <v>9.2333333333333325</v>
      </c>
      <c r="BK10" s="16">
        <f>_xlfn.RANK.EQ(all[[#This Row],[P3M opp]],all[P3M opp],1)</f>
        <v>8</v>
      </c>
      <c r="BL10" s="6">
        <f>AVERAGE(limoneg[P3Aop])</f>
        <v>26.033333333333335</v>
      </c>
      <c r="BM10" s="16">
        <f>_xlfn.RANK.EQ(all[[#This Row],[P3A opp]],all[P3A opp],1)</f>
        <v>11</v>
      </c>
      <c r="BN10" s="7">
        <f>AVERAGE(limoneg[P3pop])</f>
        <v>0.3525166666666667</v>
      </c>
      <c r="BO10" s="16">
        <f>_xlfn.RANK.EQ(all[[#This Row],[P3p opp]],all[P3p opp],1)</f>
        <v>8</v>
      </c>
      <c r="BP10" s="6">
        <f>AVERAGE(limoneg[FTMop])</f>
        <v>14.033333333333333</v>
      </c>
      <c r="BQ10" s="16">
        <f>_xlfn.RANK.EQ(all[[#This Row],[FTM opp]],all[FTM opp],1)</f>
        <v>3</v>
      </c>
      <c r="BR10" s="6">
        <f>AVERAGE(limoneg[FTAop])</f>
        <v>19.233333333333334</v>
      </c>
      <c r="BS10" s="16">
        <f>_xlfn.RANK.EQ(all[[#This Row],[FTA opp]],all[FTA opp],1)</f>
        <v>3</v>
      </c>
      <c r="BT10" s="7">
        <f>AVERAGE(limoneg[FTpop])</f>
        <v>0.72703666666666678</v>
      </c>
      <c r="BU10" s="16">
        <f>_xlfn.RANK.EQ(all[[#This Row],[FTp opp]],all[FTp opp],1)</f>
        <v>3</v>
      </c>
      <c r="BV10" s="6">
        <f>AVERAGE(limoneg[ORBop])</f>
        <v>10.566666666666666</v>
      </c>
      <c r="BW10" s="16">
        <f>_xlfn.RANK.EQ(all[[#This Row],[ORB opp]],all[ORB opp],1)</f>
        <v>7</v>
      </c>
      <c r="BX10" s="6">
        <f>AVERAGE(limoneg[DRBop])</f>
        <v>25.333333333333332</v>
      </c>
      <c r="BY10" s="16">
        <f>_xlfn.RANK.EQ(all[[#This Row],[DRB opp]],all[DRB opp],1)</f>
        <v>14</v>
      </c>
      <c r="BZ10" s="6">
        <f>AVERAGE(limoneg[TRBop])</f>
        <v>35.9</v>
      </c>
      <c r="CA10" s="16">
        <f>_xlfn.RANK.EQ(all[[#This Row],[TRB opp]],all[TRB opp],1)</f>
        <v>13</v>
      </c>
      <c r="CB10" s="6">
        <f>AVERAGE(limoneg[ASTop])</f>
        <v>20.566666666666666</v>
      </c>
      <c r="CC10" s="16">
        <f>_xlfn.RANK.EQ(all[[#This Row],[AST opp]],all[AST opp],1)</f>
        <v>13</v>
      </c>
      <c r="CD10" s="6">
        <f>AVERAGE(limoneg[STLop])</f>
        <v>6.3</v>
      </c>
      <c r="CE10" s="16">
        <f>_xlfn.RANK.EQ(all[[#This Row],[STL opp]],all[STL opp],1)</f>
        <v>9</v>
      </c>
      <c r="CF10" s="6">
        <f>AVERAGE(limoneg[BLKop])</f>
        <v>2.3333333333333335</v>
      </c>
      <c r="CG10" s="16">
        <f>_xlfn.RANK.EQ(all[[#This Row],[BLK opp]],all[BLK opp],1)</f>
        <v>2</v>
      </c>
      <c r="CH10" s="6">
        <f>AVERAGE(limoneg[TOVop])</f>
        <v>12.2</v>
      </c>
      <c r="CI10" s="16">
        <f>_xlfn.RANK.EQ(all[[#This Row],[TOV opp]],all[TOV opp])</f>
        <v>8</v>
      </c>
      <c r="CJ10" s="6">
        <f>AVERAGE(limoneg[PFop])</f>
        <v>19.899999999999999</v>
      </c>
      <c r="CK10" s="16">
        <f>_xlfn.RANK.EQ(all[[#This Row],[PF opp]],all[PF opp])</f>
        <v>13</v>
      </c>
      <c r="CL10" s="7">
        <f>AVERAGE(limoneg[TS%])</f>
        <v>0.55766666666666664</v>
      </c>
      <c r="CM10" s="16">
        <f>_xlfn.RANK.EQ(all[[#This Row],[TSp]],all[TSp])</f>
        <v>13</v>
      </c>
      <c r="CN10" s="7">
        <f>AVERAGE(limoneg[eFG%])</f>
        <v>0.52306333333333332</v>
      </c>
      <c r="CO10" s="16">
        <f>_xlfn.RANK.EQ(all[[#This Row],[eFGp]],all[eFGp])</f>
        <v>12</v>
      </c>
      <c r="CP10" s="7">
        <f>AVERAGE(limoneg[ORB%])</f>
        <v>0.28688999999999992</v>
      </c>
      <c r="CQ10" s="16">
        <f>_xlfn.RANK.EQ(all[[#This Row],[ORBp]],all[ORBp])</f>
        <v>12</v>
      </c>
      <c r="CR10" s="7">
        <f>AVERAGE(limoneg[DRB%])</f>
        <v>0.68975999999999993</v>
      </c>
      <c r="CS10" s="16">
        <f>_xlfn.RANK.EQ(all[[#This Row],[DRBp]],all[DRBp])</f>
        <v>8</v>
      </c>
      <c r="CT10" s="7">
        <f>AVERAGE(limoneg[TRB%])</f>
        <v>0.48416999999999999</v>
      </c>
      <c r="CU10" s="16">
        <f>_xlfn.RANK.EQ(all[[#This Row],[TRBp]],all[TRBp])</f>
        <v>11</v>
      </c>
      <c r="CV10" s="6">
        <f>AVERAGE(limoneg[Poss])</f>
        <v>70.622566666666657</v>
      </c>
      <c r="CW10" s="16">
        <f>_xlfn.RANK.EQ(all[[#This Row],[Poss]],all[Poss])</f>
        <v>11</v>
      </c>
      <c r="CX10" s="7">
        <f>AVERAGE(limoneg[AST%])</f>
        <v>0.72075333333333336</v>
      </c>
      <c r="CY10" s="16">
        <f>_xlfn.RANK.EQ(all[[#This Row],[ASTp]],all[ASTp])</f>
        <v>2</v>
      </c>
      <c r="CZ10" s="7">
        <f>AVERAGE(limoneg[FTFGA%])</f>
        <v>0.22697000000000001</v>
      </c>
      <c r="DA10" s="16">
        <f>_xlfn.RANK.EQ(all[[#This Row],[FTFGAp]],all[FTFGAp])</f>
        <v>13</v>
      </c>
      <c r="DB10" s="7">
        <f>AVERAGE(limoneg[TOV%])</f>
        <v>0.15325000000000003</v>
      </c>
      <c r="DC10" s="16">
        <f>_xlfn.RANK.EQ(all[[#This Row],[TOVp]],all[TOVp],1)</f>
        <v>9</v>
      </c>
      <c r="DD10" s="6">
        <f>AVERAGE(limoneg[ORtg])</f>
        <v>109.17333333333333</v>
      </c>
      <c r="DE10" s="16">
        <f>_xlfn.RANK.EQ(all[[#This Row],[ORtg]],all[ORtg])</f>
        <v>14</v>
      </c>
      <c r="DF10" s="6">
        <f>AVERAGE(limoneg[DRtg])</f>
        <v>116.98666666666669</v>
      </c>
      <c r="DG10" s="16">
        <f>_xlfn.RANK.EQ(all[[#This Row],[DRtg]],all[DRtg],1)</f>
        <v>9</v>
      </c>
      <c r="DH10" s="6">
        <f>AVERAGE(limoneg[Pace])</f>
        <v>71.542366666666652</v>
      </c>
      <c r="DI10" s="16">
        <f>_xlfn.RANK.EQ(all[[#This Row],[Pace]],all[Pace])</f>
        <v>9</v>
      </c>
      <c r="DJ10" s="7">
        <f>AVERAGE(limoneg[TS%op])</f>
        <v>0.58933000000000013</v>
      </c>
      <c r="DK10" s="16">
        <f>_xlfn.RANK.EQ(all[[#This Row],[TSp opp]],all[TSp opp],1)</f>
        <v>10</v>
      </c>
      <c r="DL10" s="7">
        <f>AVERAGE(limoneg[eFG%op])</f>
        <v>0.55664333333333349</v>
      </c>
      <c r="DM10" s="16">
        <f>_xlfn.RANK.EQ(all[[#This Row],[eFGp opp]],all[eFGp opp],1)</f>
        <v>14</v>
      </c>
      <c r="DN10" s="7">
        <f>AVERAGE(limoneg[ORB%op])</f>
        <v>0.31024000000000002</v>
      </c>
      <c r="DO10" s="16">
        <f>_xlfn.RANK.EQ(all[[#This Row],[ORBp opp]],all[ORBp opp],1)</f>
        <v>8</v>
      </c>
      <c r="DP10" s="7">
        <f>AVERAGE(limoneg[DRB%op])</f>
        <v>0.71312000000000009</v>
      </c>
      <c r="DQ10" s="16">
        <f>_xlfn.RANK.EQ(all[[#This Row],[DRBp opp]],all[DRBp opp],1)</f>
        <v>12</v>
      </c>
      <c r="DR10" s="7">
        <f>AVERAGE(limoneg[TRB%op])</f>
        <v>0.51583000000000001</v>
      </c>
      <c r="DS10" s="16">
        <f>_xlfn.RANK.EQ(all[[#This Row],[TRBp opp]],all[TRBp opp],1)</f>
        <v>11</v>
      </c>
      <c r="DT10" s="6">
        <f>AVERAGE(limoneg[Possop])</f>
        <v>72.462166666666675</v>
      </c>
      <c r="DU10" s="16">
        <f>_xlfn.RANK.EQ(all[[#This Row],[Poss opp]],all[Poss opp],1)</f>
        <v>11</v>
      </c>
      <c r="DV10" s="7">
        <f>AVERAGE(limoneg[AST%op])</f>
        <v>0.68254333333333339</v>
      </c>
      <c r="DW10" s="16">
        <f>_xlfn.RANK.EQ(all[[#This Row],[ASTp opp]],all[ASTp opp],1)</f>
        <v>12</v>
      </c>
      <c r="DX10" s="7">
        <f>AVERAGE(limoneg[FTFGA%op])</f>
        <v>0.22903666666666667</v>
      </c>
      <c r="DY10" s="16">
        <f>_xlfn.RANK.EQ(all[[#This Row],[FTFGAp opp]],all[FTFGAp opp],1)</f>
        <v>3</v>
      </c>
      <c r="DZ10" s="7">
        <f>AVERAGE(limoneg[TOV%op])</f>
        <v>0.1460366666666667</v>
      </c>
      <c r="EA10" s="16">
        <f>_xlfn.RANK.EQ(all[[#This Row],[TOVp opp]],all[TOVp opp])</f>
        <v>7</v>
      </c>
      <c r="EB10" s="6">
        <f>AVERAGE(limoneg[ORtgop])</f>
        <v>116.98666666666669</v>
      </c>
      <c r="EC10" s="16">
        <f>_xlfn.RANK.EQ(all[[#This Row],[ORtg opp]],all[ORtg opp],1)</f>
        <v>9</v>
      </c>
      <c r="ED10" s="6">
        <f>AVERAGE(limoneg[DRtgop])</f>
        <v>109.17333333333333</v>
      </c>
      <c r="EE10" s="16">
        <f>_xlfn.RANK.EQ(all[[#This Row],[DRtg opp]],all[DRtg opp])</f>
        <v>14</v>
      </c>
      <c r="EF10" s="6">
        <f>AVERAGE(limoneg[Q1H])</f>
        <v>18.399999999999999</v>
      </c>
      <c r="EG10" s="16">
        <f>_xlfn.RANK.EQ(all[[#This Row],[Q1H]],all[Q1H])</f>
        <v>14</v>
      </c>
      <c r="EH10" s="6">
        <f>AVERAGE(limoneg[Q2H])</f>
        <v>19.5</v>
      </c>
      <c r="EI10" s="16">
        <f>_xlfn.RANK.EQ(all[[#This Row],[Q2H]],all[Q2H])</f>
        <v>13</v>
      </c>
      <c r="EJ10" s="6">
        <f>AVERAGE(limoneg[Q3H])</f>
        <v>17.866666666666667</v>
      </c>
      <c r="EK10" s="16">
        <f>_xlfn.RANK.EQ(all[[#This Row],[Q3H]],all[Q3H])</f>
        <v>14</v>
      </c>
      <c r="EL10" s="6">
        <f>AVERAGE(limoneg[Q4H])</f>
        <v>22.3</v>
      </c>
      <c r="EM10" s="16">
        <f>_xlfn.RANK.EQ(all[[#This Row],[Q4H]],all[Q4H])</f>
        <v>3</v>
      </c>
      <c r="EN10" s="6">
        <f>AVERAGE(limoneg[Q1A])</f>
        <v>21.433333333333334</v>
      </c>
      <c r="EO10" s="16">
        <f>_xlfn.RANK.EQ(all[[#This Row],[Q1A]],all[Q1A],1)</f>
        <v>11</v>
      </c>
      <c r="EP10" s="6">
        <f>AVERAGE(limoneg[Q2A])</f>
        <v>19.899999999999999</v>
      </c>
      <c r="EQ10" s="16">
        <f>_xlfn.RANK.EQ(all[[#This Row],[Q2A]],all[Q2A],1)</f>
        <v>3</v>
      </c>
      <c r="ER10" s="6">
        <f>AVERAGE(limoneg[Q3A])</f>
        <v>21.266666666666666</v>
      </c>
      <c r="ES10" s="16">
        <f>_xlfn.RANK.EQ(all[[#This Row],[Q3A]],all[Q3A],1)</f>
        <v>12</v>
      </c>
      <c r="ET10" s="6">
        <f>AVERAGE(limoneg[Q4A])</f>
        <v>21.2</v>
      </c>
      <c r="EU10" s="16">
        <f>_xlfn.RANK.EQ(all[[#This Row],[Q4A]],all[Q4A],1)</f>
        <v>11</v>
      </c>
      <c r="EV10" s="6">
        <f>AVERAGE(limoneg[FhalfH])</f>
        <v>37.9</v>
      </c>
      <c r="EW10" s="16">
        <f>_xlfn.RANK.EQ(all[[#This Row],[FHH]],all[FHH])</f>
        <v>15</v>
      </c>
      <c r="EX10" s="5">
        <f>AVERAGE(limoneg[FhalfA])</f>
        <v>41.333333333333336</v>
      </c>
      <c r="EY10" s="16">
        <f>_xlfn.RANK.EQ(all[[#This Row],[FHA]],all[FHA],1)</f>
        <v>8</v>
      </c>
      <c r="EZ10" s="6">
        <f>AVERAGE(limoneg[ShalfH])</f>
        <v>40.166666666666664</v>
      </c>
      <c r="FA10" s="16">
        <f>_xlfn.RANK.EQ(all[[#This Row],[SHH]],all[SHH])</f>
        <v>12</v>
      </c>
      <c r="FB10" s="6">
        <f>AVERAGE(limoneg[ShalfA])</f>
        <v>42.466666666666669</v>
      </c>
      <c r="FC10" s="16">
        <f>_xlfn.RANK.EQ(all[[#This Row],[SHA]],all[SHA],1)</f>
        <v>10</v>
      </c>
      <c r="FD10" s="6">
        <f ca="1">AVERAGE(LARGE(OFFSET(limoneg[Home_scored],COUNTA(limoneg[Home_scored])-5, 0, 5, 1),2), LARGE(OFFSET(limoneg[Home_scored],COUNTA(limoneg[Home_scored])-5, 0, 5, 1),3),LARGE(OFFSET(limoneg[Home_scored],COUNTA(limoneg[Home_scored])-5, 0, 5, 1),4))</f>
        <v>76</v>
      </c>
      <c r="FE10" s="6">
        <f ca="1">AVERAGE(LARGE(OFFSET(limoneg[Away_scored],COUNTA(limoneg[Away_scored])-5, 0, 5, 1),2), LARGE(OFFSET(limoneg[Away_scored],COUNTA(limoneg[Away_scored])-5, 0, 5, 1),3),LARGE(OFFSET(limoneg[Away_scored],COUNTA(limoneg[Away_scored])-5, 0, 5, 1),4))</f>
        <v>83.333333333333329</v>
      </c>
      <c r="FF10" s="16">
        <f ca="1">COUNTIF(INDIRECT(all[[#This Row],[Table name]]&amp;"[result]"),"w")+COUNTIF(INDIRECT(all[[#This Row],[Table name]]&amp;"[result]"),"dw")</f>
        <v>10</v>
      </c>
      <c r="FG10" s="16">
        <f ca="1">COUNTIF(INDIRECT(all[[#This Row],[Table name]]&amp;"[result]"),"l")+COUNTIF(INDIRECT(all[[#This Row],[Table name]]&amp;"[result]"),"dl")</f>
        <v>20</v>
      </c>
      <c r="FH10" s="7">
        <f ca="1">all[[#This Row],[Wins]]/(all[[#This Row],[Wins]]+all[[#This Row],[Losses]])</f>
        <v>0.33333333333333331</v>
      </c>
      <c r="FI10">
        <f ca="1">_xlfn.RANK.EQ(all[[#This Row],[rating]],all[rating])</f>
        <v>13</v>
      </c>
      <c r="FJ10" s="5">
        <f t="shared" si="0"/>
        <v>9.9846153846153847</v>
      </c>
      <c r="FK10" s="6">
        <f>all[[#This Row],[Q1H]]+all[[#This Row],[Q1A]]</f>
        <v>39.833333333333329</v>
      </c>
      <c r="FL10" s="16">
        <f>_xlfn.RANK.EQ(all[[#This Row],[Q1T]],all[Q1T])</f>
        <v>12</v>
      </c>
      <c r="FM10" s="6">
        <f>all[[#This Row],[Q2H]]+all[[#This Row],[Q2A]]</f>
        <v>39.4</v>
      </c>
      <c r="FN10" s="16">
        <f>_xlfn.RANK.EQ(all[[#This Row],[Q2T]],all[Q2T])</f>
        <v>15</v>
      </c>
      <c r="FO10" s="6">
        <f>all[[#This Row],[Q3H]]+all[[#This Row],[Q3A]]</f>
        <v>39.133333333333333</v>
      </c>
      <c r="FP10" s="16">
        <f>_xlfn.RANK.EQ(all[[#This Row],[Q3T]],all[Q3T])</f>
        <v>14</v>
      </c>
      <c r="FQ10" s="6">
        <f>all[[#This Row],[Q4H]]+all[[#This Row],[Q4A]]</f>
        <v>43.5</v>
      </c>
      <c r="FR10" s="16">
        <f>_xlfn.RANK.EQ(all[[#This Row],[Q4T]],all[Q4T])</f>
        <v>4</v>
      </c>
      <c r="FS10" s="6">
        <f>all[[#This Row],[FHH]]+all[[#This Row],[FHA]]</f>
        <v>79.233333333333334</v>
      </c>
      <c r="FT10" s="16">
        <f>_xlfn.RANK.EQ(all[[#This Row],[FHT]],all[FHT])</f>
        <v>14</v>
      </c>
      <c r="FU10" s="6">
        <f>all[[#This Row],[SHH]]+all[[#This Row],[SHA]]</f>
        <v>82.633333333333326</v>
      </c>
      <c r="FV10" s="16">
        <f>_xlfn.RANK.EQ(all[[#This Row],[SHT]],all[SHT])</f>
        <v>10</v>
      </c>
      <c r="FW10" s="6">
        <f ca="1">SUM(INDIRECT(all[[#This Row],[Table name]]&amp;"[BetH]"))</f>
        <v>-8.1599999999999984</v>
      </c>
      <c r="FX10" s="16">
        <f ca="1">_xlfn.RANK.EQ(all[[#This Row],[BetH]],all[BetH])</f>
        <v>13</v>
      </c>
      <c r="FY10" s="6">
        <f ca="1">SUM(INDIRECT(all[[#This Row],[Table name]]&amp;"[BetA]"))</f>
        <v>1.7399999999999993</v>
      </c>
      <c r="FZ10" s="16">
        <f ca="1">_xlfn.RANK.EQ(all[[#This Row],[BetA]],all[BetA])</f>
        <v>5</v>
      </c>
      <c r="GA10" s="16">
        <f ca="1">SUM(INDIRECT(all[[#This Row],[Table name]]&amp;"[Tover]"))</f>
        <v>19</v>
      </c>
      <c r="GB10" s="16">
        <f ca="1">_xlfn.RANK.EQ(all[[#This Row],[Tover]],all[Tover])</f>
        <v>6</v>
      </c>
      <c r="GC10" s="6">
        <f ca="1">AVERAGE(INDIRECT(all[[#This Row],[Table name]]&amp;"[Deviation]"))</f>
        <v>15.1</v>
      </c>
      <c r="GD10" s="16">
        <f ca="1">_xlfn.RANK.EQ(all[[#This Row],[Deviation]],all[Deviation],1)</f>
        <v>13</v>
      </c>
    </row>
    <row r="11" spans="1:186" x14ac:dyDescent="0.25">
      <c r="A11" s="9" t="s">
        <v>417</v>
      </c>
      <c r="B11" t="s">
        <v>327</v>
      </c>
      <c r="C11" t="s">
        <v>328</v>
      </c>
      <c r="D11" t="s">
        <v>329</v>
      </c>
      <c r="E11">
        <f>_xlfn.RANK.EQ(all[[#This Row],[AVG_RT]],all[AVG_RT],1)</f>
        <v>3</v>
      </c>
      <c r="F11" s="6">
        <f>AVERAGE(lyon[Home_scored])</f>
        <v>87.513513513513516</v>
      </c>
      <c r="G11" s="16">
        <f>_xlfn.RANK.EQ(all[[#This Row],[PM]],all[PM])</f>
        <v>5</v>
      </c>
      <c r="H11" s="6">
        <f>AVERAGE(lyon[Away_scored])</f>
        <v>81.486486486486484</v>
      </c>
      <c r="I11" s="16">
        <f>_xlfn.RANK.EQ(all[[#This Row],[PC]],all[PC],1)</f>
        <v>3</v>
      </c>
      <c r="J11" s="6">
        <f>AVERAGE(lyon[FGA])</f>
        <v>59.729729729729726</v>
      </c>
      <c r="K11" s="16">
        <f>_xlfn.RANK.EQ(all[[#This Row],[FGA]],all[FGA])</f>
        <v>13</v>
      </c>
      <c r="L11" s="6">
        <f>AVERAGE(lyon[FGM])</f>
        <v>29.864864864864863</v>
      </c>
      <c r="M11" s="16">
        <f>_xlfn.RANK.EQ(all[[#This Row],[FGM]],all[FGM])</f>
        <v>9</v>
      </c>
      <c r="N11" s="7">
        <f>AVERAGE(lyon[FGp])</f>
        <v>0.50183783783783775</v>
      </c>
      <c r="O11" s="16">
        <f>_xlfn.RANK.EQ(all[[#This Row],[FGp]],all[FGp])</f>
        <v>2</v>
      </c>
      <c r="P11" s="6">
        <f>AVERAGE(lyon[P2M])</f>
        <v>19.675675675675677</v>
      </c>
      <c r="Q11" s="16">
        <f>_xlfn.RANK.EQ(all[[#This Row],[P2M]],all[P2M])</f>
        <v>9</v>
      </c>
      <c r="R11" s="6">
        <f>AVERAGE(lyon[P2A])</f>
        <v>33.756756756756758</v>
      </c>
      <c r="S11" s="16">
        <f>_xlfn.RANK.EQ(all[[#This Row],[P2A]],all[P2A])</f>
        <v>12</v>
      </c>
      <c r="T11" s="7">
        <f>AVERAGE(lyon[P2p])</f>
        <v>0.58739459459459453</v>
      </c>
      <c r="U11" s="16">
        <f>_xlfn.RANK.EQ(all[[#This Row],[P2p]],all[P2p])</f>
        <v>3</v>
      </c>
      <c r="V11" s="6">
        <f>AVERAGE(lyon[P3M])</f>
        <v>9.8648648648648649</v>
      </c>
      <c r="W11" s="16">
        <f>_xlfn.RANK.EQ(all[[#This Row],[P3M]],all[P3M])</f>
        <v>4</v>
      </c>
      <c r="X11" s="6">
        <f>AVERAGE(lyon[P3A])</f>
        <v>25.972972972972972</v>
      </c>
      <c r="Y11" s="16">
        <f>_xlfn.RANK.EQ(all[[#This Row],[P3A]],all[P3A])</f>
        <v>7</v>
      </c>
      <c r="Z11" s="7">
        <f>AVERAGE(lyon[P3p])</f>
        <v>0.38011621621621627</v>
      </c>
      <c r="AA11" s="16">
        <f>_xlfn.RANK.EQ(all[[#This Row],[P3p]],all[P3p])</f>
        <v>2</v>
      </c>
      <c r="AB11" s="6">
        <f>AVERAGE(lyon[FTM])</f>
        <v>18.567567567567568</v>
      </c>
      <c r="AC11" s="16">
        <f>_xlfn.RANK.EQ(all[[#This Row],[FTM]],all[FTM])</f>
        <v>3</v>
      </c>
      <c r="AD11" s="6">
        <f>AVERAGE(lyon[FTA])</f>
        <v>25</v>
      </c>
      <c r="AE11" s="16">
        <f>_xlfn.RANK.EQ(all[[#This Row],[FTA]],all[FTA])</f>
        <v>3</v>
      </c>
      <c r="AF11" s="7">
        <f>AVERAGE(lyon[FTp])</f>
        <v>0.74397297297297305</v>
      </c>
      <c r="AG11" s="16">
        <f>_xlfn.RANK.EQ(all[[#This Row],[FTp]],all[FTp])</f>
        <v>8</v>
      </c>
      <c r="AH11" s="6">
        <f>AVERAGE(lyon[ORB])</f>
        <v>10.702702702702704</v>
      </c>
      <c r="AI11" s="16">
        <f>_xlfn.RANK.EQ(all[[#This Row],[ORB]],all[ORB])</f>
        <v>9</v>
      </c>
      <c r="AJ11" s="6">
        <f>AVERAGE(lyon[DRB])</f>
        <v>24.216216216216218</v>
      </c>
      <c r="AK11" s="16">
        <f>_xlfn.RANK.EQ(all[[#This Row],[DRB]],all[DRB])</f>
        <v>5</v>
      </c>
      <c r="AL11" s="6">
        <f>AVERAGE(lyon[TRB])</f>
        <v>34.918918918918919</v>
      </c>
      <c r="AM11" s="16">
        <f>_xlfn.RANK.EQ(all[[#This Row],[TRB]],all[TRB])</f>
        <v>6</v>
      </c>
      <c r="AN11" s="6">
        <f>AVERAGE(lyon[AST])</f>
        <v>19.945945945945947</v>
      </c>
      <c r="AO11" s="16">
        <f>_xlfn.RANK.EQ(all[[#This Row],[AST]],all[AST])</f>
        <v>6</v>
      </c>
      <c r="AP11" s="6">
        <f>AVERAGE(lyon[STL])</f>
        <v>5.8378378378378377</v>
      </c>
      <c r="AQ11" s="16">
        <f>_xlfn.RANK.EQ(all[[#This Row],[STL]],all[STL])</f>
        <v>12</v>
      </c>
      <c r="AR11" s="6">
        <f>AVERAGE(lyon[BLK])</f>
        <v>4.5945945945945947</v>
      </c>
      <c r="AS11" s="16">
        <f>_xlfn.RANK.EQ(all[[#This Row],[BLK]],all[BLK])</f>
        <v>5</v>
      </c>
      <c r="AT11" s="6">
        <f>AVERAGE(lyon[TOV])</f>
        <v>12.972972972972974</v>
      </c>
      <c r="AU11" s="16">
        <f>_xlfn.RANK.EQ(all[[#This Row],[TOV]],all[TOV],1)</f>
        <v>10</v>
      </c>
      <c r="AV11" s="6">
        <f>AVERAGE(lyon[PF])</f>
        <v>22.351351351351351</v>
      </c>
      <c r="AW11" s="16">
        <f>_xlfn.RANK.EQ(all[[#This Row],[PF]],all[PF],1)</f>
        <v>12</v>
      </c>
      <c r="AX11" s="6">
        <f>AVERAGE(lyon[FGAop])</f>
        <v>60.783783783783782</v>
      </c>
      <c r="AY11" s="16">
        <f>_xlfn.RANK.EQ(all[[#This Row],[FGA opp]],all[FGA opp],1)</f>
        <v>5</v>
      </c>
      <c r="AZ11" s="6">
        <f>AVERAGE(lyon[FGMop])</f>
        <v>28.108108108108109</v>
      </c>
      <c r="BA11" s="16">
        <f>_xlfn.RANK.EQ(all[[#This Row],[FGM opp]],all[FGM opp],1)</f>
        <v>4</v>
      </c>
      <c r="BB11" s="7">
        <f>AVERAGE(lyon[FGpop])</f>
        <v>0.46444864864864865</v>
      </c>
      <c r="BC11" s="16">
        <f>_xlfn.RANK.EQ(all[[#This Row],[FGp opp]],all[FGp opp],1)</f>
        <v>5</v>
      </c>
      <c r="BD11" s="6">
        <f>AVERAGE(lyon[P2Mop])</f>
        <v>19.702702702702702</v>
      </c>
      <c r="BE11" s="16">
        <f>_xlfn.RANK.EQ(all[[#This Row],[P2M opp]],all[P2M opp],1)</f>
        <v>7</v>
      </c>
      <c r="BF11" s="6">
        <f>AVERAGE(lyon[P2Aop])</f>
        <v>35.675675675675677</v>
      </c>
      <c r="BG11" s="16">
        <f>_xlfn.RANK.EQ(all[[#This Row],[P2A opp]],all[P2A opp],1)</f>
        <v>7</v>
      </c>
      <c r="BH11">
        <f>AVERAGE(lyon[P2pop])</f>
        <v>0.55635135135135128</v>
      </c>
      <c r="BI11" s="16">
        <f>_xlfn.RANK.EQ(all[[#This Row],[P2p opp]],all[P2p opp],1)</f>
        <v>6</v>
      </c>
      <c r="BJ11" s="6">
        <f>AVERAGE(lyon[P3Mop])</f>
        <v>8.4054054054054053</v>
      </c>
      <c r="BK11" s="16">
        <f>_xlfn.RANK.EQ(all[[#This Row],[P3M opp]],all[P3M opp],1)</f>
        <v>5</v>
      </c>
      <c r="BL11" s="6">
        <f>AVERAGE(lyon[P3Aop])</f>
        <v>25.108108108108109</v>
      </c>
      <c r="BM11" s="16">
        <f>_xlfn.RANK.EQ(all[[#This Row],[P3A opp]],all[P3A opp],1)</f>
        <v>6</v>
      </c>
      <c r="BN11" s="7">
        <f>AVERAGE(lyon[P3pop])</f>
        <v>0.33593513513513507</v>
      </c>
      <c r="BO11" s="16">
        <f>_xlfn.RANK.EQ(all[[#This Row],[P3p opp]],all[P3p opp],1)</f>
        <v>4</v>
      </c>
      <c r="BP11" s="6">
        <f>AVERAGE(lyon[FTMop])</f>
        <v>16.864864864864863</v>
      </c>
      <c r="BQ11" s="16">
        <f>_xlfn.RANK.EQ(all[[#This Row],[FTM opp]],all[FTM opp],1)</f>
        <v>11</v>
      </c>
      <c r="BR11" s="6">
        <f>AVERAGE(lyon[FTAop])</f>
        <v>22.351351351351351</v>
      </c>
      <c r="BS11" s="16">
        <f>_xlfn.RANK.EQ(all[[#This Row],[FTA opp]],all[FTA opp],1)</f>
        <v>12</v>
      </c>
      <c r="BT11" s="7">
        <f>AVERAGE(lyon[FTpop])</f>
        <v>0.74474324324324326</v>
      </c>
      <c r="BU11" s="16">
        <f>_xlfn.RANK.EQ(all[[#This Row],[FTp opp]],all[FTp opp],1)</f>
        <v>7</v>
      </c>
      <c r="BV11" s="6">
        <f>AVERAGE(lyon[ORBop])</f>
        <v>10.324324324324325</v>
      </c>
      <c r="BW11" s="16">
        <f>_xlfn.RANK.EQ(all[[#This Row],[ORB opp]],all[ORB opp],1)</f>
        <v>4</v>
      </c>
      <c r="BX11" s="6">
        <f>AVERAGE(lyon[DRBop])</f>
        <v>21.891891891891891</v>
      </c>
      <c r="BY11" s="16">
        <f>_xlfn.RANK.EQ(all[[#This Row],[DRB opp]],all[DRB opp],1)</f>
        <v>3</v>
      </c>
      <c r="BZ11" s="6">
        <f>AVERAGE(lyon[TRBop])</f>
        <v>32.216216216216218</v>
      </c>
      <c r="CA11" s="16">
        <f>_xlfn.RANK.EQ(all[[#This Row],[TRB opp]],all[TRB opp],1)</f>
        <v>2</v>
      </c>
      <c r="CB11" s="6">
        <f>AVERAGE(lyon[ASTop])</f>
        <v>19.027027027027028</v>
      </c>
      <c r="CC11" s="16">
        <f>_xlfn.RANK.EQ(all[[#This Row],[AST opp]],all[AST opp],1)</f>
        <v>6</v>
      </c>
      <c r="CD11" s="6">
        <f>AVERAGE(lyon[STLop])</f>
        <v>6.1351351351351351</v>
      </c>
      <c r="CE11" s="16">
        <f>_xlfn.RANK.EQ(all[[#This Row],[STL opp]],all[STL opp],1)</f>
        <v>6</v>
      </c>
      <c r="CF11" s="6">
        <f>AVERAGE(lyon[BLKop])</f>
        <v>4.3243243243243246</v>
      </c>
      <c r="CG11" s="16">
        <f>_xlfn.RANK.EQ(all[[#This Row],[BLK opp]],all[BLK opp],1)</f>
        <v>12</v>
      </c>
      <c r="CH11" s="6">
        <f>AVERAGE(lyon[TOVop])</f>
        <v>12.108108108108109</v>
      </c>
      <c r="CI11" s="16">
        <f>_xlfn.RANK.EQ(all[[#This Row],[TOV opp]],all[TOV opp])</f>
        <v>9</v>
      </c>
      <c r="CJ11" s="6">
        <f>AVERAGE(lyon[PFop])</f>
        <v>23.189189189189189</v>
      </c>
      <c r="CK11" s="16">
        <f>_xlfn.RANK.EQ(all[[#This Row],[PF opp]],all[PF opp])</f>
        <v>3</v>
      </c>
      <c r="CL11" s="7">
        <f>AVERAGE(lyon[TS%])</f>
        <v>0.62073513513513501</v>
      </c>
      <c r="CM11" s="16">
        <f>_xlfn.RANK.EQ(all[[#This Row],[TSp]],all[TSp])</f>
        <v>3</v>
      </c>
      <c r="CN11" s="7">
        <f>AVERAGE(lyon[eFG%])</f>
        <v>0.58497027027027004</v>
      </c>
      <c r="CO11" s="16">
        <f>_xlfn.RANK.EQ(all[[#This Row],[eFGp]],all[eFGp])</f>
        <v>2</v>
      </c>
      <c r="CP11" s="7">
        <f>AVERAGE(lyon[ORB%])</f>
        <v>0.32341621621621625</v>
      </c>
      <c r="CQ11" s="16">
        <f>_xlfn.RANK.EQ(all[[#This Row],[ORBp]],all[ORBp])</f>
        <v>8</v>
      </c>
      <c r="CR11" s="7">
        <f>AVERAGE(lyon[DRB%])</f>
        <v>0.70231351351351357</v>
      </c>
      <c r="CS11" s="16">
        <f>_xlfn.RANK.EQ(all[[#This Row],[DRBp]],all[DRBp])</f>
        <v>4</v>
      </c>
      <c r="CT11" s="7">
        <f>AVERAGE(lyon[TRB%])</f>
        <v>0.51888108108108111</v>
      </c>
      <c r="CU11" s="16">
        <f>_xlfn.RANK.EQ(all[[#This Row],[TRBp]],all[TRBp])</f>
        <v>4</v>
      </c>
      <c r="CV11" s="6">
        <f>AVERAGE(lyon[Poss])</f>
        <v>72.633189189189181</v>
      </c>
      <c r="CW11" s="16">
        <f>_xlfn.RANK.EQ(all[[#This Row],[Poss]],all[Poss])</f>
        <v>6</v>
      </c>
      <c r="CX11" s="7">
        <f>AVERAGE(lyon[AST%])</f>
        <v>0.6657432432432433</v>
      </c>
      <c r="CY11" s="16">
        <f>_xlfn.RANK.EQ(all[[#This Row],[ASTp]],all[ASTp])</f>
        <v>9</v>
      </c>
      <c r="CZ11" s="7">
        <f>AVERAGE(lyon[FTFGA%])</f>
        <v>0.31839729729729727</v>
      </c>
      <c r="DA11" s="16">
        <f>_xlfn.RANK.EQ(all[[#This Row],[FTFGAp]],all[FTFGAp])</f>
        <v>3</v>
      </c>
      <c r="DB11" s="7">
        <f>AVERAGE(lyon[TOV%])</f>
        <v>0.15545945945945949</v>
      </c>
      <c r="DC11" s="16">
        <f>_xlfn.RANK.EQ(all[[#This Row],[TOVp]],all[TOVp],1)</f>
        <v>10</v>
      </c>
      <c r="DD11" s="6">
        <f>AVERAGE(lyon[ORtg])</f>
        <v>122.39189189189189</v>
      </c>
      <c r="DE11" s="16">
        <f>_xlfn.RANK.EQ(all[[#This Row],[ORtg]],all[ORtg])</f>
        <v>5</v>
      </c>
      <c r="DF11" s="6">
        <f>AVERAGE(lyon[DRtg])</f>
        <v>113.99459459459457</v>
      </c>
      <c r="DG11" s="16">
        <f>_xlfn.RANK.EQ(all[[#This Row],[DRtg]],all[DRtg],1)</f>
        <v>3</v>
      </c>
      <c r="DH11" s="6">
        <f>AVERAGE(lyon[Pace])</f>
        <v>71.502378378378381</v>
      </c>
      <c r="DI11" s="16">
        <f>_xlfn.RANK.EQ(all[[#This Row],[Pace]],all[Pace])</f>
        <v>10</v>
      </c>
      <c r="DJ11" s="7">
        <f>AVERAGE(lyon[TS%op])</f>
        <v>0.57850540540540552</v>
      </c>
      <c r="DK11" s="16">
        <f>_xlfn.RANK.EQ(all[[#This Row],[TSp opp]],all[TSp opp],1)</f>
        <v>4</v>
      </c>
      <c r="DL11" s="7">
        <f>AVERAGE(lyon[eFG%op])</f>
        <v>0.53431351351351353</v>
      </c>
      <c r="DM11" s="16">
        <f>_xlfn.RANK.EQ(all[[#This Row],[eFGp opp]],all[eFGp opp],1)</f>
        <v>3</v>
      </c>
      <c r="DN11" s="7">
        <f>AVERAGE(lyon[ORB%op])</f>
        <v>0.29768648648648643</v>
      </c>
      <c r="DO11" s="16">
        <f>_xlfn.RANK.EQ(all[[#This Row],[ORBp opp]],all[ORBp opp],1)</f>
        <v>4</v>
      </c>
      <c r="DP11" s="7">
        <f>AVERAGE(lyon[DRB%op])</f>
        <v>0.6765891891891892</v>
      </c>
      <c r="DQ11" s="16">
        <f>_xlfn.RANK.EQ(all[[#This Row],[DRBp opp]],all[DRBp opp],1)</f>
        <v>8</v>
      </c>
      <c r="DR11" s="7">
        <f>AVERAGE(lyon[TRB%op])</f>
        <v>0.48112162162162175</v>
      </c>
      <c r="DS11" s="16">
        <f>_xlfn.RANK.EQ(all[[#This Row],[TRBp opp]],all[TRBp opp],1)</f>
        <v>4</v>
      </c>
      <c r="DT11" s="6">
        <f>AVERAGE(lyon[Possop])</f>
        <v>70.371567567567581</v>
      </c>
      <c r="DU11" s="16">
        <f>_xlfn.RANK.EQ(all[[#This Row],[Poss opp]],all[Poss opp],1)</f>
        <v>6</v>
      </c>
      <c r="DV11" s="7">
        <f>AVERAGE(lyon[AST%op])</f>
        <v>0.67741081081081078</v>
      </c>
      <c r="DW11" s="16">
        <f>_xlfn.RANK.EQ(all[[#This Row],[ASTp opp]],all[ASTp opp],1)</f>
        <v>11</v>
      </c>
      <c r="DX11" s="7">
        <f>AVERAGE(lyon[FTFGA%op])</f>
        <v>0.28150810810810811</v>
      </c>
      <c r="DY11" s="16">
        <f>_xlfn.RANK.EQ(all[[#This Row],[FTFGAp opp]],all[FTFGAp opp],1)</f>
        <v>12</v>
      </c>
      <c r="DZ11" s="7">
        <f>AVERAGE(lyon[TOV%op])</f>
        <v>0.14557837837837839</v>
      </c>
      <c r="EA11" s="16">
        <f>_xlfn.RANK.EQ(all[[#This Row],[TOVp opp]],all[TOVp opp])</f>
        <v>8</v>
      </c>
      <c r="EB11" s="6">
        <f>AVERAGE(lyon[ORtgop])</f>
        <v>113.99459459459457</v>
      </c>
      <c r="EC11" s="16">
        <f>_xlfn.RANK.EQ(all[[#This Row],[ORtg opp]],all[ORtg opp],1)</f>
        <v>3</v>
      </c>
      <c r="ED11" s="6">
        <f>AVERAGE(lyon[DRtgop])</f>
        <v>122.39189189189189</v>
      </c>
      <c r="EE11" s="16">
        <f>_xlfn.RANK.EQ(all[[#This Row],[DRtg opp]],all[DRtg opp])</f>
        <v>5</v>
      </c>
      <c r="EF11" s="6">
        <f>AVERAGE(lyon[Q1H])</f>
        <v>22.648648648648649</v>
      </c>
      <c r="EG11" s="16">
        <f>_xlfn.RANK.EQ(all[[#This Row],[Q1H]],all[Q1H])</f>
        <v>3</v>
      </c>
      <c r="EH11" s="6">
        <f>AVERAGE(lyon[Q2H])</f>
        <v>21.378378378378379</v>
      </c>
      <c r="EI11" s="16">
        <f>_xlfn.RANK.EQ(all[[#This Row],[Q2H]],all[Q2H])</f>
        <v>5</v>
      </c>
      <c r="EJ11" s="6">
        <f>AVERAGE(lyon[Q3H])</f>
        <v>22.405405405405407</v>
      </c>
      <c r="EK11" s="16">
        <f>_xlfn.RANK.EQ(all[[#This Row],[Q3H]],all[Q3H])</f>
        <v>6</v>
      </c>
      <c r="EL11" s="6">
        <f>AVERAGE(lyon[Q4H])</f>
        <v>21.081081081081081</v>
      </c>
      <c r="EM11" s="16">
        <f>_xlfn.RANK.EQ(all[[#This Row],[Q4H]],all[Q4H])</f>
        <v>8</v>
      </c>
      <c r="EN11" s="6">
        <f>AVERAGE(lyon[Q1A])</f>
        <v>18.72972972972973</v>
      </c>
      <c r="EO11" s="16">
        <f>_xlfn.RANK.EQ(all[[#This Row],[Q1A]],all[Q1A],1)</f>
        <v>2</v>
      </c>
      <c r="EP11" s="6">
        <f>AVERAGE(lyon[Q2A])</f>
        <v>21.162162162162161</v>
      </c>
      <c r="EQ11" s="16">
        <f>_xlfn.RANK.EQ(all[[#This Row],[Q2A]],all[Q2A],1)</f>
        <v>10</v>
      </c>
      <c r="ER11" s="6">
        <f>AVERAGE(lyon[Q3A])</f>
        <v>20.594594594594593</v>
      </c>
      <c r="ES11" s="16">
        <f>_xlfn.RANK.EQ(all[[#This Row],[Q3A]],all[Q3A],1)</f>
        <v>6</v>
      </c>
      <c r="ET11" s="6">
        <f>AVERAGE(lyon[Q4A])</f>
        <v>21</v>
      </c>
      <c r="EU11" s="16">
        <f>_xlfn.RANK.EQ(all[[#This Row],[Q4A]],all[Q4A],1)</f>
        <v>10</v>
      </c>
      <c r="EV11" s="6">
        <f>AVERAGE(lyon[FhalfH])</f>
        <v>44.027027027027025</v>
      </c>
      <c r="EW11" s="16">
        <f>_xlfn.RANK.EQ(all[[#This Row],[FHH]],all[FHH])</f>
        <v>4</v>
      </c>
      <c r="EX11" s="5">
        <f>AVERAGE(lyon[FhalfA])</f>
        <v>39.891891891891895</v>
      </c>
      <c r="EY11" s="16">
        <f>_xlfn.RANK.EQ(all[[#This Row],[FHA]],all[FHA],1)</f>
        <v>2</v>
      </c>
      <c r="EZ11" s="6">
        <f>AVERAGE(lyon[ShalfH])</f>
        <v>43.486486486486484</v>
      </c>
      <c r="FA11" s="16">
        <f>_xlfn.RANK.EQ(all[[#This Row],[SHH]],all[SHH])</f>
        <v>6</v>
      </c>
      <c r="FB11" s="6">
        <f>AVERAGE(lyon[ShalfA])</f>
        <v>41.594594594594597</v>
      </c>
      <c r="FC11" s="16">
        <f>_xlfn.RANK.EQ(all[[#This Row],[SHA]],all[SHA],1)</f>
        <v>8</v>
      </c>
      <c r="FD11" s="6">
        <f ca="1">AVERAGE(LARGE(OFFSET(lyon[Home_scored],COUNTA(lyon[Home_scored])-5, 0, 5, 1),2), LARGE(OFFSET(lyon[Home_scored],COUNTA(lyon[Home_scored])-5, 0, 5, 1),3),LARGE(OFFSET(lyon[Home_scored],COUNTA(lyon[Home_scored])-5, 0, 5, 1),4))</f>
        <v>85.666666666666671</v>
      </c>
      <c r="FE11" s="6">
        <f ca="1">AVERAGE(LARGE(OFFSET(lyon[Away_scored],COUNTA(lyon[Away_scored])-5, 0, 5, 1),2), LARGE(OFFSET(lyon[Away_scored],COUNTA(lyon[Away_scored])-5, 0, 5, 1),3),LARGE(OFFSET(lyon[Away_scored],COUNTA(lyon[Away_scored])-5, 0, 5, 1),4))</f>
        <v>80</v>
      </c>
      <c r="FF11" s="16">
        <f ca="1">COUNTIF(INDIRECT(all[[#This Row],[Table name]]&amp;"[result]"),"w")+COUNTIF(INDIRECT(all[[#This Row],[Table name]]&amp;"[result]"),"dw")</f>
        <v>26</v>
      </c>
      <c r="FG11" s="16">
        <f ca="1">COUNTIF(INDIRECT(all[[#This Row],[Table name]]&amp;"[result]"),"l")+COUNTIF(INDIRECT(all[[#This Row],[Table name]]&amp;"[result]"),"dl")</f>
        <v>11</v>
      </c>
      <c r="FH11" s="7">
        <f ca="1">all[[#This Row],[Wins]]/(all[[#This Row],[Wins]]+all[[#This Row],[Losses]])</f>
        <v>0.70270270270270274</v>
      </c>
      <c r="FI11">
        <f ca="1">_xlfn.RANK.EQ(all[[#This Row],[rating]],all[rating])</f>
        <v>4</v>
      </c>
      <c r="FJ11" s="5">
        <f t="shared" si="0"/>
        <v>6.2615384615384615</v>
      </c>
      <c r="FK11" s="6">
        <f>all[[#This Row],[Q1H]]+all[[#This Row],[Q1A]]</f>
        <v>41.378378378378379</v>
      </c>
      <c r="FL11" s="16">
        <f>_xlfn.RANK.EQ(all[[#This Row],[Q1T]],all[Q1T])</f>
        <v>8</v>
      </c>
      <c r="FM11" s="6">
        <f>all[[#This Row],[Q2H]]+all[[#This Row],[Q2A]]</f>
        <v>42.54054054054054</v>
      </c>
      <c r="FN11" s="16">
        <f>_xlfn.RANK.EQ(all[[#This Row],[Q2T]],all[Q2T])</f>
        <v>6</v>
      </c>
      <c r="FO11" s="6">
        <f>all[[#This Row],[Q3H]]+all[[#This Row],[Q3A]]</f>
        <v>43</v>
      </c>
      <c r="FP11" s="16">
        <f>_xlfn.RANK.EQ(all[[#This Row],[Q3T]],all[Q3T])</f>
        <v>8</v>
      </c>
      <c r="FQ11" s="6">
        <f>all[[#This Row],[Q4H]]+all[[#This Row],[Q4A]]</f>
        <v>42.081081081081081</v>
      </c>
      <c r="FR11" s="16">
        <f>_xlfn.RANK.EQ(all[[#This Row],[Q4T]],all[Q4T])</f>
        <v>7</v>
      </c>
      <c r="FS11" s="6">
        <f>all[[#This Row],[FHH]]+all[[#This Row],[FHA]]</f>
        <v>83.918918918918919</v>
      </c>
      <c r="FT11" s="16">
        <f>_xlfn.RANK.EQ(all[[#This Row],[FHT]],all[FHT])</f>
        <v>7</v>
      </c>
      <c r="FU11" s="6">
        <f>all[[#This Row],[SHH]]+all[[#This Row],[SHA]]</f>
        <v>85.081081081081081</v>
      </c>
      <c r="FV11" s="16">
        <f>_xlfn.RANK.EQ(all[[#This Row],[SHT]],all[SHT])</f>
        <v>7</v>
      </c>
      <c r="FW11" s="6">
        <f ca="1">SUM(INDIRECT(all[[#This Row],[Table name]]&amp;"[BetH]"))</f>
        <v>0.97999999999999954</v>
      </c>
      <c r="FX11" s="16">
        <f ca="1">_xlfn.RANK.EQ(all[[#This Row],[BetH]],all[BetH])</f>
        <v>4</v>
      </c>
      <c r="FY11" s="6">
        <f ca="1">SUM(INDIRECT(all[[#This Row],[Table name]]&amp;"[BetA]"))</f>
        <v>-7.4300000000000015</v>
      </c>
      <c r="FZ11" s="16">
        <f ca="1">_xlfn.RANK.EQ(all[[#This Row],[BetA]],all[BetA])</f>
        <v>12</v>
      </c>
      <c r="GA11" s="16">
        <f ca="1">SUM(INDIRECT(all[[#This Row],[Table name]]&amp;"[Tover]"))</f>
        <v>19</v>
      </c>
      <c r="GB11" s="16">
        <f ca="1">_xlfn.RANK.EQ(all[[#This Row],[Tover]],all[Tover])</f>
        <v>6</v>
      </c>
      <c r="GC11" s="6">
        <f ca="1">AVERAGE(INDIRECT(all[[#This Row],[Table name]]&amp;"[Deviation]"))</f>
        <v>13.567567567567568</v>
      </c>
      <c r="GD11" s="16">
        <f ca="1">_xlfn.RANK.EQ(all[[#This Row],[Deviation]],all[Deviation],1)</f>
        <v>7</v>
      </c>
    </row>
    <row r="12" spans="1:186" x14ac:dyDescent="0.25">
      <c r="A12" s="9" t="s">
        <v>330</v>
      </c>
      <c r="B12" t="s">
        <v>330</v>
      </c>
      <c r="C12" t="s">
        <v>331</v>
      </c>
      <c r="D12" t="s">
        <v>332</v>
      </c>
      <c r="E12">
        <f>_xlfn.RANK.EQ(all[[#This Row],[AVG_RT]],all[AVG_RT],1)</f>
        <v>1</v>
      </c>
      <c r="F12" s="6">
        <f>AVERAGE(monaco[Home_scored])</f>
        <v>85.285714285714292</v>
      </c>
      <c r="G12" s="16">
        <f>_xlfn.RANK.EQ(all[[#This Row],[PM]],all[PM])</f>
        <v>7</v>
      </c>
      <c r="H12" s="6">
        <f>AVERAGE(monaco[Away_scored])</f>
        <v>77.833333333333329</v>
      </c>
      <c r="I12" s="16">
        <f>_xlfn.RANK.EQ(all[[#This Row],[PC]],all[PC],1)</f>
        <v>1</v>
      </c>
      <c r="J12" s="6">
        <f>AVERAGE(monaco[FGA])</f>
        <v>62.214285714285715</v>
      </c>
      <c r="K12" s="16">
        <f>_xlfn.RANK.EQ(all[[#This Row],[FGA]],all[FGA])</f>
        <v>7</v>
      </c>
      <c r="L12" s="6">
        <f>AVERAGE(monaco[FGM])</f>
        <v>29.785714285714285</v>
      </c>
      <c r="M12" s="16">
        <f>_xlfn.RANK.EQ(all[[#This Row],[FGM]],all[FGM])</f>
        <v>10</v>
      </c>
      <c r="N12" s="7">
        <f>AVERAGE(monaco[FGp])</f>
        <v>0.4808738095238097</v>
      </c>
      <c r="O12" s="16">
        <f>_xlfn.RANK.EQ(all[[#This Row],[FGp]],all[FGp])</f>
        <v>7</v>
      </c>
      <c r="P12" s="6">
        <f>AVERAGE(monaco[P2M])</f>
        <v>20.11904761904762</v>
      </c>
      <c r="Q12" s="16">
        <f>_xlfn.RANK.EQ(all[[#This Row],[P2M]],all[P2M])</f>
        <v>8</v>
      </c>
      <c r="R12" s="6">
        <f>AVERAGE(monaco[P2A])</f>
        <v>35.523809523809526</v>
      </c>
      <c r="S12" s="16">
        <f>_xlfn.RANK.EQ(all[[#This Row],[P2A]],all[P2A])</f>
        <v>7</v>
      </c>
      <c r="T12" s="7">
        <f>AVERAGE(monaco[P2p])</f>
        <v>0.5702047619047621</v>
      </c>
      <c r="U12" s="16">
        <f>_xlfn.RANK.EQ(all[[#This Row],[P2p]],all[P2p])</f>
        <v>6</v>
      </c>
      <c r="V12" s="6">
        <f>AVERAGE(monaco[P3M])</f>
        <v>9.6666666666666661</v>
      </c>
      <c r="W12" s="16">
        <f>_xlfn.RANK.EQ(all[[#This Row],[P3M]],all[P3M])</f>
        <v>6</v>
      </c>
      <c r="X12" s="6">
        <f>AVERAGE(monaco[P3A])</f>
        <v>26.69047619047619</v>
      </c>
      <c r="Y12" s="16">
        <f>_xlfn.RANK.EQ(all[[#This Row],[P3A]],all[P3A])</f>
        <v>4</v>
      </c>
      <c r="Z12" s="7">
        <f>AVERAGE(monaco[P3p])</f>
        <v>0.35798809523809527</v>
      </c>
      <c r="AA12" s="16">
        <f>_xlfn.RANK.EQ(all[[#This Row],[P3p]],all[P3p])</f>
        <v>5</v>
      </c>
      <c r="AB12" s="6">
        <f>AVERAGE(monaco[FTM])</f>
        <v>16.047619047619047</v>
      </c>
      <c r="AC12" s="16">
        <f>_xlfn.RANK.EQ(all[[#This Row],[FTM]],all[FTM])</f>
        <v>7</v>
      </c>
      <c r="AD12" s="6">
        <f>AVERAGE(monaco[FTA])</f>
        <v>21.904761904761905</v>
      </c>
      <c r="AE12" s="16">
        <f>_xlfn.RANK.EQ(all[[#This Row],[FTA]],all[FTA])</f>
        <v>6</v>
      </c>
      <c r="AF12" s="7">
        <f>AVERAGE(monaco[FTp])</f>
        <v>0.725909523809524</v>
      </c>
      <c r="AG12" s="16">
        <f>_xlfn.RANK.EQ(all[[#This Row],[FTp]],all[FTp])</f>
        <v>13</v>
      </c>
      <c r="AH12" s="6">
        <f>AVERAGE(monaco[ORB])</f>
        <v>11.119047619047619</v>
      </c>
      <c r="AI12" s="16">
        <f>_xlfn.RANK.EQ(all[[#This Row],[ORB]],all[ORB])</f>
        <v>7</v>
      </c>
      <c r="AJ12" s="6">
        <f>AVERAGE(monaco[DRB])</f>
        <v>25.19047619047619</v>
      </c>
      <c r="AK12" s="16">
        <f>_xlfn.RANK.EQ(all[[#This Row],[DRB]],all[DRB])</f>
        <v>1</v>
      </c>
      <c r="AL12" s="6">
        <f>AVERAGE(monaco[TRB])</f>
        <v>36.30952380952381</v>
      </c>
      <c r="AM12" s="16">
        <f>_xlfn.RANK.EQ(all[[#This Row],[TRB]],all[TRB])</f>
        <v>3</v>
      </c>
      <c r="AN12" s="6">
        <f>AVERAGE(monaco[AST])</f>
        <v>20.523809523809526</v>
      </c>
      <c r="AO12" s="16">
        <f>_xlfn.RANK.EQ(all[[#This Row],[AST]],all[AST])</f>
        <v>5</v>
      </c>
      <c r="AP12" s="6">
        <f>AVERAGE(monaco[STL])</f>
        <v>6.166666666666667</v>
      </c>
      <c r="AQ12" s="16">
        <f>_xlfn.RANK.EQ(all[[#This Row],[STL]],all[STL])</f>
        <v>7</v>
      </c>
      <c r="AR12" s="6">
        <f>AVERAGE(monaco[BLK])</f>
        <v>6.2380952380952381</v>
      </c>
      <c r="AS12" s="16">
        <f>_xlfn.RANK.EQ(all[[#This Row],[BLK]],all[BLK])</f>
        <v>3</v>
      </c>
      <c r="AT12" s="6">
        <f>AVERAGE(monaco[TOV])</f>
        <v>11.119047619047619</v>
      </c>
      <c r="AU12" s="16">
        <f>_xlfn.RANK.EQ(all[[#This Row],[TOV]],all[TOV],1)</f>
        <v>4</v>
      </c>
      <c r="AV12" s="6">
        <f>AVERAGE(monaco[PF])</f>
        <v>21.666666666666668</v>
      </c>
      <c r="AW12" s="16">
        <f>_xlfn.RANK.EQ(all[[#This Row],[PF]],all[PF],1)</f>
        <v>8</v>
      </c>
      <c r="AX12" s="6">
        <f>AVERAGE(monaco[FGAop])</f>
        <v>62.904761904761905</v>
      </c>
      <c r="AY12" s="16">
        <f>_xlfn.RANK.EQ(all[[#This Row],[FGA opp]],all[FGA opp],1)</f>
        <v>11</v>
      </c>
      <c r="AZ12" s="6">
        <f>AVERAGE(monaco[FGMop])</f>
        <v>27.61904761904762</v>
      </c>
      <c r="BA12" s="16">
        <f>_xlfn.RANK.EQ(all[[#This Row],[FGM opp]],all[FGM opp],1)</f>
        <v>3</v>
      </c>
      <c r="BB12" s="7">
        <f>AVERAGE(monaco[FGpop])</f>
        <v>0.44045000000000006</v>
      </c>
      <c r="BC12" s="16">
        <f>_xlfn.RANK.EQ(all[[#This Row],[FGp opp]],all[FGp opp],1)</f>
        <v>1</v>
      </c>
      <c r="BD12" s="6">
        <f>AVERAGE(monaco[P2Mop])</f>
        <v>19.142857142857142</v>
      </c>
      <c r="BE12" s="16">
        <f>_xlfn.RANK.EQ(all[[#This Row],[P2M opp]],all[P2M opp],1)</f>
        <v>5</v>
      </c>
      <c r="BF12" s="6">
        <f>AVERAGE(monaco[P2Aop])</f>
        <v>37.88095238095238</v>
      </c>
      <c r="BG12" s="16">
        <f>_xlfn.RANK.EQ(all[[#This Row],[P2A opp]],all[P2A opp],1)</f>
        <v>12</v>
      </c>
      <c r="BH12">
        <f>AVERAGE(monaco[P2pop])</f>
        <v>0.50533571428571433</v>
      </c>
      <c r="BI12" s="16">
        <f>_xlfn.RANK.EQ(all[[#This Row],[P2p opp]],all[P2p opp],1)</f>
        <v>1</v>
      </c>
      <c r="BJ12" s="6">
        <f>AVERAGE(monaco[P3Mop])</f>
        <v>8.1904761904761898</v>
      </c>
      <c r="BK12" s="16">
        <f>_xlfn.RANK.EQ(all[[#This Row],[P3M opp]],all[P3M opp],1)</f>
        <v>3</v>
      </c>
      <c r="BL12" s="6">
        <f>AVERAGE(monaco[P3Aop])</f>
        <v>25.023809523809526</v>
      </c>
      <c r="BM12" s="16">
        <f>_xlfn.RANK.EQ(all[[#This Row],[P3A opp]],all[P3A opp],1)</f>
        <v>5</v>
      </c>
      <c r="BN12" s="7">
        <f>AVERAGE(monaco[P3pop])</f>
        <v>0.32174047619047619</v>
      </c>
      <c r="BO12" s="16">
        <f>_xlfn.RANK.EQ(all[[#This Row],[P3p opp]],all[P3p opp],1)</f>
        <v>1</v>
      </c>
      <c r="BP12" s="6">
        <f>AVERAGE(monaco[FTMop])</f>
        <v>14.976190476190476</v>
      </c>
      <c r="BQ12" s="16">
        <f>_xlfn.RANK.EQ(all[[#This Row],[FTM opp]],all[FTM opp],1)</f>
        <v>6</v>
      </c>
      <c r="BR12" s="6">
        <f>AVERAGE(monaco[FTAop])</f>
        <v>20.285714285714285</v>
      </c>
      <c r="BS12" s="16">
        <f>_xlfn.RANK.EQ(all[[#This Row],[FTA opp]],all[FTA opp],1)</f>
        <v>7</v>
      </c>
      <c r="BT12" s="7">
        <f>AVERAGE(monaco[FTpop])</f>
        <v>0.73609523809523791</v>
      </c>
      <c r="BU12" s="16">
        <f>_xlfn.RANK.EQ(all[[#This Row],[FTp opp]],all[FTp opp],1)</f>
        <v>5</v>
      </c>
      <c r="BV12" s="6">
        <f>AVERAGE(monaco[ORBop])</f>
        <v>11.666666666666666</v>
      </c>
      <c r="BW12" s="16">
        <f>_xlfn.RANK.EQ(all[[#This Row],[ORB opp]],all[ORB opp],1)</f>
        <v>13</v>
      </c>
      <c r="BX12" s="6">
        <f>AVERAGE(monaco[DRBop])</f>
        <v>23.095238095238095</v>
      </c>
      <c r="BY12" s="16">
        <f>_xlfn.RANK.EQ(all[[#This Row],[DRB opp]],all[DRB opp],1)</f>
        <v>8</v>
      </c>
      <c r="BZ12" s="6">
        <f>AVERAGE(monaco[TRBop])</f>
        <v>34.761904761904759</v>
      </c>
      <c r="CA12" s="16">
        <f>_xlfn.RANK.EQ(all[[#This Row],[TRB opp]],all[TRB opp],1)</f>
        <v>11</v>
      </c>
      <c r="CB12" s="6">
        <f>AVERAGE(monaco[ASTop])</f>
        <v>16.714285714285715</v>
      </c>
      <c r="CC12" s="16">
        <f>_xlfn.RANK.EQ(all[[#This Row],[AST opp]],all[AST opp],1)</f>
        <v>2</v>
      </c>
      <c r="CD12" s="6">
        <f>AVERAGE(monaco[STLop])</f>
        <v>6.2142857142857144</v>
      </c>
      <c r="CE12" s="16">
        <f>_xlfn.RANK.EQ(all[[#This Row],[STL opp]],all[STL opp],1)</f>
        <v>7</v>
      </c>
      <c r="CF12" s="6">
        <f>AVERAGE(monaco[BLKop])</f>
        <v>4.9523809523809526</v>
      </c>
      <c r="CG12" s="16">
        <f>_xlfn.RANK.EQ(all[[#This Row],[BLK opp]],all[BLK opp],1)</f>
        <v>14</v>
      </c>
      <c r="CH12" s="6">
        <f>AVERAGE(monaco[TOVop])</f>
        <v>11.880952380952381</v>
      </c>
      <c r="CI12" s="16">
        <f>_xlfn.RANK.EQ(all[[#This Row],[TOV opp]],all[TOV opp])</f>
        <v>10</v>
      </c>
      <c r="CJ12" s="6">
        <f>AVERAGE(monaco[PFop])</f>
        <v>23.047619047619047</v>
      </c>
      <c r="CK12" s="16">
        <f>_xlfn.RANK.EQ(all[[#This Row],[PF opp]],all[PF opp])</f>
        <v>4</v>
      </c>
      <c r="CL12" s="7">
        <f>AVERAGE(monaco[TS%])</f>
        <v>0.59615952380952375</v>
      </c>
      <c r="CM12" s="16">
        <f>_xlfn.RANK.EQ(all[[#This Row],[TSp]],all[TSp])</f>
        <v>6</v>
      </c>
      <c r="CN12" s="7">
        <f>AVERAGE(monaco[eFG%])</f>
        <v>0.55891428571428592</v>
      </c>
      <c r="CO12" s="16">
        <f>_xlfn.RANK.EQ(all[[#This Row],[eFGp]],all[eFGp])</f>
        <v>6</v>
      </c>
      <c r="CP12" s="7">
        <f>AVERAGE(monaco[ORB%])</f>
        <v>0.32498809523809524</v>
      </c>
      <c r="CQ12" s="16">
        <f>_xlfn.RANK.EQ(all[[#This Row],[ORBp]],all[ORBp])</f>
        <v>7</v>
      </c>
      <c r="CR12" s="7">
        <f>AVERAGE(monaco[DRB%])</f>
        <v>0.68204761904761912</v>
      </c>
      <c r="CS12" s="16">
        <f>_xlfn.RANK.EQ(all[[#This Row],[DRBp]],all[DRBp])</f>
        <v>11</v>
      </c>
      <c r="CT12" s="7">
        <f>AVERAGE(monaco[TRB%])</f>
        <v>0.51258095238095236</v>
      </c>
      <c r="CU12" s="16">
        <f>_xlfn.RANK.EQ(all[[#This Row],[TRBp]],all[TRBp])</f>
        <v>7</v>
      </c>
      <c r="CV12" s="6">
        <f>AVERAGE(monaco[Poss])</f>
        <v>71.033047619047622</v>
      </c>
      <c r="CW12" s="16">
        <f>_xlfn.RANK.EQ(all[[#This Row],[Poss]],all[Poss])</f>
        <v>10</v>
      </c>
      <c r="CX12" s="7">
        <f>AVERAGE(monaco[AST%])</f>
        <v>0.68958809523809539</v>
      </c>
      <c r="CY12" s="16">
        <f>_xlfn.RANK.EQ(all[[#This Row],[ASTp]],all[ASTp])</f>
        <v>5</v>
      </c>
      <c r="CZ12" s="7">
        <f>AVERAGE(monaco[FTFGA%])</f>
        <v>0.26540952380952382</v>
      </c>
      <c r="DA12" s="16">
        <f>_xlfn.RANK.EQ(all[[#This Row],[FTFGAp]],all[FTFGAp])</f>
        <v>8</v>
      </c>
      <c r="DB12" s="7">
        <f>AVERAGE(monaco[TOV%])</f>
        <v>0.13271190476190475</v>
      </c>
      <c r="DC12" s="16">
        <f>_xlfn.RANK.EQ(all[[#This Row],[TOVp]],all[TOVp],1)</f>
        <v>5</v>
      </c>
      <c r="DD12" s="6">
        <f>AVERAGE(monaco[ORtg])</f>
        <v>121.06666666666665</v>
      </c>
      <c r="DE12" s="16">
        <f>_xlfn.RANK.EQ(all[[#This Row],[ORtg]],all[ORtg])</f>
        <v>6</v>
      </c>
      <c r="DF12" s="6">
        <f>AVERAGE(monaco[DRtg])</f>
        <v>110.69047619047619</v>
      </c>
      <c r="DG12" s="16">
        <f>_xlfn.RANK.EQ(all[[#This Row],[DRtg]],all[DRtg],1)</f>
        <v>1</v>
      </c>
      <c r="DH12" s="6">
        <f>AVERAGE(monaco[Pace])</f>
        <v>70.541833333333315</v>
      </c>
      <c r="DI12" s="16">
        <f>_xlfn.RANK.EQ(all[[#This Row],[Pace]],all[Pace])</f>
        <v>12</v>
      </c>
      <c r="DJ12" s="7">
        <f>AVERAGE(monaco[TS%op])</f>
        <v>0.54161428571428571</v>
      </c>
      <c r="DK12" s="16">
        <f>_xlfn.RANK.EQ(all[[#This Row],[TSp opp]],all[TSp opp],1)</f>
        <v>1</v>
      </c>
      <c r="DL12" s="7">
        <f>AVERAGE(monaco[eFG%op])</f>
        <v>0.5057190476190474</v>
      </c>
      <c r="DM12" s="16">
        <f>_xlfn.RANK.EQ(all[[#This Row],[eFGp opp]],all[eFGp opp],1)</f>
        <v>1</v>
      </c>
      <c r="DN12" s="7">
        <f>AVERAGE(monaco[ORB%op])</f>
        <v>0.31795238095238088</v>
      </c>
      <c r="DO12" s="16">
        <f>_xlfn.RANK.EQ(all[[#This Row],[ORBp opp]],all[ORBp opp],1)</f>
        <v>11</v>
      </c>
      <c r="DP12" s="7">
        <f>AVERAGE(monaco[DRB%op])</f>
        <v>0.67501190476190465</v>
      </c>
      <c r="DQ12" s="16">
        <f>_xlfn.RANK.EQ(all[[#This Row],[DRBp opp]],all[DRBp opp],1)</f>
        <v>7</v>
      </c>
      <c r="DR12" s="7">
        <f>AVERAGE(monaco[TRB%op])</f>
        <v>0.48741904761904759</v>
      </c>
      <c r="DS12" s="16">
        <f>_xlfn.RANK.EQ(all[[#This Row],[TRBp opp]],all[TRBp opp],1)</f>
        <v>7</v>
      </c>
      <c r="DT12" s="6">
        <f>AVERAGE(monaco[Possop])</f>
        <v>70.050619047619037</v>
      </c>
      <c r="DU12" s="16">
        <f>_xlfn.RANK.EQ(all[[#This Row],[Poss opp]],all[Poss opp],1)</f>
        <v>4</v>
      </c>
      <c r="DV12" s="7">
        <f>AVERAGE(monaco[AST%op])</f>
        <v>0.60540476190476178</v>
      </c>
      <c r="DW12" s="16">
        <f>_xlfn.RANK.EQ(all[[#This Row],[ASTp opp]],all[ASTp opp],1)</f>
        <v>2</v>
      </c>
      <c r="DX12" s="7">
        <f>AVERAGE(monaco[FTFGA%op])</f>
        <v>0.24086190476190486</v>
      </c>
      <c r="DY12" s="16">
        <f>_xlfn.RANK.EQ(all[[#This Row],[FTFGAp opp]],all[FTFGAp opp],1)</f>
        <v>6</v>
      </c>
      <c r="DZ12" s="7">
        <f>AVERAGE(monaco[TOV%op])</f>
        <v>0.14052619047619044</v>
      </c>
      <c r="EA12" s="16">
        <f>_xlfn.RANK.EQ(all[[#This Row],[TOVp opp]],all[TOVp opp])</f>
        <v>11</v>
      </c>
      <c r="EB12" s="6">
        <f>AVERAGE(monaco[ORtgop])</f>
        <v>110.69047619047619</v>
      </c>
      <c r="EC12" s="16">
        <f>_xlfn.RANK.EQ(all[[#This Row],[ORtg opp]],all[ORtg opp],1)</f>
        <v>1</v>
      </c>
      <c r="ED12" s="6">
        <f>AVERAGE(monaco[DRtgop])</f>
        <v>121.06666666666665</v>
      </c>
      <c r="EE12" s="16">
        <f>_xlfn.RANK.EQ(all[[#This Row],[DRtg opp]],all[DRtg opp])</f>
        <v>6</v>
      </c>
      <c r="EF12" s="6">
        <f>AVERAGE(monaco[Q1H])</f>
        <v>20.523809523809526</v>
      </c>
      <c r="EG12" s="16">
        <f>_xlfn.RANK.EQ(all[[#This Row],[Q1H]],all[Q1H])</f>
        <v>10</v>
      </c>
      <c r="EH12" s="6">
        <f>AVERAGE(monaco[Q2H])</f>
        <v>20.928571428571427</v>
      </c>
      <c r="EI12" s="16">
        <f>_xlfn.RANK.EQ(all[[#This Row],[Q2H]],all[Q2H])</f>
        <v>7</v>
      </c>
      <c r="EJ12" s="6">
        <f>AVERAGE(monaco[Q3H])</f>
        <v>21.642857142857142</v>
      </c>
      <c r="EK12" s="16">
        <f>_xlfn.RANK.EQ(all[[#This Row],[Q3H]],all[Q3H])</f>
        <v>8</v>
      </c>
      <c r="EL12" s="6">
        <f>AVERAGE(monaco[Q4H])</f>
        <v>22.19047619047619</v>
      </c>
      <c r="EM12" s="16">
        <f>_xlfn.RANK.EQ(all[[#This Row],[Q4H]],all[Q4H])</f>
        <v>5</v>
      </c>
      <c r="EN12" s="6">
        <f>AVERAGE(monaco[Q1A])</f>
        <v>19.738095238095237</v>
      </c>
      <c r="EO12" s="16">
        <f>_xlfn.RANK.EQ(all[[#This Row],[Q1A]],all[Q1A],1)</f>
        <v>4</v>
      </c>
      <c r="EP12" s="6">
        <f>AVERAGE(monaco[Q2A])</f>
        <v>20.5</v>
      </c>
      <c r="EQ12" s="16">
        <f>_xlfn.RANK.EQ(all[[#This Row],[Q2A]],all[Q2A],1)</f>
        <v>6</v>
      </c>
      <c r="ER12" s="6">
        <f>AVERAGE(monaco[Q3A])</f>
        <v>19.30952380952381</v>
      </c>
      <c r="ES12" s="16">
        <f>_xlfn.RANK.EQ(all[[#This Row],[Q3A]],all[Q3A],1)</f>
        <v>1</v>
      </c>
      <c r="ET12" s="6">
        <f>AVERAGE(monaco[Q4A])</f>
        <v>18.285714285714285</v>
      </c>
      <c r="EU12" s="16">
        <f>_xlfn.RANK.EQ(all[[#This Row],[Q4A]],all[Q4A],1)</f>
        <v>1</v>
      </c>
      <c r="EV12" s="6">
        <f>AVERAGE(monaco[FhalfH])</f>
        <v>41.452380952380949</v>
      </c>
      <c r="EW12" s="16">
        <f>_xlfn.RANK.EQ(all[[#This Row],[FHH]],all[FHH])</f>
        <v>7</v>
      </c>
      <c r="EX12" s="5">
        <f>AVERAGE(monaco[FhalfA])</f>
        <v>40.238095238095241</v>
      </c>
      <c r="EY12" s="16">
        <f>_xlfn.RANK.EQ(all[[#This Row],[FHA]],all[FHA],1)</f>
        <v>3</v>
      </c>
      <c r="EZ12" s="6">
        <f>AVERAGE(monaco[ShalfH])</f>
        <v>43.833333333333336</v>
      </c>
      <c r="FA12" s="16">
        <f>_xlfn.RANK.EQ(all[[#This Row],[SHH]],all[SHH])</f>
        <v>5</v>
      </c>
      <c r="FB12" s="6">
        <f>AVERAGE(monaco[ShalfA])</f>
        <v>37.595238095238095</v>
      </c>
      <c r="FC12" s="16">
        <f>_xlfn.RANK.EQ(all[[#This Row],[SHA]],all[SHA],1)</f>
        <v>1</v>
      </c>
      <c r="FD12" s="6">
        <f ca="1">AVERAGE(LARGE(OFFSET(monaco[Home_scored],COUNTA(monaco[Home_scored])-5, 0, 5, 1),2), LARGE(OFFSET(monaco[Home_scored],COUNTA(monaco[Home_scored])-5, 0, 5, 1),3),LARGE(OFFSET(monaco[Home_scored],COUNTA(monaco[Home_scored])-5, 0, 5, 1),4))</f>
        <v>81</v>
      </c>
      <c r="FE12" s="6">
        <f ca="1">AVERAGE(LARGE(OFFSET(monaco[Away_scored],COUNTA(monaco[Away_scored])-5, 0, 5, 1),2), LARGE(OFFSET(monaco[Away_scored],COUNTA(monaco[Away_scored])-5, 0, 5, 1),3),LARGE(OFFSET(monaco[Away_scored],COUNTA(monaco[Away_scored])-5, 0, 5, 1),4))</f>
        <v>88</v>
      </c>
      <c r="FF12" s="16">
        <f ca="1">COUNTIF(INDIRECT(all[[#This Row],[Table name]]&amp;"[result]"),"w")+COUNTIF(INDIRECT(all[[#This Row],[Table name]]&amp;"[result]"),"dw")</f>
        <v>30</v>
      </c>
      <c r="FG12" s="16">
        <f ca="1">COUNTIF(INDIRECT(all[[#This Row],[Table name]]&amp;"[result]"),"l")+COUNTIF(INDIRECT(all[[#This Row],[Table name]]&amp;"[result]"),"dl")</f>
        <v>12</v>
      </c>
      <c r="FH12" s="7">
        <f ca="1">all[[#This Row],[Wins]]/(all[[#This Row],[Wins]]+all[[#This Row],[Losses]])</f>
        <v>0.7142857142857143</v>
      </c>
      <c r="FI12">
        <f ca="1">_xlfn.RANK.EQ(all[[#This Row],[rating]],all[rating])</f>
        <v>3</v>
      </c>
      <c r="FJ12" s="5">
        <f t="shared" si="0"/>
        <v>6.1846153846153848</v>
      </c>
      <c r="FK12" s="6">
        <f>all[[#This Row],[Q1H]]+all[[#This Row],[Q1A]]</f>
        <v>40.261904761904759</v>
      </c>
      <c r="FL12" s="16">
        <f>_xlfn.RANK.EQ(all[[#This Row],[Q1T]],all[Q1T])</f>
        <v>11</v>
      </c>
      <c r="FM12" s="6">
        <f>all[[#This Row],[Q2H]]+all[[#This Row],[Q2A]]</f>
        <v>41.428571428571431</v>
      </c>
      <c r="FN12" s="16">
        <f>_xlfn.RANK.EQ(all[[#This Row],[Q2T]],all[Q2T])</f>
        <v>9</v>
      </c>
      <c r="FO12" s="6">
        <f>all[[#This Row],[Q3H]]+all[[#This Row],[Q3A]]</f>
        <v>40.952380952380949</v>
      </c>
      <c r="FP12" s="16">
        <f>_xlfn.RANK.EQ(all[[#This Row],[Q3T]],all[Q3T])</f>
        <v>10</v>
      </c>
      <c r="FQ12" s="6">
        <f>all[[#This Row],[Q4H]]+all[[#This Row],[Q4A]]</f>
        <v>40.476190476190474</v>
      </c>
      <c r="FR12" s="16">
        <f>_xlfn.RANK.EQ(all[[#This Row],[Q4T]],all[Q4T])</f>
        <v>11</v>
      </c>
      <c r="FS12" s="6">
        <f>all[[#This Row],[FHH]]+all[[#This Row],[FHA]]</f>
        <v>81.69047619047619</v>
      </c>
      <c r="FT12" s="16">
        <f>_xlfn.RANK.EQ(all[[#This Row],[FHT]],all[FHT])</f>
        <v>11</v>
      </c>
      <c r="FU12" s="6">
        <f>all[[#This Row],[SHH]]+all[[#This Row],[SHA]]</f>
        <v>81.428571428571431</v>
      </c>
      <c r="FV12" s="16">
        <f>_xlfn.RANK.EQ(all[[#This Row],[SHT]],all[SHT])</f>
        <v>12</v>
      </c>
      <c r="FW12" s="6">
        <f ca="1">SUM(INDIRECT(all[[#This Row],[Table name]]&amp;"[BetH]"))</f>
        <v>-3.3200000000000003</v>
      </c>
      <c r="FX12" s="16">
        <f ca="1">_xlfn.RANK.EQ(all[[#This Row],[BetH]],all[BetH])</f>
        <v>10</v>
      </c>
      <c r="FY12" s="6">
        <f ca="1">SUM(INDIRECT(all[[#This Row],[Table name]]&amp;"[BetA]"))</f>
        <v>-8.1799999999999979</v>
      </c>
      <c r="FZ12" s="16">
        <f ca="1">_xlfn.RANK.EQ(all[[#This Row],[BetA]],all[BetA])</f>
        <v>13</v>
      </c>
      <c r="GA12" s="16">
        <f ca="1">SUM(INDIRECT(all[[#This Row],[Table name]]&amp;"[Tover]"))</f>
        <v>19</v>
      </c>
      <c r="GB12" s="16">
        <f ca="1">_xlfn.RANK.EQ(all[[#This Row],[Tover]],all[Tover])</f>
        <v>6</v>
      </c>
      <c r="GC12" s="6">
        <f ca="1">AVERAGE(INDIRECT(all[[#This Row],[Table name]]&amp;"[Deviation]"))</f>
        <v>14.928571428571429</v>
      </c>
      <c r="GD12" s="16">
        <f ca="1">_xlfn.RANK.EQ(all[[#This Row],[Deviation]],all[Deviation],1)</f>
        <v>12</v>
      </c>
    </row>
    <row r="13" spans="1:186" x14ac:dyDescent="0.25">
      <c r="A13" s="9" t="s">
        <v>333</v>
      </c>
      <c r="B13" t="s">
        <v>333</v>
      </c>
      <c r="C13" t="s">
        <v>334</v>
      </c>
      <c r="D13" t="s">
        <v>335</v>
      </c>
      <c r="E13">
        <f>_xlfn.RANK.EQ(all[[#This Row],[AVG_RT]],all[AVG_RT],1)</f>
        <v>12</v>
      </c>
      <c r="F13" s="6">
        <f>AVERAGE(nancy[Home_scored])</f>
        <v>84.193548387096769</v>
      </c>
      <c r="G13" s="16">
        <f>_xlfn.RANK.EQ(all[[#This Row],[PM]],all[PM])</f>
        <v>9</v>
      </c>
      <c r="H13" s="6">
        <f>AVERAGE(nancy[Away_scored])</f>
        <v>88.290322580645167</v>
      </c>
      <c r="I13" s="16">
        <f>_xlfn.RANK.EQ(all[[#This Row],[PC]],all[PC],1)</f>
        <v>14</v>
      </c>
      <c r="J13" s="6">
        <f>AVERAGE(nancy[FGA])</f>
        <v>62.741935483870968</v>
      </c>
      <c r="K13" s="16">
        <f>_xlfn.RANK.EQ(all[[#This Row],[FGA]],all[FGA])</f>
        <v>6</v>
      </c>
      <c r="L13" s="6">
        <f>AVERAGE(nancy[FGM])</f>
        <v>30.741935483870968</v>
      </c>
      <c r="M13" s="16">
        <f>_xlfn.RANK.EQ(all[[#This Row],[FGM]],all[FGM])</f>
        <v>2</v>
      </c>
      <c r="N13" s="7">
        <f>AVERAGE(nancy[FGp])</f>
        <v>0.49194516129032256</v>
      </c>
      <c r="O13" s="16">
        <f>_xlfn.RANK.EQ(all[[#This Row],[FGp]],all[FGp])</f>
        <v>4</v>
      </c>
      <c r="P13" s="6">
        <f>AVERAGE(nancy[P2M])</f>
        <v>21.870967741935484</v>
      </c>
      <c r="Q13" s="16">
        <f>_xlfn.RANK.EQ(all[[#This Row],[P2M]],all[P2M])</f>
        <v>3</v>
      </c>
      <c r="R13" s="6">
        <f>AVERAGE(nancy[P2A])</f>
        <v>37.70967741935484</v>
      </c>
      <c r="S13" s="16">
        <f>_xlfn.RANK.EQ(all[[#This Row],[P2A]],all[P2A])</f>
        <v>4</v>
      </c>
      <c r="T13" s="7">
        <f>AVERAGE(nancy[P2p])</f>
        <v>0.58469032258064502</v>
      </c>
      <c r="U13" s="16">
        <f>_xlfn.RANK.EQ(all[[#This Row],[P2p]],all[P2p])</f>
        <v>4</v>
      </c>
      <c r="V13" s="6">
        <f>AVERAGE(nancy[P3M])</f>
        <v>8.870967741935484</v>
      </c>
      <c r="W13" s="16">
        <f>_xlfn.RANK.EQ(all[[#This Row],[P3M]],all[P3M])</f>
        <v>11</v>
      </c>
      <c r="X13" s="6">
        <f>AVERAGE(nancy[P3A])</f>
        <v>25.032258064516128</v>
      </c>
      <c r="Y13" s="16">
        <f>_xlfn.RANK.EQ(all[[#This Row],[P3A]],all[P3A])</f>
        <v>10</v>
      </c>
      <c r="Z13" s="7">
        <f>AVERAGE(nancy[P3p])</f>
        <v>0.35380322580645157</v>
      </c>
      <c r="AA13" s="16">
        <f>_xlfn.RANK.EQ(all[[#This Row],[P3p]],all[P3p])</f>
        <v>9</v>
      </c>
      <c r="AB13" s="6">
        <f>AVERAGE(nancy[FTM])</f>
        <v>13.838709677419354</v>
      </c>
      <c r="AC13" s="16">
        <f>_xlfn.RANK.EQ(all[[#This Row],[FTM]],all[FTM])</f>
        <v>14</v>
      </c>
      <c r="AD13" s="6">
        <f>AVERAGE(nancy[FTA])</f>
        <v>20.29032258064516</v>
      </c>
      <c r="AE13" s="16">
        <f>_xlfn.RANK.EQ(all[[#This Row],[FTA]],all[FTA])</f>
        <v>10</v>
      </c>
      <c r="AF13" s="7">
        <f>AVERAGE(nancy[FTp])</f>
        <v>0.6813580645161289</v>
      </c>
      <c r="AG13" s="16">
        <f>_xlfn.RANK.EQ(all[[#This Row],[FTp]],all[FTp])</f>
        <v>16</v>
      </c>
      <c r="AH13" s="6">
        <f>AVERAGE(nancy[ORB])</f>
        <v>9.935483870967742</v>
      </c>
      <c r="AI13" s="16">
        <f>_xlfn.RANK.EQ(all[[#This Row],[ORB]],all[ORB])</f>
        <v>13</v>
      </c>
      <c r="AJ13" s="6">
        <f>AVERAGE(nancy[DRB])</f>
        <v>24.06451612903226</v>
      </c>
      <c r="AK13" s="16">
        <f>_xlfn.RANK.EQ(all[[#This Row],[DRB]],all[DRB])</f>
        <v>6</v>
      </c>
      <c r="AL13" s="6">
        <f>AVERAGE(nancy[TRB])</f>
        <v>34</v>
      </c>
      <c r="AM13" s="16">
        <f>_xlfn.RANK.EQ(all[[#This Row],[TRB]],all[TRB])</f>
        <v>9</v>
      </c>
      <c r="AN13" s="6">
        <f>AVERAGE(nancy[AST])</f>
        <v>18.35483870967742</v>
      </c>
      <c r="AO13" s="16">
        <f>_xlfn.RANK.EQ(all[[#This Row],[AST]],all[AST])</f>
        <v>12</v>
      </c>
      <c r="AP13" s="6">
        <f>AVERAGE(nancy[STL])</f>
        <v>6.612903225806452</v>
      </c>
      <c r="AQ13" s="16">
        <f>_xlfn.RANK.EQ(all[[#This Row],[STL]],all[STL])</f>
        <v>6</v>
      </c>
      <c r="AR13" s="6">
        <f>AVERAGE(nancy[BLK])</f>
        <v>2.5483870967741935</v>
      </c>
      <c r="AS13" s="16">
        <f>_xlfn.RANK.EQ(all[[#This Row],[BLK]],all[BLK])</f>
        <v>10</v>
      </c>
      <c r="AT13" s="6">
        <f>AVERAGE(nancy[TOV])</f>
        <v>12.516129032258064</v>
      </c>
      <c r="AU13" s="16">
        <f>_xlfn.RANK.EQ(all[[#This Row],[TOV]],all[TOV],1)</f>
        <v>8</v>
      </c>
      <c r="AV13" s="6">
        <f>AVERAGE(nancy[PF])</f>
        <v>18.774193548387096</v>
      </c>
      <c r="AW13" s="16">
        <f>_xlfn.RANK.EQ(all[[#This Row],[PF]],all[PF],1)</f>
        <v>2</v>
      </c>
      <c r="AX13" s="6">
        <f>AVERAGE(nancy[FGAop])</f>
        <v>67.548387096774192</v>
      </c>
      <c r="AY13" s="16">
        <f>_xlfn.RANK.EQ(all[[#This Row],[FGA opp]],all[FGA opp],1)</f>
        <v>16</v>
      </c>
      <c r="AZ13" s="6">
        <f>AVERAGE(nancy[FGMop])</f>
        <v>32.322580645161288</v>
      </c>
      <c r="BA13" s="16">
        <f>_xlfn.RANK.EQ(all[[#This Row],[FGM opp]],all[FGM opp],1)</f>
        <v>16</v>
      </c>
      <c r="BB13" s="7">
        <f>AVERAGE(nancy[FGpop])</f>
        <v>0.47769354838709671</v>
      </c>
      <c r="BC13" s="16">
        <f>_xlfn.RANK.EQ(all[[#This Row],[FGp opp]],all[FGp opp],1)</f>
        <v>11</v>
      </c>
      <c r="BD13" s="6">
        <f>AVERAGE(nancy[P2Mop])</f>
        <v>21.93548387096774</v>
      </c>
      <c r="BE13" s="16">
        <f>_xlfn.RANK.EQ(all[[#This Row],[P2M opp]],all[P2M opp],1)</f>
        <v>16</v>
      </c>
      <c r="BF13" s="6">
        <f>AVERAGE(nancy[P2Aop])</f>
        <v>38.354838709677416</v>
      </c>
      <c r="BG13" s="16">
        <f>_xlfn.RANK.EQ(all[[#This Row],[P2A opp]],all[P2A opp],1)</f>
        <v>13</v>
      </c>
      <c r="BH13">
        <f>AVERAGE(nancy[P2pop])</f>
        <v>0.57102903225806445</v>
      </c>
      <c r="BI13" s="16">
        <f>_xlfn.RANK.EQ(all[[#This Row],[P2p opp]],all[P2p opp],1)</f>
        <v>11</v>
      </c>
      <c r="BJ13" s="6">
        <f>AVERAGE(nancy[P3Mop])</f>
        <v>10.387096774193548</v>
      </c>
      <c r="BK13" s="16">
        <f>_xlfn.RANK.EQ(all[[#This Row],[P3M opp]],all[P3M opp],1)</f>
        <v>14</v>
      </c>
      <c r="BL13" s="6">
        <f>AVERAGE(nancy[P3Aop])</f>
        <v>29.193548387096776</v>
      </c>
      <c r="BM13" s="16">
        <f>_xlfn.RANK.EQ(all[[#This Row],[P3A opp]],all[P3A opp],1)</f>
        <v>15</v>
      </c>
      <c r="BN13" s="7">
        <f>AVERAGE(nancy[P3pop])</f>
        <v>0.35382258064516131</v>
      </c>
      <c r="BO13" s="16">
        <f>_xlfn.RANK.EQ(all[[#This Row],[P3p opp]],all[P3p opp],1)</f>
        <v>10</v>
      </c>
      <c r="BP13" s="6">
        <f>AVERAGE(nancy[FTMop])</f>
        <v>13.258064516129032</v>
      </c>
      <c r="BQ13" s="16">
        <f>_xlfn.RANK.EQ(all[[#This Row],[FTM opp]],all[FTM opp],1)</f>
        <v>1</v>
      </c>
      <c r="BR13" s="6">
        <f>AVERAGE(nancy[FTAop])</f>
        <v>17.580645161290324</v>
      </c>
      <c r="BS13" s="16">
        <f>_xlfn.RANK.EQ(all[[#This Row],[FTA opp]],all[FTA opp],1)</f>
        <v>1</v>
      </c>
      <c r="BT13" s="7">
        <f>AVERAGE(nancy[FTpop])</f>
        <v>0.75047741935483869</v>
      </c>
      <c r="BU13" s="16">
        <f>_xlfn.RANK.EQ(all[[#This Row],[FTp opp]],all[FTp opp],1)</f>
        <v>9</v>
      </c>
      <c r="BV13" s="6">
        <f>AVERAGE(nancy[ORBop])</f>
        <v>12.419354838709678</v>
      </c>
      <c r="BW13" s="16">
        <f>_xlfn.RANK.EQ(all[[#This Row],[ORB opp]],all[ORB opp],1)</f>
        <v>14</v>
      </c>
      <c r="BX13" s="6">
        <f>AVERAGE(nancy[DRBop])</f>
        <v>24.580645161290324</v>
      </c>
      <c r="BY13" s="16">
        <f>_xlfn.RANK.EQ(all[[#This Row],[DRB opp]],all[DRB opp],1)</f>
        <v>12</v>
      </c>
      <c r="BZ13" s="6">
        <f>AVERAGE(nancy[TRBop])</f>
        <v>37</v>
      </c>
      <c r="CA13" s="16">
        <f>_xlfn.RANK.EQ(all[[#This Row],[TRB opp]],all[TRB opp],1)</f>
        <v>15</v>
      </c>
      <c r="CB13" s="6">
        <f>AVERAGE(nancy[ASTop])</f>
        <v>21.548387096774192</v>
      </c>
      <c r="CC13" s="16">
        <f>_xlfn.RANK.EQ(all[[#This Row],[AST opp]],all[AST opp],1)</f>
        <v>16</v>
      </c>
      <c r="CD13" s="6">
        <f>AVERAGE(nancy[STLop])</f>
        <v>6.32258064516129</v>
      </c>
      <c r="CE13" s="16">
        <f>_xlfn.RANK.EQ(all[[#This Row],[STL opp]],all[STL opp],1)</f>
        <v>10</v>
      </c>
      <c r="CF13" s="6">
        <f>AVERAGE(nancy[BLKop])</f>
        <v>2.774193548387097</v>
      </c>
      <c r="CG13" s="16">
        <f>_xlfn.RANK.EQ(all[[#This Row],[BLK opp]],all[BLK opp],1)</f>
        <v>9</v>
      </c>
      <c r="CH13" s="6">
        <f>AVERAGE(nancy[TOVop])</f>
        <v>12.225806451612904</v>
      </c>
      <c r="CI13" s="16">
        <f>_xlfn.RANK.EQ(all[[#This Row],[TOV opp]],all[TOV opp])</f>
        <v>7</v>
      </c>
      <c r="CJ13" s="6">
        <f>AVERAGE(nancy[PFop])</f>
        <v>20</v>
      </c>
      <c r="CK13" s="16">
        <f>_xlfn.RANK.EQ(all[[#This Row],[PF opp]],all[PF opp])</f>
        <v>12</v>
      </c>
      <c r="CL13" s="7">
        <f>AVERAGE(nancy[TS%])</f>
        <v>0.58961612903225802</v>
      </c>
      <c r="CM13" s="16">
        <f>_xlfn.RANK.EQ(all[[#This Row],[TSp]],all[TSp])</f>
        <v>8</v>
      </c>
      <c r="CN13" s="7">
        <f>AVERAGE(nancy[eFG%])</f>
        <v>0.56375483870967757</v>
      </c>
      <c r="CO13" s="16">
        <f>_xlfn.RANK.EQ(all[[#This Row],[eFGp]],all[eFGp])</f>
        <v>5</v>
      </c>
      <c r="CP13" s="7">
        <f>AVERAGE(nancy[ORB%])</f>
        <v>0.28333870967741936</v>
      </c>
      <c r="CQ13" s="16">
        <f>_xlfn.RANK.EQ(all[[#This Row],[ORBp]],all[ORBp])</f>
        <v>13</v>
      </c>
      <c r="CR13" s="7">
        <f>AVERAGE(nancy[DRB%])</f>
        <v>0.66211612903225803</v>
      </c>
      <c r="CS13" s="16">
        <f>_xlfn.RANK.EQ(all[[#This Row],[DRBp]],all[DRBp])</f>
        <v>14</v>
      </c>
      <c r="CT13" s="7">
        <f>AVERAGE(nancy[TRB%])</f>
        <v>0.47766129032258065</v>
      </c>
      <c r="CU13" s="16">
        <f>_xlfn.RANK.EQ(all[[#This Row],[TRBp]],all[TRBp])</f>
        <v>13</v>
      </c>
      <c r="CV13" s="6">
        <f>AVERAGE(nancy[Poss])</f>
        <v>73.223548387096784</v>
      </c>
      <c r="CW13" s="16">
        <f>_xlfn.RANK.EQ(all[[#This Row],[Poss]],all[Poss])</f>
        <v>4</v>
      </c>
      <c r="CX13" s="7">
        <f>AVERAGE(nancy[AST%])</f>
        <v>0.59663870967741939</v>
      </c>
      <c r="CY13" s="16">
        <f>_xlfn.RANK.EQ(all[[#This Row],[ASTp]],all[ASTp])</f>
        <v>14</v>
      </c>
      <c r="CZ13" s="7">
        <f>AVERAGE(nancy[FTFGA%])</f>
        <v>0.22537096774193544</v>
      </c>
      <c r="DA13" s="16">
        <f>_xlfn.RANK.EQ(all[[#This Row],[FTFGAp]],all[FTFGAp])</f>
        <v>14</v>
      </c>
      <c r="DB13" s="7">
        <f>AVERAGE(nancy[TOV%])</f>
        <v>0.14749354838709675</v>
      </c>
      <c r="DC13" s="16">
        <f>_xlfn.RANK.EQ(all[[#This Row],[TOVp]],all[TOVp],1)</f>
        <v>8</v>
      </c>
      <c r="DD13" s="6">
        <f>AVERAGE(nancy[ORtg])</f>
        <v>114.57741935483871</v>
      </c>
      <c r="DE13" s="16">
        <f>_xlfn.RANK.EQ(all[[#This Row],[ORtg]],all[ORtg])</f>
        <v>8</v>
      </c>
      <c r="DF13" s="6">
        <f>AVERAGE(nancy[DRtg])</f>
        <v>119.85483870967744</v>
      </c>
      <c r="DG13" s="16">
        <f>_xlfn.RANK.EQ(all[[#This Row],[DRtg]],all[DRtg],1)</f>
        <v>14</v>
      </c>
      <c r="DH13" s="6">
        <f>AVERAGE(nancy[Pace])</f>
        <v>73.630258064516127</v>
      </c>
      <c r="DI13" s="16">
        <f>_xlfn.RANK.EQ(all[[#This Row],[Pace]],all[Pace])</f>
        <v>2</v>
      </c>
      <c r="DJ13" s="7">
        <f>AVERAGE(nancy[TS%op])</f>
        <v>0.5856580645161289</v>
      </c>
      <c r="DK13" s="16">
        <f>_xlfn.RANK.EQ(all[[#This Row],[TSp opp]],all[TSp opp],1)</f>
        <v>7</v>
      </c>
      <c r="DL13" s="7">
        <f>AVERAGE(nancy[eFG%op])</f>
        <v>0.55444838709677402</v>
      </c>
      <c r="DM13" s="16">
        <f>_xlfn.RANK.EQ(all[[#This Row],[eFGp opp]],all[eFGp opp],1)</f>
        <v>13</v>
      </c>
      <c r="DN13" s="7">
        <f>AVERAGE(nancy[ORB%op])</f>
        <v>0.33788709677419354</v>
      </c>
      <c r="DO13" s="16">
        <f>_xlfn.RANK.EQ(all[[#This Row],[ORBp opp]],all[ORBp opp],1)</f>
        <v>14</v>
      </c>
      <c r="DP13" s="7">
        <f>AVERAGE(nancy[DRB%op])</f>
        <v>0.71666451612903237</v>
      </c>
      <c r="DQ13" s="16">
        <f>_xlfn.RANK.EQ(all[[#This Row],[DRBp opp]],all[DRBp opp],1)</f>
        <v>13</v>
      </c>
      <c r="DR13" s="7">
        <f>AVERAGE(nancy[TRB%op])</f>
        <v>0.52234193548387109</v>
      </c>
      <c r="DS13" s="16">
        <f>_xlfn.RANK.EQ(all[[#This Row],[TRBp opp]],all[TRBp opp],1)</f>
        <v>13</v>
      </c>
      <c r="DT13" s="6">
        <f>AVERAGE(nancy[Possop])</f>
        <v>74.03696774193547</v>
      </c>
      <c r="DU13" s="16">
        <f>_xlfn.RANK.EQ(all[[#This Row],[Poss opp]],all[Poss opp],1)</f>
        <v>16</v>
      </c>
      <c r="DV13" s="7">
        <f>AVERAGE(nancy[AST%op])</f>
        <v>0.6696741935483872</v>
      </c>
      <c r="DW13" s="16">
        <f>_xlfn.RANK.EQ(all[[#This Row],[ASTp opp]],all[ASTp opp],1)</f>
        <v>8</v>
      </c>
      <c r="DX13" s="7">
        <f>AVERAGE(nancy[FTFGA%op])</f>
        <v>0.1966290322580645</v>
      </c>
      <c r="DY13" s="16">
        <f>_xlfn.RANK.EQ(all[[#This Row],[FTFGAp opp]],all[FTFGAp opp],1)</f>
        <v>1</v>
      </c>
      <c r="DZ13" s="7">
        <f>AVERAGE(nancy[TOV%op])</f>
        <v>0.13973870967741936</v>
      </c>
      <c r="EA13" s="16">
        <f>_xlfn.RANK.EQ(all[[#This Row],[TOVp opp]],all[TOVp opp])</f>
        <v>12</v>
      </c>
      <c r="EB13" s="6">
        <f>AVERAGE(nancy[ORtgop])</f>
        <v>119.85483870967744</v>
      </c>
      <c r="EC13" s="16">
        <f>_xlfn.RANK.EQ(all[[#This Row],[ORtg opp]],all[ORtg opp],1)</f>
        <v>14</v>
      </c>
      <c r="ED13" s="6">
        <f>AVERAGE(nancy[DRtgop])</f>
        <v>114.57741935483871</v>
      </c>
      <c r="EE13" s="16">
        <f>_xlfn.RANK.EQ(all[[#This Row],[DRtg opp]],all[DRtg opp])</f>
        <v>8</v>
      </c>
      <c r="EF13" s="6">
        <f>AVERAGE(nancy[Q1H])</f>
        <v>21.129032258064516</v>
      </c>
      <c r="EG13" s="16">
        <f>_xlfn.RANK.EQ(all[[#This Row],[Q1H]],all[Q1H])</f>
        <v>7</v>
      </c>
      <c r="EH13" s="6">
        <f>AVERAGE(nancy[Q2H])</f>
        <v>19.193548387096776</v>
      </c>
      <c r="EI13" s="16">
        <f>_xlfn.RANK.EQ(all[[#This Row],[Q2H]],all[Q2H])</f>
        <v>15</v>
      </c>
      <c r="EJ13" s="6">
        <f>AVERAGE(nancy[Q3H])</f>
        <v>22.774193548387096</v>
      </c>
      <c r="EK13" s="16">
        <f>_xlfn.RANK.EQ(all[[#This Row],[Q3H]],all[Q3H])</f>
        <v>3</v>
      </c>
      <c r="EL13" s="6">
        <f>AVERAGE(nancy[Q4H])</f>
        <v>21.096774193548388</v>
      </c>
      <c r="EM13" s="16">
        <f>_xlfn.RANK.EQ(all[[#This Row],[Q4H]],all[Q4H])</f>
        <v>7</v>
      </c>
      <c r="EN13" s="6">
        <f>AVERAGE(nancy[Q1A])</f>
        <v>22.193548387096776</v>
      </c>
      <c r="EO13" s="16">
        <f>_xlfn.RANK.EQ(all[[#This Row],[Q1A]],all[Q1A],1)</f>
        <v>15</v>
      </c>
      <c r="EP13" s="6">
        <f>AVERAGE(nancy[Q2A])</f>
        <v>23.35483870967742</v>
      </c>
      <c r="EQ13" s="16">
        <f>_xlfn.RANK.EQ(all[[#This Row],[Q2A]],all[Q2A],1)</f>
        <v>14</v>
      </c>
      <c r="ER13" s="6">
        <f>AVERAGE(nancy[Q3A])</f>
        <v>20.677419354838708</v>
      </c>
      <c r="ES13" s="16">
        <f>_xlfn.RANK.EQ(all[[#This Row],[Q3A]],all[Q3A],1)</f>
        <v>8</v>
      </c>
      <c r="ET13" s="6">
        <f>AVERAGE(nancy[Q4A])</f>
        <v>22.06451612903226</v>
      </c>
      <c r="EU13" s="16">
        <f>_xlfn.RANK.EQ(all[[#This Row],[Q4A]],all[Q4A],1)</f>
        <v>13</v>
      </c>
      <c r="EV13" s="6">
        <f>AVERAGE(nancy[FhalfH])</f>
        <v>40.322580645161288</v>
      </c>
      <c r="EW13" s="16">
        <f>_xlfn.RANK.EQ(all[[#This Row],[FHH]],all[FHH])</f>
        <v>11</v>
      </c>
      <c r="EX13" s="5">
        <f>AVERAGE(nancy[FhalfA])</f>
        <v>45.548387096774192</v>
      </c>
      <c r="EY13" s="16">
        <f>_xlfn.RANK.EQ(all[[#This Row],[FHA]],all[FHA],1)</f>
        <v>15</v>
      </c>
      <c r="EZ13" s="6">
        <f>AVERAGE(nancy[ShalfH])</f>
        <v>43.87096774193548</v>
      </c>
      <c r="FA13" s="16">
        <f>_xlfn.RANK.EQ(all[[#This Row],[SHH]],all[SHH])</f>
        <v>4</v>
      </c>
      <c r="FB13" s="6">
        <f>AVERAGE(nancy[ShalfA])</f>
        <v>42.741935483870968</v>
      </c>
      <c r="FC13" s="16">
        <f>_xlfn.RANK.EQ(all[[#This Row],[SHA]],all[SHA],1)</f>
        <v>11</v>
      </c>
      <c r="FD13" s="6">
        <f ca="1">AVERAGE(LARGE(OFFSET(nancy[Home_scored],COUNTA(nancy[Home_scored])-5, 0, 5, 1),2), LARGE(OFFSET(nancy[Home_scored],COUNTA(nancy[Home_scored])-5, 0, 5, 1),3),LARGE(OFFSET(nancy[Home_scored],COUNTA(nancy[Home_scored])-5, 0, 5, 1),4))</f>
        <v>83</v>
      </c>
      <c r="FE13" s="6">
        <f ca="1">AVERAGE(LARGE(OFFSET(nancy[Away_scored],COUNTA(nancy[Away_scored])-5, 0, 5, 1),2), LARGE(OFFSET(nancy[Away_scored],COUNTA(nancy[Away_scored])-5, 0, 5, 1),3),LARGE(OFFSET(nancy[Away_scored],COUNTA(nancy[Away_scored])-5, 0, 5, 1),4))</f>
        <v>91.666666666666671</v>
      </c>
      <c r="FF13" s="16">
        <f ca="1">COUNTIF(INDIRECT(all[[#This Row],[Table name]]&amp;"[result]"),"w")+COUNTIF(INDIRECT(all[[#This Row],[Table name]]&amp;"[result]"),"dw")</f>
        <v>14</v>
      </c>
      <c r="FG13" s="16">
        <f ca="1">COUNTIF(INDIRECT(all[[#This Row],[Table name]]&amp;"[result]"),"l")+COUNTIF(INDIRECT(all[[#This Row],[Table name]]&amp;"[result]"),"dl")</f>
        <v>17</v>
      </c>
      <c r="FH13" s="7">
        <f ca="1">all[[#This Row],[Wins]]/(all[[#This Row],[Wins]]+all[[#This Row],[Losses]])</f>
        <v>0.45161290322580644</v>
      </c>
      <c r="FI13">
        <f ca="1">_xlfn.RANK.EQ(all[[#This Row],[rating]],all[rating])</f>
        <v>8</v>
      </c>
      <c r="FJ13" s="5">
        <f t="shared" si="0"/>
        <v>9.9384615384615387</v>
      </c>
      <c r="FK13" s="6">
        <f>all[[#This Row],[Q1H]]+all[[#This Row],[Q1A]]</f>
        <v>43.322580645161295</v>
      </c>
      <c r="FL13" s="16">
        <f>_xlfn.RANK.EQ(all[[#This Row],[Q1T]],all[Q1T])</f>
        <v>4</v>
      </c>
      <c r="FM13" s="6">
        <f>all[[#This Row],[Q2H]]+all[[#This Row],[Q2A]]</f>
        <v>42.548387096774192</v>
      </c>
      <c r="FN13" s="16">
        <f>_xlfn.RANK.EQ(all[[#This Row],[Q2T]],all[Q2T])</f>
        <v>5</v>
      </c>
      <c r="FO13" s="6">
        <f>all[[#This Row],[Q3H]]+all[[#This Row],[Q3A]]</f>
        <v>43.451612903225808</v>
      </c>
      <c r="FP13" s="16">
        <f>_xlfn.RANK.EQ(all[[#This Row],[Q3T]],all[Q3T])</f>
        <v>7</v>
      </c>
      <c r="FQ13" s="6">
        <f>all[[#This Row],[Q4H]]+all[[#This Row],[Q4A]]</f>
        <v>43.161290322580648</v>
      </c>
      <c r="FR13" s="16">
        <f>_xlfn.RANK.EQ(all[[#This Row],[Q4T]],all[Q4T])</f>
        <v>5</v>
      </c>
      <c r="FS13" s="6">
        <f>all[[#This Row],[FHH]]+all[[#This Row],[FHA]]</f>
        <v>85.870967741935488</v>
      </c>
      <c r="FT13" s="16">
        <f>_xlfn.RANK.EQ(all[[#This Row],[FHT]],all[FHT])</f>
        <v>5</v>
      </c>
      <c r="FU13" s="6">
        <f>all[[#This Row],[SHH]]+all[[#This Row],[SHA]]</f>
        <v>86.612903225806448</v>
      </c>
      <c r="FV13" s="16">
        <f>_xlfn.RANK.EQ(all[[#This Row],[SHT]],all[SHT])</f>
        <v>5</v>
      </c>
      <c r="FW13" s="6">
        <f ca="1">SUM(INDIRECT(all[[#This Row],[Table name]]&amp;"[BetH]"))</f>
        <v>-2.1700000000000004</v>
      </c>
      <c r="FX13" s="16">
        <f ca="1">_xlfn.RANK.EQ(all[[#This Row],[BetH]],all[BetH])</f>
        <v>8</v>
      </c>
      <c r="FY13" s="6">
        <f ca="1">SUM(INDIRECT(all[[#This Row],[Table name]]&amp;"[BetA]"))</f>
        <v>-4.9499999999999993</v>
      </c>
      <c r="FZ13" s="16">
        <f ca="1">_xlfn.RANK.EQ(all[[#This Row],[BetA]],all[BetA])</f>
        <v>11</v>
      </c>
      <c r="GA13" s="16">
        <f ca="1">SUM(INDIRECT(all[[#This Row],[Table name]]&amp;"[Tover]"))</f>
        <v>23</v>
      </c>
      <c r="GB13" s="16">
        <f ca="1">_xlfn.RANK.EQ(all[[#This Row],[Tover]],all[Tover])</f>
        <v>4</v>
      </c>
      <c r="GC13" s="6">
        <f ca="1">AVERAGE(INDIRECT(all[[#This Row],[Table name]]&amp;"[Deviation]"))</f>
        <v>14.516129032258064</v>
      </c>
      <c r="GD13" s="16">
        <f ca="1">_xlfn.RANK.EQ(all[[#This Row],[Deviation]],all[Deviation],1)</f>
        <v>10</v>
      </c>
    </row>
    <row r="14" spans="1:186" x14ac:dyDescent="0.25">
      <c r="A14" s="9" t="s">
        <v>336</v>
      </c>
      <c r="B14" t="s">
        <v>336</v>
      </c>
      <c r="C14" t="s">
        <v>337</v>
      </c>
      <c r="D14" t="s">
        <v>338</v>
      </c>
      <c r="E14">
        <f>_xlfn.RANK.EQ(all[[#This Row],[AVG_RT]],all[AVG_RT],1)</f>
        <v>14</v>
      </c>
      <c r="F14" s="6">
        <f>AVERAGE(nantere[Home_scored])</f>
        <v>81.766666666666666</v>
      </c>
      <c r="G14" s="16">
        <f>_xlfn.RANK.EQ(all[[#This Row],[PM]],all[PM])</f>
        <v>10</v>
      </c>
      <c r="H14" s="6">
        <f>AVERAGE(nantere[Away_scored])</f>
        <v>85.4</v>
      </c>
      <c r="I14" s="16">
        <f>_xlfn.RANK.EQ(all[[#This Row],[PC]],all[PC],1)</f>
        <v>13</v>
      </c>
      <c r="J14" s="6">
        <f>AVERAGE(nantere[FGA])</f>
        <v>64.333333333333329</v>
      </c>
      <c r="K14" s="16">
        <f>_xlfn.RANK.EQ(all[[#This Row],[FGA]],all[FGA])</f>
        <v>3</v>
      </c>
      <c r="L14" s="6">
        <f>AVERAGE(nantere[FGM])</f>
        <v>30.2</v>
      </c>
      <c r="M14" s="16">
        <f>_xlfn.RANK.EQ(all[[#This Row],[FGM]],all[FGM])</f>
        <v>5</v>
      </c>
      <c r="N14" s="7">
        <f>AVERAGE(nantere[FGp])</f>
        <v>0.47128666666666663</v>
      </c>
      <c r="O14" s="16">
        <f>_xlfn.RANK.EQ(all[[#This Row],[FGp]],all[FGp])</f>
        <v>9</v>
      </c>
      <c r="P14" s="6">
        <f>AVERAGE(nantere[P2M])</f>
        <v>22.733333333333334</v>
      </c>
      <c r="Q14" s="16">
        <f>_xlfn.RANK.EQ(all[[#This Row],[P2M]],all[P2M])</f>
        <v>1</v>
      </c>
      <c r="R14" s="6">
        <f>AVERAGE(nantere[P2A])</f>
        <v>41.7</v>
      </c>
      <c r="S14" s="16">
        <f>_xlfn.RANK.EQ(all[[#This Row],[P2A]],all[P2A])</f>
        <v>1</v>
      </c>
      <c r="T14" s="7">
        <f>AVERAGE(nantere[P2p])</f>
        <v>0.54575666666666678</v>
      </c>
      <c r="U14" s="16">
        <f>_xlfn.RANK.EQ(all[[#This Row],[P2p]],all[P2p])</f>
        <v>11</v>
      </c>
      <c r="V14" s="6">
        <f>AVERAGE(nantere[P3M])</f>
        <v>7.4666666666666668</v>
      </c>
      <c r="W14" s="16">
        <f>_xlfn.RANK.EQ(all[[#This Row],[P3M]],all[P3M])</f>
        <v>15</v>
      </c>
      <c r="X14" s="6">
        <f>AVERAGE(nantere[P3A])</f>
        <v>22.633333333333333</v>
      </c>
      <c r="Y14" s="16">
        <f>_xlfn.RANK.EQ(all[[#This Row],[P3A]],all[P3A])</f>
        <v>16</v>
      </c>
      <c r="Z14" s="7">
        <f>AVERAGE(nantere[P3p])</f>
        <v>0.32894000000000001</v>
      </c>
      <c r="AA14" s="16">
        <f>_xlfn.RANK.EQ(all[[#This Row],[P3p]],all[P3p])</f>
        <v>14</v>
      </c>
      <c r="AB14" s="6">
        <f>AVERAGE(nantere[FTM])</f>
        <v>13.9</v>
      </c>
      <c r="AC14" s="16">
        <f>_xlfn.RANK.EQ(all[[#This Row],[FTM]],all[FTM])</f>
        <v>12</v>
      </c>
      <c r="AD14" s="6">
        <f>AVERAGE(nantere[FTA])</f>
        <v>18.466666666666665</v>
      </c>
      <c r="AE14" s="16">
        <f>_xlfn.RANK.EQ(all[[#This Row],[FTA]],all[FTA])</f>
        <v>15</v>
      </c>
      <c r="AF14" s="7">
        <f>AVERAGE(nantere[FTp])</f>
        <v>0.73648333333333349</v>
      </c>
      <c r="AG14" s="16">
        <f>_xlfn.RANK.EQ(all[[#This Row],[FTp]],all[FTp])</f>
        <v>10</v>
      </c>
      <c r="AH14" s="6">
        <f>AVERAGE(nantere[ORB])</f>
        <v>11</v>
      </c>
      <c r="AI14" s="16">
        <f>_xlfn.RANK.EQ(all[[#This Row],[ORB]],all[ORB])</f>
        <v>8</v>
      </c>
      <c r="AJ14" s="6">
        <f>AVERAGE(nantere[DRB])</f>
        <v>20.933333333333334</v>
      </c>
      <c r="AK14" s="16">
        <f>_xlfn.RANK.EQ(all[[#This Row],[DRB]],all[DRB])</f>
        <v>14</v>
      </c>
      <c r="AL14" s="6">
        <f>AVERAGE(nantere[TRB])</f>
        <v>31.933333333333334</v>
      </c>
      <c r="AM14" s="16">
        <f>_xlfn.RANK.EQ(all[[#This Row],[TRB]],all[TRB])</f>
        <v>13</v>
      </c>
      <c r="AN14" s="6">
        <f>AVERAGE(nantere[AST])</f>
        <v>19.466666666666665</v>
      </c>
      <c r="AO14" s="16">
        <f>_xlfn.RANK.EQ(all[[#This Row],[AST]],all[AST])</f>
        <v>9</v>
      </c>
      <c r="AP14" s="6">
        <f>AVERAGE(nantere[STL])</f>
        <v>8.3000000000000007</v>
      </c>
      <c r="AQ14" s="16">
        <f>_xlfn.RANK.EQ(all[[#This Row],[STL]],all[STL])</f>
        <v>1</v>
      </c>
      <c r="AR14" s="6">
        <f>AVERAGE(nantere[BLK])</f>
        <v>1.6333333333333333</v>
      </c>
      <c r="AS14" s="16">
        <f>_xlfn.RANK.EQ(all[[#This Row],[BLK]],all[BLK])</f>
        <v>15</v>
      </c>
      <c r="AT14" s="6">
        <f>AVERAGE(nantere[TOV])</f>
        <v>12.433333333333334</v>
      </c>
      <c r="AU14" s="16">
        <f>_xlfn.RANK.EQ(all[[#This Row],[TOV]],all[TOV],1)</f>
        <v>7</v>
      </c>
      <c r="AV14" s="6">
        <f>AVERAGE(nantere[PF])</f>
        <v>22.766666666666666</v>
      </c>
      <c r="AW14" s="16">
        <f>_xlfn.RANK.EQ(all[[#This Row],[PF]],all[PF],1)</f>
        <v>14</v>
      </c>
      <c r="AX14" s="6">
        <f>AVERAGE(nantere[FGAop])</f>
        <v>57.466666666666669</v>
      </c>
      <c r="AY14" s="16">
        <f>_xlfn.RANK.EQ(all[[#This Row],[FGA opp]],all[FGA opp],1)</f>
        <v>3</v>
      </c>
      <c r="AZ14" s="6">
        <f>AVERAGE(nantere[FGMop])</f>
        <v>29.066666666666666</v>
      </c>
      <c r="BA14" s="16">
        <f>_xlfn.RANK.EQ(all[[#This Row],[FGM opp]],all[FGM opp],1)</f>
        <v>5</v>
      </c>
      <c r="BB14" s="7">
        <f>AVERAGE(nantere[FGpop])</f>
        <v>0.5055033333333333</v>
      </c>
      <c r="BC14" s="16">
        <f>_xlfn.RANK.EQ(all[[#This Row],[FGp opp]],all[FGp opp],1)</f>
        <v>15</v>
      </c>
      <c r="BD14" s="6">
        <f>AVERAGE(nantere[P2Mop])</f>
        <v>19.633333333333333</v>
      </c>
      <c r="BE14" s="16">
        <f>_xlfn.RANK.EQ(all[[#This Row],[P2M opp]],all[P2M opp],1)</f>
        <v>6</v>
      </c>
      <c r="BF14" s="6">
        <f>AVERAGE(nantere[P2Aop])</f>
        <v>32.1</v>
      </c>
      <c r="BG14" s="16">
        <f>_xlfn.RANK.EQ(all[[#This Row],[P2A opp]],all[P2A opp],1)</f>
        <v>3</v>
      </c>
      <c r="BH14">
        <f>AVERAGE(nantere[P2pop])</f>
        <v>0.61276000000000008</v>
      </c>
      <c r="BI14" s="16">
        <f>_xlfn.RANK.EQ(all[[#This Row],[P2p opp]],all[P2p opp],1)</f>
        <v>15</v>
      </c>
      <c r="BJ14" s="6">
        <f>AVERAGE(nantere[P3Mop])</f>
        <v>9.4333333333333336</v>
      </c>
      <c r="BK14" s="16">
        <f>_xlfn.RANK.EQ(all[[#This Row],[P3M opp]],all[P3M opp],1)</f>
        <v>10</v>
      </c>
      <c r="BL14" s="6">
        <f>AVERAGE(nantere[P3Aop])</f>
        <v>25.366666666666667</v>
      </c>
      <c r="BM14" s="16">
        <f>_xlfn.RANK.EQ(all[[#This Row],[P3A opp]],all[P3A opp],1)</f>
        <v>8</v>
      </c>
      <c r="BN14" s="7">
        <f>AVERAGE(nantere[P3pop])</f>
        <v>0.37183666666666659</v>
      </c>
      <c r="BO14" s="16">
        <f>_xlfn.RANK.EQ(all[[#This Row],[P3p opp]],all[P3p opp],1)</f>
        <v>14</v>
      </c>
      <c r="BP14" s="6">
        <f>AVERAGE(nantere[FTMop])</f>
        <v>17.833333333333332</v>
      </c>
      <c r="BQ14" s="16">
        <f>_xlfn.RANK.EQ(all[[#This Row],[FTM opp]],all[FTM opp],1)</f>
        <v>14</v>
      </c>
      <c r="BR14" s="6">
        <f>AVERAGE(nantere[FTAop])</f>
        <v>23.666666666666668</v>
      </c>
      <c r="BS14" s="16">
        <f>_xlfn.RANK.EQ(all[[#This Row],[FTA opp]],all[FTA opp],1)</f>
        <v>14</v>
      </c>
      <c r="BT14" s="7">
        <f>AVERAGE(nantere[FTpop])</f>
        <v>0.74907999999999986</v>
      </c>
      <c r="BU14" s="16">
        <f>_xlfn.RANK.EQ(all[[#This Row],[FTp opp]],all[FTp opp],1)</f>
        <v>8</v>
      </c>
      <c r="BV14" s="6">
        <f>AVERAGE(nantere[ORBop])</f>
        <v>9.6999999999999993</v>
      </c>
      <c r="BW14" s="16">
        <f>_xlfn.RANK.EQ(all[[#This Row],[ORB opp]],all[ORB opp],1)</f>
        <v>3</v>
      </c>
      <c r="BX14" s="6">
        <f>AVERAGE(nantere[DRBop])</f>
        <v>24.6</v>
      </c>
      <c r="BY14" s="16">
        <f>_xlfn.RANK.EQ(all[[#This Row],[DRB opp]],all[DRB opp],1)</f>
        <v>13</v>
      </c>
      <c r="BZ14" s="6">
        <f>AVERAGE(nantere[TRBop])</f>
        <v>34.299999999999997</v>
      </c>
      <c r="CA14" s="16">
        <f>_xlfn.RANK.EQ(all[[#This Row],[TRB opp]],all[TRB opp],1)</f>
        <v>10</v>
      </c>
      <c r="CB14" s="6">
        <f>AVERAGE(nantere[ASTop])</f>
        <v>20.9</v>
      </c>
      <c r="CC14" s="16">
        <f>_xlfn.RANK.EQ(all[[#This Row],[AST opp]],all[AST opp],1)</f>
        <v>14</v>
      </c>
      <c r="CD14" s="6">
        <f>AVERAGE(nantere[STLop])</f>
        <v>6.2333333333333334</v>
      </c>
      <c r="CE14" s="16">
        <f>_xlfn.RANK.EQ(all[[#This Row],[STL opp]],all[STL opp],1)</f>
        <v>8</v>
      </c>
      <c r="CF14" s="6">
        <f>AVERAGE(nantere[BLKop])</f>
        <v>2.3666666666666667</v>
      </c>
      <c r="CG14" s="16">
        <f>_xlfn.RANK.EQ(all[[#This Row],[BLK opp]],all[BLK opp],1)</f>
        <v>4</v>
      </c>
      <c r="CH14" s="6">
        <f>AVERAGE(nantere[TOVop])</f>
        <v>15.566666666666666</v>
      </c>
      <c r="CI14" s="16">
        <f>_xlfn.RANK.EQ(all[[#This Row],[TOV opp]],all[TOV opp])</f>
        <v>1</v>
      </c>
      <c r="CJ14" s="6">
        <f>AVERAGE(nantere[PFop])</f>
        <v>20.833333333333332</v>
      </c>
      <c r="CK14" s="16">
        <f>_xlfn.RANK.EQ(all[[#This Row],[PF opp]],all[PF opp])</f>
        <v>9</v>
      </c>
      <c r="CL14" s="7">
        <f>AVERAGE(nantere[TS%])</f>
        <v>0.56591333333333338</v>
      </c>
      <c r="CM14" s="16">
        <f>_xlfn.RANK.EQ(all[[#This Row],[TSp]],all[TSp])</f>
        <v>12</v>
      </c>
      <c r="CN14" s="7">
        <f>AVERAGE(nantere[eFG%])</f>
        <v>0.5303133333333333</v>
      </c>
      <c r="CO14" s="16">
        <f>_xlfn.RANK.EQ(all[[#This Row],[eFGp]],all[eFGp])</f>
        <v>11</v>
      </c>
      <c r="CP14" s="7">
        <f>AVERAGE(nantere[ORB%])</f>
        <v>0.30243666666666669</v>
      </c>
      <c r="CQ14" s="16">
        <f>_xlfn.RANK.EQ(all[[#This Row],[ORBp]],all[ORBp])</f>
        <v>10</v>
      </c>
      <c r="CR14" s="7">
        <f>AVERAGE(nantere[DRB%])</f>
        <v>0.68091999999999997</v>
      </c>
      <c r="CS14" s="16">
        <f>_xlfn.RANK.EQ(all[[#This Row],[DRBp]],all[DRBp])</f>
        <v>12</v>
      </c>
      <c r="CT14" s="7">
        <f>AVERAGE(nantere[TRB%])</f>
        <v>0.48013666666666666</v>
      </c>
      <c r="CU14" s="16">
        <f>_xlfn.RANK.EQ(all[[#This Row],[TRBp]],all[TRBp])</f>
        <v>12</v>
      </c>
      <c r="CV14" s="6">
        <f>AVERAGE(nantere[Poss])</f>
        <v>71.297399999999982</v>
      </c>
      <c r="CW14" s="16">
        <f>_xlfn.RANK.EQ(all[[#This Row],[Poss]],all[Poss])</f>
        <v>9</v>
      </c>
      <c r="CX14" s="7">
        <f>AVERAGE(nantere[AST%])</f>
        <v>0.64701666666666691</v>
      </c>
      <c r="CY14" s="16">
        <f>_xlfn.RANK.EQ(all[[#This Row],[ASTp]],all[ASTp])</f>
        <v>11</v>
      </c>
      <c r="CZ14" s="7">
        <f>AVERAGE(nantere[FTFGA%])</f>
        <v>0.22151333333333334</v>
      </c>
      <c r="DA14" s="16">
        <f>_xlfn.RANK.EQ(all[[#This Row],[FTFGAp]],all[FTFGAp])</f>
        <v>15</v>
      </c>
      <c r="DB14" s="7">
        <f>AVERAGE(nantere[TOV%])</f>
        <v>0.14685000000000004</v>
      </c>
      <c r="DC14" s="16">
        <f>_xlfn.RANK.EQ(all[[#This Row],[TOVp]],all[TOVp],1)</f>
        <v>7</v>
      </c>
      <c r="DD14" s="6">
        <f>AVERAGE(nantere[ORtg])</f>
        <v>112.48666666666668</v>
      </c>
      <c r="DE14" s="16">
        <f>_xlfn.RANK.EQ(all[[#This Row],[ORtg]],all[ORtg])</f>
        <v>10</v>
      </c>
      <c r="DF14" s="6">
        <f>AVERAGE(nantere[DRtg])</f>
        <v>117.65</v>
      </c>
      <c r="DG14" s="16">
        <f>_xlfn.RANK.EQ(all[[#This Row],[DRtg]],all[DRtg],1)</f>
        <v>12</v>
      </c>
      <c r="DH14" s="6">
        <f>AVERAGE(nantere[Pace])</f>
        <v>72.543833333333353</v>
      </c>
      <c r="DI14" s="16">
        <f>_xlfn.RANK.EQ(all[[#This Row],[Pace]],all[Pace])</f>
        <v>4</v>
      </c>
      <c r="DJ14" s="7">
        <f>AVERAGE(nantere[TS%op])</f>
        <v>0.62814000000000003</v>
      </c>
      <c r="DK14" s="16">
        <f>_xlfn.RANK.EQ(all[[#This Row],[TSp opp]],all[TSp opp],1)</f>
        <v>15</v>
      </c>
      <c r="DL14" s="7">
        <f>AVERAGE(nantere[eFG%op])</f>
        <v>0.58730666666666675</v>
      </c>
      <c r="DM14" s="16">
        <f>_xlfn.RANK.EQ(all[[#This Row],[eFGp opp]],all[eFGp opp],1)</f>
        <v>15</v>
      </c>
      <c r="DN14" s="7">
        <f>AVERAGE(nantere[ORB%op])</f>
        <v>0.31908666666666663</v>
      </c>
      <c r="DO14" s="16">
        <f>_xlfn.RANK.EQ(all[[#This Row],[ORBp opp]],all[ORBp opp],1)</f>
        <v>12</v>
      </c>
      <c r="DP14" s="7">
        <f>AVERAGE(nantere[DRB%op])</f>
        <v>0.69757000000000013</v>
      </c>
      <c r="DQ14" s="16">
        <f>_xlfn.RANK.EQ(all[[#This Row],[DRBp opp]],all[DRBp opp],1)</f>
        <v>10</v>
      </c>
      <c r="DR14" s="7">
        <f>AVERAGE(nantere[TRB%op])</f>
        <v>0.5198666666666667</v>
      </c>
      <c r="DS14" s="16">
        <f>_xlfn.RANK.EQ(all[[#This Row],[TRBp opp]],all[TRBp opp],1)</f>
        <v>12</v>
      </c>
      <c r="DT14" s="6">
        <f>AVERAGE(nantere[Possop])</f>
        <v>73.790266666666639</v>
      </c>
      <c r="DU14" s="16">
        <f>_xlfn.RANK.EQ(all[[#This Row],[Poss opp]],all[Poss opp],1)</f>
        <v>15</v>
      </c>
      <c r="DV14" s="7">
        <f>AVERAGE(nantere[AST%op])</f>
        <v>0.72006999999999988</v>
      </c>
      <c r="DW14" s="16">
        <f>_xlfn.RANK.EQ(all[[#This Row],[ASTp opp]],all[ASTp opp],1)</f>
        <v>15</v>
      </c>
      <c r="DX14" s="7">
        <f>AVERAGE(nantere[FTFGA%op])</f>
        <v>0.31595666666666672</v>
      </c>
      <c r="DY14" s="16">
        <f>_xlfn.RANK.EQ(all[[#This Row],[FTFGAp opp]],all[FTFGAp opp],1)</f>
        <v>15</v>
      </c>
      <c r="DZ14" s="7">
        <f>AVERAGE(nantere[TOV%op])</f>
        <v>0.18723999999999999</v>
      </c>
      <c r="EA14" s="16">
        <f>_xlfn.RANK.EQ(all[[#This Row],[TOVp opp]],all[TOVp opp])</f>
        <v>1</v>
      </c>
      <c r="EB14" s="6">
        <f>AVERAGE(nantere[ORtgop])</f>
        <v>117.65</v>
      </c>
      <c r="EC14" s="16">
        <f>_xlfn.RANK.EQ(all[[#This Row],[ORtg opp]],all[ORtg opp],1)</f>
        <v>12</v>
      </c>
      <c r="ED14" s="6">
        <f>AVERAGE(nantere[DRtgop])</f>
        <v>112.48666666666668</v>
      </c>
      <c r="EE14" s="16">
        <f>_xlfn.RANK.EQ(all[[#This Row],[DRtg opp]],all[DRtg opp])</f>
        <v>10</v>
      </c>
      <c r="EF14" s="6">
        <f>AVERAGE(nantere[Q1H])</f>
        <v>21.533333333333335</v>
      </c>
      <c r="EG14" s="16">
        <f>_xlfn.RANK.EQ(all[[#This Row],[Q1H]],all[Q1H])</f>
        <v>5</v>
      </c>
      <c r="EH14" s="6">
        <f>AVERAGE(nantere[Q2H])</f>
        <v>19.733333333333334</v>
      </c>
      <c r="EI14" s="16">
        <f>_xlfn.RANK.EQ(all[[#This Row],[Q2H]],all[Q2H])</f>
        <v>11</v>
      </c>
      <c r="EJ14" s="6">
        <f>AVERAGE(nantere[Q3H])</f>
        <v>20.766666666666666</v>
      </c>
      <c r="EK14" s="16">
        <f>_xlfn.RANK.EQ(all[[#This Row],[Q3H]],all[Q3H])</f>
        <v>9</v>
      </c>
      <c r="EL14" s="6">
        <f>AVERAGE(nantere[Q4H])</f>
        <v>19.733333333333334</v>
      </c>
      <c r="EM14" s="16">
        <f>_xlfn.RANK.EQ(all[[#This Row],[Q4H]],all[Q4H])</f>
        <v>12</v>
      </c>
      <c r="EN14" s="6">
        <f>AVERAGE(nantere[Q1A])</f>
        <v>22.066666666666666</v>
      </c>
      <c r="EO14" s="16">
        <f>_xlfn.RANK.EQ(all[[#This Row],[Q1A]],all[Q1A],1)</f>
        <v>14</v>
      </c>
      <c r="EP14" s="6">
        <f>AVERAGE(nantere[Q2A])</f>
        <v>21.833333333333332</v>
      </c>
      <c r="EQ14" s="16">
        <f>_xlfn.RANK.EQ(all[[#This Row],[Q2A]],all[Q2A],1)</f>
        <v>11</v>
      </c>
      <c r="ER14" s="6">
        <f>AVERAGE(nantere[Q3A])</f>
        <v>20.6</v>
      </c>
      <c r="ES14" s="16">
        <f>_xlfn.RANK.EQ(all[[#This Row],[Q3A]],all[Q3A],1)</f>
        <v>7</v>
      </c>
      <c r="ET14" s="6">
        <f>AVERAGE(nantere[Q4A])</f>
        <v>20.9</v>
      </c>
      <c r="EU14" s="16">
        <f>_xlfn.RANK.EQ(all[[#This Row],[Q4A]],all[Q4A],1)</f>
        <v>9</v>
      </c>
      <c r="EV14" s="6">
        <f>AVERAGE(nantere[FhalfH])</f>
        <v>41.266666666666666</v>
      </c>
      <c r="EW14" s="16">
        <f>_xlfn.RANK.EQ(all[[#This Row],[FHH]],all[FHH])</f>
        <v>8</v>
      </c>
      <c r="EX14" s="5">
        <f>AVERAGE(nantere[FhalfA])</f>
        <v>43.9</v>
      </c>
      <c r="EY14" s="16">
        <f>_xlfn.RANK.EQ(all[[#This Row],[FHA]],all[FHA],1)</f>
        <v>14</v>
      </c>
      <c r="EZ14" s="6">
        <f>AVERAGE(nantere[ShalfH])</f>
        <v>40.5</v>
      </c>
      <c r="FA14" s="16">
        <f>_xlfn.RANK.EQ(all[[#This Row],[SHH]],all[SHH])</f>
        <v>10</v>
      </c>
      <c r="FB14" s="6">
        <f>AVERAGE(nantere[ShalfA])</f>
        <v>41.5</v>
      </c>
      <c r="FC14" s="16">
        <f>_xlfn.RANK.EQ(all[[#This Row],[SHA]],all[SHA],1)</f>
        <v>6</v>
      </c>
      <c r="FD14" s="6">
        <f ca="1">AVERAGE(LARGE(OFFSET(nantere[Home_scored],COUNTA(nantere[Home_scored])-5, 0, 5, 1),2), LARGE(OFFSET(nantere[Home_scored],COUNTA(nantere[Home_scored])-5, 0, 5, 1),3),LARGE(OFFSET(nantere[Home_scored],COUNTA(nantere[Home_scored])-5, 0, 5, 1),4))</f>
        <v>75.666666666666671</v>
      </c>
      <c r="FE14" s="6">
        <f ca="1">AVERAGE(LARGE(OFFSET(nantere[Away_scored],COUNTA(nantere[Away_scored])-5, 0, 5, 1),2), LARGE(OFFSET(nantere[Away_scored],COUNTA(nantere[Away_scored])-5, 0, 5, 1),3),LARGE(OFFSET(nantere[Away_scored],COUNTA(nantere[Away_scored])-5, 0, 5, 1),4))</f>
        <v>87.333333333333329</v>
      </c>
      <c r="FF14" s="16">
        <f ca="1">COUNTIF(INDIRECT(all[[#This Row],[Table name]]&amp;"[result]"),"w")+COUNTIF(INDIRECT(all[[#This Row],[Table name]]&amp;"[result]"),"dw")</f>
        <v>11</v>
      </c>
      <c r="FG14" s="16">
        <f ca="1">COUNTIF(INDIRECT(all[[#This Row],[Table name]]&amp;"[result]"),"l")+COUNTIF(INDIRECT(all[[#This Row],[Table name]]&amp;"[result]"),"dl")</f>
        <v>19</v>
      </c>
      <c r="FH14" s="7">
        <f ca="1">all[[#This Row],[Wins]]/(all[[#This Row],[Wins]]+all[[#This Row],[Losses]])</f>
        <v>0.36666666666666664</v>
      </c>
      <c r="FI14">
        <f ca="1">_xlfn.RANK.EQ(all[[#This Row],[rating]],all[rating])</f>
        <v>12</v>
      </c>
      <c r="FJ14" s="5">
        <f t="shared" si="0"/>
        <v>10</v>
      </c>
      <c r="FK14" s="6">
        <f>all[[#This Row],[Q1H]]+all[[#This Row],[Q1A]]</f>
        <v>43.6</v>
      </c>
      <c r="FL14" s="16">
        <f>_xlfn.RANK.EQ(all[[#This Row],[Q1T]],all[Q1T])</f>
        <v>3</v>
      </c>
      <c r="FM14" s="6">
        <f>all[[#This Row],[Q2H]]+all[[#This Row],[Q2A]]</f>
        <v>41.566666666666663</v>
      </c>
      <c r="FN14" s="16">
        <f>_xlfn.RANK.EQ(all[[#This Row],[Q2T]],all[Q2T])</f>
        <v>8</v>
      </c>
      <c r="FO14" s="6">
        <f>all[[#This Row],[Q3H]]+all[[#This Row],[Q3A]]</f>
        <v>41.366666666666667</v>
      </c>
      <c r="FP14" s="16">
        <f>_xlfn.RANK.EQ(all[[#This Row],[Q3T]],all[Q3T])</f>
        <v>9</v>
      </c>
      <c r="FQ14" s="6">
        <f>all[[#This Row],[Q4H]]+all[[#This Row],[Q4A]]</f>
        <v>40.633333333333333</v>
      </c>
      <c r="FR14" s="16">
        <f>_xlfn.RANK.EQ(all[[#This Row],[Q4T]],all[Q4T])</f>
        <v>10</v>
      </c>
      <c r="FS14" s="6">
        <f>all[[#This Row],[FHH]]+all[[#This Row],[FHA]]</f>
        <v>85.166666666666657</v>
      </c>
      <c r="FT14" s="16">
        <f>_xlfn.RANK.EQ(all[[#This Row],[FHT]],all[FHT])</f>
        <v>6</v>
      </c>
      <c r="FU14" s="6">
        <f>all[[#This Row],[SHH]]+all[[#This Row],[SHA]]</f>
        <v>82</v>
      </c>
      <c r="FV14" s="16">
        <f>_xlfn.RANK.EQ(all[[#This Row],[SHT]],all[SHT])</f>
        <v>11</v>
      </c>
      <c r="FW14" s="6">
        <f ca="1">SUM(INDIRECT(all[[#This Row],[Table name]]&amp;"[BetH]"))</f>
        <v>-8.4899999999999984</v>
      </c>
      <c r="FX14" s="16">
        <f ca="1">_xlfn.RANK.EQ(all[[#This Row],[BetH]],all[BetH])</f>
        <v>14</v>
      </c>
      <c r="FY14" s="6">
        <f ca="1">SUM(INDIRECT(all[[#This Row],[Table name]]&amp;"[BetA]"))</f>
        <v>3.0600000000000005</v>
      </c>
      <c r="FZ14" s="16">
        <f ca="1">_xlfn.RANK.EQ(all[[#This Row],[BetA]],all[BetA])</f>
        <v>3</v>
      </c>
      <c r="GA14" s="16">
        <f ca="1">SUM(INDIRECT(all[[#This Row],[Table name]]&amp;"[Tover]"))</f>
        <v>15</v>
      </c>
      <c r="GB14" s="16">
        <f ca="1">_xlfn.RANK.EQ(all[[#This Row],[Tover]],all[Tover])</f>
        <v>10</v>
      </c>
      <c r="GC14" s="6">
        <f ca="1">AVERAGE(INDIRECT(all[[#This Row],[Table name]]&amp;"[Deviation]"))</f>
        <v>17.600000000000001</v>
      </c>
      <c r="GD14" s="16">
        <f ca="1">_xlfn.RANK.EQ(all[[#This Row],[Deviation]],all[Deviation],1)</f>
        <v>16</v>
      </c>
    </row>
    <row r="15" spans="1:186" x14ac:dyDescent="0.25">
      <c r="A15" s="9" t="s">
        <v>339</v>
      </c>
      <c r="B15" t="s">
        <v>339</v>
      </c>
      <c r="C15" t="s">
        <v>340</v>
      </c>
      <c r="D15" t="s">
        <v>341</v>
      </c>
      <c r="E15">
        <f>_xlfn.RANK.EQ(all[[#This Row],[AVG_RT]],all[AVG_RT],1)</f>
        <v>1</v>
      </c>
      <c r="F15" s="6">
        <f>AVERAGE(paris[Home_scored])</f>
        <v>94.58536585365853</v>
      </c>
      <c r="G15" s="16">
        <f>_xlfn.RANK.EQ(all[[#This Row],[PM]],all[PM])</f>
        <v>1</v>
      </c>
      <c r="H15" s="6">
        <f>AVERAGE(paris[Away_scored])</f>
        <v>84.829268292682926</v>
      </c>
      <c r="I15" s="16">
        <f>_xlfn.RANK.EQ(all[[#This Row],[PC]],all[PC],1)</f>
        <v>11</v>
      </c>
      <c r="J15" s="6">
        <f>AVERAGE(paris[FGA])</f>
        <v>66.439024390243901</v>
      </c>
      <c r="K15" s="16">
        <f>_xlfn.RANK.EQ(all[[#This Row],[FGA]],all[FGA])</f>
        <v>1</v>
      </c>
      <c r="L15" s="6">
        <f>AVERAGE(paris[FGM])</f>
        <v>32.68292682926829</v>
      </c>
      <c r="M15" s="16">
        <f>_xlfn.RANK.EQ(all[[#This Row],[FGM]],all[FGM])</f>
        <v>1</v>
      </c>
      <c r="N15" s="7">
        <f>AVERAGE(paris[FGp])</f>
        <v>0.49190975609756105</v>
      </c>
      <c r="O15" s="16">
        <f>_xlfn.RANK.EQ(all[[#This Row],[FGp]],all[FGp])</f>
        <v>5</v>
      </c>
      <c r="P15" s="6">
        <f>AVERAGE(paris[P2M])</f>
        <v>20.560975609756099</v>
      </c>
      <c r="Q15" s="16">
        <f>_xlfn.RANK.EQ(all[[#This Row],[P2M]],all[P2M])</f>
        <v>6</v>
      </c>
      <c r="R15" s="6">
        <f>AVERAGE(paris[P2A])</f>
        <v>34.292682926829265</v>
      </c>
      <c r="S15" s="16">
        <f>_xlfn.RANK.EQ(all[[#This Row],[P2A]],all[P2A])</f>
        <v>9</v>
      </c>
      <c r="T15" s="7">
        <f>AVERAGE(paris[P2p])</f>
        <v>0.60295609756097557</v>
      </c>
      <c r="U15" s="16">
        <f>_xlfn.RANK.EQ(all[[#This Row],[P2p]],all[P2p])</f>
        <v>2</v>
      </c>
      <c r="V15" s="6">
        <f>AVERAGE(paris[P3M])</f>
        <v>12.121951219512194</v>
      </c>
      <c r="W15" s="16">
        <f>_xlfn.RANK.EQ(all[[#This Row],[P3M]],all[P3M])</f>
        <v>1</v>
      </c>
      <c r="X15" s="6">
        <f>AVERAGE(paris[P3A])</f>
        <v>32.146341463414636</v>
      </c>
      <c r="Y15" s="16">
        <f>_xlfn.RANK.EQ(all[[#This Row],[P3A]],all[P3A])</f>
        <v>1</v>
      </c>
      <c r="Z15" s="7">
        <f>AVERAGE(paris[P3p])</f>
        <v>0.3750292682926829</v>
      </c>
      <c r="AA15" s="16">
        <f>_xlfn.RANK.EQ(all[[#This Row],[P3p]],all[P3p])</f>
        <v>3</v>
      </c>
      <c r="AB15" s="6">
        <f>AVERAGE(paris[FTM])</f>
        <v>17.097560975609756</v>
      </c>
      <c r="AC15" s="16">
        <f>_xlfn.RANK.EQ(all[[#This Row],[FTM]],all[FTM])</f>
        <v>5</v>
      </c>
      <c r="AD15" s="6">
        <f>AVERAGE(paris[FTA])</f>
        <v>21.512195121951219</v>
      </c>
      <c r="AE15" s="16">
        <f>_xlfn.RANK.EQ(all[[#This Row],[FTA]],all[FTA])</f>
        <v>9</v>
      </c>
      <c r="AF15" s="7">
        <f>AVERAGE(paris[FTp])</f>
        <v>0.80306341463414643</v>
      </c>
      <c r="AG15" s="16">
        <f>_xlfn.RANK.EQ(all[[#This Row],[FTp]],all[FTp])</f>
        <v>3</v>
      </c>
      <c r="AH15" s="6">
        <f>AVERAGE(paris[ORB])</f>
        <v>12.75609756097561</v>
      </c>
      <c r="AI15" s="16">
        <f>_xlfn.RANK.EQ(all[[#This Row],[ORB]],all[ORB])</f>
        <v>3</v>
      </c>
      <c r="AJ15" s="6">
        <f>AVERAGE(paris[DRB])</f>
        <v>25.146341463414632</v>
      </c>
      <c r="AK15" s="16">
        <f>_xlfn.RANK.EQ(all[[#This Row],[DRB]],all[DRB])</f>
        <v>2</v>
      </c>
      <c r="AL15" s="6">
        <f>AVERAGE(paris[TRB])</f>
        <v>37.902439024390247</v>
      </c>
      <c r="AM15" s="16">
        <f>_xlfn.RANK.EQ(all[[#This Row],[TRB]],all[TRB])</f>
        <v>1</v>
      </c>
      <c r="AN15" s="6">
        <f>AVERAGE(paris[AST])</f>
        <v>19.170731707317074</v>
      </c>
      <c r="AO15" s="16">
        <f>_xlfn.RANK.EQ(all[[#This Row],[AST]],all[AST])</f>
        <v>10</v>
      </c>
      <c r="AP15" s="6">
        <f>AVERAGE(paris[STL])</f>
        <v>4.8780487804878048</v>
      </c>
      <c r="AQ15" s="16">
        <f>_xlfn.RANK.EQ(all[[#This Row],[STL]],all[STL])</f>
        <v>15</v>
      </c>
      <c r="AR15" s="6">
        <f>AVERAGE(paris[BLK])</f>
        <v>4.7804878048780486</v>
      </c>
      <c r="AS15" s="16">
        <f>_xlfn.RANK.EQ(all[[#This Row],[BLK]],all[BLK])</f>
        <v>4</v>
      </c>
      <c r="AT15" s="6">
        <f>AVERAGE(paris[TOV])</f>
        <v>10.975609756097562</v>
      </c>
      <c r="AU15" s="16">
        <f>_xlfn.RANK.EQ(all[[#This Row],[TOV]],all[TOV],1)</f>
        <v>3</v>
      </c>
      <c r="AV15" s="6">
        <f>AVERAGE(paris[PF])</f>
        <v>22.170731707317074</v>
      </c>
      <c r="AW15" s="16">
        <f>_xlfn.RANK.EQ(all[[#This Row],[PF]],all[PF],1)</f>
        <v>10</v>
      </c>
      <c r="AX15" s="6">
        <f>AVERAGE(paris[FGAop])</f>
        <v>64.073170731707322</v>
      </c>
      <c r="AY15" s="16">
        <f>_xlfn.RANK.EQ(all[[#This Row],[FGA opp]],all[FGA opp],1)</f>
        <v>14</v>
      </c>
      <c r="AZ15" s="6">
        <f>AVERAGE(paris[FGMop])</f>
        <v>30.195121951219512</v>
      </c>
      <c r="BA15" s="16">
        <f>_xlfn.RANK.EQ(all[[#This Row],[FGM opp]],all[FGM opp],1)</f>
        <v>14</v>
      </c>
      <c r="BB15" s="7">
        <f>AVERAGE(paris[FGpop])</f>
        <v>0.47231463414634145</v>
      </c>
      <c r="BC15" s="16">
        <f>_xlfn.RANK.EQ(all[[#This Row],[FGp opp]],all[FGp opp],1)</f>
        <v>7</v>
      </c>
      <c r="BD15" s="6">
        <f>AVERAGE(paris[P2Mop])</f>
        <v>21.804878048780488</v>
      </c>
      <c r="BE15" s="16">
        <f>_xlfn.RANK.EQ(all[[#This Row],[P2M opp]],all[P2M opp],1)</f>
        <v>15</v>
      </c>
      <c r="BF15" s="6">
        <f>AVERAGE(paris[P2Aop])</f>
        <v>38.926829268292686</v>
      </c>
      <c r="BG15" s="16">
        <f>_xlfn.RANK.EQ(all[[#This Row],[P2A opp]],all[P2A opp],1)</f>
        <v>16</v>
      </c>
      <c r="BH15">
        <f>AVERAGE(paris[P2pop])</f>
        <v>0.56183902439024402</v>
      </c>
      <c r="BI15" s="16">
        <f>_xlfn.RANK.EQ(all[[#This Row],[P2p opp]],all[P2p opp],1)</f>
        <v>8</v>
      </c>
      <c r="BJ15" s="6">
        <f>AVERAGE(paris[P3Mop])</f>
        <v>8.3902439024390247</v>
      </c>
      <c r="BK15" s="16">
        <f>_xlfn.RANK.EQ(all[[#This Row],[P3M opp]],all[P3M opp],1)</f>
        <v>4</v>
      </c>
      <c r="BL15" s="6">
        <f>AVERAGE(paris[P3Aop])</f>
        <v>25.146341463414632</v>
      </c>
      <c r="BM15" s="16">
        <f>_xlfn.RANK.EQ(all[[#This Row],[P3A opp]],all[P3A opp],1)</f>
        <v>7</v>
      </c>
      <c r="BN15" s="7">
        <f>AVERAGE(paris[P3pop])</f>
        <v>0.33309512195121954</v>
      </c>
      <c r="BO15" s="16">
        <f>_xlfn.RANK.EQ(all[[#This Row],[P3p opp]],all[P3p opp],1)</f>
        <v>2</v>
      </c>
      <c r="BP15" s="6">
        <f>AVERAGE(paris[FTMop])</f>
        <v>16.048780487804876</v>
      </c>
      <c r="BQ15" s="16">
        <f>_xlfn.RANK.EQ(all[[#This Row],[FTM opp]],all[FTM opp],1)</f>
        <v>9</v>
      </c>
      <c r="BR15" s="6">
        <f>AVERAGE(paris[FTAop])</f>
        <v>21.317073170731707</v>
      </c>
      <c r="BS15" s="16">
        <f>_xlfn.RANK.EQ(all[[#This Row],[FTA opp]],all[FTA opp],1)</f>
        <v>9</v>
      </c>
      <c r="BT15" s="7">
        <f>AVERAGE(paris[FTpop])</f>
        <v>0.75375853658536585</v>
      </c>
      <c r="BU15" s="16">
        <f>_xlfn.RANK.EQ(all[[#This Row],[FTp opp]],all[FTp opp],1)</f>
        <v>10</v>
      </c>
      <c r="BV15" s="6">
        <f>AVERAGE(paris[ORBop])</f>
        <v>10.682926829268293</v>
      </c>
      <c r="BW15" s="16">
        <f>_xlfn.RANK.EQ(all[[#This Row],[ORB opp]],all[ORB opp],1)</f>
        <v>9</v>
      </c>
      <c r="BX15" s="6">
        <f>AVERAGE(paris[DRBop])</f>
        <v>22.243902439024389</v>
      </c>
      <c r="BY15" s="16">
        <f>_xlfn.RANK.EQ(all[[#This Row],[DRB opp]],all[DRB opp],1)</f>
        <v>4</v>
      </c>
      <c r="BZ15" s="6">
        <f>AVERAGE(paris[TRBop])</f>
        <v>32.926829268292686</v>
      </c>
      <c r="CA15" s="16">
        <f>_xlfn.RANK.EQ(all[[#This Row],[TRB opp]],all[TRB opp],1)</f>
        <v>4</v>
      </c>
      <c r="CB15" s="6">
        <f>AVERAGE(paris[ASTop])</f>
        <v>18.878048780487806</v>
      </c>
      <c r="CC15" s="16">
        <f>_xlfn.RANK.EQ(all[[#This Row],[AST opp]],all[AST opp],1)</f>
        <v>5</v>
      </c>
      <c r="CD15" s="6">
        <f>AVERAGE(paris[STLop])</f>
        <v>5.2439024390243905</v>
      </c>
      <c r="CE15" s="16">
        <f>_xlfn.RANK.EQ(all[[#This Row],[STL opp]],all[STL opp],1)</f>
        <v>3</v>
      </c>
      <c r="CF15" s="6">
        <f>AVERAGE(paris[BLKop])</f>
        <v>4.3902439024390247</v>
      </c>
      <c r="CG15" s="16">
        <f>_xlfn.RANK.EQ(all[[#This Row],[BLK opp]],all[BLK opp],1)</f>
        <v>13</v>
      </c>
      <c r="CH15" s="6">
        <f>AVERAGE(paris[TOVop])</f>
        <v>10.487804878048781</v>
      </c>
      <c r="CI15" s="16">
        <f>_xlfn.RANK.EQ(all[[#This Row],[TOV opp]],all[TOV opp])</f>
        <v>14</v>
      </c>
      <c r="CJ15" s="6">
        <f>AVERAGE(paris[PFop])</f>
        <v>21.073170731707318</v>
      </c>
      <c r="CK15" s="16">
        <f>_xlfn.RANK.EQ(all[[#This Row],[PF opp]],all[PF opp])</f>
        <v>8</v>
      </c>
      <c r="CL15" s="7">
        <f>AVERAGE(paris[TS%])</f>
        <v>0.62354634146341481</v>
      </c>
      <c r="CM15" s="16">
        <f>_xlfn.RANK.EQ(all[[#This Row],[TSp]],all[TSp])</f>
        <v>2</v>
      </c>
      <c r="CN15" s="7">
        <f>AVERAGE(paris[eFG%])</f>
        <v>0.58333414634146352</v>
      </c>
      <c r="CO15" s="16">
        <f>_xlfn.RANK.EQ(all[[#This Row],[eFGp]],all[eFGp])</f>
        <v>3</v>
      </c>
      <c r="CP15" s="7">
        <f>AVERAGE(paris[ORB%])</f>
        <v>0.36275609756097554</v>
      </c>
      <c r="CQ15" s="16">
        <f>_xlfn.RANK.EQ(all[[#This Row],[ORBp]],all[ORBp])</f>
        <v>3</v>
      </c>
      <c r="CR15" s="7">
        <f>AVERAGE(paris[DRB%])</f>
        <v>0.70720000000000005</v>
      </c>
      <c r="CS15" s="16">
        <f>_xlfn.RANK.EQ(all[[#This Row],[DRBp]],all[DRBp])</f>
        <v>3</v>
      </c>
      <c r="CT15" s="7">
        <f>AVERAGE(paris[TRB%])</f>
        <v>0.53546097560975603</v>
      </c>
      <c r="CU15" s="16">
        <f>_xlfn.RANK.EQ(all[[#This Row],[TRBp]],all[TRBp])</f>
        <v>2</v>
      </c>
      <c r="CV15" s="6">
        <f>AVERAGE(paris[Poss])</f>
        <v>73.747000000000014</v>
      </c>
      <c r="CW15" s="16">
        <f>_xlfn.RANK.EQ(all[[#This Row],[Poss]],all[Poss])</f>
        <v>2</v>
      </c>
      <c r="CX15" s="7">
        <f>AVERAGE(paris[AST%])</f>
        <v>0.58616097560975611</v>
      </c>
      <c r="CY15" s="16">
        <f>_xlfn.RANK.EQ(all[[#This Row],[ASTp]],all[ASTp])</f>
        <v>15</v>
      </c>
      <c r="CZ15" s="7">
        <f>AVERAGE(paris[FTFGA%])</f>
        <v>0.25993658536585379</v>
      </c>
      <c r="DA15" s="16">
        <f>_xlfn.RANK.EQ(all[[#This Row],[FTFGAp]],all[FTFGAp])</f>
        <v>10</v>
      </c>
      <c r="DB15" s="7">
        <f>AVERAGE(paris[TOV%])</f>
        <v>0.12465853658536583</v>
      </c>
      <c r="DC15" s="16">
        <f>_xlfn.RANK.EQ(all[[#This Row],[TOVp]],all[TOVp],1)</f>
        <v>3</v>
      </c>
      <c r="DD15" s="6">
        <f>AVERAGE(paris[ORtg])</f>
        <v>130.70975609756101</v>
      </c>
      <c r="DE15" s="16">
        <f>_xlfn.RANK.EQ(all[[#This Row],[ORtg]],all[ORtg])</f>
        <v>3</v>
      </c>
      <c r="DF15" s="6">
        <f>AVERAGE(paris[DRtg])</f>
        <v>117.19756097560976</v>
      </c>
      <c r="DG15" s="16">
        <f>_xlfn.RANK.EQ(all[[#This Row],[DRtg]],all[DRtg],1)</f>
        <v>10</v>
      </c>
      <c r="DH15" s="6">
        <f>AVERAGE(paris[Pace])</f>
        <v>72.440402439024382</v>
      </c>
      <c r="DI15" s="16">
        <f>_xlfn.RANK.EQ(all[[#This Row],[Pace]],all[Pace])</f>
        <v>5</v>
      </c>
      <c r="DJ15" s="7">
        <f>AVERAGE(paris[TS%op])</f>
        <v>0.57824390243902424</v>
      </c>
      <c r="DK15" s="16">
        <f>_xlfn.RANK.EQ(all[[#This Row],[TSp opp]],all[TSp opp],1)</f>
        <v>3</v>
      </c>
      <c r="DL15" s="7">
        <f>AVERAGE(paris[eFG%op])</f>
        <v>0.53750243902439021</v>
      </c>
      <c r="DM15" s="16">
        <f>_xlfn.RANK.EQ(all[[#This Row],[eFGp opp]],all[eFGp opp],1)</f>
        <v>4</v>
      </c>
      <c r="DN15" s="7">
        <f>AVERAGE(paris[ORB%op])</f>
        <v>0.29280243902439024</v>
      </c>
      <c r="DO15" s="16">
        <f>_xlfn.RANK.EQ(all[[#This Row],[ORBp opp]],all[ORBp opp],1)</f>
        <v>3</v>
      </c>
      <c r="DP15" s="7">
        <f>AVERAGE(paris[DRB%op])</f>
        <v>0.6372439024390244</v>
      </c>
      <c r="DQ15" s="16">
        <f>_xlfn.RANK.EQ(all[[#This Row],[DRBp opp]],all[DRBp opp],1)</f>
        <v>3</v>
      </c>
      <c r="DR15" s="7">
        <f>AVERAGE(paris[TRB%op])</f>
        <v>0.46453902439024397</v>
      </c>
      <c r="DS15" s="16">
        <f>_xlfn.RANK.EQ(all[[#This Row],[TRBp opp]],all[TRBp opp],1)</f>
        <v>2</v>
      </c>
      <c r="DT15" s="6">
        <f>AVERAGE(paris[Possop])</f>
        <v>71.133804878048807</v>
      </c>
      <c r="DU15" s="16">
        <f>_xlfn.RANK.EQ(all[[#This Row],[Poss opp]],all[Poss opp],1)</f>
        <v>7</v>
      </c>
      <c r="DV15" s="7">
        <f>AVERAGE(paris[AST%op])</f>
        <v>0.62787073170731711</v>
      </c>
      <c r="DW15" s="16">
        <f>_xlfn.RANK.EQ(all[[#This Row],[ASTp opp]],all[ASTp opp],1)</f>
        <v>4</v>
      </c>
      <c r="DX15" s="7">
        <f>AVERAGE(paris[FTFGA%op])</f>
        <v>0.25486829268292688</v>
      </c>
      <c r="DY15" s="16">
        <f>_xlfn.RANK.EQ(all[[#This Row],[FTFGAp opp]],all[FTFGAp opp],1)</f>
        <v>7</v>
      </c>
      <c r="DZ15" s="7">
        <f>AVERAGE(paris[TOV%op])</f>
        <v>0.12374390243902438</v>
      </c>
      <c r="EA15" s="16">
        <f>_xlfn.RANK.EQ(all[[#This Row],[TOVp opp]],all[TOVp opp])</f>
        <v>14</v>
      </c>
      <c r="EB15" s="6">
        <f>AVERAGE(paris[ORtgop])</f>
        <v>117.19756097560976</v>
      </c>
      <c r="EC15" s="16">
        <f>_xlfn.RANK.EQ(all[[#This Row],[ORtg opp]],all[ORtg opp],1)</f>
        <v>10</v>
      </c>
      <c r="ED15" s="6">
        <f>AVERAGE(paris[DRtgop])</f>
        <v>130.70975609756101</v>
      </c>
      <c r="EE15" s="16">
        <f>_xlfn.RANK.EQ(all[[#This Row],[DRtg opp]],all[DRtg opp])</f>
        <v>3</v>
      </c>
      <c r="EF15" s="6">
        <f>AVERAGE(paris[Q1H])</f>
        <v>24.463414634146343</v>
      </c>
      <c r="EG15" s="16">
        <f>_xlfn.RANK.EQ(all[[#This Row],[Q1H]],all[Q1H])</f>
        <v>1</v>
      </c>
      <c r="EH15" s="6">
        <f>AVERAGE(paris[Q2H])</f>
        <v>23.536585365853657</v>
      </c>
      <c r="EI15" s="16">
        <f>_xlfn.RANK.EQ(all[[#This Row],[Q2H]],all[Q2H])</f>
        <v>4</v>
      </c>
      <c r="EJ15" s="6">
        <f>AVERAGE(paris[Q3H])</f>
        <v>24.341463414634145</v>
      </c>
      <c r="EK15" s="16">
        <f>_xlfn.RANK.EQ(all[[#This Row],[Q3H]],all[Q3H])</f>
        <v>2</v>
      </c>
      <c r="EL15" s="6">
        <f>AVERAGE(paris[Q4H])</f>
        <v>22.243902439024389</v>
      </c>
      <c r="EM15" s="16">
        <f>_xlfn.RANK.EQ(all[[#This Row],[Q4H]],all[Q4H])</f>
        <v>4</v>
      </c>
      <c r="EN15" s="6">
        <f>AVERAGE(paris[Q1A])</f>
        <v>21.097560975609756</v>
      </c>
      <c r="EO15" s="16">
        <f>_xlfn.RANK.EQ(all[[#This Row],[Q1A]],all[Q1A],1)</f>
        <v>10</v>
      </c>
      <c r="EP15" s="6">
        <f>AVERAGE(paris[Q2A])</f>
        <v>22.219512195121951</v>
      </c>
      <c r="EQ15" s="16">
        <f>_xlfn.RANK.EQ(all[[#This Row],[Q2A]],all[Q2A],1)</f>
        <v>13</v>
      </c>
      <c r="ER15" s="6">
        <f>AVERAGE(paris[Q3A])</f>
        <v>21.170731707317074</v>
      </c>
      <c r="ES15" s="16">
        <f>_xlfn.RANK.EQ(all[[#This Row],[Q3A]],all[Q3A],1)</f>
        <v>11</v>
      </c>
      <c r="ET15" s="6">
        <f>AVERAGE(paris[Q4A])</f>
        <v>20.341463414634145</v>
      </c>
      <c r="EU15" s="16">
        <f>_xlfn.RANK.EQ(all[[#This Row],[Q4A]],all[Q4A],1)</f>
        <v>6</v>
      </c>
      <c r="EV15" s="6">
        <f>AVERAGE(paris[FhalfH])</f>
        <v>48</v>
      </c>
      <c r="EW15" s="16">
        <f>_xlfn.RANK.EQ(all[[#This Row],[FHH]],all[FHH])</f>
        <v>1</v>
      </c>
      <c r="EX15" s="5">
        <f>AVERAGE(paris[FhalfA])</f>
        <v>43.31707317073171</v>
      </c>
      <c r="EY15" s="16">
        <f>_xlfn.RANK.EQ(all[[#This Row],[FHA]],all[FHA],1)</f>
        <v>13</v>
      </c>
      <c r="EZ15" s="6">
        <f>AVERAGE(paris[ShalfH])</f>
        <v>46.585365853658537</v>
      </c>
      <c r="FA15" s="16">
        <f>_xlfn.RANK.EQ(all[[#This Row],[SHH]],all[SHH])</f>
        <v>2</v>
      </c>
      <c r="FB15" s="6">
        <f>AVERAGE(paris[ShalfA])</f>
        <v>41.512195121951223</v>
      </c>
      <c r="FC15" s="16">
        <f>_xlfn.RANK.EQ(all[[#This Row],[SHA]],all[SHA],1)</f>
        <v>7</v>
      </c>
      <c r="FD15" s="6">
        <f ca="1">AVERAGE(LARGE(OFFSET(paris[Home_scored],COUNTA(paris[Home_scored])-5, 0, 5, 1),2), LARGE(OFFSET(paris[Home_scored],COUNTA(paris[Home_scored])-5, 0, 5, 1),3),LARGE(OFFSET(paris[Home_scored],COUNTA(paris[Home_scored])-5, 0, 5, 1),4))</f>
        <v>88</v>
      </c>
      <c r="FE15" s="6">
        <f ca="1">AVERAGE(LARGE(OFFSET(paris[Away_scored],COUNTA(paris[Away_scored])-5, 0, 5, 1),2), LARGE(OFFSET(paris[Away_scored],COUNTA(paris[Away_scored])-5, 0, 5, 1),3),LARGE(OFFSET(paris[Away_scored],COUNTA(paris[Away_scored])-5, 0, 5, 1),4))</f>
        <v>81</v>
      </c>
      <c r="FF15" s="16">
        <f ca="1">COUNTIF(INDIRECT(all[[#This Row],[Table name]]&amp;"[result]"),"w")+COUNTIF(INDIRECT(all[[#This Row],[Table name]]&amp;"[result]"),"dw")</f>
        <v>31</v>
      </c>
      <c r="FG15" s="16">
        <f ca="1">COUNTIF(INDIRECT(all[[#This Row],[Table name]]&amp;"[result]"),"l")+COUNTIF(INDIRECT(all[[#This Row],[Table name]]&amp;"[result]"),"dl")</f>
        <v>10</v>
      </c>
      <c r="FH15" s="7">
        <f ca="1">all[[#This Row],[Wins]]/(all[[#This Row],[Wins]]+all[[#This Row],[Losses]])</f>
        <v>0.75609756097560976</v>
      </c>
      <c r="FI15">
        <f ca="1">_xlfn.RANK.EQ(all[[#This Row],[rating]],all[rating])</f>
        <v>2</v>
      </c>
      <c r="FJ15" s="5">
        <f t="shared" si="0"/>
        <v>6.1846153846153848</v>
      </c>
      <c r="FK15" s="6">
        <f>all[[#This Row],[Q1H]]+all[[#This Row],[Q1A]]</f>
        <v>45.560975609756099</v>
      </c>
      <c r="FL15" s="16">
        <f>_xlfn.RANK.EQ(all[[#This Row],[Q1T]],all[Q1T])</f>
        <v>1</v>
      </c>
      <c r="FM15" s="6">
        <f>all[[#This Row],[Q2H]]+all[[#This Row],[Q2A]]</f>
        <v>45.756097560975604</v>
      </c>
      <c r="FN15" s="16">
        <f>_xlfn.RANK.EQ(all[[#This Row],[Q2T]],all[Q2T])</f>
        <v>3</v>
      </c>
      <c r="FO15" s="6">
        <f>all[[#This Row],[Q3H]]+all[[#This Row],[Q3A]]</f>
        <v>45.512195121951223</v>
      </c>
      <c r="FP15" s="16">
        <f>_xlfn.RANK.EQ(all[[#This Row],[Q3T]],all[Q3T])</f>
        <v>4</v>
      </c>
      <c r="FQ15" s="6">
        <f>all[[#This Row],[Q4H]]+all[[#This Row],[Q4A]]</f>
        <v>42.58536585365853</v>
      </c>
      <c r="FR15" s="16">
        <f>_xlfn.RANK.EQ(all[[#This Row],[Q4T]],all[Q4T])</f>
        <v>6</v>
      </c>
      <c r="FS15" s="6">
        <f>all[[#This Row],[FHH]]+all[[#This Row],[FHA]]</f>
        <v>91.317073170731703</v>
      </c>
      <c r="FT15" s="16">
        <f>_xlfn.RANK.EQ(all[[#This Row],[FHT]],all[FHT])</f>
        <v>1</v>
      </c>
      <c r="FU15" s="6">
        <f>all[[#This Row],[SHH]]+all[[#This Row],[SHA]]</f>
        <v>88.097560975609753</v>
      </c>
      <c r="FV15" s="16">
        <f>_xlfn.RANK.EQ(all[[#This Row],[SHT]],all[SHT])</f>
        <v>3</v>
      </c>
      <c r="FW15" s="6">
        <f ca="1">SUM(INDIRECT(all[[#This Row],[Table name]]&amp;"[BetH]"))</f>
        <v>0.77</v>
      </c>
      <c r="FX15" s="16">
        <f ca="1">_xlfn.RANK.EQ(all[[#This Row],[BetH]],all[BetH])</f>
        <v>5</v>
      </c>
      <c r="FY15" s="6">
        <f ca="1">SUM(INDIRECT(all[[#This Row],[Table name]]&amp;"[BetA]"))</f>
        <v>-9.3199999999999967</v>
      </c>
      <c r="FZ15" s="16">
        <f ca="1">_xlfn.RANK.EQ(all[[#This Row],[BetA]],all[BetA])</f>
        <v>14</v>
      </c>
      <c r="GA15" s="16">
        <f ca="1">SUM(INDIRECT(all[[#This Row],[Table name]]&amp;"[Tover]"))</f>
        <v>27</v>
      </c>
      <c r="GB15" s="16">
        <f ca="1">_xlfn.RANK.EQ(all[[#This Row],[Tover]],all[Tover])</f>
        <v>1</v>
      </c>
      <c r="GC15" s="6">
        <f ca="1">AVERAGE(INDIRECT(all[[#This Row],[Table name]]&amp;"[Deviation]"))</f>
        <v>14.804878048780488</v>
      </c>
      <c r="GD15" s="16">
        <f ca="1">_xlfn.RANK.EQ(all[[#This Row],[Deviation]],all[Deviation],1)</f>
        <v>11</v>
      </c>
    </row>
    <row r="16" spans="1:186" x14ac:dyDescent="0.25">
      <c r="A16" s="9" t="s">
        <v>432</v>
      </c>
      <c r="B16" t="s">
        <v>342</v>
      </c>
      <c r="C16" t="s">
        <v>343</v>
      </c>
      <c r="D16" t="s">
        <v>344</v>
      </c>
      <c r="E16">
        <f>_xlfn.RANK.EQ(all[[#This Row],[AVG_RT]],all[AVG_RT],1)</f>
        <v>9</v>
      </c>
      <c r="F16" s="6">
        <f>AVERAGE(saintQ[Home_scored])</f>
        <v>77.09375</v>
      </c>
      <c r="G16" s="16">
        <f>_xlfn.RANK.EQ(all[[#This Row],[PM]],all[PM])</f>
        <v>14</v>
      </c>
      <c r="H16" s="6">
        <f>AVERAGE(saintQ[Away_scored])</f>
        <v>79.28125</v>
      </c>
      <c r="I16" s="16">
        <f>_xlfn.RANK.EQ(all[[#This Row],[PC]],all[PC],1)</f>
        <v>2</v>
      </c>
      <c r="J16" s="6">
        <f>AVERAGE(saintQ[FGA])</f>
        <v>62.125</v>
      </c>
      <c r="K16" s="16">
        <f>_xlfn.RANK.EQ(all[[#This Row],[FGA]],all[FGA])</f>
        <v>8</v>
      </c>
      <c r="L16" s="6">
        <f>AVERAGE(saintQ[FGM])</f>
        <v>27.1875</v>
      </c>
      <c r="M16" s="16">
        <f>_xlfn.RANK.EQ(all[[#This Row],[FGM]],all[FGM])</f>
        <v>13</v>
      </c>
      <c r="N16" s="7">
        <f>AVERAGE(saintQ[FGp])</f>
        <v>0.43798437500000004</v>
      </c>
      <c r="O16" s="16">
        <f>_xlfn.RANK.EQ(all[[#This Row],[FGp]],all[FGp])</f>
        <v>16</v>
      </c>
      <c r="P16" s="6">
        <f>AVERAGE(saintQ[P2M])</f>
        <v>17.15625</v>
      </c>
      <c r="Q16" s="16">
        <f>_xlfn.RANK.EQ(all[[#This Row],[P2M]],all[P2M])</f>
        <v>16</v>
      </c>
      <c r="R16" s="6">
        <f>AVERAGE(saintQ[P2A])</f>
        <v>33.3125</v>
      </c>
      <c r="S16" s="16">
        <f>_xlfn.RANK.EQ(all[[#This Row],[P2A]],all[P2A])</f>
        <v>15</v>
      </c>
      <c r="T16" s="7">
        <f>AVERAGE(saintQ[P2p])</f>
        <v>0.51511562500000008</v>
      </c>
      <c r="U16" s="16">
        <f>_xlfn.RANK.EQ(all[[#This Row],[P2p]],all[P2p])</f>
        <v>15</v>
      </c>
      <c r="V16" s="6">
        <f>AVERAGE(saintQ[P3M])</f>
        <v>10.03125</v>
      </c>
      <c r="W16" s="16">
        <f>_xlfn.RANK.EQ(all[[#This Row],[P3M]],all[P3M])</f>
        <v>3</v>
      </c>
      <c r="X16" s="6">
        <f>AVERAGE(saintQ[P3A])</f>
        <v>28.8125</v>
      </c>
      <c r="Y16" s="16">
        <f>_xlfn.RANK.EQ(all[[#This Row],[P3A]],all[P3A])</f>
        <v>3</v>
      </c>
      <c r="Z16" s="7">
        <f>AVERAGE(saintQ[P3p])</f>
        <v>0.35054062499999999</v>
      </c>
      <c r="AA16" s="16">
        <f>_xlfn.RANK.EQ(all[[#This Row],[P3p]],all[P3p])</f>
        <v>10</v>
      </c>
      <c r="AB16" s="6">
        <f>AVERAGE(saintQ[FTM])</f>
        <v>12.6875</v>
      </c>
      <c r="AC16" s="16">
        <f>_xlfn.RANK.EQ(all[[#This Row],[FTM]],all[FTM])</f>
        <v>16</v>
      </c>
      <c r="AD16" s="6">
        <f>AVERAGE(saintQ[FTA])</f>
        <v>17.03125</v>
      </c>
      <c r="AE16" s="16">
        <f>_xlfn.RANK.EQ(all[[#This Row],[FTA]],all[FTA])</f>
        <v>16</v>
      </c>
      <c r="AF16" s="7">
        <f>AVERAGE(saintQ[FTp])</f>
        <v>0.75635937499999972</v>
      </c>
      <c r="AG16" s="16">
        <f>_xlfn.RANK.EQ(all[[#This Row],[FTp]],all[FTp])</f>
        <v>7</v>
      </c>
      <c r="AH16" s="6">
        <f>AVERAGE(saintQ[ORB])</f>
        <v>12.65625</v>
      </c>
      <c r="AI16" s="16">
        <f>_xlfn.RANK.EQ(all[[#This Row],[ORB]],all[ORB])</f>
        <v>4</v>
      </c>
      <c r="AJ16" s="6">
        <f>AVERAGE(saintQ[DRB])</f>
        <v>23.5625</v>
      </c>
      <c r="AK16" s="16">
        <f>_xlfn.RANK.EQ(all[[#This Row],[DRB]],all[DRB])</f>
        <v>10</v>
      </c>
      <c r="AL16" s="6">
        <f>AVERAGE(saintQ[TRB])</f>
        <v>36.21875</v>
      </c>
      <c r="AM16" s="16">
        <f>_xlfn.RANK.EQ(all[[#This Row],[TRB]],all[TRB])</f>
        <v>4</v>
      </c>
      <c r="AN16" s="6">
        <f>AVERAGE(saintQ[AST])</f>
        <v>17.6875</v>
      </c>
      <c r="AO16" s="16">
        <f>_xlfn.RANK.EQ(all[[#This Row],[AST]],all[AST])</f>
        <v>13</v>
      </c>
      <c r="AP16" s="6">
        <f>AVERAGE(saintQ[STL])</f>
        <v>5.875</v>
      </c>
      <c r="AQ16" s="16">
        <f>_xlfn.RANK.EQ(all[[#This Row],[STL]],all[STL])</f>
        <v>10</v>
      </c>
      <c r="AR16" s="6">
        <f>AVERAGE(saintQ[BLK])</f>
        <v>2.28125</v>
      </c>
      <c r="AS16" s="16">
        <f>_xlfn.RANK.EQ(all[[#This Row],[BLK]],all[BLK])</f>
        <v>13</v>
      </c>
      <c r="AT16" s="6">
        <f>AVERAGE(saintQ[TOV])</f>
        <v>13.84375</v>
      </c>
      <c r="AU16" s="16">
        <f>_xlfn.RANK.EQ(all[[#This Row],[TOV]],all[TOV],1)</f>
        <v>13</v>
      </c>
      <c r="AV16" s="6">
        <f>AVERAGE(saintQ[PF])</f>
        <v>22.6875</v>
      </c>
      <c r="AW16" s="16">
        <f>_xlfn.RANK.EQ(all[[#This Row],[PF]],all[PF],1)</f>
        <v>13</v>
      </c>
      <c r="AX16" s="6">
        <f>AVERAGE(saintQ[FGAop])</f>
        <v>56.75</v>
      </c>
      <c r="AY16" s="16">
        <f>_xlfn.RANK.EQ(all[[#This Row],[FGA opp]],all[FGA opp],1)</f>
        <v>2</v>
      </c>
      <c r="AZ16" s="6">
        <f>AVERAGE(saintQ[FGMop])</f>
        <v>26.3125</v>
      </c>
      <c r="BA16" s="16">
        <f>_xlfn.RANK.EQ(all[[#This Row],[FGM opp]],all[FGM opp],1)</f>
        <v>1</v>
      </c>
      <c r="BB16" s="7">
        <f>AVERAGE(saintQ[FGpop])</f>
        <v>0.46456875000000003</v>
      </c>
      <c r="BC16" s="16">
        <f>_xlfn.RANK.EQ(all[[#This Row],[FGp opp]],all[FGp opp],1)</f>
        <v>6</v>
      </c>
      <c r="BD16" s="6">
        <f>AVERAGE(saintQ[P2Mop])</f>
        <v>16.65625</v>
      </c>
      <c r="BE16" s="16">
        <f>_xlfn.RANK.EQ(all[[#This Row],[P2M opp]],all[P2M opp],1)</f>
        <v>1</v>
      </c>
      <c r="BF16" s="6">
        <f>AVERAGE(saintQ[P2Aop])</f>
        <v>30.875</v>
      </c>
      <c r="BG16" s="16">
        <f>_xlfn.RANK.EQ(all[[#This Row],[P2A opp]],all[P2A opp],1)</f>
        <v>1</v>
      </c>
      <c r="BH16">
        <f>AVERAGE(saintQ[P2pop])</f>
        <v>0.54117499999999996</v>
      </c>
      <c r="BI16" s="16">
        <f>_xlfn.RANK.EQ(all[[#This Row],[P2p opp]],all[P2p opp],1)</f>
        <v>4</v>
      </c>
      <c r="BJ16" s="6">
        <f>AVERAGE(saintQ[P3Mop])</f>
        <v>9.65625</v>
      </c>
      <c r="BK16" s="16">
        <f>_xlfn.RANK.EQ(all[[#This Row],[P3M opp]],all[P3M opp],1)</f>
        <v>12</v>
      </c>
      <c r="BL16" s="6">
        <f>AVERAGE(saintQ[P3Aop])</f>
        <v>25.875</v>
      </c>
      <c r="BM16" s="16">
        <f>_xlfn.RANK.EQ(all[[#This Row],[P3A opp]],all[P3A opp],1)</f>
        <v>10</v>
      </c>
      <c r="BN16" s="7">
        <f>AVERAGE(saintQ[P3pop])</f>
        <v>0.370615625</v>
      </c>
      <c r="BO16" s="16">
        <f>_xlfn.RANK.EQ(all[[#This Row],[P3p opp]],all[P3p opp],1)</f>
        <v>13</v>
      </c>
      <c r="BP16" s="6">
        <f>AVERAGE(saintQ[FTMop])</f>
        <v>17</v>
      </c>
      <c r="BQ16" s="16">
        <f>_xlfn.RANK.EQ(all[[#This Row],[FTM opp]],all[FTM opp],1)</f>
        <v>12</v>
      </c>
      <c r="BR16" s="6">
        <f>AVERAGE(saintQ[FTAop])</f>
        <v>23.28125</v>
      </c>
      <c r="BS16" s="16">
        <f>_xlfn.RANK.EQ(all[[#This Row],[FTA opp]],all[FTA opp],1)</f>
        <v>13</v>
      </c>
      <c r="BT16" s="7">
        <f>AVERAGE(saintQ[FTpop])</f>
        <v>0.72534687500000006</v>
      </c>
      <c r="BU16" s="16">
        <f>_xlfn.RANK.EQ(all[[#This Row],[FTp opp]],all[FTp opp],1)</f>
        <v>2</v>
      </c>
      <c r="BV16" s="6">
        <f>AVERAGE(saintQ[ORBop])</f>
        <v>8.96875</v>
      </c>
      <c r="BW16" s="16">
        <f>_xlfn.RANK.EQ(all[[#This Row],[ORB opp]],all[ORB opp],1)</f>
        <v>1</v>
      </c>
      <c r="BX16" s="6">
        <f>AVERAGE(saintQ[DRBop])</f>
        <v>23.34375</v>
      </c>
      <c r="BY16" s="16">
        <f>_xlfn.RANK.EQ(all[[#This Row],[DRB opp]],all[DRB opp],1)</f>
        <v>10</v>
      </c>
      <c r="BZ16" s="6">
        <f>AVERAGE(saintQ[TRBop])</f>
        <v>32.3125</v>
      </c>
      <c r="CA16" s="16">
        <f>_xlfn.RANK.EQ(all[[#This Row],[TRB opp]],all[TRB opp],1)</f>
        <v>3</v>
      </c>
      <c r="CB16" s="6">
        <f>AVERAGE(saintQ[ASTop])</f>
        <v>19.5</v>
      </c>
      <c r="CC16" s="16">
        <f>_xlfn.RANK.EQ(all[[#This Row],[AST opp]],all[AST opp],1)</f>
        <v>9</v>
      </c>
      <c r="CD16" s="6">
        <f>AVERAGE(saintQ[STLop])</f>
        <v>6.78125</v>
      </c>
      <c r="CE16" s="16">
        <f>_xlfn.RANK.EQ(all[[#This Row],[STL opp]],all[STL opp],1)</f>
        <v>12</v>
      </c>
      <c r="CF16" s="6">
        <f>AVERAGE(saintQ[BLKop])</f>
        <v>2.34375</v>
      </c>
      <c r="CG16" s="16">
        <f>_xlfn.RANK.EQ(all[[#This Row],[BLK opp]],all[BLK opp],1)</f>
        <v>3</v>
      </c>
      <c r="CH16" s="6">
        <f>AVERAGE(saintQ[TOVop])</f>
        <v>12.5625</v>
      </c>
      <c r="CI16" s="16">
        <f>_xlfn.RANK.EQ(all[[#This Row],[TOV opp]],all[TOV opp])</f>
        <v>5</v>
      </c>
      <c r="CJ16" s="6">
        <f>AVERAGE(saintQ[PFop])</f>
        <v>19.0625</v>
      </c>
      <c r="CK16" s="16">
        <f>_xlfn.RANK.EQ(all[[#This Row],[PF opp]],all[PF opp])</f>
        <v>15</v>
      </c>
      <c r="CL16" s="7">
        <f>AVERAGE(saintQ[TS%])</f>
        <v>0.55423749999999994</v>
      </c>
      <c r="CM16" s="16">
        <f>_xlfn.RANK.EQ(all[[#This Row],[TSp]],all[TSp])</f>
        <v>15</v>
      </c>
      <c r="CN16" s="7">
        <f>AVERAGE(saintQ[eFG%])</f>
        <v>0.51927500000000004</v>
      </c>
      <c r="CO16" s="16">
        <f>_xlfn.RANK.EQ(all[[#This Row],[eFGp]],all[eFGp])</f>
        <v>13</v>
      </c>
      <c r="CP16" s="7">
        <f>AVERAGE(saintQ[ORB%])</f>
        <v>0.35138125000000003</v>
      </c>
      <c r="CQ16" s="16">
        <f>_xlfn.RANK.EQ(all[[#This Row],[ORBp]],all[ORBp])</f>
        <v>4</v>
      </c>
      <c r="CR16" s="7">
        <f>AVERAGE(saintQ[DRB%])</f>
        <v>0.73053437500000007</v>
      </c>
      <c r="CS16" s="16">
        <f>_xlfn.RANK.EQ(all[[#This Row],[DRBp]],all[DRBp])</f>
        <v>2</v>
      </c>
      <c r="CT16" s="7">
        <f>AVERAGE(saintQ[TRB%])</f>
        <v>0.53012500000000007</v>
      </c>
      <c r="CU16" s="16">
        <f>_xlfn.RANK.EQ(all[[#This Row],[TRBp]],all[TRBp])</f>
        <v>3</v>
      </c>
      <c r="CV16" s="6">
        <f>AVERAGE(saintQ[Poss])</f>
        <v>69.409843749999993</v>
      </c>
      <c r="CW16" s="16">
        <f>_xlfn.RANK.EQ(all[[#This Row],[Poss]],all[Poss])</f>
        <v>13</v>
      </c>
      <c r="CX16" s="7">
        <f>AVERAGE(saintQ[AST%])</f>
        <v>0.65499687499999992</v>
      </c>
      <c r="CY16" s="16">
        <f>_xlfn.RANK.EQ(all[[#This Row],[ASTp]],all[ASTp])</f>
        <v>10</v>
      </c>
      <c r="CZ16" s="7">
        <f>AVERAGE(saintQ[FTFGA%])</f>
        <v>0.20638437499999998</v>
      </c>
      <c r="DA16" s="16">
        <f>_xlfn.RANK.EQ(all[[#This Row],[FTFGAp]],all[FTFGAp])</f>
        <v>16</v>
      </c>
      <c r="DB16" s="7">
        <f>AVERAGE(saintQ[TOV%])</f>
        <v>0.16600625000000002</v>
      </c>
      <c r="DC16" s="16">
        <f>_xlfn.RANK.EQ(all[[#This Row],[TOVp]],all[TOVp],1)</f>
        <v>13</v>
      </c>
      <c r="DD16" s="6">
        <f>AVERAGE(saintQ[ORtg])</f>
        <v>110.74687499999999</v>
      </c>
      <c r="DE16" s="16">
        <f>_xlfn.RANK.EQ(all[[#This Row],[ORtg]],all[ORtg])</f>
        <v>12</v>
      </c>
      <c r="DF16" s="6">
        <f>AVERAGE(saintQ[DRtg])</f>
        <v>114.10312500000002</v>
      </c>
      <c r="DG16" s="16">
        <f>_xlfn.RANK.EQ(all[[#This Row],[DRtg]],all[DRtg],1)</f>
        <v>4</v>
      </c>
      <c r="DH16" s="6">
        <f>AVERAGE(saintQ[Pace])</f>
        <v>69.529921874999999</v>
      </c>
      <c r="DI16" s="16">
        <f>_xlfn.RANK.EQ(all[[#This Row],[Pace]],all[Pace])</f>
        <v>14</v>
      </c>
      <c r="DJ16" s="7">
        <f>AVERAGE(saintQ[TS%op])</f>
        <v>0.59329687500000006</v>
      </c>
      <c r="DK16" s="16">
        <f>_xlfn.RANK.EQ(all[[#This Row],[TSp opp]],all[TSp opp],1)</f>
        <v>13</v>
      </c>
      <c r="DL16" s="7">
        <f>AVERAGE(saintQ[eFG%op])</f>
        <v>0.55036562499999997</v>
      </c>
      <c r="DM16" s="16">
        <f>_xlfn.RANK.EQ(all[[#This Row],[eFGp opp]],all[eFGp opp],1)</f>
        <v>8</v>
      </c>
      <c r="DN16" s="7">
        <f>AVERAGE(saintQ[ORB%op])</f>
        <v>0.26947187499999997</v>
      </c>
      <c r="DO16" s="16">
        <f>_xlfn.RANK.EQ(all[[#This Row],[ORBp opp]],all[ORBp opp],1)</f>
        <v>2</v>
      </c>
      <c r="DP16" s="7">
        <f>AVERAGE(saintQ[DRB%op])</f>
        <v>0.64862187500000001</v>
      </c>
      <c r="DQ16" s="16">
        <f>_xlfn.RANK.EQ(all[[#This Row],[DRBp opp]],all[DRBp opp],1)</f>
        <v>4</v>
      </c>
      <c r="DR16" s="7">
        <f>AVERAGE(saintQ[TRB%op])</f>
        <v>0.46987500000000004</v>
      </c>
      <c r="DS16" s="16">
        <f>_xlfn.RANK.EQ(all[[#This Row],[TRBp opp]],all[TRBp opp],1)</f>
        <v>3</v>
      </c>
      <c r="DT16" s="6">
        <f>AVERAGE(saintQ[Possop])</f>
        <v>69.650000000000006</v>
      </c>
      <c r="DU16" s="16">
        <f>_xlfn.RANK.EQ(all[[#This Row],[Poss opp]],all[Poss opp],1)</f>
        <v>3</v>
      </c>
      <c r="DV16" s="7">
        <f>AVERAGE(saintQ[AST%op])</f>
        <v>0.75198125000000016</v>
      </c>
      <c r="DW16" s="16">
        <f>_xlfn.RANK.EQ(all[[#This Row],[ASTp opp]],all[ASTp opp],1)</f>
        <v>16</v>
      </c>
      <c r="DX16" s="7">
        <f>AVERAGE(saintQ[FTFGA%op])</f>
        <v>0.30475000000000008</v>
      </c>
      <c r="DY16" s="16">
        <f>_xlfn.RANK.EQ(all[[#This Row],[FTFGAp opp]],all[FTFGAp opp],1)</f>
        <v>14</v>
      </c>
      <c r="DZ16" s="7">
        <f>AVERAGE(saintQ[TOV%op])</f>
        <v>0.15749375000000002</v>
      </c>
      <c r="EA16" s="16">
        <f>_xlfn.RANK.EQ(all[[#This Row],[TOVp opp]],all[TOVp opp])</f>
        <v>3</v>
      </c>
      <c r="EB16" s="6">
        <f>AVERAGE(saintQ[ORtgop])</f>
        <v>114.10312500000002</v>
      </c>
      <c r="EC16" s="16">
        <f>_xlfn.RANK.EQ(all[[#This Row],[ORtg opp]],all[ORtg opp],1)</f>
        <v>4</v>
      </c>
      <c r="ED16" s="6">
        <f>AVERAGE(saintQ[DRtgop])</f>
        <v>110.74687499999999</v>
      </c>
      <c r="EE16" s="16">
        <f>_xlfn.RANK.EQ(all[[#This Row],[DRtg opp]],all[DRtg opp])</f>
        <v>12</v>
      </c>
      <c r="EF16" s="6">
        <f>AVERAGE(saintQ[Q1H])</f>
        <v>18.8125</v>
      </c>
      <c r="EG16" s="16">
        <f>_xlfn.RANK.EQ(all[[#This Row],[Q1H]],all[Q1H])</f>
        <v>12</v>
      </c>
      <c r="EH16" s="6">
        <f>AVERAGE(saintQ[Q2H])</f>
        <v>19.625</v>
      </c>
      <c r="EI16" s="16">
        <f>_xlfn.RANK.EQ(all[[#This Row],[Q2H]],all[Q2H])</f>
        <v>12</v>
      </c>
      <c r="EJ16" s="6">
        <f>AVERAGE(saintQ[Q3H])</f>
        <v>19.8125</v>
      </c>
      <c r="EK16" s="16">
        <f>_xlfn.RANK.EQ(all[[#This Row],[Q3H]],all[Q3H])</f>
        <v>12</v>
      </c>
      <c r="EL16" s="6">
        <f>AVERAGE(saintQ[Q4H])</f>
        <v>18.84375</v>
      </c>
      <c r="EM16" s="16">
        <f>_xlfn.RANK.EQ(all[[#This Row],[Q4H]],all[Q4H])</f>
        <v>15</v>
      </c>
      <c r="EN16" s="6">
        <f>AVERAGE(saintQ[Q1A])</f>
        <v>20.125</v>
      </c>
      <c r="EO16" s="16">
        <f>_xlfn.RANK.EQ(all[[#This Row],[Q1A]],all[Q1A],1)</f>
        <v>6</v>
      </c>
      <c r="EP16" s="6">
        <f>AVERAGE(saintQ[Q2A])</f>
        <v>20.75</v>
      </c>
      <c r="EQ16" s="16">
        <f>_xlfn.RANK.EQ(all[[#This Row],[Q2A]],all[Q2A],1)</f>
        <v>8</v>
      </c>
      <c r="ER16" s="6">
        <f>AVERAGE(saintQ[Q3A])</f>
        <v>19.625</v>
      </c>
      <c r="ES16" s="16">
        <f>_xlfn.RANK.EQ(all[[#This Row],[Q3A]],all[Q3A],1)</f>
        <v>2</v>
      </c>
      <c r="ET16" s="6">
        <f>AVERAGE(saintQ[Q4A])</f>
        <v>18.78125</v>
      </c>
      <c r="EU16" s="16">
        <f>_xlfn.RANK.EQ(all[[#This Row],[Q4A]],all[Q4A],1)</f>
        <v>2</v>
      </c>
      <c r="EV16" s="6">
        <f>AVERAGE(saintQ[FhalfH])</f>
        <v>38.4375</v>
      </c>
      <c r="EW16" s="16">
        <f>_xlfn.RANK.EQ(all[[#This Row],[FHH]],all[FHH])</f>
        <v>13</v>
      </c>
      <c r="EX16" s="5">
        <f>AVERAGE(saintQ[FhalfA])</f>
        <v>40.875</v>
      </c>
      <c r="EY16" s="16">
        <f>_xlfn.RANK.EQ(all[[#This Row],[FHA]],all[FHA],1)</f>
        <v>5</v>
      </c>
      <c r="EZ16" s="6">
        <f>AVERAGE(saintQ[ShalfH])</f>
        <v>38.65625</v>
      </c>
      <c r="FA16" s="16">
        <f>_xlfn.RANK.EQ(all[[#This Row],[SHH]],all[SHH])</f>
        <v>13</v>
      </c>
      <c r="FB16" s="6">
        <f>AVERAGE(saintQ[ShalfA])</f>
        <v>38.40625</v>
      </c>
      <c r="FC16" s="16">
        <f>_xlfn.RANK.EQ(all[[#This Row],[SHA]],all[SHA],1)</f>
        <v>2</v>
      </c>
      <c r="FD16" s="6">
        <f ca="1">AVERAGE(LARGE(OFFSET(saintQ[Home_scored],COUNTA(saintQ[Home_scored])-5, 0, 5, 1),2), LARGE(OFFSET(saintQ[Home_scored],COUNTA(saintQ[Home_scored])-5, 0, 5, 1),3),LARGE(OFFSET(saintQ[Home_scored],COUNTA(saintQ[Home_scored])-5, 0, 5, 1),4))</f>
        <v>80.666666666666671</v>
      </c>
      <c r="FE16" s="6">
        <f ca="1">AVERAGE(LARGE(OFFSET(saintQ[Away_scored],COUNTA(saintQ[Away_scored])-5, 0, 5, 1),2), LARGE(OFFSET(saintQ[Away_scored],COUNTA(saintQ[Away_scored])-5, 0, 5, 1),3),LARGE(OFFSET(saintQ[Away_scored],COUNTA(saintQ[Away_scored])-5, 0, 5, 1),4))</f>
        <v>82</v>
      </c>
      <c r="FF16" s="16">
        <f ca="1">COUNTIF(INDIRECT(all[[#This Row],[Table name]]&amp;"[result]"),"w")+COUNTIF(INDIRECT(all[[#This Row],[Table name]]&amp;"[result]"),"dw")</f>
        <v>14</v>
      </c>
      <c r="FG16" s="16">
        <f ca="1">COUNTIF(INDIRECT(all[[#This Row],[Table name]]&amp;"[result]"),"l")+COUNTIF(INDIRECT(all[[#This Row],[Table name]]&amp;"[result]"),"dl")</f>
        <v>18</v>
      </c>
      <c r="FH16" s="7">
        <f ca="1">all[[#This Row],[Wins]]/(all[[#This Row],[Wins]]+all[[#This Row],[Losses]])</f>
        <v>0.4375</v>
      </c>
      <c r="FI16">
        <f ca="1">_xlfn.RANK.EQ(all[[#This Row],[rating]],all[rating])</f>
        <v>9</v>
      </c>
      <c r="FJ16" s="5">
        <f t="shared" si="0"/>
        <v>8.7692307692307701</v>
      </c>
      <c r="FK16" s="6">
        <f>all[[#This Row],[Q1H]]+all[[#This Row],[Q1A]]</f>
        <v>38.9375</v>
      </c>
      <c r="FL16" s="16">
        <f>_xlfn.RANK.EQ(all[[#This Row],[Q1T]],all[Q1T])</f>
        <v>13</v>
      </c>
      <c r="FM16" s="6">
        <f>all[[#This Row],[Q2H]]+all[[#This Row],[Q2A]]</f>
        <v>40.375</v>
      </c>
      <c r="FN16" s="16">
        <f>_xlfn.RANK.EQ(all[[#This Row],[Q2T]],all[Q2T])</f>
        <v>12</v>
      </c>
      <c r="FO16" s="6">
        <f>all[[#This Row],[Q3H]]+all[[#This Row],[Q3A]]</f>
        <v>39.4375</v>
      </c>
      <c r="FP16" s="16">
        <f>_xlfn.RANK.EQ(all[[#This Row],[Q3T]],all[Q3T])</f>
        <v>13</v>
      </c>
      <c r="FQ16" s="6">
        <f>all[[#This Row],[Q4H]]+all[[#This Row],[Q4A]]</f>
        <v>37.625</v>
      </c>
      <c r="FR16" s="16">
        <f>_xlfn.RANK.EQ(all[[#This Row],[Q4T]],all[Q4T])</f>
        <v>16</v>
      </c>
      <c r="FS16" s="6">
        <f>all[[#This Row],[FHH]]+all[[#This Row],[FHA]]</f>
        <v>79.3125</v>
      </c>
      <c r="FT16" s="16">
        <f>_xlfn.RANK.EQ(all[[#This Row],[FHT]],all[FHT])</f>
        <v>13</v>
      </c>
      <c r="FU16" s="6">
        <f>all[[#This Row],[SHH]]+all[[#This Row],[SHA]]</f>
        <v>77.0625</v>
      </c>
      <c r="FV16" s="16">
        <f>_xlfn.RANK.EQ(all[[#This Row],[SHT]],all[SHT])</f>
        <v>14</v>
      </c>
      <c r="FW16" s="6">
        <f ca="1">SUM(INDIRECT(all[[#This Row],[Table name]]&amp;"[BetH]"))</f>
        <v>-1.8499999999999999</v>
      </c>
      <c r="FX16" s="16">
        <f ca="1">_xlfn.RANK.EQ(all[[#This Row],[BetH]],all[BetH])</f>
        <v>7</v>
      </c>
      <c r="FY16" s="6">
        <f ca="1">SUM(INDIRECT(all[[#This Row],[Table name]]&amp;"[BetA]"))</f>
        <v>3.8400000000000003</v>
      </c>
      <c r="FZ16" s="16">
        <f ca="1">_xlfn.RANK.EQ(all[[#This Row],[BetA]],all[BetA])</f>
        <v>1</v>
      </c>
      <c r="GA16" s="16">
        <f ca="1">SUM(INDIRECT(all[[#This Row],[Table name]]&amp;"[Tover]"))</f>
        <v>12</v>
      </c>
      <c r="GB16" s="16">
        <f ca="1">_xlfn.RANK.EQ(all[[#This Row],[Tover]],all[Tover])</f>
        <v>14</v>
      </c>
      <c r="GC16" s="6">
        <f ca="1">AVERAGE(INDIRECT(all[[#This Row],[Table name]]&amp;"[Deviation]"))</f>
        <v>13.75</v>
      </c>
      <c r="GD16" s="16">
        <f ca="1">_xlfn.RANK.EQ(all[[#This Row],[Deviation]],all[Deviation],1)</f>
        <v>9</v>
      </c>
    </row>
    <row r="17" spans="1:186" x14ac:dyDescent="0.25">
      <c r="A17" s="9" t="s">
        <v>345</v>
      </c>
      <c r="B17" t="s">
        <v>345</v>
      </c>
      <c r="C17" t="s">
        <v>346</v>
      </c>
      <c r="D17" t="s">
        <v>347</v>
      </c>
      <c r="E17">
        <f>_xlfn.RANK.EQ(all[[#This Row],[AVG_RT]],all[AVG_RT],1)</f>
        <v>11</v>
      </c>
      <c r="F17" s="6">
        <f>AVERAGE(strasbourg[Home_scored])</f>
        <v>79.3</v>
      </c>
      <c r="G17" s="16">
        <f>_xlfn.RANK.EQ(all[[#This Row],[PM]],all[PM])</f>
        <v>11</v>
      </c>
      <c r="H17" s="6">
        <f>AVERAGE(strasbourg[Away_scored])</f>
        <v>83.266666666666666</v>
      </c>
      <c r="I17" s="16">
        <f>_xlfn.RANK.EQ(all[[#This Row],[PC]],all[PC],1)</f>
        <v>8</v>
      </c>
      <c r="J17" s="6">
        <f>AVERAGE(strasbourg[FGA])</f>
        <v>59.966666666666669</v>
      </c>
      <c r="K17" s="16">
        <f>_xlfn.RANK.EQ(all[[#This Row],[FGA]],all[FGA])</f>
        <v>12</v>
      </c>
      <c r="L17" s="6">
        <f>AVERAGE(strasbourg[FGM])</f>
        <v>28.1</v>
      </c>
      <c r="M17" s="16">
        <f>_xlfn.RANK.EQ(all[[#This Row],[FGM]],all[FGM])</f>
        <v>11</v>
      </c>
      <c r="N17" s="7">
        <f>AVERAGE(strasbourg[FGp])</f>
        <v>0.46962000000000004</v>
      </c>
      <c r="O17" s="16">
        <f>_xlfn.RANK.EQ(all[[#This Row],[FGp]],all[FGp])</f>
        <v>10</v>
      </c>
      <c r="P17" s="6">
        <f>AVERAGE(strasbourg[P2M])</f>
        <v>18.866666666666667</v>
      </c>
      <c r="Q17" s="16">
        <f>_xlfn.RANK.EQ(all[[#This Row],[P2M]],all[P2M])</f>
        <v>11</v>
      </c>
      <c r="R17" s="6">
        <f>AVERAGE(strasbourg[P2A])</f>
        <v>33.733333333333334</v>
      </c>
      <c r="S17" s="16">
        <f>_xlfn.RANK.EQ(all[[#This Row],[P2A]],all[P2A])</f>
        <v>13</v>
      </c>
      <c r="T17" s="7">
        <f>AVERAGE(strasbourg[P2p])</f>
        <v>0.56032999999999999</v>
      </c>
      <c r="U17" s="16">
        <f>_xlfn.RANK.EQ(all[[#This Row],[P2p]],all[P2p])</f>
        <v>9</v>
      </c>
      <c r="V17" s="6">
        <f>AVERAGE(strasbourg[P3M])</f>
        <v>9.2333333333333325</v>
      </c>
      <c r="W17" s="16">
        <f>_xlfn.RANK.EQ(all[[#This Row],[P3M]],all[P3M])</f>
        <v>7</v>
      </c>
      <c r="X17" s="6">
        <f>AVERAGE(strasbourg[P3A])</f>
        <v>26.233333333333334</v>
      </c>
      <c r="Y17" s="16">
        <f>_xlfn.RANK.EQ(all[[#This Row],[P3A]],all[P3A])</f>
        <v>6</v>
      </c>
      <c r="Z17" s="7">
        <f>AVERAGE(strasbourg[P3p])</f>
        <v>0.34960666666666662</v>
      </c>
      <c r="AA17" s="16">
        <f>_xlfn.RANK.EQ(all[[#This Row],[P3p]],all[P3p])</f>
        <v>11</v>
      </c>
      <c r="AB17" s="6">
        <f>AVERAGE(strasbourg[FTM])</f>
        <v>13.866666666666667</v>
      </c>
      <c r="AC17" s="16">
        <f>_xlfn.RANK.EQ(all[[#This Row],[FTM]],all[FTM])</f>
        <v>13</v>
      </c>
      <c r="AD17" s="6">
        <f>AVERAGE(strasbourg[FTA])</f>
        <v>18.833333333333332</v>
      </c>
      <c r="AE17" s="16">
        <f>_xlfn.RANK.EQ(all[[#This Row],[FTA]],all[FTA])</f>
        <v>14</v>
      </c>
      <c r="AF17" s="7">
        <f>AVERAGE(strasbourg[FTp])</f>
        <v>0.73046666666666671</v>
      </c>
      <c r="AG17" s="16">
        <f>_xlfn.RANK.EQ(all[[#This Row],[FTp]],all[FTp])</f>
        <v>11</v>
      </c>
      <c r="AH17" s="6">
        <f>AVERAGE(strasbourg[ORB])</f>
        <v>10.3</v>
      </c>
      <c r="AI17" s="16">
        <f>_xlfn.RANK.EQ(all[[#This Row],[ORB]],all[ORB])</f>
        <v>11</v>
      </c>
      <c r="AJ17" s="6">
        <f>AVERAGE(strasbourg[DRB])</f>
        <v>23.3</v>
      </c>
      <c r="AK17" s="16">
        <f>_xlfn.RANK.EQ(all[[#This Row],[DRB]],all[DRB])</f>
        <v>11</v>
      </c>
      <c r="AL17" s="6">
        <f>AVERAGE(strasbourg[TRB])</f>
        <v>33.6</v>
      </c>
      <c r="AM17" s="16">
        <f>_xlfn.RANK.EQ(all[[#This Row],[TRB]],all[TRB])</f>
        <v>10</v>
      </c>
      <c r="AN17" s="6">
        <f>AVERAGE(strasbourg[AST])</f>
        <v>19.033333333333335</v>
      </c>
      <c r="AO17" s="16">
        <f>_xlfn.RANK.EQ(all[[#This Row],[AST]],all[AST])</f>
        <v>11</v>
      </c>
      <c r="AP17" s="6">
        <f>AVERAGE(strasbourg[STL])</f>
        <v>5.8</v>
      </c>
      <c r="AQ17" s="16">
        <f>_xlfn.RANK.EQ(all[[#This Row],[STL]],all[STL])</f>
        <v>13</v>
      </c>
      <c r="AR17" s="6">
        <f>AVERAGE(strasbourg[BLK])</f>
        <v>2.7333333333333334</v>
      </c>
      <c r="AS17" s="16">
        <f>_xlfn.RANK.EQ(all[[#This Row],[BLK]],all[BLK])</f>
        <v>8</v>
      </c>
      <c r="AT17" s="6">
        <f>AVERAGE(strasbourg[TOV])</f>
        <v>15.3</v>
      </c>
      <c r="AU17" s="16">
        <f>_xlfn.RANK.EQ(all[[#This Row],[TOV]],all[TOV],1)</f>
        <v>16</v>
      </c>
      <c r="AV17" s="6">
        <f>AVERAGE(strasbourg[PF])</f>
        <v>22.166666666666668</v>
      </c>
      <c r="AW17" s="16">
        <f>_xlfn.RANK.EQ(all[[#This Row],[PF]],all[PF],1)</f>
        <v>9</v>
      </c>
      <c r="AX17" s="6">
        <f>AVERAGE(strasbourg[FGAop])</f>
        <v>61.93333333333333</v>
      </c>
      <c r="AY17" s="16">
        <f>_xlfn.RANK.EQ(all[[#This Row],[FGA opp]],all[FGA opp],1)</f>
        <v>8</v>
      </c>
      <c r="AZ17" s="6">
        <f>AVERAGE(strasbourg[FGMop])</f>
        <v>29.5</v>
      </c>
      <c r="BA17" s="16">
        <f>_xlfn.RANK.EQ(all[[#This Row],[FGM opp]],all[FGM opp],1)</f>
        <v>8</v>
      </c>
      <c r="BB17" s="7">
        <f>AVERAGE(strasbourg[FGpop])</f>
        <v>0.47532333333333338</v>
      </c>
      <c r="BC17" s="16">
        <f>_xlfn.RANK.EQ(all[[#This Row],[FGp opp]],all[FGp opp],1)</f>
        <v>8</v>
      </c>
      <c r="BD17" s="6">
        <f>AVERAGE(strasbourg[P2Mop])</f>
        <v>21.066666666666666</v>
      </c>
      <c r="BE17" s="16">
        <f>_xlfn.RANK.EQ(all[[#This Row],[P2M opp]],all[P2M opp],1)</f>
        <v>12</v>
      </c>
      <c r="BF17" s="6">
        <f>AVERAGE(strasbourg[P2Aop])</f>
        <v>37.06666666666667</v>
      </c>
      <c r="BG17" s="16">
        <f>_xlfn.RANK.EQ(all[[#This Row],[P2A opp]],all[P2A opp],1)</f>
        <v>11</v>
      </c>
      <c r="BH17">
        <f>AVERAGE(strasbourg[P2pop])</f>
        <v>0.57196333333333338</v>
      </c>
      <c r="BI17" s="16">
        <f>_xlfn.RANK.EQ(all[[#This Row],[P2p opp]],all[P2p opp],1)</f>
        <v>12</v>
      </c>
      <c r="BJ17" s="6">
        <f>AVERAGE(strasbourg[P3Mop])</f>
        <v>8.4333333333333336</v>
      </c>
      <c r="BK17" s="16">
        <f>_xlfn.RANK.EQ(all[[#This Row],[P3M opp]],all[P3M opp],1)</f>
        <v>6</v>
      </c>
      <c r="BL17" s="6">
        <f>AVERAGE(strasbourg[P3Aop])</f>
        <v>24.866666666666667</v>
      </c>
      <c r="BM17" s="16">
        <f>_xlfn.RANK.EQ(all[[#This Row],[P3A opp]],all[P3A opp],1)</f>
        <v>4</v>
      </c>
      <c r="BN17" s="7">
        <f>AVERAGE(strasbourg[P3pop])</f>
        <v>0.33551333333333322</v>
      </c>
      <c r="BO17" s="16">
        <f>_xlfn.RANK.EQ(all[[#This Row],[P3p opp]],all[P3p opp],1)</f>
        <v>3</v>
      </c>
      <c r="BP17" s="6">
        <f>AVERAGE(strasbourg[FTMop])</f>
        <v>15.833333333333334</v>
      </c>
      <c r="BQ17" s="16">
        <f>_xlfn.RANK.EQ(all[[#This Row],[FTM opp]],all[FTM opp],1)</f>
        <v>8</v>
      </c>
      <c r="BR17" s="6">
        <f>AVERAGE(strasbourg[FTAop])</f>
        <v>21.2</v>
      </c>
      <c r="BS17" s="16">
        <f>_xlfn.RANK.EQ(all[[#This Row],[FTA opp]],all[FTA opp],1)</f>
        <v>8</v>
      </c>
      <c r="BT17" s="7">
        <f>AVERAGE(strasbourg[FTpop])</f>
        <v>0.75632999999999995</v>
      </c>
      <c r="BU17" s="16">
        <f>_xlfn.RANK.EQ(all[[#This Row],[FTp opp]],all[FTp opp],1)</f>
        <v>13</v>
      </c>
      <c r="BV17" s="6">
        <f>AVERAGE(strasbourg[ORBop])</f>
        <v>10.933333333333334</v>
      </c>
      <c r="BW17" s="16">
        <f>_xlfn.RANK.EQ(all[[#This Row],[ORB opp]],all[ORB opp],1)</f>
        <v>10</v>
      </c>
      <c r="BX17" s="6">
        <f>AVERAGE(strasbourg[DRBop])</f>
        <v>22.866666666666667</v>
      </c>
      <c r="BY17" s="16">
        <f>_xlfn.RANK.EQ(all[[#This Row],[DRB opp]],all[DRB opp],1)</f>
        <v>5</v>
      </c>
      <c r="BZ17" s="6">
        <f>AVERAGE(strasbourg[TRBop])</f>
        <v>33.799999999999997</v>
      </c>
      <c r="CA17" s="16">
        <f>_xlfn.RANK.EQ(all[[#This Row],[TRB opp]],all[TRB opp],1)</f>
        <v>8</v>
      </c>
      <c r="CB17" s="6">
        <f>AVERAGE(strasbourg[ASTop])</f>
        <v>19.833333333333332</v>
      </c>
      <c r="CC17" s="16">
        <f>_xlfn.RANK.EQ(all[[#This Row],[AST opp]],all[AST opp],1)</f>
        <v>12</v>
      </c>
      <c r="CD17" s="6">
        <f>AVERAGE(strasbourg[STLop])</f>
        <v>7.3</v>
      </c>
      <c r="CE17" s="16">
        <f>_xlfn.RANK.EQ(all[[#This Row],[STL opp]],all[STL opp],1)</f>
        <v>14</v>
      </c>
      <c r="CF17" s="6">
        <f>AVERAGE(strasbourg[BLKop])</f>
        <v>2.5</v>
      </c>
      <c r="CG17" s="16">
        <f>_xlfn.RANK.EQ(all[[#This Row],[BLK opp]],all[BLK opp],1)</f>
        <v>5</v>
      </c>
      <c r="CH17" s="6">
        <f>AVERAGE(strasbourg[TOVop])</f>
        <v>12.4</v>
      </c>
      <c r="CI17" s="16">
        <f>_xlfn.RANK.EQ(all[[#This Row],[TOV opp]],all[TOV opp])</f>
        <v>6</v>
      </c>
      <c r="CJ17" s="6">
        <f>AVERAGE(strasbourg[PFop])</f>
        <v>20.8</v>
      </c>
      <c r="CK17" s="16">
        <f>_xlfn.RANK.EQ(all[[#This Row],[PF opp]],all[PF opp])</f>
        <v>11</v>
      </c>
      <c r="CL17" s="7">
        <f>AVERAGE(strasbourg[TS%])</f>
        <v>0.58193666666666644</v>
      </c>
      <c r="CM17" s="16">
        <f>_xlfn.RANK.EQ(all[[#This Row],[TSp]],all[TSp])</f>
        <v>10</v>
      </c>
      <c r="CN17" s="7">
        <f>AVERAGE(strasbourg[eFG%])</f>
        <v>0.54771666666666674</v>
      </c>
      <c r="CO17" s="16">
        <f>_xlfn.RANK.EQ(all[[#This Row],[eFGp]],all[eFGp])</f>
        <v>8</v>
      </c>
      <c r="CP17" s="7">
        <f>AVERAGE(strasbourg[ORB%])</f>
        <v>0.30885333333333331</v>
      </c>
      <c r="CQ17" s="16">
        <f>_xlfn.RANK.EQ(all[[#This Row],[ORBp]],all[ORBp])</f>
        <v>9</v>
      </c>
      <c r="CR17" s="7">
        <f>AVERAGE(strasbourg[DRB%])</f>
        <v>0.68426333333333322</v>
      </c>
      <c r="CS17" s="16">
        <f>_xlfn.RANK.EQ(all[[#This Row],[DRBp]],all[DRBp])</f>
        <v>9</v>
      </c>
      <c r="CT17" s="7">
        <f>AVERAGE(strasbourg[TRB%])</f>
        <v>0.49889999999999995</v>
      </c>
      <c r="CU17" s="16">
        <f>_xlfn.RANK.EQ(all[[#This Row],[TRBp]],all[TRBp])</f>
        <v>9</v>
      </c>
      <c r="CV17" s="6">
        <f>AVERAGE(strasbourg[Poss])</f>
        <v>72.303933333333347</v>
      </c>
      <c r="CW17" s="16">
        <f>_xlfn.RANK.EQ(all[[#This Row],[Poss]],all[Poss])</f>
        <v>7</v>
      </c>
      <c r="CX17" s="7">
        <f>AVERAGE(strasbourg[AST%])</f>
        <v>0.68018666666666661</v>
      </c>
      <c r="CY17" s="16">
        <f>_xlfn.RANK.EQ(all[[#This Row],[ASTp]],all[ASTp])</f>
        <v>7</v>
      </c>
      <c r="CZ17" s="7">
        <f>AVERAGE(strasbourg[FTFGA%])</f>
        <v>0.23599666666666672</v>
      </c>
      <c r="DA17" s="16">
        <f>_xlfn.RANK.EQ(all[[#This Row],[FTFGAp]],all[FTFGAp])</f>
        <v>12</v>
      </c>
      <c r="DB17" s="7">
        <f>AVERAGE(strasbourg[TOV%])</f>
        <v>0.18358666666666668</v>
      </c>
      <c r="DC17" s="16">
        <f>_xlfn.RANK.EQ(all[[#This Row],[TOVp]],all[TOVp],1)</f>
        <v>16</v>
      </c>
      <c r="DD17" s="6">
        <f>AVERAGE(strasbourg[ORtg])</f>
        <v>110.39999999999999</v>
      </c>
      <c r="DE17" s="16">
        <f>_xlfn.RANK.EQ(all[[#This Row],[ORtg]],all[ORtg])</f>
        <v>13</v>
      </c>
      <c r="DF17" s="6">
        <f>AVERAGE(strasbourg[DRtg])</f>
        <v>115.64</v>
      </c>
      <c r="DG17" s="16">
        <f>_xlfn.RANK.EQ(all[[#This Row],[DRtg]],all[DRtg],1)</f>
        <v>6</v>
      </c>
      <c r="DH17" s="6">
        <f>AVERAGE(strasbourg[Pace])</f>
        <v>71.896600000000007</v>
      </c>
      <c r="DI17" s="16">
        <f>_xlfn.RANK.EQ(all[[#This Row],[Pace]],all[Pace])</f>
        <v>8</v>
      </c>
      <c r="DJ17" s="7">
        <f>AVERAGE(strasbourg[TS%op])</f>
        <v>0.5846133333333331</v>
      </c>
      <c r="DK17" s="16">
        <f>_xlfn.RANK.EQ(all[[#This Row],[TSp opp]],all[TSp opp],1)</f>
        <v>6</v>
      </c>
      <c r="DL17" s="7">
        <f>AVERAGE(strasbourg[eFG%op])</f>
        <v>0.54347333333333325</v>
      </c>
      <c r="DM17" s="16">
        <f>_xlfn.RANK.EQ(all[[#This Row],[eFGp opp]],all[eFGp opp],1)</f>
        <v>5</v>
      </c>
      <c r="DN17" s="7">
        <f>AVERAGE(strasbourg[ORB%op])</f>
        <v>0.31574666666666668</v>
      </c>
      <c r="DO17" s="16">
        <f>_xlfn.RANK.EQ(all[[#This Row],[ORBp opp]],all[ORBp opp],1)</f>
        <v>9</v>
      </c>
      <c r="DP17" s="7">
        <f>AVERAGE(strasbourg[DRB%op])</f>
        <v>0.69115333333333351</v>
      </c>
      <c r="DQ17" s="16">
        <f>_xlfn.RANK.EQ(all[[#This Row],[DRBp opp]],all[DRBp opp],1)</f>
        <v>9</v>
      </c>
      <c r="DR17" s="7">
        <f>AVERAGE(strasbourg[TRB%op])</f>
        <v>0.50109999999999988</v>
      </c>
      <c r="DS17" s="16">
        <f>_xlfn.RANK.EQ(all[[#This Row],[TRBp opp]],all[TRBp opp],1)</f>
        <v>9</v>
      </c>
      <c r="DT17" s="6">
        <f>AVERAGE(strasbourg[Possop])</f>
        <v>71.489266666666666</v>
      </c>
      <c r="DU17" s="16">
        <f>_xlfn.RANK.EQ(all[[#This Row],[Poss opp]],all[Poss opp],1)</f>
        <v>8</v>
      </c>
      <c r="DV17" s="7">
        <f>AVERAGE(strasbourg[AST%op])</f>
        <v>0.67336000000000018</v>
      </c>
      <c r="DW17" s="16">
        <f>_xlfn.RANK.EQ(all[[#This Row],[ASTp opp]],all[ASTp opp],1)</f>
        <v>9</v>
      </c>
      <c r="DX17" s="7">
        <f>AVERAGE(strasbourg[FTFGA%op])</f>
        <v>0.26052666666666668</v>
      </c>
      <c r="DY17" s="16">
        <f>_xlfn.RANK.EQ(all[[#This Row],[FTFGAp opp]],all[FTFGAp opp],1)</f>
        <v>9</v>
      </c>
      <c r="DZ17" s="7">
        <f>AVERAGE(strasbourg[TOV%op])</f>
        <v>0.14728333333333332</v>
      </c>
      <c r="EA17" s="16">
        <f>_xlfn.RANK.EQ(all[[#This Row],[TOVp opp]],all[TOVp opp])</f>
        <v>6</v>
      </c>
      <c r="EB17" s="6">
        <f>AVERAGE(strasbourg[ORtgop])</f>
        <v>115.64</v>
      </c>
      <c r="EC17" s="16">
        <f>_xlfn.RANK.EQ(all[[#This Row],[ORtg opp]],all[ORtg opp],1)</f>
        <v>6</v>
      </c>
      <c r="ED17" s="6">
        <f>AVERAGE(strasbourg[DRtgop])</f>
        <v>110.39999999999999</v>
      </c>
      <c r="EE17" s="16">
        <f>_xlfn.RANK.EQ(all[[#This Row],[DRtg opp]],all[DRtg opp])</f>
        <v>13</v>
      </c>
      <c r="EF17" s="6">
        <f>AVERAGE(strasbourg[Q1H])</f>
        <v>18.600000000000001</v>
      </c>
      <c r="EG17" s="16">
        <f>_xlfn.RANK.EQ(all[[#This Row],[Q1H]],all[Q1H])</f>
        <v>13</v>
      </c>
      <c r="EH17" s="6">
        <f>AVERAGE(strasbourg[Q2H])</f>
        <v>20.466666666666665</v>
      </c>
      <c r="EI17" s="16">
        <f>_xlfn.RANK.EQ(all[[#This Row],[Q2H]],all[Q2H])</f>
        <v>9</v>
      </c>
      <c r="EJ17" s="6">
        <f>AVERAGE(strasbourg[Q3H])</f>
        <v>19.966666666666665</v>
      </c>
      <c r="EK17" s="16">
        <f>_xlfn.RANK.EQ(all[[#This Row],[Q3H]],all[Q3H])</f>
        <v>11</v>
      </c>
      <c r="EL17" s="6">
        <f>AVERAGE(strasbourg[Q4H])</f>
        <v>20.266666666666666</v>
      </c>
      <c r="EM17" s="16">
        <f>_xlfn.RANK.EQ(all[[#This Row],[Q4H]],all[Q4H])</f>
        <v>9</v>
      </c>
      <c r="EN17" s="6">
        <f>AVERAGE(strasbourg[Q1A])</f>
        <v>19.466666666666665</v>
      </c>
      <c r="EO17" s="16">
        <f>_xlfn.RANK.EQ(all[[#This Row],[Q1A]],all[Q1A],1)</f>
        <v>3</v>
      </c>
      <c r="EP17" s="6">
        <f>AVERAGE(strasbourg[Q2A])</f>
        <v>19.666666666666668</v>
      </c>
      <c r="EQ17" s="16">
        <f>_xlfn.RANK.EQ(all[[#This Row],[Q2A]],all[Q2A],1)</f>
        <v>1</v>
      </c>
      <c r="ER17" s="6">
        <f>AVERAGE(strasbourg[Q3A])</f>
        <v>20.866666666666667</v>
      </c>
      <c r="ES17" s="16">
        <f>_xlfn.RANK.EQ(all[[#This Row],[Q3A]],all[Q3A],1)</f>
        <v>9</v>
      </c>
      <c r="ET17" s="6">
        <f>AVERAGE(strasbourg[Q4A])</f>
        <v>23.266666666666666</v>
      </c>
      <c r="EU17" s="16">
        <f>_xlfn.RANK.EQ(all[[#This Row],[Q4A]],all[Q4A],1)</f>
        <v>16</v>
      </c>
      <c r="EV17" s="6">
        <f>AVERAGE(strasbourg[FhalfH])</f>
        <v>39.06666666666667</v>
      </c>
      <c r="EW17" s="16">
        <f>_xlfn.RANK.EQ(all[[#This Row],[FHH]],all[FHH])</f>
        <v>12</v>
      </c>
      <c r="EX17" s="5">
        <f>AVERAGE(strasbourg[FhalfA])</f>
        <v>39.133333333333333</v>
      </c>
      <c r="EY17" s="16">
        <f>_xlfn.RANK.EQ(all[[#This Row],[FHA]],all[FHA],1)</f>
        <v>1</v>
      </c>
      <c r="EZ17" s="6">
        <f>AVERAGE(strasbourg[ShalfH])</f>
        <v>40.233333333333334</v>
      </c>
      <c r="FA17" s="16">
        <f>_xlfn.RANK.EQ(all[[#This Row],[SHH]],all[SHH])</f>
        <v>11</v>
      </c>
      <c r="FB17" s="6">
        <f>AVERAGE(strasbourg[ShalfA])</f>
        <v>44.133333333333333</v>
      </c>
      <c r="FC17" s="16">
        <f>_xlfn.RANK.EQ(all[[#This Row],[SHA]],all[SHA],1)</f>
        <v>15</v>
      </c>
      <c r="FD17" s="6">
        <f ca="1">AVERAGE(LARGE(OFFSET(strasbourg[Home_scored],COUNTA(strasbourg[Home_scored])-5, 0, 5, 1),2), LARGE(OFFSET(strasbourg[Home_scored],COUNTA(strasbourg[Home_scored])-5, 0, 5, 1),3),LARGE(OFFSET(strasbourg[Home_scored],COUNTA(strasbourg[Home_scored])-5, 0, 5, 1),4))</f>
        <v>74.666666666666671</v>
      </c>
      <c r="FE17" s="6">
        <f ca="1">AVERAGE(LARGE(OFFSET(strasbourg[Away_scored],COUNTA(strasbourg[Away_scored])-5, 0, 5, 1),2), LARGE(OFFSET(strasbourg[Away_scored],COUNTA(strasbourg[Away_scored])-5, 0, 5, 1),3),LARGE(OFFSET(strasbourg[Away_scored],COUNTA(strasbourg[Away_scored])-5, 0, 5, 1),4))</f>
        <v>83.333333333333329</v>
      </c>
      <c r="FF17" s="16">
        <f ca="1">COUNTIF(INDIRECT(all[[#This Row],[Table name]]&amp;"[result]"),"w")+COUNTIF(INDIRECT(all[[#This Row],[Table name]]&amp;"[result]"),"dw")</f>
        <v>12</v>
      </c>
      <c r="FG17" s="16">
        <f ca="1">COUNTIF(INDIRECT(all[[#This Row],[Table name]]&amp;"[result]"),"l")+COUNTIF(INDIRECT(all[[#This Row],[Table name]]&amp;"[result]"),"dl")</f>
        <v>18</v>
      </c>
      <c r="FH17" s="7">
        <f ca="1">all[[#This Row],[Wins]]/(all[[#This Row],[Wins]]+all[[#This Row],[Losses]])</f>
        <v>0.4</v>
      </c>
      <c r="FI17">
        <f ca="1">_xlfn.RANK.EQ(all[[#This Row],[rating]],all[rating])</f>
        <v>10</v>
      </c>
      <c r="FJ17" s="5">
        <f t="shared" si="0"/>
        <v>9.4</v>
      </c>
      <c r="FK17" s="6">
        <f>all[[#This Row],[Q1H]]+all[[#This Row],[Q1A]]</f>
        <v>38.066666666666663</v>
      </c>
      <c r="FL17" s="16">
        <f>_xlfn.RANK.EQ(all[[#This Row],[Q1T]],all[Q1T])</f>
        <v>14</v>
      </c>
      <c r="FM17" s="6">
        <f>all[[#This Row],[Q2H]]+all[[#This Row],[Q2A]]</f>
        <v>40.133333333333333</v>
      </c>
      <c r="FN17" s="16">
        <f>_xlfn.RANK.EQ(all[[#This Row],[Q2T]],all[Q2T])</f>
        <v>14</v>
      </c>
      <c r="FO17" s="6">
        <f>all[[#This Row],[Q3H]]+all[[#This Row],[Q3A]]</f>
        <v>40.833333333333329</v>
      </c>
      <c r="FP17" s="16">
        <f>_xlfn.RANK.EQ(all[[#This Row],[Q3T]],all[Q3T])</f>
        <v>11</v>
      </c>
      <c r="FQ17" s="6">
        <f>all[[#This Row],[Q4H]]+all[[#This Row],[Q4A]]</f>
        <v>43.533333333333331</v>
      </c>
      <c r="FR17" s="16">
        <f>_xlfn.RANK.EQ(all[[#This Row],[Q4T]],all[Q4T])</f>
        <v>3</v>
      </c>
      <c r="FS17" s="6">
        <f>all[[#This Row],[FHH]]+all[[#This Row],[FHA]]</f>
        <v>78.2</v>
      </c>
      <c r="FT17" s="16">
        <f>_xlfn.RANK.EQ(all[[#This Row],[FHT]],all[FHT])</f>
        <v>16</v>
      </c>
      <c r="FU17" s="6">
        <f>all[[#This Row],[SHH]]+all[[#This Row],[SHA]]</f>
        <v>84.366666666666674</v>
      </c>
      <c r="FV17" s="16">
        <f>_xlfn.RANK.EQ(all[[#This Row],[SHT]],all[SHT])</f>
        <v>9</v>
      </c>
      <c r="FW17" s="6">
        <f ca="1">SUM(INDIRECT(all[[#This Row],[Table name]]&amp;"[BetH]"))</f>
        <v>-4.7099999999999991</v>
      </c>
      <c r="FX17" s="16">
        <f ca="1">_xlfn.RANK.EQ(all[[#This Row],[BetH]],all[BetH])</f>
        <v>11</v>
      </c>
      <c r="FY17" s="6">
        <f ca="1">SUM(INDIRECT(all[[#This Row],[Table name]]&amp;"[BetA]"))</f>
        <v>2.17</v>
      </c>
      <c r="FZ17" s="16">
        <f ca="1">_xlfn.RANK.EQ(all[[#This Row],[BetA]],all[BetA])</f>
        <v>4</v>
      </c>
      <c r="GA17" s="16">
        <f ca="1">SUM(INDIRECT(all[[#This Row],[Table name]]&amp;"[Tover]"))</f>
        <v>14</v>
      </c>
      <c r="GB17" s="16">
        <f ca="1">_xlfn.RANK.EQ(all[[#This Row],[Tover]],all[Tover])</f>
        <v>12</v>
      </c>
      <c r="GC17" s="6">
        <f ca="1">AVERAGE(INDIRECT(all[[#This Row],[Table name]]&amp;"[Deviation]"))</f>
        <v>15.466666666666667</v>
      </c>
      <c r="GD17" s="16">
        <f ca="1">_xlfn.RANK.EQ(all[[#This Row],[Deviation]],all[Deviation],1)</f>
        <v>14</v>
      </c>
    </row>
  </sheetData>
  <phoneticPr fontId="11" type="noConversion"/>
  <hyperlinks>
    <hyperlink ref="A2" location="bourg!A1" display="Bourg" xr:uid="{7E67056C-E69B-4B99-9E7C-1E95C987D10A}"/>
    <hyperlink ref="A3" location="'chalon'!A1" display="Chalon" xr:uid="{D39765DA-57E2-4DA1-9B91-D9184BAEB169}"/>
    <hyperlink ref="A4" location="'cholet'!A1" display="Cholet" xr:uid="{863A25B5-452E-45BB-BB0B-D04765B79058}"/>
    <hyperlink ref="A6" location="dunker!A1" display="Dunkerque" xr:uid="{BD3B24AD-29C1-4A12-B69F-08E60D566FA2}"/>
    <hyperlink ref="A7" location="leman!A1" display="LeMans" xr:uid="{00ED8605-CCD8-4BB4-9B87-03BF2FA0B71C}"/>
    <hyperlink ref="A8" location="portel!A1" display="LePortel" xr:uid="{76E77D2A-E95F-44CA-BD0A-1959A8D1C041}"/>
    <hyperlink ref="A5" location="dijon!A1" display="Dijon" xr:uid="{A8E51E79-3339-42C4-94C5-38C82067F30C}"/>
    <hyperlink ref="A9" location="boulazac!A1" display="Boulazac" xr:uid="{5FE215C1-A388-4043-B1B9-4B17254EBE91}"/>
    <hyperlink ref="A10" location="limoneg!A1" display="Limoges" xr:uid="{0E94EE91-1202-4339-83F1-B5212CE18172}"/>
    <hyperlink ref="A11" location="lyon!A1" display="Lyon" xr:uid="{FA067299-1EBA-4F07-9BED-D378F5925AF1}"/>
    <hyperlink ref="A12" location="monaco!A1" display="Monaco" xr:uid="{B7D709F4-B8CE-4169-86FA-BE961A70F2BB}"/>
    <hyperlink ref="A13" location="nancy!A1" display="Nancy" xr:uid="{595584D4-1FFB-41C3-8590-A71E746369E0}"/>
    <hyperlink ref="A14" location="nantere!A1" display="Nanterre" xr:uid="{D1E6B54C-E353-4B41-877C-4DF7E5D63F08}"/>
    <hyperlink ref="A15" location="paris!A1" display="Paris" xr:uid="{42300E43-A697-42B4-8AAE-3C89CE0CF2D9}"/>
    <hyperlink ref="A16" location="saintQ!A1" display="SaintQ" xr:uid="{ED992989-F724-4964-9F9F-4945E791F178}"/>
    <hyperlink ref="A17" location="strasbourg!A1" display="Strasbourg" xr:uid="{7F0B1C46-7799-4A07-B823-848CE0DDE452}"/>
  </hyperlink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9A03B-0C13-4D36-B753-378C2DF51090}">
  <sheetPr codeName="Sheet5"/>
  <dimension ref="A1:CQ37"/>
  <sheetViews>
    <sheetView zoomScale="80" zoomScaleNormal="80" workbookViewId="0">
      <selection activeCell="A38" sqref="A38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349</v>
      </c>
      <c r="B4" s="2" t="s">
        <v>305</v>
      </c>
      <c r="C4" s="3" t="s">
        <v>73</v>
      </c>
      <c r="D4" s="3">
        <v>45556</v>
      </c>
      <c r="E4" s="2" t="s">
        <v>140</v>
      </c>
      <c r="F4" s="2" t="s">
        <v>345</v>
      </c>
      <c r="G4" s="2" t="s">
        <v>139</v>
      </c>
      <c r="H4" s="2">
        <v>80</v>
      </c>
      <c r="I4" s="2">
        <v>83</v>
      </c>
      <c r="J4" s="2">
        <v>30</v>
      </c>
      <c r="K4" s="2">
        <v>66</v>
      </c>
      <c r="L4" s="2">
        <v>0.45450000000000002</v>
      </c>
      <c r="M4" s="2">
        <v>22</v>
      </c>
      <c r="N4" s="2">
        <v>43</v>
      </c>
      <c r="O4" s="2">
        <v>0.51160000000000005</v>
      </c>
      <c r="P4" s="2">
        <v>8</v>
      </c>
      <c r="Q4" s="2">
        <v>23</v>
      </c>
      <c r="R4" s="2">
        <v>0.3478</v>
      </c>
      <c r="S4" s="2">
        <v>12</v>
      </c>
      <c r="T4" s="2">
        <v>22</v>
      </c>
      <c r="U4" s="2">
        <v>0.54549999999999998</v>
      </c>
      <c r="V4" s="2">
        <v>19</v>
      </c>
      <c r="W4" s="2">
        <v>21</v>
      </c>
      <c r="X4" s="2">
        <v>40</v>
      </c>
      <c r="Y4" s="2">
        <v>20</v>
      </c>
      <c r="Z4" s="2">
        <v>7</v>
      </c>
      <c r="AA4" s="2">
        <v>4</v>
      </c>
      <c r="AB4" s="2">
        <v>14</v>
      </c>
      <c r="AC4" s="2">
        <v>21</v>
      </c>
      <c r="AD4" s="2">
        <v>30</v>
      </c>
      <c r="AE4" s="2">
        <v>62</v>
      </c>
      <c r="AF4" s="2">
        <v>0.4839</v>
      </c>
      <c r="AG4" s="2">
        <v>18</v>
      </c>
      <c r="AH4" s="2">
        <v>33</v>
      </c>
      <c r="AI4" s="2">
        <v>0.54549999999999998</v>
      </c>
      <c r="AJ4" s="2">
        <v>12</v>
      </c>
      <c r="AK4" s="2">
        <v>29</v>
      </c>
      <c r="AL4" s="2">
        <v>0.4138</v>
      </c>
      <c r="AM4" s="2">
        <v>11</v>
      </c>
      <c r="AN4" s="2">
        <v>15</v>
      </c>
      <c r="AO4" s="2">
        <v>0.73329999999999995</v>
      </c>
      <c r="AP4" s="2">
        <v>12</v>
      </c>
      <c r="AQ4" s="2">
        <v>20</v>
      </c>
      <c r="AR4" s="2">
        <v>32</v>
      </c>
      <c r="AS4" s="2">
        <v>20</v>
      </c>
      <c r="AT4" s="2">
        <v>8</v>
      </c>
      <c r="AU4" s="2">
        <v>0</v>
      </c>
      <c r="AV4" s="2">
        <v>15</v>
      </c>
      <c r="AW4" s="2">
        <v>24</v>
      </c>
      <c r="AX4" s="2">
        <v>0.52849999999999997</v>
      </c>
      <c r="AY4" s="2">
        <v>0.51519999999999999</v>
      </c>
      <c r="AZ4" s="2">
        <v>0.48720000000000002</v>
      </c>
      <c r="BA4" s="2">
        <v>0.63639999999999997</v>
      </c>
      <c r="BB4" s="2">
        <v>0.55559999999999998</v>
      </c>
      <c r="BC4" s="4">
        <v>70.503</v>
      </c>
      <c r="BD4" s="2">
        <v>0.66669999999999996</v>
      </c>
      <c r="BE4" s="2">
        <v>0.18179999999999999</v>
      </c>
      <c r="BF4" s="2">
        <v>0.15609999999999999</v>
      </c>
      <c r="BG4" s="2">
        <v>113.7</v>
      </c>
      <c r="BH4" s="2">
        <v>118</v>
      </c>
      <c r="BI4" s="2">
        <v>70.331500000000005</v>
      </c>
      <c r="BJ4" s="2">
        <v>0.60499999999999998</v>
      </c>
      <c r="BK4" s="2">
        <v>0.5806</v>
      </c>
      <c r="BL4" s="2">
        <v>0.36359999999999998</v>
      </c>
      <c r="BM4" s="2">
        <v>0.51280000000000003</v>
      </c>
      <c r="BN4" s="2">
        <v>0.44440000000000002</v>
      </c>
      <c r="BO4" s="4">
        <v>70.16</v>
      </c>
      <c r="BP4" s="2">
        <v>0.66669999999999996</v>
      </c>
      <c r="BQ4" s="2">
        <v>0.1774</v>
      </c>
      <c r="BR4" s="2">
        <v>0.1794</v>
      </c>
      <c r="BS4" s="2">
        <v>118</v>
      </c>
      <c r="BT4" s="2">
        <v>113.7</v>
      </c>
      <c r="BU4" s="2">
        <v>17</v>
      </c>
      <c r="BV4" s="2">
        <v>23</v>
      </c>
      <c r="BW4" s="2">
        <v>18</v>
      </c>
      <c r="BX4" s="2">
        <v>22</v>
      </c>
      <c r="BY4" s="2">
        <v>21</v>
      </c>
      <c r="BZ4" s="2">
        <v>21</v>
      </c>
      <c r="CA4" s="2">
        <v>26</v>
      </c>
      <c r="CB4" s="2">
        <v>15</v>
      </c>
      <c r="CC4" s="2">
        <v>40</v>
      </c>
      <c r="CD4" s="2">
        <v>40</v>
      </c>
      <c r="CE4" s="2">
        <v>42</v>
      </c>
      <c r="CF4" s="2">
        <v>41</v>
      </c>
      <c r="CG4" s="2">
        <v>4</v>
      </c>
      <c r="CH4" s="2">
        <v>1.26</v>
      </c>
      <c r="CI4" s="2">
        <v>8.5</v>
      </c>
      <c r="CJ4" s="2">
        <v>-8.5</v>
      </c>
      <c r="CK4" s="2">
        <v>160.5</v>
      </c>
      <c r="CL4" s="2" t="s">
        <v>361</v>
      </c>
      <c r="CM4" s="4" t="str">
        <f>VLOOKUP(chalon[[#This Row],[Away_team]],all[[Full name]:[Abbr]],3,FALSE)</f>
        <v>STR</v>
      </c>
      <c r="CN4" s="4">
        <f>IF(OR(chalon[[#This Row],[Result]]="w",chalon[[#This Row],[Result]]="dw"),chalon[[#This Row],[win]]-1,-1)</f>
        <v>-1</v>
      </c>
      <c r="CO4" s="4">
        <f>IF(OR(chalon[[#This Row],[Result]]="L",chalon[[#This Row],[Result]]="dl"),chalon[[#This Row],[lose]]-1,-1)</f>
        <v>0.26</v>
      </c>
      <c r="CP4" s="4">
        <f>IF(OR((chalon[[#This Row],[Home_scored]]+chalon[[#This Row],[Away_scored]])&gt;chalon[[#This Row],[total]],OR(chalon[[#This Row],[Result]]="dw",chalon[[#This Row],[Result]]="dl")),1,0)</f>
        <v>1</v>
      </c>
      <c r="CQ4" s="4">
        <f>ABS((chalon[[#This Row],[Home_scored]]+chalon[[#This Row],[Away_scored]])-chalon[[#This Row],[total]])+0.5</f>
        <v>3</v>
      </c>
    </row>
    <row r="5" spans="1:95" x14ac:dyDescent="0.25">
      <c r="A5" s="2" t="s">
        <v>349</v>
      </c>
      <c r="B5" s="2" t="s">
        <v>305</v>
      </c>
      <c r="C5" s="3" t="s">
        <v>73</v>
      </c>
      <c r="D5" s="3">
        <v>45563</v>
      </c>
      <c r="E5" s="2" t="s">
        <v>74</v>
      </c>
      <c r="F5" s="2" t="s">
        <v>339</v>
      </c>
      <c r="G5" s="2" t="s">
        <v>139</v>
      </c>
      <c r="H5" s="11">
        <v>87</v>
      </c>
      <c r="I5" s="11">
        <v>102</v>
      </c>
      <c r="J5" s="11">
        <v>32</v>
      </c>
      <c r="K5" s="11">
        <v>57</v>
      </c>
      <c r="L5" s="12">
        <v>0.56140000000000001</v>
      </c>
      <c r="M5" s="11">
        <v>21</v>
      </c>
      <c r="N5" s="11">
        <v>33</v>
      </c>
      <c r="O5" s="12">
        <v>0.63639999999999997</v>
      </c>
      <c r="P5" s="11">
        <v>11</v>
      </c>
      <c r="Q5" s="11">
        <v>24</v>
      </c>
      <c r="R5" s="12">
        <v>0.45829999999999999</v>
      </c>
      <c r="S5" s="11">
        <v>12</v>
      </c>
      <c r="T5" s="11">
        <v>18</v>
      </c>
      <c r="U5" s="12">
        <v>0.66669999999999996</v>
      </c>
      <c r="V5" s="11">
        <v>6</v>
      </c>
      <c r="W5" s="11">
        <v>17</v>
      </c>
      <c r="X5" s="11">
        <v>23</v>
      </c>
      <c r="Y5" s="11">
        <v>16</v>
      </c>
      <c r="Z5" s="11">
        <v>7</v>
      </c>
      <c r="AA5" s="11">
        <v>0</v>
      </c>
      <c r="AB5" s="11">
        <v>17</v>
      </c>
      <c r="AC5" s="11">
        <v>18</v>
      </c>
      <c r="AD5" s="11">
        <v>36</v>
      </c>
      <c r="AE5" s="11">
        <v>63</v>
      </c>
      <c r="AF5" s="12">
        <v>0.57140000000000002</v>
      </c>
      <c r="AG5" s="11">
        <v>23</v>
      </c>
      <c r="AH5" s="11">
        <v>33</v>
      </c>
      <c r="AI5" s="12">
        <v>0.69699999999999995</v>
      </c>
      <c r="AJ5" s="11">
        <v>13</v>
      </c>
      <c r="AK5" s="11">
        <v>30</v>
      </c>
      <c r="AL5" s="12">
        <v>0.43330000000000002</v>
      </c>
      <c r="AM5" s="11">
        <v>17</v>
      </c>
      <c r="AN5" s="11">
        <v>21</v>
      </c>
      <c r="AO5" s="12">
        <v>0.8095</v>
      </c>
      <c r="AP5" s="11">
        <v>10</v>
      </c>
      <c r="AQ5" s="11">
        <v>21</v>
      </c>
      <c r="AR5" s="11">
        <v>31</v>
      </c>
      <c r="AS5" s="11">
        <v>16</v>
      </c>
      <c r="AT5" s="11">
        <v>8</v>
      </c>
      <c r="AU5" s="11">
        <v>2</v>
      </c>
      <c r="AV5" s="11">
        <v>16</v>
      </c>
      <c r="AW5" s="11">
        <v>12</v>
      </c>
      <c r="AX5" s="12">
        <v>0.67010000000000003</v>
      </c>
      <c r="AY5" s="12">
        <v>0.65790000000000004</v>
      </c>
      <c r="AZ5" s="12">
        <v>0.22220000000000001</v>
      </c>
      <c r="BA5" s="12">
        <v>0.62960000000000005</v>
      </c>
      <c r="BB5" s="12">
        <v>0.4259</v>
      </c>
      <c r="BC5" s="4">
        <v>74.221999999999994</v>
      </c>
      <c r="BD5" s="12">
        <v>0.5</v>
      </c>
      <c r="BE5" s="12">
        <v>0.21049999999999999</v>
      </c>
      <c r="BF5" s="12">
        <v>0.20749999999999999</v>
      </c>
      <c r="BG5" s="4">
        <v>114.2</v>
      </c>
      <c r="BH5" s="4">
        <v>133.9</v>
      </c>
      <c r="BI5" s="4">
        <v>76.151499999999999</v>
      </c>
      <c r="BJ5" s="12">
        <v>0.70599999999999996</v>
      </c>
      <c r="BK5" s="12">
        <v>0.67459999999999998</v>
      </c>
      <c r="BL5" s="12">
        <v>0.37040000000000001</v>
      </c>
      <c r="BM5" s="12">
        <v>0.77780000000000005</v>
      </c>
      <c r="BN5" s="12">
        <v>0.57410000000000005</v>
      </c>
      <c r="BO5" s="4">
        <v>78.081000000000003</v>
      </c>
      <c r="BP5" s="12">
        <v>0.44440000000000002</v>
      </c>
      <c r="BQ5" s="12">
        <v>0.26979999999999998</v>
      </c>
      <c r="BR5" s="12">
        <v>0.18129999999999999</v>
      </c>
      <c r="BS5" s="4">
        <v>133.9</v>
      </c>
      <c r="BT5" s="4">
        <v>114.2</v>
      </c>
      <c r="BU5" s="11">
        <v>23</v>
      </c>
      <c r="BV5" s="11">
        <v>17</v>
      </c>
      <c r="BW5" s="11">
        <v>27</v>
      </c>
      <c r="BX5" s="11">
        <v>20</v>
      </c>
      <c r="BY5" s="11">
        <v>27</v>
      </c>
      <c r="BZ5" s="11">
        <v>26</v>
      </c>
      <c r="CA5" s="11">
        <v>27</v>
      </c>
      <c r="CB5" s="11">
        <v>22</v>
      </c>
      <c r="CC5" s="11">
        <v>40</v>
      </c>
      <c r="CD5" s="11">
        <v>47</v>
      </c>
      <c r="CE5" s="11">
        <v>53</v>
      </c>
      <c r="CF5" s="11">
        <v>49</v>
      </c>
      <c r="CG5" s="4">
        <v>2.8</v>
      </c>
      <c r="CH5" s="13">
        <v>1.45</v>
      </c>
      <c r="CI5" s="4">
        <v>5.5</v>
      </c>
      <c r="CJ5" s="4">
        <v>-5.5</v>
      </c>
      <c r="CK5" s="4">
        <v>164.5</v>
      </c>
      <c r="CL5" s="2" t="s">
        <v>362</v>
      </c>
      <c r="CM5" s="4" t="str">
        <f>VLOOKUP(chalon[[#This Row],[Away_team]],all[[Full name]:[Abbr]],3,FALSE)</f>
        <v>PAR</v>
      </c>
      <c r="CN5" s="4">
        <f>IF(OR(chalon[[#This Row],[Result]]="w",chalon[[#This Row],[Result]]="dw"),chalon[[#This Row],[win]]-1,-1)</f>
        <v>-1</v>
      </c>
      <c r="CO5" s="4">
        <f>IF(OR(chalon[[#This Row],[Result]]="L",chalon[[#This Row],[Result]]="dl"),chalon[[#This Row],[lose]]-1,-1)</f>
        <v>0.44999999999999996</v>
      </c>
      <c r="CP5" s="4">
        <f>IF(OR((chalon[[#This Row],[Home_scored]]+chalon[[#This Row],[Away_scored]])&gt;chalon[[#This Row],[total]],OR(chalon[[#This Row],[Result]]="dw",chalon[[#This Row],[Result]]="dl")),1,0)</f>
        <v>1</v>
      </c>
      <c r="CQ5" s="4">
        <f>ABS((chalon[[#This Row],[Home_scored]]+chalon[[#This Row],[Away_scored]])-chalon[[#This Row],[total]])+0.5</f>
        <v>25</v>
      </c>
    </row>
    <row r="6" spans="1:95" x14ac:dyDescent="0.25">
      <c r="A6" s="2" t="s">
        <v>349</v>
      </c>
      <c r="B6" s="2" t="s">
        <v>305</v>
      </c>
      <c r="C6" s="3" t="s">
        <v>73</v>
      </c>
      <c r="D6" s="3">
        <v>45570</v>
      </c>
      <c r="E6" s="2" t="s">
        <v>140</v>
      </c>
      <c r="F6" s="2" t="s">
        <v>320</v>
      </c>
      <c r="G6" s="2" t="s">
        <v>139</v>
      </c>
      <c r="H6" s="11">
        <v>81</v>
      </c>
      <c r="I6" s="11">
        <v>87</v>
      </c>
      <c r="J6" s="11">
        <v>32</v>
      </c>
      <c r="K6" s="11">
        <v>64</v>
      </c>
      <c r="L6" s="12">
        <v>0.5</v>
      </c>
      <c r="M6" s="11">
        <v>23</v>
      </c>
      <c r="N6" s="11">
        <v>38</v>
      </c>
      <c r="O6" s="12">
        <v>0.60529999999999995</v>
      </c>
      <c r="P6" s="11">
        <v>9</v>
      </c>
      <c r="Q6" s="11">
        <v>26</v>
      </c>
      <c r="R6" s="12">
        <v>0.34620000000000001</v>
      </c>
      <c r="S6" s="11">
        <v>8</v>
      </c>
      <c r="T6" s="11">
        <v>10</v>
      </c>
      <c r="U6" s="12">
        <v>0.8</v>
      </c>
      <c r="V6" s="11">
        <v>9</v>
      </c>
      <c r="W6" s="11">
        <v>21</v>
      </c>
      <c r="X6" s="11">
        <v>30</v>
      </c>
      <c r="Y6" s="11">
        <v>19</v>
      </c>
      <c r="Z6" s="11">
        <v>6</v>
      </c>
      <c r="AA6" s="11">
        <v>2</v>
      </c>
      <c r="AB6" s="11">
        <v>11</v>
      </c>
      <c r="AC6" s="11">
        <v>17</v>
      </c>
      <c r="AD6" s="11">
        <v>31</v>
      </c>
      <c r="AE6" s="11">
        <v>61</v>
      </c>
      <c r="AF6" s="12">
        <v>0.50819999999999999</v>
      </c>
      <c r="AG6" s="11">
        <v>23</v>
      </c>
      <c r="AH6" s="11">
        <v>41</v>
      </c>
      <c r="AI6" s="12">
        <v>0.56100000000000005</v>
      </c>
      <c r="AJ6" s="11">
        <v>8</v>
      </c>
      <c r="AK6" s="11">
        <v>20</v>
      </c>
      <c r="AL6" s="12">
        <v>0.4</v>
      </c>
      <c r="AM6" s="11">
        <v>17</v>
      </c>
      <c r="AN6" s="11">
        <v>19</v>
      </c>
      <c r="AO6" s="12">
        <v>0.89470000000000005</v>
      </c>
      <c r="AP6" s="11">
        <v>8</v>
      </c>
      <c r="AQ6" s="11">
        <v>23</v>
      </c>
      <c r="AR6" s="11">
        <v>31</v>
      </c>
      <c r="AS6" s="11">
        <v>19</v>
      </c>
      <c r="AT6" s="11">
        <v>5</v>
      </c>
      <c r="AU6" s="11">
        <v>3</v>
      </c>
      <c r="AV6" s="11">
        <v>11</v>
      </c>
      <c r="AW6" s="11">
        <v>17</v>
      </c>
      <c r="AX6" s="12">
        <v>0.59209999999999996</v>
      </c>
      <c r="AY6" s="12">
        <v>0.57030000000000003</v>
      </c>
      <c r="AZ6" s="12">
        <v>0.28129999999999999</v>
      </c>
      <c r="BA6" s="12">
        <v>0.72409999999999997</v>
      </c>
      <c r="BB6" s="12">
        <v>0.49180000000000001</v>
      </c>
      <c r="BC6" s="4">
        <v>68.727999999999994</v>
      </c>
      <c r="BD6" s="12">
        <v>0.59379999999999999</v>
      </c>
      <c r="BE6" s="12">
        <v>0.125</v>
      </c>
      <c r="BF6" s="12">
        <v>0.13850000000000001</v>
      </c>
      <c r="BG6" s="4">
        <v>115.7</v>
      </c>
      <c r="BH6" s="4">
        <v>124.2</v>
      </c>
      <c r="BI6" s="4">
        <v>70.022000000000006</v>
      </c>
      <c r="BJ6" s="12">
        <v>0.62719999999999998</v>
      </c>
      <c r="BK6" s="12">
        <v>0.57379999999999998</v>
      </c>
      <c r="BL6" s="12">
        <v>0.27589999999999998</v>
      </c>
      <c r="BM6" s="12">
        <v>0.71879999999999999</v>
      </c>
      <c r="BN6" s="12">
        <v>0.50819999999999999</v>
      </c>
      <c r="BO6" s="4">
        <v>71.316000000000003</v>
      </c>
      <c r="BP6" s="12">
        <v>0.6129</v>
      </c>
      <c r="BQ6" s="12">
        <v>0.2787</v>
      </c>
      <c r="BR6" s="12">
        <v>0.13689999999999999</v>
      </c>
      <c r="BS6" s="4">
        <v>124.2</v>
      </c>
      <c r="BT6" s="4">
        <v>115.7</v>
      </c>
      <c r="BU6" s="11">
        <v>23</v>
      </c>
      <c r="BV6" s="11">
        <v>21</v>
      </c>
      <c r="BW6" s="11">
        <v>20</v>
      </c>
      <c r="BX6" s="11">
        <v>17</v>
      </c>
      <c r="BY6" s="11">
        <v>26</v>
      </c>
      <c r="BZ6" s="11">
        <v>20</v>
      </c>
      <c r="CA6" s="11">
        <v>19</v>
      </c>
      <c r="CB6" s="11">
        <v>22</v>
      </c>
      <c r="CC6" s="11">
        <v>44</v>
      </c>
      <c r="CD6" s="11">
        <v>37</v>
      </c>
      <c r="CE6" s="11">
        <v>46</v>
      </c>
      <c r="CF6" s="11">
        <v>41</v>
      </c>
      <c r="CG6" s="4">
        <v>2.2999999999999998</v>
      </c>
      <c r="CH6" s="13">
        <v>1.65</v>
      </c>
      <c r="CI6" s="4">
        <v>-3</v>
      </c>
      <c r="CJ6" s="4">
        <v>-3</v>
      </c>
      <c r="CK6" s="4">
        <v>156.5</v>
      </c>
      <c r="CL6" s="2" t="s">
        <v>363</v>
      </c>
      <c r="CM6" s="4" t="str">
        <f>VLOOKUP(chalon[[#This Row],[Away_team]],all[[Full name]:[Abbr]],3,FALSE)</f>
        <v>POR</v>
      </c>
      <c r="CN6" s="4">
        <f>IF(OR(chalon[[#This Row],[Result]]="w",chalon[[#This Row],[Result]]="dw"),chalon[[#This Row],[win]]-1,-1)</f>
        <v>-1</v>
      </c>
      <c r="CO6" s="4">
        <f>IF(OR(chalon[[#This Row],[Result]]="L",chalon[[#This Row],[Result]]="dl"),chalon[[#This Row],[lose]]-1,-1)</f>
        <v>0.64999999999999991</v>
      </c>
      <c r="CP6" s="4">
        <f>IF(OR((chalon[[#This Row],[Home_scored]]+chalon[[#This Row],[Away_scored]])&gt;chalon[[#This Row],[total]],OR(chalon[[#This Row],[Result]]="dw",chalon[[#This Row],[Result]]="dl")),1,0)</f>
        <v>1</v>
      </c>
      <c r="CQ6" s="4">
        <f>ABS((chalon[[#This Row],[Home_scored]]+chalon[[#This Row],[Away_scored]])-chalon[[#This Row],[total]])+0.5</f>
        <v>12</v>
      </c>
    </row>
    <row r="7" spans="1:95" x14ac:dyDescent="0.25">
      <c r="A7" s="2" t="s">
        <v>349</v>
      </c>
      <c r="B7" s="2" t="s">
        <v>305</v>
      </c>
      <c r="C7" s="3" t="s">
        <v>73</v>
      </c>
      <c r="D7" s="3">
        <v>45577</v>
      </c>
      <c r="E7" s="2" t="s">
        <v>140</v>
      </c>
      <c r="F7" s="2" t="s">
        <v>333</v>
      </c>
      <c r="G7" s="2" t="s">
        <v>139</v>
      </c>
      <c r="H7" s="11">
        <v>84</v>
      </c>
      <c r="I7" s="11">
        <v>96</v>
      </c>
      <c r="J7" s="11">
        <v>30</v>
      </c>
      <c r="K7" s="11">
        <v>63</v>
      </c>
      <c r="L7" s="12">
        <v>0.47620000000000001</v>
      </c>
      <c r="M7" s="11">
        <v>23</v>
      </c>
      <c r="N7" s="11">
        <v>40</v>
      </c>
      <c r="O7" s="12">
        <v>0.57499999999999996</v>
      </c>
      <c r="P7" s="11">
        <v>7</v>
      </c>
      <c r="Q7" s="11">
        <v>23</v>
      </c>
      <c r="R7" s="12">
        <v>0.30430000000000001</v>
      </c>
      <c r="S7" s="11">
        <v>17</v>
      </c>
      <c r="T7" s="11">
        <v>21</v>
      </c>
      <c r="U7" s="12">
        <v>0.8095</v>
      </c>
      <c r="V7" s="11">
        <v>11</v>
      </c>
      <c r="W7" s="11">
        <v>21</v>
      </c>
      <c r="X7" s="11">
        <v>32</v>
      </c>
      <c r="Y7" s="11">
        <v>22</v>
      </c>
      <c r="Z7" s="11">
        <v>5</v>
      </c>
      <c r="AA7" s="11">
        <v>2</v>
      </c>
      <c r="AB7" s="11">
        <v>11</v>
      </c>
      <c r="AC7" s="11">
        <v>20</v>
      </c>
      <c r="AD7" s="11">
        <v>36</v>
      </c>
      <c r="AE7" s="11">
        <v>67</v>
      </c>
      <c r="AF7" s="12">
        <v>0.5373</v>
      </c>
      <c r="AG7" s="11">
        <v>24</v>
      </c>
      <c r="AH7" s="11">
        <v>39</v>
      </c>
      <c r="AI7" s="12">
        <v>0.61539999999999995</v>
      </c>
      <c r="AJ7" s="11">
        <v>12</v>
      </c>
      <c r="AK7" s="11">
        <v>28</v>
      </c>
      <c r="AL7" s="12">
        <v>0.42859999999999998</v>
      </c>
      <c r="AM7" s="11">
        <v>12</v>
      </c>
      <c r="AN7" s="11">
        <v>13</v>
      </c>
      <c r="AO7" s="12">
        <v>0.92310000000000003</v>
      </c>
      <c r="AP7" s="11">
        <v>11</v>
      </c>
      <c r="AQ7" s="11">
        <v>24</v>
      </c>
      <c r="AR7" s="11">
        <v>35</v>
      </c>
      <c r="AS7" s="11">
        <v>19</v>
      </c>
      <c r="AT7" s="11">
        <v>6</v>
      </c>
      <c r="AU7" s="11">
        <v>1</v>
      </c>
      <c r="AV7" s="11">
        <v>13</v>
      </c>
      <c r="AW7" s="11">
        <v>20</v>
      </c>
      <c r="AX7" s="12">
        <v>0.58140000000000003</v>
      </c>
      <c r="AY7" s="12">
        <v>0.53169999999999995</v>
      </c>
      <c r="AZ7" s="12">
        <v>0.31430000000000002</v>
      </c>
      <c r="BA7" s="12">
        <v>0.65629999999999999</v>
      </c>
      <c r="BB7" s="12">
        <v>0.47760000000000002</v>
      </c>
      <c r="BC7" s="4">
        <v>70.262</v>
      </c>
      <c r="BD7" s="12">
        <v>0.73329999999999995</v>
      </c>
      <c r="BE7" s="12">
        <v>0.26979999999999998</v>
      </c>
      <c r="BF7" s="12">
        <v>0.1321</v>
      </c>
      <c r="BG7" s="4">
        <v>115.8</v>
      </c>
      <c r="BH7" s="4">
        <v>132.4</v>
      </c>
      <c r="BI7" s="4">
        <v>72.518500000000003</v>
      </c>
      <c r="BJ7" s="12">
        <v>0.66010000000000002</v>
      </c>
      <c r="BK7" s="12">
        <v>0.62690000000000001</v>
      </c>
      <c r="BL7" s="12">
        <v>0.34379999999999999</v>
      </c>
      <c r="BM7" s="12">
        <v>0.68569999999999998</v>
      </c>
      <c r="BN7" s="12">
        <v>0.52239999999999998</v>
      </c>
      <c r="BO7" s="4">
        <v>74.775000000000006</v>
      </c>
      <c r="BP7" s="12">
        <v>0.52780000000000005</v>
      </c>
      <c r="BQ7" s="12">
        <v>0.17910000000000001</v>
      </c>
      <c r="BR7" s="12">
        <v>0.1517</v>
      </c>
      <c r="BS7" s="4">
        <v>132.4</v>
      </c>
      <c r="BT7" s="4">
        <v>115.8</v>
      </c>
      <c r="BU7" s="11">
        <v>14</v>
      </c>
      <c r="BV7" s="11">
        <v>25</v>
      </c>
      <c r="BW7" s="11">
        <v>21</v>
      </c>
      <c r="BX7" s="11">
        <v>24</v>
      </c>
      <c r="BY7" s="11">
        <v>29</v>
      </c>
      <c r="BZ7" s="11">
        <v>19</v>
      </c>
      <c r="CA7" s="11">
        <v>30</v>
      </c>
      <c r="CB7" s="11">
        <v>18</v>
      </c>
      <c r="CC7" s="11">
        <v>39</v>
      </c>
      <c r="CD7" s="11">
        <v>45</v>
      </c>
      <c r="CE7" s="11">
        <v>48</v>
      </c>
      <c r="CF7" s="11">
        <v>48</v>
      </c>
      <c r="CG7" s="4">
        <v>2.8</v>
      </c>
      <c r="CH7" s="13">
        <v>1.45</v>
      </c>
      <c r="CI7" s="4">
        <v>5.5</v>
      </c>
      <c r="CJ7" s="4">
        <v>-5.5</v>
      </c>
      <c r="CK7" s="4">
        <v>162.5</v>
      </c>
      <c r="CL7" s="2" t="s">
        <v>364</v>
      </c>
      <c r="CM7" s="4" t="str">
        <f>VLOOKUP(chalon[[#This Row],[Away_team]],all[[Full name]:[Abbr]],3,FALSE)</f>
        <v>NCY</v>
      </c>
      <c r="CN7" s="4">
        <f>IF(OR(chalon[[#This Row],[Result]]="w",chalon[[#This Row],[Result]]="dw"),chalon[[#This Row],[win]]-1,-1)</f>
        <v>-1</v>
      </c>
      <c r="CO7" s="4">
        <f>IF(OR(chalon[[#This Row],[Result]]="L",chalon[[#This Row],[Result]]="dl"),chalon[[#This Row],[lose]]-1,-1)</f>
        <v>0.44999999999999996</v>
      </c>
      <c r="CP7" s="4">
        <f>IF(OR((chalon[[#This Row],[Home_scored]]+chalon[[#This Row],[Away_scored]])&gt;chalon[[#This Row],[total]],OR(chalon[[#This Row],[Result]]="dw",chalon[[#This Row],[Result]]="dl")),1,0)</f>
        <v>1</v>
      </c>
      <c r="CQ7" s="4">
        <f>ABS((chalon[[#This Row],[Home_scored]]+chalon[[#This Row],[Away_scored]])-chalon[[#This Row],[total]])+0.5</f>
        <v>18</v>
      </c>
    </row>
    <row r="8" spans="1:95" x14ac:dyDescent="0.25">
      <c r="A8" s="2" t="s">
        <v>349</v>
      </c>
      <c r="B8" s="2" t="s">
        <v>305</v>
      </c>
      <c r="C8" s="3" t="s">
        <v>73</v>
      </c>
      <c r="D8" s="3">
        <v>45585</v>
      </c>
      <c r="E8" s="2" t="s">
        <v>74</v>
      </c>
      <c r="F8" s="2" t="s">
        <v>327</v>
      </c>
      <c r="G8" s="2" t="s">
        <v>146</v>
      </c>
      <c r="H8" s="11">
        <v>80</v>
      </c>
      <c r="I8" s="11">
        <v>80</v>
      </c>
      <c r="J8" s="11">
        <v>29</v>
      </c>
      <c r="K8" s="11">
        <v>54</v>
      </c>
      <c r="L8" s="12">
        <v>0.53700000000000003</v>
      </c>
      <c r="M8" s="11">
        <v>16</v>
      </c>
      <c r="N8" s="11">
        <v>28</v>
      </c>
      <c r="O8" s="12">
        <v>0.57140000000000002</v>
      </c>
      <c r="P8" s="11">
        <v>13</v>
      </c>
      <c r="Q8" s="11">
        <v>26</v>
      </c>
      <c r="R8" s="12">
        <v>0.5</v>
      </c>
      <c r="S8" s="11">
        <v>9</v>
      </c>
      <c r="T8" s="11">
        <v>16</v>
      </c>
      <c r="U8" s="12">
        <v>0.5625</v>
      </c>
      <c r="V8" s="11">
        <v>5</v>
      </c>
      <c r="W8" s="11">
        <v>24</v>
      </c>
      <c r="X8" s="11">
        <v>29</v>
      </c>
      <c r="Y8" s="11">
        <v>21</v>
      </c>
      <c r="Z8" s="11">
        <v>9</v>
      </c>
      <c r="AA8" s="11">
        <v>5</v>
      </c>
      <c r="AB8" s="11">
        <v>12</v>
      </c>
      <c r="AC8" s="11">
        <v>23</v>
      </c>
      <c r="AD8" s="11">
        <v>27</v>
      </c>
      <c r="AE8" s="11">
        <v>55</v>
      </c>
      <c r="AF8" s="12">
        <v>0.4909</v>
      </c>
      <c r="AG8" s="11">
        <v>15</v>
      </c>
      <c r="AH8" s="11">
        <v>27</v>
      </c>
      <c r="AI8" s="12">
        <v>0.55559999999999998</v>
      </c>
      <c r="AJ8" s="11">
        <v>12</v>
      </c>
      <c r="AK8" s="11">
        <v>28</v>
      </c>
      <c r="AL8" s="12">
        <v>0.42859999999999998</v>
      </c>
      <c r="AM8" s="11">
        <v>14</v>
      </c>
      <c r="AN8" s="11">
        <v>20</v>
      </c>
      <c r="AO8" s="12">
        <v>0.7</v>
      </c>
      <c r="AP8" s="11">
        <v>7</v>
      </c>
      <c r="AQ8" s="11">
        <v>22</v>
      </c>
      <c r="AR8" s="11">
        <v>29</v>
      </c>
      <c r="AS8" s="11">
        <v>14</v>
      </c>
      <c r="AT8" s="11">
        <v>8</v>
      </c>
      <c r="AU8" s="11">
        <v>1</v>
      </c>
      <c r="AV8" s="11">
        <v>12</v>
      </c>
      <c r="AW8" s="11">
        <v>20</v>
      </c>
      <c r="AX8" s="12">
        <v>0.65529999999999999</v>
      </c>
      <c r="AY8" s="12">
        <v>0.65739999999999998</v>
      </c>
      <c r="AZ8" s="12">
        <v>0.1852</v>
      </c>
      <c r="BA8" s="12">
        <v>0.7742</v>
      </c>
      <c r="BB8" s="12">
        <v>0.5</v>
      </c>
      <c r="BC8" s="4">
        <v>67.787999999999997</v>
      </c>
      <c r="BD8" s="12">
        <v>0.72409999999999997</v>
      </c>
      <c r="BE8" s="12">
        <v>0.16669999999999999</v>
      </c>
      <c r="BF8" s="12">
        <v>0.1643</v>
      </c>
      <c r="BG8" s="4">
        <v>118</v>
      </c>
      <c r="BH8" s="4">
        <v>118</v>
      </c>
      <c r="BI8" s="4">
        <v>67.778000000000006</v>
      </c>
      <c r="BJ8" s="12">
        <v>0.627</v>
      </c>
      <c r="BK8" s="12">
        <v>0.6</v>
      </c>
      <c r="BL8" s="12">
        <v>0.2258</v>
      </c>
      <c r="BM8" s="12">
        <v>0.81479999999999997</v>
      </c>
      <c r="BN8" s="12">
        <v>0.5</v>
      </c>
      <c r="BO8" s="4">
        <v>67.768000000000001</v>
      </c>
      <c r="BP8" s="12">
        <v>0.51849999999999996</v>
      </c>
      <c r="BQ8" s="12">
        <v>0.2545</v>
      </c>
      <c r="BR8" s="12">
        <v>0.1583</v>
      </c>
      <c r="BS8" s="4">
        <v>118</v>
      </c>
      <c r="BT8" s="4">
        <v>118</v>
      </c>
      <c r="BU8" s="11">
        <v>22</v>
      </c>
      <c r="BV8" s="11">
        <v>21</v>
      </c>
      <c r="BW8" s="11">
        <v>18</v>
      </c>
      <c r="BX8" s="11">
        <v>19</v>
      </c>
      <c r="BY8" s="11">
        <v>25</v>
      </c>
      <c r="BZ8" s="11">
        <v>21</v>
      </c>
      <c r="CA8" s="11">
        <v>18</v>
      </c>
      <c r="CB8" s="11">
        <v>16</v>
      </c>
      <c r="CC8" s="11">
        <v>43</v>
      </c>
      <c r="CD8" s="11">
        <v>37</v>
      </c>
      <c r="CE8" s="11">
        <v>46</v>
      </c>
      <c r="CF8" s="11">
        <v>34</v>
      </c>
      <c r="CG8" s="4">
        <v>3.5</v>
      </c>
      <c r="CH8" s="13">
        <v>1.32</v>
      </c>
      <c r="CI8" s="4">
        <v>7.5</v>
      </c>
      <c r="CJ8" s="4">
        <v>-7.5</v>
      </c>
      <c r="CK8" s="4">
        <v>166.5</v>
      </c>
      <c r="CL8" s="2" t="s">
        <v>365</v>
      </c>
      <c r="CM8" s="4" t="str">
        <f>VLOOKUP(chalon[[#This Row],[Away_team]],all[[Full name]:[Abbr]],3,FALSE)</f>
        <v>LYO</v>
      </c>
      <c r="CN8" s="4">
        <f>IF(OR(chalon[[#This Row],[Result]]="w",chalon[[#This Row],[Result]]="dw"),chalon[[#This Row],[win]]-1,-1)</f>
        <v>2.5</v>
      </c>
      <c r="CO8" s="4">
        <f>IF(OR(chalon[[#This Row],[Result]]="L",chalon[[#This Row],[Result]]="dl"),chalon[[#This Row],[lose]]-1,-1)</f>
        <v>-1</v>
      </c>
      <c r="CP8" s="4">
        <f>IF(OR((chalon[[#This Row],[Home_scored]]+chalon[[#This Row],[Away_scored]])&gt;chalon[[#This Row],[total]],OR(chalon[[#This Row],[Result]]="dw",chalon[[#This Row],[Result]]="dl")),1,0)</f>
        <v>1</v>
      </c>
      <c r="CQ8" s="4">
        <f>ABS((chalon[[#This Row],[Home_scored]]+chalon[[#This Row],[Away_scored]])-chalon[[#This Row],[total]])+0.5</f>
        <v>7</v>
      </c>
    </row>
    <row r="9" spans="1:95" x14ac:dyDescent="0.25">
      <c r="A9" s="2" t="s">
        <v>349</v>
      </c>
      <c r="B9" s="2" t="s">
        <v>305</v>
      </c>
      <c r="C9" s="3" t="s">
        <v>73</v>
      </c>
      <c r="D9" s="3">
        <v>45592</v>
      </c>
      <c r="E9" s="2" t="s">
        <v>140</v>
      </c>
      <c r="F9" s="2" t="s">
        <v>336</v>
      </c>
      <c r="G9" s="2" t="s">
        <v>139</v>
      </c>
      <c r="H9" s="11">
        <v>70</v>
      </c>
      <c r="I9" s="11">
        <v>91</v>
      </c>
      <c r="J9" s="11">
        <v>26</v>
      </c>
      <c r="K9" s="11">
        <v>61</v>
      </c>
      <c r="L9" s="12">
        <v>0.42620000000000002</v>
      </c>
      <c r="M9" s="11">
        <v>20</v>
      </c>
      <c r="N9" s="11">
        <v>41</v>
      </c>
      <c r="O9" s="12">
        <v>0.48780000000000001</v>
      </c>
      <c r="P9" s="11">
        <v>6</v>
      </c>
      <c r="Q9" s="11">
        <v>20</v>
      </c>
      <c r="R9" s="12">
        <v>0.3</v>
      </c>
      <c r="S9" s="11">
        <v>12</v>
      </c>
      <c r="T9" s="11">
        <v>14</v>
      </c>
      <c r="U9" s="12">
        <v>0.85709999999999997</v>
      </c>
      <c r="V9" s="11">
        <v>9</v>
      </c>
      <c r="W9" s="11">
        <v>27</v>
      </c>
      <c r="X9" s="11">
        <v>36</v>
      </c>
      <c r="Y9" s="11">
        <v>21</v>
      </c>
      <c r="Z9" s="11">
        <v>6</v>
      </c>
      <c r="AA9" s="11">
        <v>1</v>
      </c>
      <c r="AB9" s="11">
        <v>18</v>
      </c>
      <c r="AC9" s="11">
        <v>25</v>
      </c>
      <c r="AD9" s="11">
        <v>33</v>
      </c>
      <c r="AE9" s="11">
        <v>73</v>
      </c>
      <c r="AF9" s="12">
        <v>0.4521</v>
      </c>
      <c r="AG9" s="11">
        <v>27</v>
      </c>
      <c r="AH9" s="11">
        <v>44</v>
      </c>
      <c r="AI9" s="12">
        <v>0.61360000000000003</v>
      </c>
      <c r="AJ9" s="11">
        <v>6</v>
      </c>
      <c r="AK9" s="11">
        <v>29</v>
      </c>
      <c r="AL9" s="12">
        <v>0.2069</v>
      </c>
      <c r="AM9" s="11">
        <v>19</v>
      </c>
      <c r="AN9" s="11">
        <v>21</v>
      </c>
      <c r="AO9" s="12">
        <v>0.90480000000000005</v>
      </c>
      <c r="AP9" s="11">
        <v>13</v>
      </c>
      <c r="AQ9" s="11">
        <v>26</v>
      </c>
      <c r="AR9" s="11">
        <v>39</v>
      </c>
      <c r="AS9" s="11">
        <v>20</v>
      </c>
      <c r="AT9" s="11">
        <v>8</v>
      </c>
      <c r="AU9" s="11">
        <v>3</v>
      </c>
      <c r="AV9" s="11">
        <v>9</v>
      </c>
      <c r="AW9" s="11">
        <v>20</v>
      </c>
      <c r="AX9" s="12">
        <v>0.52110000000000001</v>
      </c>
      <c r="AY9" s="12">
        <v>0.47539999999999999</v>
      </c>
      <c r="AZ9" s="12">
        <v>0.2571</v>
      </c>
      <c r="BA9" s="12">
        <v>0.67500000000000004</v>
      </c>
      <c r="BB9" s="12">
        <v>0.48</v>
      </c>
      <c r="BC9" s="4">
        <v>75.238</v>
      </c>
      <c r="BD9" s="12">
        <v>0.80769999999999997</v>
      </c>
      <c r="BE9" s="12">
        <v>0.19670000000000001</v>
      </c>
      <c r="BF9" s="12">
        <v>0.2114</v>
      </c>
      <c r="BG9" s="4">
        <v>92.5</v>
      </c>
      <c r="BH9" s="4">
        <v>120.2</v>
      </c>
      <c r="BI9" s="4">
        <v>75.685500000000005</v>
      </c>
      <c r="BJ9" s="12">
        <v>0.55330000000000001</v>
      </c>
      <c r="BK9" s="12">
        <v>0.49320000000000003</v>
      </c>
      <c r="BL9" s="12">
        <v>0.32500000000000001</v>
      </c>
      <c r="BM9" s="12">
        <v>0.7429</v>
      </c>
      <c r="BN9" s="12">
        <v>0.52</v>
      </c>
      <c r="BO9" s="4">
        <v>76.132999999999996</v>
      </c>
      <c r="BP9" s="12">
        <v>0.60609999999999997</v>
      </c>
      <c r="BQ9" s="12">
        <v>0.26029999999999998</v>
      </c>
      <c r="BR9" s="12">
        <v>9.8599999999999993E-2</v>
      </c>
      <c r="BS9" s="4">
        <v>120.2</v>
      </c>
      <c r="BT9" s="4">
        <v>92.5</v>
      </c>
      <c r="BU9" s="11">
        <v>24</v>
      </c>
      <c r="BV9" s="11">
        <v>17</v>
      </c>
      <c r="BW9" s="11">
        <v>16</v>
      </c>
      <c r="BX9" s="11">
        <v>13</v>
      </c>
      <c r="BY9" s="11">
        <v>20</v>
      </c>
      <c r="BZ9" s="11">
        <v>21</v>
      </c>
      <c r="CA9" s="11">
        <v>30</v>
      </c>
      <c r="CB9" s="11">
        <v>20</v>
      </c>
      <c r="CC9" s="11">
        <v>41</v>
      </c>
      <c r="CD9" s="11">
        <v>29</v>
      </c>
      <c r="CE9" s="11">
        <v>41</v>
      </c>
      <c r="CF9" s="11">
        <v>50</v>
      </c>
      <c r="CG9" s="4">
        <v>2.8</v>
      </c>
      <c r="CH9" s="13">
        <v>1.45</v>
      </c>
      <c r="CI9" s="4">
        <v>5.5</v>
      </c>
      <c r="CJ9" s="4">
        <v>-5.5</v>
      </c>
      <c r="CK9" s="4">
        <v>165.5</v>
      </c>
      <c r="CL9" s="2" t="s">
        <v>366</v>
      </c>
      <c r="CM9" s="4" t="str">
        <f>VLOOKUP(chalon[[#This Row],[Away_team]],all[[Full name]:[Abbr]],3,FALSE)</f>
        <v>NAN</v>
      </c>
      <c r="CN9" s="4">
        <f>IF(OR(chalon[[#This Row],[Result]]="w",chalon[[#This Row],[Result]]="dw"),chalon[[#This Row],[win]]-1,-1)</f>
        <v>-1</v>
      </c>
      <c r="CO9" s="4">
        <f>IF(OR(chalon[[#This Row],[Result]]="L",chalon[[#This Row],[Result]]="dl"),chalon[[#This Row],[lose]]-1,-1)</f>
        <v>0.44999999999999996</v>
      </c>
      <c r="CP9" s="4">
        <f>IF(OR((chalon[[#This Row],[Home_scored]]+chalon[[#This Row],[Away_scored]])&gt;chalon[[#This Row],[total]],OR(chalon[[#This Row],[Result]]="dw",chalon[[#This Row],[Result]]="dl")),1,0)</f>
        <v>0</v>
      </c>
      <c r="CQ9" s="4">
        <f>ABS((chalon[[#This Row],[Home_scored]]+chalon[[#This Row],[Away_scored]])-chalon[[#This Row],[total]])+0.5</f>
        <v>5</v>
      </c>
    </row>
    <row r="10" spans="1:95" x14ac:dyDescent="0.25">
      <c r="A10" s="2" t="s">
        <v>349</v>
      </c>
      <c r="B10" s="2" t="s">
        <v>305</v>
      </c>
      <c r="C10" s="3" t="s">
        <v>73</v>
      </c>
      <c r="D10" s="3">
        <v>45597</v>
      </c>
      <c r="E10" s="2" t="s">
        <v>140</v>
      </c>
      <c r="F10" s="2" t="s">
        <v>324</v>
      </c>
      <c r="G10" s="2" t="s">
        <v>139</v>
      </c>
      <c r="H10" s="11">
        <v>68</v>
      </c>
      <c r="I10" s="11">
        <v>74</v>
      </c>
      <c r="J10" s="11">
        <v>23</v>
      </c>
      <c r="K10" s="11">
        <v>53</v>
      </c>
      <c r="L10" s="12">
        <v>0.434</v>
      </c>
      <c r="M10" s="11">
        <v>14</v>
      </c>
      <c r="N10" s="11">
        <v>32</v>
      </c>
      <c r="O10" s="12">
        <v>0.4375</v>
      </c>
      <c r="P10" s="11">
        <v>9</v>
      </c>
      <c r="Q10" s="11">
        <v>21</v>
      </c>
      <c r="R10" s="12">
        <v>0.42859999999999998</v>
      </c>
      <c r="S10" s="11">
        <v>13</v>
      </c>
      <c r="T10" s="11">
        <v>17</v>
      </c>
      <c r="U10" s="12">
        <v>0.76470000000000005</v>
      </c>
      <c r="V10" s="11">
        <v>5</v>
      </c>
      <c r="W10" s="11">
        <v>28</v>
      </c>
      <c r="X10" s="11">
        <v>33</v>
      </c>
      <c r="Y10" s="11">
        <v>19</v>
      </c>
      <c r="Z10" s="11">
        <v>5</v>
      </c>
      <c r="AA10" s="11">
        <v>2</v>
      </c>
      <c r="AB10" s="11">
        <v>16</v>
      </c>
      <c r="AC10" s="11">
        <v>18</v>
      </c>
      <c r="AD10" s="11">
        <v>28</v>
      </c>
      <c r="AE10" s="11">
        <v>65</v>
      </c>
      <c r="AF10" s="12">
        <v>0.43080000000000002</v>
      </c>
      <c r="AG10" s="11">
        <v>19</v>
      </c>
      <c r="AH10" s="11">
        <v>38</v>
      </c>
      <c r="AI10" s="12">
        <v>0.5</v>
      </c>
      <c r="AJ10" s="11">
        <v>9</v>
      </c>
      <c r="AK10" s="11">
        <v>27</v>
      </c>
      <c r="AL10" s="12">
        <v>0.33329999999999999</v>
      </c>
      <c r="AM10" s="11">
        <v>9</v>
      </c>
      <c r="AN10" s="11">
        <v>11</v>
      </c>
      <c r="AO10" s="12">
        <v>0.81820000000000004</v>
      </c>
      <c r="AP10" s="11">
        <v>7</v>
      </c>
      <c r="AQ10" s="11">
        <v>24</v>
      </c>
      <c r="AR10" s="11">
        <v>31</v>
      </c>
      <c r="AS10" s="11">
        <v>22</v>
      </c>
      <c r="AT10" s="11">
        <v>6</v>
      </c>
      <c r="AU10" s="11">
        <v>2</v>
      </c>
      <c r="AV10" s="11">
        <v>8</v>
      </c>
      <c r="AW10" s="11">
        <v>19</v>
      </c>
      <c r="AX10" s="12">
        <v>0.56220000000000003</v>
      </c>
      <c r="AY10" s="12">
        <v>0.51890000000000003</v>
      </c>
      <c r="AZ10" s="12">
        <v>0.1724</v>
      </c>
      <c r="BA10" s="12">
        <v>0.8</v>
      </c>
      <c r="BB10" s="12">
        <v>0.51559999999999995</v>
      </c>
      <c r="BC10" s="4">
        <v>70.936000000000007</v>
      </c>
      <c r="BD10" s="12">
        <v>0.82609999999999995</v>
      </c>
      <c r="BE10" s="12">
        <v>0.24529999999999999</v>
      </c>
      <c r="BF10" s="12">
        <v>0.2092</v>
      </c>
      <c r="BG10" s="4">
        <v>97.6</v>
      </c>
      <c r="BH10" s="4">
        <v>106.2</v>
      </c>
      <c r="BI10" s="4">
        <v>69.697999999999993</v>
      </c>
      <c r="BJ10" s="12">
        <v>0.52980000000000005</v>
      </c>
      <c r="BK10" s="12">
        <v>0.5</v>
      </c>
      <c r="BL10" s="12">
        <v>0.2</v>
      </c>
      <c r="BM10" s="12">
        <v>0.8276</v>
      </c>
      <c r="BN10" s="12">
        <v>0.4844</v>
      </c>
      <c r="BO10" s="4">
        <v>68.459999999999994</v>
      </c>
      <c r="BP10" s="12">
        <v>0.78569999999999995</v>
      </c>
      <c r="BQ10" s="12">
        <v>0.13850000000000001</v>
      </c>
      <c r="BR10" s="12">
        <v>0.1028</v>
      </c>
      <c r="BS10" s="4">
        <v>106.2</v>
      </c>
      <c r="BT10" s="4">
        <v>97.6</v>
      </c>
      <c r="BU10" s="11">
        <v>17</v>
      </c>
      <c r="BV10" s="11">
        <v>14</v>
      </c>
      <c r="BW10" s="11">
        <v>20</v>
      </c>
      <c r="BX10" s="11">
        <v>17</v>
      </c>
      <c r="BY10" s="11">
        <v>19</v>
      </c>
      <c r="BZ10" s="11">
        <v>16</v>
      </c>
      <c r="CA10" s="11">
        <v>20</v>
      </c>
      <c r="CB10" s="11">
        <v>19</v>
      </c>
      <c r="CC10" s="11">
        <v>31</v>
      </c>
      <c r="CD10" s="11">
        <v>37</v>
      </c>
      <c r="CE10" s="11">
        <v>35</v>
      </c>
      <c r="CF10" s="11">
        <v>39</v>
      </c>
      <c r="CG10" s="4">
        <v>2.8</v>
      </c>
      <c r="CH10" s="13">
        <v>1.45</v>
      </c>
      <c r="CI10" s="4">
        <v>5.5</v>
      </c>
      <c r="CJ10" s="4">
        <v>-5.5</v>
      </c>
      <c r="CK10" s="4">
        <v>161.5</v>
      </c>
      <c r="CL10" s="2" t="s">
        <v>367</v>
      </c>
      <c r="CM10" s="4" t="str">
        <f>VLOOKUP(chalon[[#This Row],[Away_team]],all[[Full name]:[Abbr]],3,FALSE)</f>
        <v>LIM</v>
      </c>
      <c r="CN10" s="4">
        <f>IF(OR(chalon[[#This Row],[Result]]="w",chalon[[#This Row],[Result]]="dw"),chalon[[#This Row],[win]]-1,-1)</f>
        <v>-1</v>
      </c>
      <c r="CO10" s="4">
        <f>IF(OR(chalon[[#This Row],[Result]]="L",chalon[[#This Row],[Result]]="dl"),chalon[[#This Row],[lose]]-1,-1)</f>
        <v>0.44999999999999996</v>
      </c>
      <c r="CP10" s="4">
        <f>IF(OR((chalon[[#This Row],[Home_scored]]+chalon[[#This Row],[Away_scored]])&gt;chalon[[#This Row],[total]],OR(chalon[[#This Row],[Result]]="dw",chalon[[#This Row],[Result]]="dl")),1,0)</f>
        <v>0</v>
      </c>
      <c r="CQ10" s="4">
        <f>ABS((chalon[[#This Row],[Home_scored]]+chalon[[#This Row],[Away_scored]])-chalon[[#This Row],[total]])+0.5</f>
        <v>20</v>
      </c>
    </row>
    <row r="11" spans="1:95" x14ac:dyDescent="0.25">
      <c r="A11" s="2" t="s">
        <v>349</v>
      </c>
      <c r="B11" s="2" t="s">
        <v>305</v>
      </c>
      <c r="C11" s="3" t="s">
        <v>73</v>
      </c>
      <c r="D11" s="3">
        <v>45605</v>
      </c>
      <c r="E11" s="2" t="s">
        <v>74</v>
      </c>
      <c r="F11" s="2" t="s">
        <v>317</v>
      </c>
      <c r="G11" s="2" t="s">
        <v>75</v>
      </c>
      <c r="H11" s="11">
        <v>88</v>
      </c>
      <c r="I11" s="11">
        <v>84</v>
      </c>
      <c r="J11" s="11">
        <v>34</v>
      </c>
      <c r="K11" s="11">
        <v>63</v>
      </c>
      <c r="L11" s="12">
        <v>0.53969999999999996</v>
      </c>
      <c r="M11" s="11">
        <v>23</v>
      </c>
      <c r="N11" s="11">
        <v>37</v>
      </c>
      <c r="O11" s="12">
        <v>0.62160000000000004</v>
      </c>
      <c r="P11" s="11">
        <v>11</v>
      </c>
      <c r="Q11" s="11">
        <v>26</v>
      </c>
      <c r="R11" s="12">
        <v>0.42309999999999998</v>
      </c>
      <c r="S11" s="11">
        <v>9</v>
      </c>
      <c r="T11" s="11">
        <v>13</v>
      </c>
      <c r="U11" s="12">
        <v>0.69230000000000003</v>
      </c>
      <c r="V11" s="11">
        <v>10</v>
      </c>
      <c r="W11" s="11">
        <v>21</v>
      </c>
      <c r="X11" s="11">
        <v>31</v>
      </c>
      <c r="Y11" s="11">
        <v>21</v>
      </c>
      <c r="Z11" s="11">
        <v>12</v>
      </c>
      <c r="AA11" s="11">
        <v>1</v>
      </c>
      <c r="AB11" s="11">
        <v>16</v>
      </c>
      <c r="AC11" s="11">
        <v>20</v>
      </c>
      <c r="AD11" s="11">
        <v>31</v>
      </c>
      <c r="AE11" s="11">
        <v>60</v>
      </c>
      <c r="AF11" s="12">
        <v>0.51670000000000005</v>
      </c>
      <c r="AG11" s="11">
        <v>22</v>
      </c>
      <c r="AH11" s="11">
        <v>34</v>
      </c>
      <c r="AI11" s="12">
        <v>0.64710000000000001</v>
      </c>
      <c r="AJ11" s="11">
        <v>9</v>
      </c>
      <c r="AK11" s="11">
        <v>26</v>
      </c>
      <c r="AL11" s="12">
        <v>0.34620000000000001</v>
      </c>
      <c r="AM11" s="11">
        <v>13</v>
      </c>
      <c r="AN11" s="11">
        <v>16</v>
      </c>
      <c r="AO11" s="12">
        <v>0.8125</v>
      </c>
      <c r="AP11" s="11">
        <v>10</v>
      </c>
      <c r="AQ11" s="11">
        <v>22</v>
      </c>
      <c r="AR11" s="11">
        <v>32</v>
      </c>
      <c r="AS11" s="11">
        <v>19</v>
      </c>
      <c r="AT11" s="11">
        <v>5</v>
      </c>
      <c r="AU11" s="11">
        <v>2</v>
      </c>
      <c r="AV11" s="11">
        <v>19</v>
      </c>
      <c r="AW11" s="11">
        <v>20</v>
      </c>
      <c r="AX11" s="12">
        <v>0.64029999999999998</v>
      </c>
      <c r="AY11" s="12">
        <v>0.627</v>
      </c>
      <c r="AZ11" s="12">
        <v>0.3125</v>
      </c>
      <c r="BA11" s="12">
        <v>0.6774</v>
      </c>
      <c r="BB11" s="12">
        <v>0.49209999999999998</v>
      </c>
      <c r="BC11" s="4">
        <v>74.19</v>
      </c>
      <c r="BD11" s="12">
        <v>0.61760000000000004</v>
      </c>
      <c r="BE11" s="12">
        <v>0.1429</v>
      </c>
      <c r="BF11" s="12">
        <v>0.18890000000000001</v>
      </c>
      <c r="BG11" s="4">
        <v>117.4</v>
      </c>
      <c r="BH11" s="4">
        <v>112.1</v>
      </c>
      <c r="BI11" s="4">
        <v>74.9465</v>
      </c>
      <c r="BJ11" s="12">
        <v>0.62649999999999995</v>
      </c>
      <c r="BK11" s="12">
        <v>0.5917</v>
      </c>
      <c r="BL11" s="12">
        <v>0.3226</v>
      </c>
      <c r="BM11" s="12">
        <v>0.6875</v>
      </c>
      <c r="BN11" s="12">
        <v>0.50790000000000002</v>
      </c>
      <c r="BO11" s="4">
        <v>75.703000000000003</v>
      </c>
      <c r="BP11" s="12">
        <v>0.6129</v>
      </c>
      <c r="BQ11" s="12">
        <v>0.2167</v>
      </c>
      <c r="BR11" s="12">
        <v>0.2208</v>
      </c>
      <c r="BS11" s="4">
        <v>112.1</v>
      </c>
      <c r="BT11" s="4">
        <v>117.4</v>
      </c>
      <c r="BU11" s="11">
        <v>24</v>
      </c>
      <c r="BV11" s="11">
        <v>20</v>
      </c>
      <c r="BW11" s="11">
        <v>23</v>
      </c>
      <c r="BX11" s="11">
        <v>21</v>
      </c>
      <c r="BY11" s="11">
        <v>19</v>
      </c>
      <c r="BZ11" s="11">
        <v>20</v>
      </c>
      <c r="CA11" s="11">
        <v>31</v>
      </c>
      <c r="CB11" s="11">
        <v>14</v>
      </c>
      <c r="CC11" s="11">
        <v>44</v>
      </c>
      <c r="CD11" s="11">
        <v>44</v>
      </c>
      <c r="CE11" s="11">
        <v>39</v>
      </c>
      <c r="CF11" s="11">
        <v>45</v>
      </c>
      <c r="CG11" s="4">
        <v>2.2000000000000002</v>
      </c>
      <c r="CH11" s="13">
        <v>1.71</v>
      </c>
      <c r="CI11" s="4">
        <v>2.5</v>
      </c>
      <c r="CJ11" s="4">
        <v>-2.5</v>
      </c>
      <c r="CK11" s="4">
        <v>166.5</v>
      </c>
      <c r="CL11" s="2" t="s">
        <v>368</v>
      </c>
      <c r="CM11" s="4" t="str">
        <f>VLOOKUP(chalon[[#This Row],[Away_team]],all[[Full name]:[Abbr]],3,FALSE)</f>
        <v>LEM</v>
      </c>
      <c r="CN11" s="4">
        <f>IF(OR(chalon[[#This Row],[Result]]="w",chalon[[#This Row],[Result]]="dw"),chalon[[#This Row],[win]]-1,-1)</f>
        <v>1.2000000000000002</v>
      </c>
      <c r="CO11" s="4">
        <f>IF(OR(chalon[[#This Row],[Result]]="L",chalon[[#This Row],[Result]]="dl"),chalon[[#This Row],[lose]]-1,-1)</f>
        <v>-1</v>
      </c>
      <c r="CP11" s="4">
        <f>IF(OR((chalon[[#This Row],[Home_scored]]+chalon[[#This Row],[Away_scored]])&gt;chalon[[#This Row],[total]],OR(chalon[[#This Row],[Result]]="dw",chalon[[#This Row],[Result]]="dl")),1,0)</f>
        <v>1</v>
      </c>
      <c r="CQ11" s="4">
        <f>ABS((chalon[[#This Row],[Home_scored]]+chalon[[#This Row],[Away_scored]])-chalon[[#This Row],[total]])+0.5</f>
        <v>6</v>
      </c>
    </row>
    <row r="12" spans="1:95" x14ac:dyDescent="0.25">
      <c r="A12" s="2" t="s">
        <v>349</v>
      </c>
      <c r="B12" s="2" t="s">
        <v>305</v>
      </c>
      <c r="C12" s="3" t="s">
        <v>73</v>
      </c>
      <c r="D12" s="3">
        <v>45612</v>
      </c>
      <c r="E12" s="2" t="s">
        <v>74</v>
      </c>
      <c r="F12" s="2" t="s">
        <v>302</v>
      </c>
      <c r="G12" s="2" t="s">
        <v>139</v>
      </c>
      <c r="H12" s="11">
        <v>86</v>
      </c>
      <c r="I12" s="11">
        <v>93</v>
      </c>
      <c r="J12" s="11">
        <v>29</v>
      </c>
      <c r="K12" s="11">
        <v>60</v>
      </c>
      <c r="L12" s="12">
        <v>0.48330000000000001</v>
      </c>
      <c r="M12" s="11">
        <v>19</v>
      </c>
      <c r="N12" s="11">
        <v>36</v>
      </c>
      <c r="O12" s="12">
        <v>0.52780000000000005</v>
      </c>
      <c r="P12" s="11">
        <v>10</v>
      </c>
      <c r="Q12" s="11">
        <v>24</v>
      </c>
      <c r="R12" s="12">
        <v>0.41670000000000001</v>
      </c>
      <c r="S12" s="11">
        <v>18</v>
      </c>
      <c r="T12" s="11">
        <v>20</v>
      </c>
      <c r="U12" s="12">
        <v>0.9</v>
      </c>
      <c r="V12" s="11">
        <v>9</v>
      </c>
      <c r="W12" s="11">
        <v>24</v>
      </c>
      <c r="X12" s="11">
        <v>33</v>
      </c>
      <c r="Y12" s="11">
        <v>16</v>
      </c>
      <c r="Z12" s="11">
        <v>1</v>
      </c>
      <c r="AA12" s="11">
        <v>2</v>
      </c>
      <c r="AB12" s="11">
        <v>13</v>
      </c>
      <c r="AC12" s="11">
        <v>25</v>
      </c>
      <c r="AD12" s="11">
        <v>32</v>
      </c>
      <c r="AE12" s="11">
        <v>65</v>
      </c>
      <c r="AF12" s="12">
        <v>0.49230000000000002</v>
      </c>
      <c r="AG12" s="11">
        <v>22</v>
      </c>
      <c r="AH12" s="11">
        <v>42</v>
      </c>
      <c r="AI12" s="12">
        <v>0.52380000000000004</v>
      </c>
      <c r="AJ12" s="11">
        <v>10</v>
      </c>
      <c r="AK12" s="11">
        <v>23</v>
      </c>
      <c r="AL12" s="12">
        <v>0.43480000000000002</v>
      </c>
      <c r="AM12" s="11">
        <v>19</v>
      </c>
      <c r="AN12" s="11">
        <v>26</v>
      </c>
      <c r="AO12" s="12">
        <v>0.73080000000000001</v>
      </c>
      <c r="AP12" s="11">
        <v>11</v>
      </c>
      <c r="AQ12" s="11">
        <v>26</v>
      </c>
      <c r="AR12" s="11">
        <v>37</v>
      </c>
      <c r="AS12" s="11">
        <v>22</v>
      </c>
      <c r="AT12" s="11">
        <v>4</v>
      </c>
      <c r="AU12" s="11">
        <v>3</v>
      </c>
      <c r="AV12" s="11">
        <v>9</v>
      </c>
      <c r="AW12" s="11">
        <v>23</v>
      </c>
      <c r="AX12" s="12">
        <v>0.625</v>
      </c>
      <c r="AY12" s="12">
        <v>0.56669999999999998</v>
      </c>
      <c r="AZ12" s="12">
        <v>0.2571</v>
      </c>
      <c r="BA12" s="12">
        <v>0.68569999999999998</v>
      </c>
      <c r="BB12" s="12">
        <v>0.47139999999999999</v>
      </c>
      <c r="BC12" s="4">
        <v>71.953999999999994</v>
      </c>
      <c r="BD12" s="12">
        <v>0.55169999999999997</v>
      </c>
      <c r="BE12" s="12">
        <v>0.3</v>
      </c>
      <c r="BF12" s="12">
        <v>0.15890000000000001</v>
      </c>
      <c r="BG12" s="4">
        <v>117.9</v>
      </c>
      <c r="BH12" s="4">
        <v>127.5</v>
      </c>
      <c r="BI12" s="4">
        <v>72.927999999999997</v>
      </c>
      <c r="BJ12" s="12">
        <v>0.60829999999999995</v>
      </c>
      <c r="BK12" s="12">
        <v>0.56920000000000004</v>
      </c>
      <c r="BL12" s="12">
        <v>0.31430000000000002</v>
      </c>
      <c r="BM12" s="12">
        <v>0.7429</v>
      </c>
      <c r="BN12" s="12">
        <v>0.52859999999999996</v>
      </c>
      <c r="BO12" s="4">
        <v>73.902000000000001</v>
      </c>
      <c r="BP12" s="12">
        <v>0.6875</v>
      </c>
      <c r="BQ12" s="12">
        <v>0.2923</v>
      </c>
      <c r="BR12" s="12">
        <v>0.1053</v>
      </c>
      <c r="BS12" s="4">
        <v>127.5</v>
      </c>
      <c r="BT12" s="4">
        <v>117.9</v>
      </c>
      <c r="BU12" s="11">
        <v>22</v>
      </c>
      <c r="BV12" s="11">
        <v>21</v>
      </c>
      <c r="BW12" s="11">
        <v>17</v>
      </c>
      <c r="BX12" s="11">
        <v>26</v>
      </c>
      <c r="BY12" s="11">
        <v>23</v>
      </c>
      <c r="BZ12" s="11">
        <v>20</v>
      </c>
      <c r="CA12" s="11">
        <v>31</v>
      </c>
      <c r="CB12" s="11">
        <v>19</v>
      </c>
      <c r="CC12" s="11">
        <v>43</v>
      </c>
      <c r="CD12" s="11">
        <v>43</v>
      </c>
      <c r="CE12" s="11">
        <v>43</v>
      </c>
      <c r="CF12" s="11">
        <v>50</v>
      </c>
      <c r="CG12" s="4">
        <v>2.8</v>
      </c>
      <c r="CH12" s="13">
        <v>1.45</v>
      </c>
      <c r="CI12" s="4">
        <v>5.5</v>
      </c>
      <c r="CJ12" s="4">
        <v>-5.5</v>
      </c>
      <c r="CK12" s="4">
        <v>167.5</v>
      </c>
      <c r="CL12" s="2" t="s">
        <v>358</v>
      </c>
      <c r="CM12" s="4" t="str">
        <f>VLOOKUP(chalon[[#This Row],[Away_team]],all[[Full name]:[Abbr]],3,FALSE)</f>
        <v>BUR</v>
      </c>
      <c r="CN12" s="4">
        <f>IF(OR(chalon[[#This Row],[Result]]="w",chalon[[#This Row],[Result]]="dw"),chalon[[#This Row],[win]]-1,-1)</f>
        <v>-1</v>
      </c>
      <c r="CO12" s="4">
        <f>IF(OR(chalon[[#This Row],[Result]]="L",chalon[[#This Row],[Result]]="dl"),chalon[[#This Row],[lose]]-1,-1)</f>
        <v>0.44999999999999996</v>
      </c>
      <c r="CP12" s="4">
        <f>IF(OR((chalon[[#This Row],[Home_scored]]+chalon[[#This Row],[Away_scored]])&gt;chalon[[#This Row],[total]],OR(chalon[[#This Row],[Result]]="dw",chalon[[#This Row],[Result]]="dl")),1,0)</f>
        <v>1</v>
      </c>
      <c r="CQ12" s="4">
        <f>ABS((chalon[[#This Row],[Home_scored]]+chalon[[#This Row],[Away_scored]])-chalon[[#This Row],[total]])+0.5</f>
        <v>12</v>
      </c>
    </row>
    <row r="13" spans="1:95" x14ac:dyDescent="0.25">
      <c r="A13" s="2" t="s">
        <v>349</v>
      </c>
      <c r="B13" s="2" t="s">
        <v>305</v>
      </c>
      <c r="C13" s="3" t="s">
        <v>73</v>
      </c>
      <c r="D13" s="3">
        <v>45626</v>
      </c>
      <c r="E13" s="2" t="s">
        <v>140</v>
      </c>
      <c r="F13" s="2" t="s">
        <v>308</v>
      </c>
      <c r="G13" s="2" t="s">
        <v>139</v>
      </c>
      <c r="H13" s="11">
        <v>74</v>
      </c>
      <c r="I13" s="11">
        <v>88</v>
      </c>
      <c r="J13" s="11">
        <v>24</v>
      </c>
      <c r="K13" s="11">
        <v>50</v>
      </c>
      <c r="L13" s="12">
        <v>0.48</v>
      </c>
      <c r="M13" s="11">
        <v>14</v>
      </c>
      <c r="N13" s="11">
        <v>29</v>
      </c>
      <c r="O13" s="12">
        <v>0.48280000000000001</v>
      </c>
      <c r="P13" s="11">
        <v>10</v>
      </c>
      <c r="Q13" s="11">
        <v>21</v>
      </c>
      <c r="R13" s="12">
        <v>0.47620000000000001</v>
      </c>
      <c r="S13" s="11">
        <v>16</v>
      </c>
      <c r="T13" s="11">
        <v>22</v>
      </c>
      <c r="U13" s="12">
        <v>0.72729999999999995</v>
      </c>
      <c r="V13" s="11">
        <v>6</v>
      </c>
      <c r="W13" s="11">
        <v>22</v>
      </c>
      <c r="X13" s="11">
        <v>28</v>
      </c>
      <c r="Y13" s="11">
        <v>13</v>
      </c>
      <c r="Z13" s="11">
        <v>7</v>
      </c>
      <c r="AA13" s="11">
        <v>1</v>
      </c>
      <c r="AB13" s="11">
        <v>24</v>
      </c>
      <c r="AC13" s="11">
        <v>25</v>
      </c>
      <c r="AD13" s="11">
        <v>30</v>
      </c>
      <c r="AE13" s="11">
        <v>60</v>
      </c>
      <c r="AF13" s="12">
        <v>0.5</v>
      </c>
      <c r="AG13" s="11">
        <v>21</v>
      </c>
      <c r="AH13" s="11">
        <v>32</v>
      </c>
      <c r="AI13" s="12">
        <v>0.65629999999999999</v>
      </c>
      <c r="AJ13" s="11">
        <v>9</v>
      </c>
      <c r="AK13" s="11">
        <v>28</v>
      </c>
      <c r="AL13" s="12">
        <v>0.32140000000000002</v>
      </c>
      <c r="AM13" s="11">
        <v>19</v>
      </c>
      <c r="AN13" s="11">
        <v>25</v>
      </c>
      <c r="AO13" s="12">
        <v>0.76</v>
      </c>
      <c r="AP13" s="11">
        <v>11</v>
      </c>
      <c r="AQ13" s="11">
        <v>22</v>
      </c>
      <c r="AR13" s="11">
        <v>33</v>
      </c>
      <c r="AS13" s="11">
        <v>19</v>
      </c>
      <c r="AT13" s="11">
        <v>9</v>
      </c>
      <c r="AU13" s="11">
        <v>5</v>
      </c>
      <c r="AV13" s="11">
        <v>17</v>
      </c>
      <c r="AW13" s="11">
        <v>21</v>
      </c>
      <c r="AX13" s="12">
        <v>0.62</v>
      </c>
      <c r="AY13" s="12">
        <v>0.57999999999999996</v>
      </c>
      <c r="AZ13" s="12">
        <v>0.21429999999999999</v>
      </c>
      <c r="BA13" s="12">
        <v>0.66669999999999996</v>
      </c>
      <c r="BB13" s="12">
        <v>0.45900000000000002</v>
      </c>
      <c r="BC13" s="4">
        <v>76.838999999999999</v>
      </c>
      <c r="BD13" s="12">
        <v>0.54169999999999996</v>
      </c>
      <c r="BE13" s="12">
        <v>0.32</v>
      </c>
      <c r="BF13" s="12">
        <v>0.2868</v>
      </c>
      <c r="BG13" s="4">
        <v>96.6</v>
      </c>
      <c r="BH13" s="4">
        <v>114.9</v>
      </c>
      <c r="BI13" s="4">
        <v>76.569500000000005</v>
      </c>
      <c r="BJ13" s="12">
        <v>0.61970000000000003</v>
      </c>
      <c r="BK13" s="12">
        <v>0.57499999999999996</v>
      </c>
      <c r="BL13" s="12">
        <v>0.33329999999999999</v>
      </c>
      <c r="BM13" s="12">
        <v>0.78569999999999995</v>
      </c>
      <c r="BN13" s="12">
        <v>0.54100000000000004</v>
      </c>
      <c r="BO13" s="4">
        <v>76.3</v>
      </c>
      <c r="BP13" s="12">
        <v>0.63329999999999997</v>
      </c>
      <c r="BQ13" s="12">
        <v>0.31669999999999998</v>
      </c>
      <c r="BR13" s="12">
        <v>0.19320000000000001</v>
      </c>
      <c r="BS13" s="4">
        <v>114.9</v>
      </c>
      <c r="BT13" s="4">
        <v>96.6</v>
      </c>
      <c r="BU13" s="11">
        <v>21</v>
      </c>
      <c r="BV13" s="11">
        <v>16</v>
      </c>
      <c r="BW13" s="11">
        <v>25</v>
      </c>
      <c r="BX13" s="11">
        <v>12</v>
      </c>
      <c r="BY13" s="11">
        <v>20</v>
      </c>
      <c r="BZ13" s="11">
        <v>23</v>
      </c>
      <c r="CA13" s="11">
        <v>23</v>
      </c>
      <c r="CB13" s="11">
        <v>22</v>
      </c>
      <c r="CC13" s="11">
        <v>37</v>
      </c>
      <c r="CD13" s="11">
        <v>37</v>
      </c>
      <c r="CE13" s="11">
        <v>43</v>
      </c>
      <c r="CF13" s="11">
        <v>45</v>
      </c>
      <c r="CG13" s="4">
        <v>5</v>
      </c>
      <c r="CH13" s="13">
        <v>1.18</v>
      </c>
      <c r="CI13" s="4">
        <v>10.5</v>
      </c>
      <c r="CJ13" s="4">
        <v>-10.5</v>
      </c>
      <c r="CK13" s="4">
        <v>162.5</v>
      </c>
      <c r="CL13" s="2" t="s">
        <v>369</v>
      </c>
      <c r="CM13" s="4" t="str">
        <f>VLOOKUP(chalon[[#This Row],[Away_team]],all[[Full name]:[Abbr]],3,FALSE)</f>
        <v>CHO</v>
      </c>
      <c r="CN13" s="4">
        <f>IF(OR(chalon[[#This Row],[Result]]="w",chalon[[#This Row],[Result]]="dw"),chalon[[#This Row],[win]]-1,-1)</f>
        <v>-1</v>
      </c>
      <c r="CO13" s="4">
        <f>IF(OR(chalon[[#This Row],[Result]]="L",chalon[[#This Row],[Result]]="dl"),chalon[[#This Row],[lose]]-1,-1)</f>
        <v>0.17999999999999994</v>
      </c>
      <c r="CP13" s="4">
        <f>IF(OR((chalon[[#This Row],[Home_scored]]+chalon[[#This Row],[Away_scored]])&gt;chalon[[#This Row],[total]],OR(chalon[[#This Row],[Result]]="dw",chalon[[#This Row],[Result]]="dl")),1,0)</f>
        <v>0</v>
      </c>
      <c r="CQ13" s="4">
        <f>ABS((chalon[[#This Row],[Home_scored]]+chalon[[#This Row],[Away_scored]])-chalon[[#This Row],[total]])+0.5</f>
        <v>1</v>
      </c>
    </row>
    <row r="14" spans="1:95" x14ac:dyDescent="0.25">
      <c r="A14" s="2" t="s">
        <v>349</v>
      </c>
      <c r="B14" s="2" t="s">
        <v>305</v>
      </c>
      <c r="C14" s="3" t="s">
        <v>73</v>
      </c>
      <c r="D14" s="3">
        <v>45633</v>
      </c>
      <c r="E14" s="2" t="s">
        <v>74</v>
      </c>
      <c r="F14" s="2" t="s">
        <v>342</v>
      </c>
      <c r="G14" s="2" t="s">
        <v>75</v>
      </c>
      <c r="H14" s="11">
        <v>91</v>
      </c>
      <c r="I14" s="11">
        <v>63</v>
      </c>
      <c r="J14" s="11">
        <v>30</v>
      </c>
      <c r="K14" s="11">
        <v>58</v>
      </c>
      <c r="L14" s="12">
        <v>0.51719999999999999</v>
      </c>
      <c r="M14" s="11">
        <v>20</v>
      </c>
      <c r="N14" s="11">
        <v>33</v>
      </c>
      <c r="O14" s="12">
        <v>0.60609999999999997</v>
      </c>
      <c r="P14" s="11">
        <v>10</v>
      </c>
      <c r="Q14" s="11">
        <v>25</v>
      </c>
      <c r="R14" s="12">
        <v>0.4</v>
      </c>
      <c r="S14" s="11">
        <v>21</v>
      </c>
      <c r="T14" s="11">
        <v>31</v>
      </c>
      <c r="U14" s="12">
        <v>0.6774</v>
      </c>
      <c r="V14" s="11">
        <v>13</v>
      </c>
      <c r="W14" s="11">
        <v>25</v>
      </c>
      <c r="X14" s="11">
        <v>38</v>
      </c>
      <c r="Y14" s="11">
        <v>23</v>
      </c>
      <c r="Z14" s="11">
        <v>8</v>
      </c>
      <c r="AA14" s="11">
        <v>3</v>
      </c>
      <c r="AB14" s="11">
        <v>12</v>
      </c>
      <c r="AC14" s="11">
        <v>19</v>
      </c>
      <c r="AD14" s="11">
        <v>21</v>
      </c>
      <c r="AE14" s="11">
        <v>58</v>
      </c>
      <c r="AF14" s="12">
        <v>0.36209999999999998</v>
      </c>
      <c r="AG14" s="11">
        <v>14</v>
      </c>
      <c r="AH14" s="11">
        <v>28</v>
      </c>
      <c r="AI14" s="12">
        <v>0.5</v>
      </c>
      <c r="AJ14" s="11">
        <v>7</v>
      </c>
      <c r="AK14" s="11">
        <v>30</v>
      </c>
      <c r="AL14" s="12">
        <v>0.23330000000000001</v>
      </c>
      <c r="AM14" s="11">
        <v>14</v>
      </c>
      <c r="AN14" s="11">
        <v>15</v>
      </c>
      <c r="AO14" s="12">
        <v>0.93330000000000002</v>
      </c>
      <c r="AP14" s="11">
        <v>11</v>
      </c>
      <c r="AQ14" s="11">
        <v>19</v>
      </c>
      <c r="AR14" s="11">
        <v>30</v>
      </c>
      <c r="AS14" s="11">
        <v>13</v>
      </c>
      <c r="AT14" s="11">
        <v>6</v>
      </c>
      <c r="AU14" s="11">
        <v>2</v>
      </c>
      <c r="AV14" s="11">
        <v>17</v>
      </c>
      <c r="AW14" s="11">
        <v>26</v>
      </c>
      <c r="AX14" s="12">
        <v>0.6351</v>
      </c>
      <c r="AY14" s="12">
        <v>0.60340000000000005</v>
      </c>
      <c r="AZ14" s="12">
        <v>0.40629999999999999</v>
      </c>
      <c r="BA14" s="12">
        <v>0.69440000000000002</v>
      </c>
      <c r="BB14" s="12">
        <v>0.55879999999999996</v>
      </c>
      <c r="BC14" s="4">
        <v>72.150999999999996</v>
      </c>
      <c r="BD14" s="12">
        <v>0.76670000000000005</v>
      </c>
      <c r="BE14" s="12">
        <v>0.36209999999999998</v>
      </c>
      <c r="BF14" s="12">
        <v>0.14349999999999999</v>
      </c>
      <c r="BG14" s="4">
        <v>131.30000000000001</v>
      </c>
      <c r="BH14" s="4">
        <v>90.9</v>
      </c>
      <c r="BI14" s="4">
        <v>69.317499999999995</v>
      </c>
      <c r="BJ14" s="12">
        <v>0.48759999999999998</v>
      </c>
      <c r="BK14" s="12">
        <v>0.4224</v>
      </c>
      <c r="BL14" s="12">
        <v>0.30559999999999998</v>
      </c>
      <c r="BM14" s="12">
        <v>0.59379999999999999</v>
      </c>
      <c r="BN14" s="12">
        <v>0.44119999999999998</v>
      </c>
      <c r="BO14" s="4">
        <v>66.483999999999995</v>
      </c>
      <c r="BP14" s="12">
        <v>0.61899999999999999</v>
      </c>
      <c r="BQ14" s="12">
        <v>0.2414</v>
      </c>
      <c r="BR14" s="12">
        <v>0.20830000000000001</v>
      </c>
      <c r="BS14" s="4">
        <v>90.9</v>
      </c>
      <c r="BT14" s="4">
        <v>131.30000000000001</v>
      </c>
      <c r="BU14" s="11">
        <v>18</v>
      </c>
      <c r="BV14" s="11">
        <v>25</v>
      </c>
      <c r="BW14" s="11">
        <v>23</v>
      </c>
      <c r="BX14" s="11">
        <v>25</v>
      </c>
      <c r="BY14" s="11">
        <v>9</v>
      </c>
      <c r="BZ14" s="11">
        <v>21</v>
      </c>
      <c r="CA14" s="11">
        <v>15</v>
      </c>
      <c r="CB14" s="11">
        <v>18</v>
      </c>
      <c r="CC14" s="11">
        <v>43</v>
      </c>
      <c r="CD14" s="11">
        <v>48</v>
      </c>
      <c r="CE14" s="11">
        <v>30</v>
      </c>
      <c r="CF14" s="11">
        <v>33</v>
      </c>
      <c r="CG14" s="4">
        <v>2.2000000000000002</v>
      </c>
      <c r="CH14" s="13">
        <v>1.71</v>
      </c>
      <c r="CI14" s="4">
        <v>2.5</v>
      </c>
      <c r="CJ14" s="4">
        <v>-2.5</v>
      </c>
      <c r="CK14" s="4">
        <v>166.5</v>
      </c>
      <c r="CL14" s="2" t="s">
        <v>433</v>
      </c>
      <c r="CM14" s="4" t="str">
        <f>VLOOKUP(chalon[[#This Row],[Away_team]],all[[Full name]:[Abbr]],3,FALSE)</f>
        <v>SQU</v>
      </c>
      <c r="CN14" s="4">
        <f>IF(OR(chalon[[#This Row],[Result]]="w",chalon[[#This Row],[Result]]="dw"),chalon[[#This Row],[win]]-1,-1)</f>
        <v>1.2000000000000002</v>
      </c>
      <c r="CO14" s="4">
        <f>IF(OR(chalon[[#This Row],[Result]]="L",chalon[[#This Row],[Result]]="dl"),chalon[[#This Row],[lose]]-1,-1)</f>
        <v>-1</v>
      </c>
      <c r="CP14" s="4">
        <f>IF(OR((chalon[[#This Row],[Home_scored]]+chalon[[#This Row],[Away_scored]])&gt;chalon[[#This Row],[total]],OR(chalon[[#This Row],[Result]]="dw",chalon[[#This Row],[Result]]="dl")),1,0)</f>
        <v>0</v>
      </c>
      <c r="CQ14" s="4">
        <f>ABS((chalon[[#This Row],[Home_scored]]+chalon[[#This Row],[Away_scored]])-chalon[[#This Row],[total]])+0.5</f>
        <v>13</v>
      </c>
    </row>
    <row r="15" spans="1:95" x14ac:dyDescent="0.25">
      <c r="A15" s="2" t="s">
        <v>349</v>
      </c>
      <c r="B15" s="2" t="s">
        <v>305</v>
      </c>
      <c r="C15" s="3" t="s">
        <v>73</v>
      </c>
      <c r="D15" s="3">
        <v>45640</v>
      </c>
      <c r="E15" s="2" t="s">
        <v>140</v>
      </c>
      <c r="F15" s="2" t="s">
        <v>311</v>
      </c>
      <c r="G15" s="2" t="s">
        <v>146</v>
      </c>
      <c r="H15" s="11">
        <v>78</v>
      </c>
      <c r="I15" s="11">
        <v>78</v>
      </c>
      <c r="J15" s="11">
        <v>29</v>
      </c>
      <c r="K15" s="11">
        <v>59</v>
      </c>
      <c r="L15" s="12">
        <v>0.49149999999999999</v>
      </c>
      <c r="M15" s="11">
        <v>18</v>
      </c>
      <c r="N15" s="11">
        <v>35</v>
      </c>
      <c r="O15" s="12">
        <v>0.51429999999999998</v>
      </c>
      <c r="P15" s="11">
        <v>11</v>
      </c>
      <c r="Q15" s="11">
        <v>24</v>
      </c>
      <c r="R15" s="12">
        <v>0.45829999999999999</v>
      </c>
      <c r="S15" s="11">
        <v>9</v>
      </c>
      <c r="T15" s="11">
        <v>15</v>
      </c>
      <c r="U15" s="12">
        <v>0.6</v>
      </c>
      <c r="V15" s="11">
        <v>11</v>
      </c>
      <c r="W15" s="11">
        <v>30</v>
      </c>
      <c r="X15" s="11">
        <v>41</v>
      </c>
      <c r="Y15" s="11">
        <v>15</v>
      </c>
      <c r="Z15" s="11">
        <v>3</v>
      </c>
      <c r="AA15" s="11">
        <v>0</v>
      </c>
      <c r="AB15" s="11">
        <v>16</v>
      </c>
      <c r="AC15" s="11">
        <v>17</v>
      </c>
      <c r="AD15" s="11">
        <v>30</v>
      </c>
      <c r="AE15" s="11">
        <v>63</v>
      </c>
      <c r="AF15" s="12">
        <v>0.47620000000000001</v>
      </c>
      <c r="AG15" s="11">
        <v>21</v>
      </c>
      <c r="AH15" s="11">
        <v>36</v>
      </c>
      <c r="AI15" s="12">
        <v>0.58330000000000004</v>
      </c>
      <c r="AJ15" s="11">
        <v>9</v>
      </c>
      <c r="AK15" s="11">
        <v>27</v>
      </c>
      <c r="AL15" s="12">
        <v>0.33329999999999999</v>
      </c>
      <c r="AM15" s="11">
        <v>9</v>
      </c>
      <c r="AN15" s="11">
        <v>11</v>
      </c>
      <c r="AO15" s="12">
        <v>0.81820000000000004</v>
      </c>
      <c r="AP15" s="11">
        <v>4</v>
      </c>
      <c r="AQ15" s="11">
        <v>21</v>
      </c>
      <c r="AR15" s="11">
        <v>25</v>
      </c>
      <c r="AS15" s="11">
        <v>18</v>
      </c>
      <c r="AT15" s="11">
        <v>8</v>
      </c>
      <c r="AU15" s="11">
        <v>2</v>
      </c>
      <c r="AV15" s="11">
        <v>6</v>
      </c>
      <c r="AW15" s="11">
        <v>17</v>
      </c>
      <c r="AX15" s="12">
        <v>0.59450000000000003</v>
      </c>
      <c r="AY15" s="12">
        <v>0.5847</v>
      </c>
      <c r="AZ15" s="12">
        <v>0.34379999999999999</v>
      </c>
      <c r="BA15" s="12">
        <v>0.88239999999999996</v>
      </c>
      <c r="BB15" s="12">
        <v>0.62119999999999997</v>
      </c>
      <c r="BC15" s="4">
        <v>72.388000000000005</v>
      </c>
      <c r="BD15" s="12">
        <v>0.51719999999999999</v>
      </c>
      <c r="BE15" s="12">
        <v>0.1525</v>
      </c>
      <c r="BF15" s="12">
        <v>0.1961</v>
      </c>
      <c r="BG15" s="4">
        <v>111.3</v>
      </c>
      <c r="BH15" s="4">
        <v>111.3</v>
      </c>
      <c r="BI15" s="4">
        <v>70.069000000000003</v>
      </c>
      <c r="BJ15" s="12">
        <v>0.57489999999999997</v>
      </c>
      <c r="BK15" s="12">
        <v>0.54759999999999998</v>
      </c>
      <c r="BL15" s="12">
        <v>0.1176</v>
      </c>
      <c r="BM15" s="12">
        <v>0.65629999999999999</v>
      </c>
      <c r="BN15" s="12">
        <v>0.37880000000000003</v>
      </c>
      <c r="BO15" s="4">
        <v>67.75</v>
      </c>
      <c r="BP15" s="12">
        <v>0.6</v>
      </c>
      <c r="BQ15" s="12">
        <v>0.1429</v>
      </c>
      <c r="BR15" s="12">
        <v>8.1299999999999997E-2</v>
      </c>
      <c r="BS15" s="4">
        <v>111.3</v>
      </c>
      <c r="BT15" s="4">
        <v>111.3</v>
      </c>
      <c r="BU15" s="11">
        <v>15</v>
      </c>
      <c r="BV15" s="11">
        <v>21</v>
      </c>
      <c r="BW15" s="11">
        <v>22</v>
      </c>
      <c r="BX15" s="11">
        <v>20</v>
      </c>
      <c r="BY15" s="11">
        <v>19</v>
      </c>
      <c r="BZ15" s="11">
        <v>23</v>
      </c>
      <c r="CA15" s="11">
        <v>15</v>
      </c>
      <c r="CB15" s="11">
        <v>21</v>
      </c>
      <c r="CC15" s="11">
        <v>36</v>
      </c>
      <c r="CD15" s="11">
        <v>42</v>
      </c>
      <c r="CE15" s="11">
        <v>42</v>
      </c>
      <c r="CF15" s="11">
        <v>36</v>
      </c>
      <c r="CG15" s="4">
        <v>3.5</v>
      </c>
      <c r="CH15" s="13">
        <v>1.32</v>
      </c>
      <c r="CI15" s="4">
        <v>7.5</v>
      </c>
      <c r="CJ15" s="4">
        <v>-7.5</v>
      </c>
      <c r="CK15" s="4">
        <v>169.5</v>
      </c>
      <c r="CL15" s="2" t="s">
        <v>442</v>
      </c>
      <c r="CM15" s="4" t="str">
        <f>VLOOKUP(chalon[[#This Row],[Away_team]],all[[Full name]:[Abbr]],3,FALSE)</f>
        <v>DIJ</v>
      </c>
      <c r="CN15" s="4">
        <f>IF(OR(chalon[[#This Row],[Result]]="w",chalon[[#This Row],[Result]]="dw"),chalon[[#This Row],[win]]-1,-1)</f>
        <v>2.5</v>
      </c>
      <c r="CO15" s="4">
        <f>IF(OR(chalon[[#This Row],[Result]]="L",chalon[[#This Row],[Result]]="dl"),chalon[[#This Row],[lose]]-1,-1)</f>
        <v>-1</v>
      </c>
      <c r="CP15" s="4">
        <f>IF(OR((chalon[[#This Row],[Home_scored]]+chalon[[#This Row],[Away_scored]])&gt;chalon[[#This Row],[total]],OR(chalon[[#This Row],[Result]]="dw",chalon[[#This Row],[Result]]="dl")),1,0)</f>
        <v>1</v>
      </c>
      <c r="CQ15" s="4">
        <f>ABS((chalon[[#This Row],[Home_scored]]+chalon[[#This Row],[Away_scored]])-chalon[[#This Row],[total]])+0.5</f>
        <v>14</v>
      </c>
    </row>
    <row r="16" spans="1:95" x14ac:dyDescent="0.25">
      <c r="A16" s="2" t="s">
        <v>349</v>
      </c>
      <c r="B16" s="2" t="s">
        <v>305</v>
      </c>
      <c r="C16" s="3" t="s">
        <v>73</v>
      </c>
      <c r="D16" s="3">
        <v>45648</v>
      </c>
      <c r="E16" s="2" t="s">
        <v>74</v>
      </c>
      <c r="F16" s="2" t="s">
        <v>314</v>
      </c>
      <c r="G16" s="2" t="s">
        <v>75</v>
      </c>
      <c r="H16" s="11">
        <v>77</v>
      </c>
      <c r="I16" s="11">
        <v>67</v>
      </c>
      <c r="J16" s="11">
        <v>26</v>
      </c>
      <c r="K16" s="11">
        <v>68</v>
      </c>
      <c r="L16" s="12">
        <v>0.38240000000000002</v>
      </c>
      <c r="M16" s="11">
        <v>14</v>
      </c>
      <c r="N16" s="11">
        <v>40</v>
      </c>
      <c r="O16" s="12">
        <v>0.35</v>
      </c>
      <c r="P16" s="11">
        <v>12</v>
      </c>
      <c r="Q16" s="11">
        <v>28</v>
      </c>
      <c r="R16" s="12">
        <v>0.42859999999999998</v>
      </c>
      <c r="S16" s="11">
        <v>13</v>
      </c>
      <c r="T16" s="11">
        <v>16</v>
      </c>
      <c r="U16" s="12">
        <v>0.8125</v>
      </c>
      <c r="V16" s="11">
        <v>13</v>
      </c>
      <c r="W16" s="11">
        <v>26</v>
      </c>
      <c r="X16" s="11">
        <v>39</v>
      </c>
      <c r="Y16" s="11">
        <v>14</v>
      </c>
      <c r="Z16" s="11">
        <v>2</v>
      </c>
      <c r="AA16" s="11">
        <v>2</v>
      </c>
      <c r="AB16" s="11">
        <v>2</v>
      </c>
      <c r="AC16" s="11">
        <v>20</v>
      </c>
      <c r="AD16" s="11">
        <v>25</v>
      </c>
      <c r="AE16" s="11">
        <v>61</v>
      </c>
      <c r="AF16" s="12">
        <v>0.4098</v>
      </c>
      <c r="AG16" s="11">
        <v>18</v>
      </c>
      <c r="AH16" s="11">
        <v>33</v>
      </c>
      <c r="AI16" s="12">
        <v>0.54549999999999998</v>
      </c>
      <c r="AJ16" s="11">
        <v>7</v>
      </c>
      <c r="AK16" s="11">
        <v>28</v>
      </c>
      <c r="AL16" s="12">
        <v>0.25</v>
      </c>
      <c r="AM16" s="11">
        <v>10</v>
      </c>
      <c r="AN16" s="11">
        <v>12</v>
      </c>
      <c r="AO16" s="12">
        <v>0.83330000000000004</v>
      </c>
      <c r="AP16" s="11">
        <v>11</v>
      </c>
      <c r="AQ16" s="11">
        <v>31</v>
      </c>
      <c r="AR16" s="11">
        <v>42</v>
      </c>
      <c r="AS16" s="11">
        <v>14</v>
      </c>
      <c r="AT16" s="11">
        <v>2</v>
      </c>
      <c r="AU16" s="11">
        <v>2</v>
      </c>
      <c r="AV16" s="11">
        <v>2</v>
      </c>
      <c r="AW16" s="11">
        <v>17</v>
      </c>
      <c r="AX16" s="12">
        <v>0.5131</v>
      </c>
      <c r="AY16" s="12">
        <v>0.47060000000000002</v>
      </c>
      <c r="AZ16" s="12">
        <v>0.29549999999999998</v>
      </c>
      <c r="BA16" s="12">
        <v>0.70269999999999999</v>
      </c>
      <c r="BB16" s="12">
        <v>0.48149999999999998</v>
      </c>
      <c r="BC16" s="4">
        <v>61.42</v>
      </c>
      <c r="BD16" s="12">
        <v>0.53849999999999998</v>
      </c>
      <c r="BE16" s="12">
        <v>0.19120000000000001</v>
      </c>
      <c r="BF16" s="12">
        <v>2.5999999999999999E-2</v>
      </c>
      <c r="BG16" s="4">
        <v>129.30000000000001</v>
      </c>
      <c r="BH16" s="4">
        <v>112.5</v>
      </c>
      <c r="BI16" s="4">
        <v>59.5655</v>
      </c>
      <c r="BJ16" s="12">
        <v>0.50539999999999996</v>
      </c>
      <c r="BK16" s="12">
        <v>0.4672</v>
      </c>
      <c r="BL16" s="12">
        <v>0.29730000000000001</v>
      </c>
      <c r="BM16" s="12">
        <v>0.70450000000000002</v>
      </c>
      <c r="BN16" s="12">
        <v>0.51849999999999996</v>
      </c>
      <c r="BO16" s="4">
        <v>57.710999999999999</v>
      </c>
      <c r="BP16" s="12">
        <v>0.56000000000000005</v>
      </c>
      <c r="BQ16" s="12">
        <v>0.16389999999999999</v>
      </c>
      <c r="BR16" s="12">
        <v>2.93E-2</v>
      </c>
      <c r="BS16" s="4">
        <v>112.5</v>
      </c>
      <c r="BT16" s="4">
        <v>129.30000000000001</v>
      </c>
      <c r="BU16" s="11">
        <v>16</v>
      </c>
      <c r="BV16" s="11">
        <v>23</v>
      </c>
      <c r="BW16" s="11">
        <v>14</v>
      </c>
      <c r="BX16" s="11">
        <v>24</v>
      </c>
      <c r="BY16" s="11">
        <v>19</v>
      </c>
      <c r="BZ16" s="11">
        <v>13</v>
      </c>
      <c r="CA16" s="11">
        <v>20</v>
      </c>
      <c r="CB16" s="11">
        <v>15</v>
      </c>
      <c r="CC16" s="11">
        <v>39</v>
      </c>
      <c r="CD16" s="11">
        <v>38</v>
      </c>
      <c r="CE16" s="11">
        <v>32</v>
      </c>
      <c r="CF16" s="11">
        <v>35</v>
      </c>
      <c r="CG16" s="4">
        <v>1.71</v>
      </c>
      <c r="CH16" s="13">
        <v>2.2000000000000002</v>
      </c>
      <c r="CI16" s="4">
        <v>-2.5</v>
      </c>
      <c r="CJ16" s="4">
        <v>2.5</v>
      </c>
      <c r="CK16" s="4">
        <v>164.5</v>
      </c>
      <c r="CL16" s="2" t="s">
        <v>455</v>
      </c>
      <c r="CM16" s="4" t="str">
        <f>VLOOKUP(chalon[[#This Row],[Away_team]],all[[Full name]:[Abbr]],3,FALSE)</f>
        <v>DUN</v>
      </c>
      <c r="CN16" s="4">
        <f>IF(OR(chalon[[#This Row],[Result]]="w",chalon[[#This Row],[Result]]="dw"),chalon[[#This Row],[win]]-1,-1)</f>
        <v>0.71</v>
      </c>
      <c r="CO16" s="4">
        <f>IF(OR(chalon[[#This Row],[Result]]="L",chalon[[#This Row],[Result]]="dl"),chalon[[#This Row],[lose]]-1,-1)</f>
        <v>-1</v>
      </c>
      <c r="CP16" s="4">
        <f>IF(OR((chalon[[#This Row],[Home_scored]]+chalon[[#This Row],[Away_scored]])&gt;chalon[[#This Row],[total]],OR(chalon[[#This Row],[Result]]="dw",chalon[[#This Row],[Result]]="dl")),1,0)</f>
        <v>0</v>
      </c>
      <c r="CQ16" s="4">
        <f>ABS((chalon[[#This Row],[Home_scored]]+chalon[[#This Row],[Away_scored]])-chalon[[#This Row],[total]])+0.5</f>
        <v>21</v>
      </c>
    </row>
    <row r="17" spans="1:95" x14ac:dyDescent="0.25">
      <c r="A17" s="2" t="s">
        <v>349</v>
      </c>
      <c r="B17" s="2" t="s">
        <v>305</v>
      </c>
      <c r="C17" s="3" t="s">
        <v>73</v>
      </c>
      <c r="D17" s="3">
        <v>45662</v>
      </c>
      <c r="E17" s="2" t="s">
        <v>140</v>
      </c>
      <c r="F17" s="2" t="s">
        <v>330</v>
      </c>
      <c r="G17" s="2" t="s">
        <v>139</v>
      </c>
      <c r="H17" s="11">
        <v>82</v>
      </c>
      <c r="I17" s="11">
        <v>109</v>
      </c>
      <c r="J17" s="11">
        <v>29</v>
      </c>
      <c r="K17" s="11">
        <v>55</v>
      </c>
      <c r="L17" s="12">
        <v>0.52729999999999999</v>
      </c>
      <c r="M17" s="11">
        <v>20</v>
      </c>
      <c r="N17" s="11">
        <v>34</v>
      </c>
      <c r="O17" s="12">
        <v>0.58819999999999995</v>
      </c>
      <c r="P17" s="11">
        <v>9</v>
      </c>
      <c r="Q17" s="11">
        <v>21</v>
      </c>
      <c r="R17" s="12">
        <v>0.42859999999999998</v>
      </c>
      <c r="S17" s="11">
        <v>15</v>
      </c>
      <c r="T17" s="11">
        <v>20</v>
      </c>
      <c r="U17" s="12">
        <v>0.75</v>
      </c>
      <c r="V17" s="11">
        <v>13</v>
      </c>
      <c r="W17" s="11">
        <v>20</v>
      </c>
      <c r="X17" s="11">
        <v>33</v>
      </c>
      <c r="Y17" s="11">
        <v>14</v>
      </c>
      <c r="Z17" s="11">
        <v>5</v>
      </c>
      <c r="AA17" s="11">
        <v>2</v>
      </c>
      <c r="AB17" s="11">
        <v>23</v>
      </c>
      <c r="AC17" s="11">
        <v>19</v>
      </c>
      <c r="AD17" s="11">
        <v>39</v>
      </c>
      <c r="AE17" s="11">
        <v>69</v>
      </c>
      <c r="AF17" s="12">
        <v>0.56520000000000004</v>
      </c>
      <c r="AG17" s="11">
        <v>24</v>
      </c>
      <c r="AH17" s="11">
        <v>38</v>
      </c>
      <c r="AI17" s="12">
        <v>0.63160000000000005</v>
      </c>
      <c r="AJ17" s="11">
        <v>15</v>
      </c>
      <c r="AK17" s="11">
        <v>31</v>
      </c>
      <c r="AL17" s="12">
        <v>0.4839</v>
      </c>
      <c r="AM17" s="11">
        <v>16</v>
      </c>
      <c r="AN17" s="11">
        <v>20</v>
      </c>
      <c r="AO17" s="12">
        <v>0.8</v>
      </c>
      <c r="AP17" s="11">
        <v>11</v>
      </c>
      <c r="AQ17" s="11">
        <v>14</v>
      </c>
      <c r="AR17" s="11">
        <v>25</v>
      </c>
      <c r="AS17" s="11">
        <v>29</v>
      </c>
      <c r="AT17" s="11">
        <v>8</v>
      </c>
      <c r="AU17" s="11">
        <v>3</v>
      </c>
      <c r="AV17" s="11">
        <v>9</v>
      </c>
      <c r="AW17" s="11">
        <v>20</v>
      </c>
      <c r="AX17" s="12">
        <v>0.64259999999999995</v>
      </c>
      <c r="AY17" s="12">
        <v>0.60909999999999997</v>
      </c>
      <c r="AZ17" s="12">
        <v>0.48149999999999998</v>
      </c>
      <c r="BA17" s="12">
        <v>0.6452</v>
      </c>
      <c r="BB17" s="12">
        <v>0.56899999999999995</v>
      </c>
      <c r="BC17" s="4">
        <v>75.040999999999997</v>
      </c>
      <c r="BD17" s="12">
        <v>0.48280000000000001</v>
      </c>
      <c r="BE17" s="12">
        <v>0.2727</v>
      </c>
      <c r="BF17" s="12">
        <v>0.26500000000000001</v>
      </c>
      <c r="BG17" s="4">
        <v>111.6</v>
      </c>
      <c r="BH17" s="4">
        <v>148.4</v>
      </c>
      <c r="BI17" s="4">
        <v>73.458500000000001</v>
      </c>
      <c r="BJ17" s="12">
        <v>0.70050000000000001</v>
      </c>
      <c r="BK17" s="12">
        <v>0.67390000000000005</v>
      </c>
      <c r="BL17" s="12">
        <v>0.3548</v>
      </c>
      <c r="BM17" s="12">
        <v>0.51849999999999996</v>
      </c>
      <c r="BN17" s="12">
        <v>0.43099999999999999</v>
      </c>
      <c r="BO17" s="4">
        <v>71.876000000000005</v>
      </c>
      <c r="BP17" s="12">
        <v>0.74360000000000004</v>
      </c>
      <c r="BQ17" s="12">
        <v>0.2319</v>
      </c>
      <c r="BR17" s="12">
        <v>0.1037</v>
      </c>
      <c r="BS17" s="4">
        <v>148.4</v>
      </c>
      <c r="BT17" s="4">
        <v>111.6</v>
      </c>
      <c r="BU17" s="11">
        <v>27</v>
      </c>
      <c r="BV17" s="11">
        <v>22</v>
      </c>
      <c r="BW17" s="11">
        <v>21</v>
      </c>
      <c r="BX17" s="11">
        <v>12</v>
      </c>
      <c r="BY17" s="11">
        <v>22</v>
      </c>
      <c r="BZ17" s="11">
        <v>32</v>
      </c>
      <c r="CA17" s="11">
        <v>29</v>
      </c>
      <c r="CB17" s="11">
        <v>26</v>
      </c>
      <c r="CC17" s="11">
        <v>49</v>
      </c>
      <c r="CD17" s="11">
        <v>33</v>
      </c>
      <c r="CE17" s="11">
        <v>54</v>
      </c>
      <c r="CF17" s="11">
        <v>55</v>
      </c>
      <c r="CG17" s="4">
        <v>8</v>
      </c>
      <c r="CH17" s="13">
        <v>1.0900000000000001</v>
      </c>
      <c r="CI17" s="4">
        <v>13.5</v>
      </c>
      <c r="CJ17" s="4">
        <v>-13.5</v>
      </c>
      <c r="CK17" s="4">
        <v>165.5</v>
      </c>
      <c r="CL17" s="2" t="s">
        <v>466</v>
      </c>
      <c r="CM17" s="4" t="str">
        <f>VLOOKUP(chalon[[#This Row],[Away_team]],all[[Full name]:[Abbr]],3,FALSE)</f>
        <v>MON</v>
      </c>
      <c r="CN17" s="4">
        <f>IF(OR(chalon[[#This Row],[Result]]="w",chalon[[#This Row],[Result]]="dw"),chalon[[#This Row],[win]]-1,-1)</f>
        <v>-1</v>
      </c>
      <c r="CO17" s="4">
        <f>IF(OR(chalon[[#This Row],[Result]]="L",chalon[[#This Row],[Result]]="dl"),chalon[[#This Row],[lose]]-1,-1)</f>
        <v>9.000000000000008E-2</v>
      </c>
      <c r="CP17" s="4">
        <f>IF(OR((chalon[[#This Row],[Home_scored]]+chalon[[#This Row],[Away_scored]])&gt;chalon[[#This Row],[total]],OR(chalon[[#This Row],[Result]]="dw",chalon[[#This Row],[Result]]="dl")),1,0)</f>
        <v>1</v>
      </c>
      <c r="CQ17" s="4">
        <f>ABS((chalon[[#This Row],[Home_scored]]+chalon[[#This Row],[Away_scored]])-chalon[[#This Row],[total]])+0.5</f>
        <v>26</v>
      </c>
    </row>
    <row r="18" spans="1:95" x14ac:dyDescent="0.25">
      <c r="A18" s="2" t="s">
        <v>349</v>
      </c>
      <c r="B18" s="2" t="s">
        <v>305</v>
      </c>
      <c r="C18" s="3" t="s">
        <v>73</v>
      </c>
      <c r="D18" s="3">
        <v>45668</v>
      </c>
      <c r="E18" s="2" t="s">
        <v>74</v>
      </c>
      <c r="F18" s="2" t="s">
        <v>323</v>
      </c>
      <c r="G18" s="2" t="s">
        <v>75</v>
      </c>
      <c r="H18" s="11">
        <v>65</v>
      </c>
      <c r="I18" s="11">
        <v>62</v>
      </c>
      <c r="J18" s="11">
        <v>24</v>
      </c>
      <c r="K18" s="11">
        <v>59</v>
      </c>
      <c r="L18" s="12">
        <v>0.40679999999999999</v>
      </c>
      <c r="M18" s="11">
        <v>18</v>
      </c>
      <c r="N18" s="11">
        <v>35</v>
      </c>
      <c r="O18" s="12">
        <v>0.51429999999999998</v>
      </c>
      <c r="P18" s="11">
        <v>6</v>
      </c>
      <c r="Q18" s="11">
        <v>24</v>
      </c>
      <c r="R18" s="12">
        <v>0.25</v>
      </c>
      <c r="S18" s="11">
        <v>11</v>
      </c>
      <c r="T18" s="11">
        <v>16</v>
      </c>
      <c r="U18" s="12">
        <v>0.6875</v>
      </c>
      <c r="V18" s="11">
        <v>10</v>
      </c>
      <c r="W18" s="11">
        <v>29</v>
      </c>
      <c r="X18" s="11">
        <v>39</v>
      </c>
      <c r="Y18" s="11">
        <v>15</v>
      </c>
      <c r="Z18" s="11">
        <v>9</v>
      </c>
      <c r="AA18" s="11">
        <v>1</v>
      </c>
      <c r="AB18" s="11">
        <v>18</v>
      </c>
      <c r="AC18" s="11">
        <v>14</v>
      </c>
      <c r="AD18" s="11">
        <v>23</v>
      </c>
      <c r="AE18" s="11">
        <v>63</v>
      </c>
      <c r="AF18" s="12">
        <v>0.36509999999999998</v>
      </c>
      <c r="AG18" s="11">
        <v>14</v>
      </c>
      <c r="AH18" s="11">
        <v>27</v>
      </c>
      <c r="AI18" s="12">
        <v>0.51849999999999996</v>
      </c>
      <c r="AJ18" s="11">
        <v>9</v>
      </c>
      <c r="AK18" s="11">
        <v>36</v>
      </c>
      <c r="AL18" s="12">
        <v>0.25</v>
      </c>
      <c r="AM18" s="11">
        <v>7</v>
      </c>
      <c r="AN18" s="11">
        <v>10</v>
      </c>
      <c r="AO18" s="12">
        <v>0.7</v>
      </c>
      <c r="AP18" s="11">
        <v>9</v>
      </c>
      <c r="AQ18" s="11">
        <v>28</v>
      </c>
      <c r="AR18" s="11">
        <v>37</v>
      </c>
      <c r="AS18" s="11">
        <v>19</v>
      </c>
      <c r="AT18" s="11">
        <v>10</v>
      </c>
      <c r="AU18" s="11">
        <v>5</v>
      </c>
      <c r="AV18" s="11">
        <v>15</v>
      </c>
      <c r="AW18" s="11">
        <v>18</v>
      </c>
      <c r="AX18" s="12">
        <v>0.49209999999999998</v>
      </c>
      <c r="AY18" s="12">
        <v>0.45760000000000001</v>
      </c>
      <c r="AZ18" s="12">
        <v>0.26319999999999999</v>
      </c>
      <c r="BA18" s="12">
        <v>0.76319999999999999</v>
      </c>
      <c r="BB18" s="12">
        <v>0.51319999999999999</v>
      </c>
      <c r="BC18" s="4">
        <v>73.796999999999997</v>
      </c>
      <c r="BD18" s="12">
        <v>0.625</v>
      </c>
      <c r="BE18" s="12">
        <v>0.18640000000000001</v>
      </c>
      <c r="BF18" s="12">
        <v>0.2142</v>
      </c>
      <c r="BG18" s="4">
        <v>89.4</v>
      </c>
      <c r="BH18" s="4">
        <v>85.3</v>
      </c>
      <c r="BI18" s="4">
        <v>72.692999999999998</v>
      </c>
      <c r="BJ18" s="12">
        <v>0.45989999999999998</v>
      </c>
      <c r="BK18" s="12">
        <v>0.4365</v>
      </c>
      <c r="BL18" s="12">
        <v>0.23680000000000001</v>
      </c>
      <c r="BM18" s="12">
        <v>0.73680000000000001</v>
      </c>
      <c r="BN18" s="12">
        <v>0.48680000000000001</v>
      </c>
      <c r="BO18" s="4">
        <v>71.588999999999999</v>
      </c>
      <c r="BP18" s="12">
        <v>0.82609999999999995</v>
      </c>
      <c r="BQ18" s="12">
        <v>0.1111</v>
      </c>
      <c r="BR18" s="12">
        <v>0.182</v>
      </c>
      <c r="BS18" s="4">
        <v>85.3</v>
      </c>
      <c r="BT18" s="4">
        <v>89.4</v>
      </c>
      <c r="BU18" s="11">
        <v>13</v>
      </c>
      <c r="BV18" s="11">
        <v>18</v>
      </c>
      <c r="BW18" s="11">
        <v>19</v>
      </c>
      <c r="BX18" s="11">
        <v>15</v>
      </c>
      <c r="BY18" s="11">
        <v>15</v>
      </c>
      <c r="BZ18" s="11">
        <v>11</v>
      </c>
      <c r="CA18" s="11">
        <v>20</v>
      </c>
      <c r="CB18" s="11">
        <v>16</v>
      </c>
      <c r="CC18" s="11">
        <v>31</v>
      </c>
      <c r="CD18" s="11">
        <v>34</v>
      </c>
      <c r="CE18" s="11">
        <v>26</v>
      </c>
      <c r="CF18" s="11">
        <v>36</v>
      </c>
      <c r="CG18" s="4">
        <v>1.22</v>
      </c>
      <c r="CH18" s="13">
        <v>4.5</v>
      </c>
      <c r="CI18" s="4">
        <v>-9.5</v>
      </c>
      <c r="CJ18" s="4">
        <v>9.5</v>
      </c>
      <c r="CK18" s="4">
        <v>161.5</v>
      </c>
      <c r="CL18" s="2" t="s">
        <v>470</v>
      </c>
      <c r="CM18" s="4" t="e">
        <f>VLOOKUP(chalon[[#This Row],[Away_team]],all[[Full name]:[Abbr]],3,FALSE)</f>
        <v>#N/A</v>
      </c>
      <c r="CN18" s="4">
        <f>IF(OR(chalon[[#This Row],[Result]]="w",chalon[[#This Row],[Result]]="dw"),chalon[[#This Row],[win]]-1,-1)</f>
        <v>0.21999999999999997</v>
      </c>
      <c r="CO18" s="4">
        <f>IF(OR(chalon[[#This Row],[Result]]="L",chalon[[#This Row],[Result]]="dl"),chalon[[#This Row],[lose]]-1,-1)</f>
        <v>-1</v>
      </c>
      <c r="CP18" s="4">
        <f>IF(OR((chalon[[#This Row],[Home_scored]]+chalon[[#This Row],[Away_scored]])&gt;chalon[[#This Row],[total]],OR(chalon[[#This Row],[Result]]="dw",chalon[[#This Row],[Result]]="dl")),1,0)</f>
        <v>0</v>
      </c>
      <c r="CQ18" s="4">
        <f>ABS((chalon[[#This Row],[Home_scored]]+chalon[[#This Row],[Away_scored]])-chalon[[#This Row],[total]])+0.5</f>
        <v>35</v>
      </c>
    </row>
    <row r="19" spans="1:95" x14ac:dyDescent="0.25">
      <c r="A19" s="2" t="s">
        <v>349</v>
      </c>
      <c r="B19" s="2" t="s">
        <v>305</v>
      </c>
      <c r="C19" s="3" t="s">
        <v>73</v>
      </c>
      <c r="D19" s="3">
        <v>45675</v>
      </c>
      <c r="E19" s="2" t="s">
        <v>140</v>
      </c>
      <c r="F19" s="2" t="s">
        <v>342</v>
      </c>
      <c r="G19" s="2" t="s">
        <v>75</v>
      </c>
      <c r="H19" s="11">
        <v>87</v>
      </c>
      <c r="I19" s="11">
        <v>83</v>
      </c>
      <c r="J19" s="11">
        <v>30</v>
      </c>
      <c r="K19" s="11">
        <v>59</v>
      </c>
      <c r="L19" s="12">
        <v>0.50849999999999995</v>
      </c>
      <c r="M19" s="11">
        <v>21</v>
      </c>
      <c r="N19" s="11">
        <v>36</v>
      </c>
      <c r="O19" s="12">
        <v>0.58330000000000004</v>
      </c>
      <c r="P19" s="11">
        <v>9</v>
      </c>
      <c r="Q19" s="11">
        <v>23</v>
      </c>
      <c r="R19" s="12">
        <v>0.39129999999999998</v>
      </c>
      <c r="S19" s="11">
        <v>18</v>
      </c>
      <c r="T19" s="11">
        <v>25</v>
      </c>
      <c r="U19" s="12">
        <v>0.72</v>
      </c>
      <c r="V19" s="11">
        <v>7</v>
      </c>
      <c r="W19" s="11">
        <v>22</v>
      </c>
      <c r="X19" s="11">
        <v>29</v>
      </c>
      <c r="Y19" s="11">
        <v>27</v>
      </c>
      <c r="Z19" s="11">
        <v>10</v>
      </c>
      <c r="AA19" s="11">
        <v>0</v>
      </c>
      <c r="AB19" s="11">
        <v>9</v>
      </c>
      <c r="AC19" s="11">
        <v>16</v>
      </c>
      <c r="AD19" s="11">
        <v>29</v>
      </c>
      <c r="AE19" s="11">
        <v>61</v>
      </c>
      <c r="AF19" s="12">
        <v>0.47539999999999999</v>
      </c>
      <c r="AG19" s="11">
        <v>17</v>
      </c>
      <c r="AH19" s="11">
        <v>29</v>
      </c>
      <c r="AI19" s="12">
        <v>0.58620000000000005</v>
      </c>
      <c r="AJ19" s="11">
        <v>12</v>
      </c>
      <c r="AK19" s="11">
        <v>32</v>
      </c>
      <c r="AL19" s="12">
        <v>0.375</v>
      </c>
      <c r="AM19" s="11">
        <v>13</v>
      </c>
      <c r="AN19" s="11">
        <v>15</v>
      </c>
      <c r="AO19" s="12">
        <v>0.86670000000000003</v>
      </c>
      <c r="AP19" s="11">
        <v>10</v>
      </c>
      <c r="AQ19" s="11">
        <v>24</v>
      </c>
      <c r="AR19" s="11">
        <v>34</v>
      </c>
      <c r="AS19" s="11">
        <v>25</v>
      </c>
      <c r="AT19" s="11">
        <v>5</v>
      </c>
      <c r="AU19" s="11">
        <v>3</v>
      </c>
      <c r="AV19" s="11">
        <v>14</v>
      </c>
      <c r="AW19" s="11">
        <v>22</v>
      </c>
      <c r="AX19" s="12">
        <v>0.62139999999999995</v>
      </c>
      <c r="AY19" s="12">
        <v>0.5847</v>
      </c>
      <c r="AZ19" s="12">
        <v>0.2258</v>
      </c>
      <c r="BA19" s="12">
        <v>0.6875</v>
      </c>
      <c r="BB19" s="12">
        <v>0.46029999999999999</v>
      </c>
      <c r="BC19" s="4">
        <v>70.510000000000005</v>
      </c>
      <c r="BD19" s="12">
        <v>0.9</v>
      </c>
      <c r="BE19" s="12">
        <v>0.30509999999999998</v>
      </c>
      <c r="BF19" s="12">
        <v>0.1139</v>
      </c>
      <c r="BG19" s="4">
        <v>123</v>
      </c>
      <c r="BH19" s="4">
        <v>117.4</v>
      </c>
      <c r="BI19" s="4">
        <v>70.719499999999996</v>
      </c>
      <c r="BJ19" s="12">
        <v>0.6139</v>
      </c>
      <c r="BK19" s="12">
        <v>0.57379999999999998</v>
      </c>
      <c r="BL19" s="12">
        <v>0.3125</v>
      </c>
      <c r="BM19" s="12">
        <v>0.7742</v>
      </c>
      <c r="BN19" s="12">
        <v>0.53969999999999996</v>
      </c>
      <c r="BO19" s="4">
        <v>70.929000000000002</v>
      </c>
      <c r="BP19" s="12">
        <v>0.86209999999999998</v>
      </c>
      <c r="BQ19" s="12">
        <v>0.21310000000000001</v>
      </c>
      <c r="BR19" s="12">
        <v>0.1716</v>
      </c>
      <c r="BS19" s="4">
        <v>117.4</v>
      </c>
      <c r="BT19" s="4">
        <v>123</v>
      </c>
      <c r="BU19" s="11">
        <v>23</v>
      </c>
      <c r="BV19" s="11">
        <v>25</v>
      </c>
      <c r="BW19" s="11">
        <v>21</v>
      </c>
      <c r="BX19" s="11">
        <v>18</v>
      </c>
      <c r="BY19" s="11">
        <v>17</v>
      </c>
      <c r="BZ19" s="11">
        <v>25</v>
      </c>
      <c r="CA19" s="11">
        <v>18</v>
      </c>
      <c r="CB19" s="11">
        <v>23</v>
      </c>
      <c r="CC19" s="11">
        <v>48</v>
      </c>
      <c r="CD19" s="11">
        <v>39</v>
      </c>
      <c r="CE19" s="11">
        <v>42</v>
      </c>
      <c r="CF19" s="11">
        <v>41</v>
      </c>
      <c r="CG19" s="4">
        <v>3.1</v>
      </c>
      <c r="CH19" s="13">
        <v>1.38</v>
      </c>
      <c r="CI19" s="4">
        <v>6.5</v>
      </c>
      <c r="CJ19" s="4">
        <v>-6.5</v>
      </c>
      <c r="CK19" s="4">
        <v>159.5</v>
      </c>
      <c r="CL19" s="2" t="s">
        <v>477</v>
      </c>
      <c r="CM19" s="4" t="str">
        <f>VLOOKUP(chalon[[#This Row],[Away_team]],all[[Full name]:[Abbr]],3,FALSE)</f>
        <v>SQU</v>
      </c>
      <c r="CN19" s="4">
        <f>IF(OR(chalon[[#This Row],[Result]]="w",chalon[[#This Row],[Result]]="dw"),chalon[[#This Row],[win]]-1,-1)</f>
        <v>2.1</v>
      </c>
      <c r="CO19" s="4">
        <f>IF(OR(chalon[[#This Row],[Result]]="L",chalon[[#This Row],[Result]]="dl"),chalon[[#This Row],[lose]]-1,-1)</f>
        <v>-1</v>
      </c>
      <c r="CP19" s="4">
        <f>IF(OR((chalon[[#This Row],[Home_scored]]+chalon[[#This Row],[Away_scored]])&gt;chalon[[#This Row],[total]],OR(chalon[[#This Row],[Result]]="dw",chalon[[#This Row],[Result]]="dl")),1,0)</f>
        <v>1</v>
      </c>
      <c r="CQ19" s="4">
        <f>ABS((chalon[[#This Row],[Home_scored]]+chalon[[#This Row],[Away_scored]])-chalon[[#This Row],[total]])+0.5</f>
        <v>11</v>
      </c>
    </row>
    <row r="20" spans="1:95" x14ac:dyDescent="0.25">
      <c r="A20" s="2" t="s">
        <v>349</v>
      </c>
      <c r="B20" s="2" t="s">
        <v>305</v>
      </c>
      <c r="C20" s="3" t="s">
        <v>73</v>
      </c>
      <c r="D20" s="3">
        <v>45681</v>
      </c>
      <c r="E20" s="2" t="s">
        <v>74</v>
      </c>
      <c r="F20" s="2" t="s">
        <v>324</v>
      </c>
      <c r="G20" s="2" t="s">
        <v>75</v>
      </c>
      <c r="H20" s="11">
        <v>92</v>
      </c>
      <c r="I20" s="11">
        <v>76</v>
      </c>
      <c r="J20" s="11">
        <v>28</v>
      </c>
      <c r="K20" s="11">
        <v>53</v>
      </c>
      <c r="L20" s="12">
        <v>0.52829999999999999</v>
      </c>
      <c r="M20" s="11">
        <v>18</v>
      </c>
      <c r="N20" s="11">
        <v>28</v>
      </c>
      <c r="O20" s="12">
        <v>0.64290000000000003</v>
      </c>
      <c r="P20" s="11">
        <v>10</v>
      </c>
      <c r="Q20" s="11">
        <v>25</v>
      </c>
      <c r="R20" s="12">
        <v>0.4</v>
      </c>
      <c r="S20" s="11">
        <v>26</v>
      </c>
      <c r="T20" s="11">
        <v>32</v>
      </c>
      <c r="U20" s="12">
        <v>0.8125</v>
      </c>
      <c r="V20" s="11">
        <v>13</v>
      </c>
      <c r="W20" s="11">
        <v>29</v>
      </c>
      <c r="X20" s="11">
        <v>42</v>
      </c>
      <c r="Y20" s="11">
        <v>21</v>
      </c>
      <c r="Z20" s="11">
        <v>4</v>
      </c>
      <c r="AA20" s="11">
        <v>2</v>
      </c>
      <c r="AB20" s="11">
        <v>17</v>
      </c>
      <c r="AC20" s="11">
        <v>18</v>
      </c>
      <c r="AD20" s="11">
        <v>29</v>
      </c>
      <c r="AE20" s="11">
        <v>72</v>
      </c>
      <c r="AF20" s="12">
        <v>0.40279999999999999</v>
      </c>
      <c r="AG20" s="11">
        <v>21</v>
      </c>
      <c r="AH20" s="11">
        <v>43</v>
      </c>
      <c r="AI20" s="12">
        <v>0.4884</v>
      </c>
      <c r="AJ20" s="11">
        <v>8</v>
      </c>
      <c r="AK20" s="11">
        <v>29</v>
      </c>
      <c r="AL20" s="12">
        <v>0.27589999999999998</v>
      </c>
      <c r="AM20" s="11">
        <v>10</v>
      </c>
      <c r="AN20" s="11">
        <v>15</v>
      </c>
      <c r="AO20" s="12">
        <v>0.66669999999999996</v>
      </c>
      <c r="AP20" s="11">
        <v>16</v>
      </c>
      <c r="AQ20" s="11">
        <v>14</v>
      </c>
      <c r="AR20" s="11">
        <v>30</v>
      </c>
      <c r="AS20" s="11">
        <v>16</v>
      </c>
      <c r="AT20" s="11">
        <v>8</v>
      </c>
      <c r="AU20" s="11">
        <v>3</v>
      </c>
      <c r="AV20" s="11">
        <v>8</v>
      </c>
      <c r="AW20" s="11">
        <v>27</v>
      </c>
      <c r="AX20" s="12">
        <v>0.68569999999999998</v>
      </c>
      <c r="AY20" s="12">
        <v>0.62260000000000004</v>
      </c>
      <c r="AZ20" s="12">
        <v>0.48149999999999998</v>
      </c>
      <c r="BA20" s="12">
        <v>0.64439999999999997</v>
      </c>
      <c r="BB20" s="12">
        <v>0.58330000000000004</v>
      </c>
      <c r="BC20" s="4">
        <v>74.52</v>
      </c>
      <c r="BD20" s="12">
        <v>0.75</v>
      </c>
      <c r="BE20" s="12">
        <v>0.49059999999999998</v>
      </c>
      <c r="BF20" s="12">
        <v>0.20219999999999999</v>
      </c>
      <c r="BG20" s="4">
        <v>135.30000000000001</v>
      </c>
      <c r="BH20" s="4">
        <v>111.8</v>
      </c>
      <c r="BI20" s="4">
        <v>67.990499999999997</v>
      </c>
      <c r="BJ20" s="12">
        <v>0.48349999999999999</v>
      </c>
      <c r="BK20" s="12">
        <v>0.45829999999999999</v>
      </c>
      <c r="BL20" s="12">
        <v>0.35560000000000003</v>
      </c>
      <c r="BM20" s="12">
        <v>0.51849999999999996</v>
      </c>
      <c r="BN20" s="12">
        <v>0.41670000000000001</v>
      </c>
      <c r="BO20" s="4">
        <v>61.460999999999999</v>
      </c>
      <c r="BP20" s="12">
        <v>0.55169999999999997</v>
      </c>
      <c r="BQ20" s="12">
        <v>0.1389</v>
      </c>
      <c r="BR20" s="12">
        <v>9.2399999999999996E-2</v>
      </c>
      <c r="BS20" s="4">
        <v>111.8</v>
      </c>
      <c r="BT20" s="4">
        <v>135.30000000000001</v>
      </c>
      <c r="BU20" s="11">
        <v>18</v>
      </c>
      <c r="BV20" s="11">
        <v>16</v>
      </c>
      <c r="BW20" s="11">
        <v>30</v>
      </c>
      <c r="BX20" s="11">
        <v>28</v>
      </c>
      <c r="BY20" s="11">
        <v>19</v>
      </c>
      <c r="BZ20" s="11">
        <v>14</v>
      </c>
      <c r="CA20" s="11">
        <v>14</v>
      </c>
      <c r="CB20" s="11">
        <v>29</v>
      </c>
      <c r="CC20" s="11">
        <v>34</v>
      </c>
      <c r="CD20" s="11">
        <v>58</v>
      </c>
      <c r="CE20" s="11">
        <v>33</v>
      </c>
      <c r="CF20" s="11">
        <v>43</v>
      </c>
      <c r="CG20" s="4">
        <v>1.49</v>
      </c>
      <c r="CH20" s="13">
        <v>2.7</v>
      </c>
      <c r="CI20" s="4">
        <v>-5</v>
      </c>
      <c r="CJ20" s="4">
        <v>-5</v>
      </c>
      <c r="CK20" s="4">
        <v>163.5</v>
      </c>
      <c r="CL20" s="2" t="s">
        <v>483</v>
      </c>
      <c r="CM20" s="4" t="str">
        <f>VLOOKUP(chalon[[#This Row],[Away_team]],all[[Full name]:[Abbr]],3,FALSE)</f>
        <v>LIM</v>
      </c>
      <c r="CN20" s="4">
        <f>IF(OR(chalon[[#This Row],[Result]]="w",chalon[[#This Row],[Result]]="dw"),chalon[[#This Row],[win]]-1,-1)</f>
        <v>0.49</v>
      </c>
      <c r="CO20" s="4">
        <f>IF(OR(chalon[[#This Row],[Result]]="L",chalon[[#This Row],[Result]]="dl"),chalon[[#This Row],[lose]]-1,-1)</f>
        <v>-1</v>
      </c>
      <c r="CP20" s="4">
        <f>IF(OR((chalon[[#This Row],[Home_scored]]+chalon[[#This Row],[Away_scored]])&gt;chalon[[#This Row],[total]],OR(chalon[[#This Row],[Result]]="dw",chalon[[#This Row],[Result]]="dl")),1,0)</f>
        <v>1</v>
      </c>
      <c r="CQ20" s="4">
        <f>ABS((chalon[[#This Row],[Home_scored]]+chalon[[#This Row],[Away_scored]])-chalon[[#This Row],[total]])+0.5</f>
        <v>5</v>
      </c>
    </row>
    <row r="21" spans="1:95" x14ac:dyDescent="0.25">
      <c r="A21" s="2" t="s">
        <v>349</v>
      </c>
      <c r="B21" s="2" t="s">
        <v>305</v>
      </c>
      <c r="C21" s="3" t="s">
        <v>73</v>
      </c>
      <c r="D21" s="3">
        <v>45690</v>
      </c>
      <c r="E21" s="2" t="s">
        <v>140</v>
      </c>
      <c r="F21" s="2" t="s">
        <v>302</v>
      </c>
      <c r="G21" s="2" t="s">
        <v>139</v>
      </c>
      <c r="H21" s="11">
        <v>77</v>
      </c>
      <c r="I21" s="11">
        <v>103</v>
      </c>
      <c r="J21" s="11">
        <v>29</v>
      </c>
      <c r="K21" s="11">
        <v>61</v>
      </c>
      <c r="L21" s="12">
        <v>0.47539999999999999</v>
      </c>
      <c r="M21" s="11">
        <v>22</v>
      </c>
      <c r="N21" s="11">
        <v>41</v>
      </c>
      <c r="O21" s="12">
        <v>0.53659999999999997</v>
      </c>
      <c r="P21" s="11">
        <v>7</v>
      </c>
      <c r="Q21" s="11">
        <v>20</v>
      </c>
      <c r="R21" s="12">
        <v>0.35</v>
      </c>
      <c r="S21" s="11">
        <v>12</v>
      </c>
      <c r="T21" s="11">
        <v>15</v>
      </c>
      <c r="U21" s="12">
        <v>0.8</v>
      </c>
      <c r="V21" s="11">
        <v>10</v>
      </c>
      <c r="W21" s="11">
        <v>22</v>
      </c>
      <c r="X21" s="11">
        <v>32</v>
      </c>
      <c r="Y21" s="11">
        <v>32</v>
      </c>
      <c r="Z21" s="11">
        <v>18</v>
      </c>
      <c r="AA21" s="11">
        <v>1</v>
      </c>
      <c r="AB21" s="11">
        <v>20</v>
      </c>
      <c r="AC21" s="11">
        <v>24</v>
      </c>
      <c r="AD21" s="11">
        <v>35</v>
      </c>
      <c r="AE21" s="11">
        <v>65</v>
      </c>
      <c r="AF21" s="12">
        <v>0.53849999999999998</v>
      </c>
      <c r="AG21" s="11">
        <v>24</v>
      </c>
      <c r="AH21" s="11">
        <v>40</v>
      </c>
      <c r="AI21" s="12">
        <v>0.6</v>
      </c>
      <c r="AJ21" s="11">
        <v>11</v>
      </c>
      <c r="AK21" s="11">
        <v>25</v>
      </c>
      <c r="AL21" s="12">
        <v>0.44</v>
      </c>
      <c r="AM21" s="11">
        <v>22</v>
      </c>
      <c r="AN21" s="11">
        <v>22</v>
      </c>
      <c r="AO21" s="12">
        <v>1</v>
      </c>
      <c r="AP21" s="11">
        <v>10</v>
      </c>
      <c r="AQ21" s="11">
        <v>23</v>
      </c>
      <c r="AR21" s="11">
        <v>33</v>
      </c>
      <c r="AS21" s="11">
        <v>33</v>
      </c>
      <c r="AT21" s="11">
        <v>21</v>
      </c>
      <c r="AU21" s="11">
        <v>3</v>
      </c>
      <c r="AV21" s="11">
        <v>10</v>
      </c>
      <c r="AW21" s="11">
        <v>14</v>
      </c>
      <c r="AX21" s="12">
        <v>0.56950000000000001</v>
      </c>
      <c r="AY21" s="12">
        <v>0.53280000000000005</v>
      </c>
      <c r="AZ21" s="12">
        <v>0.30299999999999999</v>
      </c>
      <c r="BA21" s="12">
        <v>0.6875</v>
      </c>
      <c r="BB21" s="12">
        <v>0.49230000000000002</v>
      </c>
      <c r="BC21" s="4">
        <v>76.3</v>
      </c>
      <c r="BD21" s="12">
        <v>1.1033999999999999</v>
      </c>
      <c r="BE21" s="12">
        <v>0.19670000000000001</v>
      </c>
      <c r="BF21" s="12">
        <v>0.2283</v>
      </c>
      <c r="BG21" s="4">
        <v>102.4</v>
      </c>
      <c r="BH21" s="4">
        <v>137</v>
      </c>
      <c r="BI21" s="4">
        <v>75.186499999999995</v>
      </c>
      <c r="BJ21" s="12">
        <v>0.68959999999999999</v>
      </c>
      <c r="BK21" s="12">
        <v>0.62309999999999999</v>
      </c>
      <c r="BL21" s="12">
        <v>0.3125</v>
      </c>
      <c r="BM21" s="12">
        <v>0.69699999999999995</v>
      </c>
      <c r="BN21" s="12">
        <v>0.50770000000000004</v>
      </c>
      <c r="BO21" s="4">
        <v>74.072999999999993</v>
      </c>
      <c r="BP21" s="12">
        <v>0.94289999999999996</v>
      </c>
      <c r="BQ21" s="12">
        <v>0.33850000000000002</v>
      </c>
      <c r="BR21" s="12">
        <v>0.1181</v>
      </c>
      <c r="BS21" s="4">
        <v>137</v>
      </c>
      <c r="BT21" s="4">
        <v>102.4</v>
      </c>
      <c r="BU21" s="11">
        <v>15</v>
      </c>
      <c r="BV21" s="11">
        <v>19</v>
      </c>
      <c r="BW21" s="11">
        <v>22</v>
      </c>
      <c r="BX21" s="11">
        <v>21</v>
      </c>
      <c r="BY21" s="11">
        <v>29</v>
      </c>
      <c r="BZ21" s="11">
        <v>27</v>
      </c>
      <c r="CA21" s="11">
        <v>26</v>
      </c>
      <c r="CB21" s="11">
        <v>21</v>
      </c>
      <c r="CC21" s="11">
        <v>34</v>
      </c>
      <c r="CD21" s="11">
        <v>43</v>
      </c>
      <c r="CE21" s="11">
        <v>56</v>
      </c>
      <c r="CF21" s="11">
        <v>47</v>
      </c>
      <c r="CG21" s="4">
        <v>4.5</v>
      </c>
      <c r="CH21" s="13">
        <v>1.22</v>
      </c>
      <c r="CI21" s="4">
        <v>9.5</v>
      </c>
      <c r="CJ21" s="4">
        <v>-9.5</v>
      </c>
      <c r="CK21" s="4">
        <v>172.5</v>
      </c>
      <c r="CL21" s="2" t="s">
        <v>497</v>
      </c>
      <c r="CM21" s="4" t="str">
        <f>VLOOKUP(chalon[[#This Row],[Away_team]],all[[Full name]:[Abbr]],3,FALSE)</f>
        <v>BUR</v>
      </c>
      <c r="CN21" s="4">
        <f>IF(OR(chalon[[#This Row],[Result]]="w",chalon[[#This Row],[Result]]="dw"),chalon[[#This Row],[win]]-1,-1)</f>
        <v>-1</v>
      </c>
      <c r="CO21" s="4">
        <f>IF(OR(chalon[[#This Row],[Result]]="L",chalon[[#This Row],[Result]]="dl"),chalon[[#This Row],[lose]]-1,-1)</f>
        <v>0.21999999999999997</v>
      </c>
      <c r="CP21" s="4">
        <f>IF(OR((chalon[[#This Row],[Home_scored]]+chalon[[#This Row],[Away_scored]])&gt;chalon[[#This Row],[total]],OR(chalon[[#This Row],[Result]]="dw",chalon[[#This Row],[Result]]="dl")),1,0)</f>
        <v>1</v>
      </c>
      <c r="CQ21" s="4">
        <f>ABS((chalon[[#This Row],[Home_scored]]+chalon[[#This Row],[Away_scored]])-chalon[[#This Row],[total]])+0.5</f>
        <v>8</v>
      </c>
    </row>
    <row r="22" spans="1:95" x14ac:dyDescent="0.25">
      <c r="A22" s="2" t="s">
        <v>349</v>
      </c>
      <c r="B22" s="2" t="s">
        <v>305</v>
      </c>
      <c r="C22" s="3" t="s">
        <v>73</v>
      </c>
      <c r="D22" s="3">
        <v>45696</v>
      </c>
      <c r="E22" s="2" t="s">
        <v>140</v>
      </c>
      <c r="F22" s="2" t="s">
        <v>317</v>
      </c>
      <c r="G22" s="2" t="s">
        <v>139</v>
      </c>
      <c r="H22" s="11">
        <v>86</v>
      </c>
      <c r="I22" s="11">
        <v>112</v>
      </c>
      <c r="J22" s="11">
        <v>31</v>
      </c>
      <c r="K22" s="11">
        <v>68</v>
      </c>
      <c r="L22" s="12">
        <v>0.45590000000000003</v>
      </c>
      <c r="M22" s="11">
        <v>24</v>
      </c>
      <c r="N22" s="11">
        <v>45</v>
      </c>
      <c r="O22" s="12">
        <v>0.5333</v>
      </c>
      <c r="P22" s="11">
        <v>7</v>
      </c>
      <c r="Q22" s="11">
        <v>23</v>
      </c>
      <c r="R22" s="12">
        <v>0.30430000000000001</v>
      </c>
      <c r="S22" s="11">
        <v>17</v>
      </c>
      <c r="T22" s="11">
        <v>20</v>
      </c>
      <c r="U22" s="12">
        <v>0.85</v>
      </c>
      <c r="V22" s="11">
        <v>11</v>
      </c>
      <c r="W22" s="11">
        <v>18</v>
      </c>
      <c r="X22" s="11">
        <v>29</v>
      </c>
      <c r="Y22" s="11">
        <v>21</v>
      </c>
      <c r="Z22" s="11">
        <v>5</v>
      </c>
      <c r="AA22" s="11">
        <v>1</v>
      </c>
      <c r="AB22" s="11">
        <v>10</v>
      </c>
      <c r="AC22" s="11">
        <v>17</v>
      </c>
      <c r="AD22" s="11">
        <v>40</v>
      </c>
      <c r="AE22" s="11">
        <v>65</v>
      </c>
      <c r="AF22" s="12">
        <v>0.61539999999999995</v>
      </c>
      <c r="AG22" s="11">
        <v>22</v>
      </c>
      <c r="AH22" s="11">
        <v>33</v>
      </c>
      <c r="AI22" s="12">
        <v>0.66669999999999996</v>
      </c>
      <c r="AJ22" s="11">
        <v>18</v>
      </c>
      <c r="AK22" s="11">
        <v>32</v>
      </c>
      <c r="AL22" s="12">
        <v>0.5625</v>
      </c>
      <c r="AM22" s="11">
        <v>14</v>
      </c>
      <c r="AN22" s="11">
        <v>21</v>
      </c>
      <c r="AO22" s="12">
        <v>0.66669999999999996</v>
      </c>
      <c r="AP22" s="11">
        <v>9</v>
      </c>
      <c r="AQ22" s="11">
        <v>29</v>
      </c>
      <c r="AR22" s="11">
        <v>38</v>
      </c>
      <c r="AS22" s="11">
        <v>31</v>
      </c>
      <c r="AT22" s="11">
        <v>6</v>
      </c>
      <c r="AU22" s="11">
        <v>1</v>
      </c>
      <c r="AV22" s="11">
        <v>12</v>
      </c>
      <c r="AW22" s="11">
        <v>23</v>
      </c>
      <c r="AX22" s="12">
        <v>0.55989999999999995</v>
      </c>
      <c r="AY22" s="12">
        <v>0.50739999999999996</v>
      </c>
      <c r="AZ22" s="12">
        <v>0.27500000000000002</v>
      </c>
      <c r="BA22" s="12">
        <v>0.66669999999999996</v>
      </c>
      <c r="BB22" s="12">
        <v>0.43280000000000002</v>
      </c>
      <c r="BC22" s="4">
        <v>70.983000000000004</v>
      </c>
      <c r="BD22" s="12">
        <v>0.6774</v>
      </c>
      <c r="BE22" s="12">
        <v>0.25</v>
      </c>
      <c r="BF22" s="12">
        <v>0.1152</v>
      </c>
      <c r="BG22" s="4">
        <v>114.6</v>
      </c>
      <c r="BH22" s="4">
        <v>149.30000000000001</v>
      </c>
      <c r="BI22" s="4">
        <v>75.023499999999999</v>
      </c>
      <c r="BJ22" s="12">
        <v>0.75429999999999997</v>
      </c>
      <c r="BK22" s="12">
        <v>0.75380000000000003</v>
      </c>
      <c r="BL22" s="12">
        <v>0.33329999999999999</v>
      </c>
      <c r="BM22" s="12">
        <v>0.72499999999999998</v>
      </c>
      <c r="BN22" s="12">
        <v>0.56720000000000004</v>
      </c>
      <c r="BO22" s="4">
        <v>79.063999999999993</v>
      </c>
      <c r="BP22" s="12">
        <v>0.77500000000000002</v>
      </c>
      <c r="BQ22" s="12">
        <v>0.21540000000000001</v>
      </c>
      <c r="BR22" s="12">
        <v>0.1391</v>
      </c>
      <c r="BS22" s="4">
        <v>149.30000000000001</v>
      </c>
      <c r="BT22" s="4">
        <v>114.6</v>
      </c>
      <c r="BU22" s="11">
        <v>15</v>
      </c>
      <c r="BV22" s="11">
        <v>20</v>
      </c>
      <c r="BW22" s="11">
        <v>28</v>
      </c>
      <c r="BX22" s="11">
        <v>23</v>
      </c>
      <c r="BY22" s="11">
        <v>27</v>
      </c>
      <c r="BZ22" s="11">
        <v>25</v>
      </c>
      <c r="CA22" s="11">
        <v>32</v>
      </c>
      <c r="CB22" s="11">
        <v>28</v>
      </c>
      <c r="CC22" s="11">
        <v>35</v>
      </c>
      <c r="CD22" s="11">
        <v>51</v>
      </c>
      <c r="CE22" s="11">
        <v>52</v>
      </c>
      <c r="CF22" s="11">
        <v>60</v>
      </c>
      <c r="CG22" s="4">
        <v>2.95</v>
      </c>
      <c r="CH22" s="13">
        <v>1.42</v>
      </c>
      <c r="CI22" s="4">
        <v>-6</v>
      </c>
      <c r="CJ22" s="4">
        <v>-6</v>
      </c>
      <c r="CK22" s="4">
        <v>166.5</v>
      </c>
      <c r="CL22" s="2" t="s">
        <v>503</v>
      </c>
      <c r="CM22" s="4" t="str">
        <f>VLOOKUP(chalon[[#This Row],[Away_team]],all[[Full name]:[Abbr]],3,FALSE)</f>
        <v>LEM</v>
      </c>
      <c r="CN22" s="4">
        <f>IF(OR(chalon[[#This Row],[Result]]="w",chalon[[#This Row],[Result]]="dw"),chalon[[#This Row],[win]]-1,-1)</f>
        <v>-1</v>
      </c>
      <c r="CO22" s="4">
        <f>IF(OR(chalon[[#This Row],[Result]]="L",chalon[[#This Row],[Result]]="dl"),chalon[[#This Row],[lose]]-1,-1)</f>
        <v>0.41999999999999993</v>
      </c>
      <c r="CP22" s="4">
        <f>IF(OR((chalon[[#This Row],[Home_scored]]+chalon[[#This Row],[Away_scored]])&gt;chalon[[#This Row],[total]],OR(chalon[[#This Row],[Result]]="dw",chalon[[#This Row],[Result]]="dl")),1,0)</f>
        <v>1</v>
      </c>
      <c r="CQ22" s="4">
        <f>ABS((chalon[[#This Row],[Home_scored]]+chalon[[#This Row],[Away_scored]])-chalon[[#This Row],[total]])+0.5</f>
        <v>32</v>
      </c>
    </row>
    <row r="23" spans="1:95" x14ac:dyDescent="0.25">
      <c r="A23" s="2" t="s">
        <v>349</v>
      </c>
      <c r="B23" s="2" t="s">
        <v>305</v>
      </c>
      <c r="C23" s="3" t="s">
        <v>73</v>
      </c>
      <c r="D23" s="3">
        <v>45717</v>
      </c>
      <c r="E23" s="2" t="s">
        <v>74</v>
      </c>
      <c r="F23" s="2" t="s">
        <v>311</v>
      </c>
      <c r="G23" s="2" t="s">
        <v>139</v>
      </c>
      <c r="H23" s="11">
        <v>86</v>
      </c>
      <c r="I23" s="11">
        <v>93</v>
      </c>
      <c r="J23" s="11">
        <v>27</v>
      </c>
      <c r="K23" s="11">
        <v>57</v>
      </c>
      <c r="L23" s="12">
        <v>0.47370000000000001</v>
      </c>
      <c r="M23" s="11">
        <v>14</v>
      </c>
      <c r="N23" s="11">
        <v>29</v>
      </c>
      <c r="O23" s="12">
        <v>0.48280000000000001</v>
      </c>
      <c r="P23" s="11">
        <v>13</v>
      </c>
      <c r="Q23" s="11">
        <v>28</v>
      </c>
      <c r="R23" s="12">
        <v>0.46429999999999999</v>
      </c>
      <c r="S23" s="11">
        <v>19</v>
      </c>
      <c r="T23" s="11">
        <v>29</v>
      </c>
      <c r="U23" s="12">
        <v>0.6552</v>
      </c>
      <c r="V23" s="11">
        <v>13</v>
      </c>
      <c r="W23" s="11">
        <v>19</v>
      </c>
      <c r="X23" s="11">
        <v>32</v>
      </c>
      <c r="Y23" s="11">
        <v>20</v>
      </c>
      <c r="Z23" s="11">
        <v>5</v>
      </c>
      <c r="AA23" s="11">
        <v>2</v>
      </c>
      <c r="AB23" s="11">
        <v>20</v>
      </c>
      <c r="AC23" s="11">
        <v>24</v>
      </c>
      <c r="AD23" s="11">
        <v>30</v>
      </c>
      <c r="AE23" s="11">
        <v>59</v>
      </c>
      <c r="AF23" s="12">
        <v>0.50849999999999995</v>
      </c>
      <c r="AG23" s="11">
        <v>26</v>
      </c>
      <c r="AH23" s="11">
        <v>36</v>
      </c>
      <c r="AI23" s="12">
        <v>0.72219999999999995</v>
      </c>
      <c r="AJ23" s="11">
        <v>4</v>
      </c>
      <c r="AK23" s="11">
        <v>23</v>
      </c>
      <c r="AL23" s="12">
        <v>0.1739</v>
      </c>
      <c r="AM23" s="11">
        <v>29</v>
      </c>
      <c r="AN23" s="11">
        <v>31</v>
      </c>
      <c r="AO23" s="12">
        <v>0.9355</v>
      </c>
      <c r="AP23" s="11">
        <v>8</v>
      </c>
      <c r="AQ23" s="11">
        <v>22</v>
      </c>
      <c r="AR23" s="11">
        <v>30</v>
      </c>
      <c r="AS23" s="11">
        <v>18</v>
      </c>
      <c r="AT23" s="11">
        <v>12</v>
      </c>
      <c r="AU23" s="11">
        <v>2</v>
      </c>
      <c r="AV23" s="11">
        <v>11</v>
      </c>
      <c r="AW23" s="11">
        <v>25</v>
      </c>
      <c r="AX23" s="12">
        <v>0.61639999999999995</v>
      </c>
      <c r="AY23" s="12">
        <v>0.5877</v>
      </c>
      <c r="AZ23" s="12">
        <v>0.37140000000000001</v>
      </c>
      <c r="BA23" s="12">
        <v>0.70369999999999999</v>
      </c>
      <c r="BB23" s="12">
        <v>0.5161</v>
      </c>
      <c r="BC23" s="4">
        <v>75.558999999999997</v>
      </c>
      <c r="BD23" s="12">
        <v>0.74070000000000003</v>
      </c>
      <c r="BE23" s="12">
        <v>0.33329999999999999</v>
      </c>
      <c r="BF23" s="12">
        <v>0.2228</v>
      </c>
      <c r="BG23" s="4">
        <v>114.9</v>
      </c>
      <c r="BH23" s="4">
        <v>124.3</v>
      </c>
      <c r="BI23" s="4">
        <v>74.841999999999999</v>
      </c>
      <c r="BJ23" s="12">
        <v>0.6401</v>
      </c>
      <c r="BK23" s="12">
        <v>0.54239999999999999</v>
      </c>
      <c r="BL23" s="12">
        <v>0.29630000000000001</v>
      </c>
      <c r="BM23" s="12">
        <v>0.62860000000000005</v>
      </c>
      <c r="BN23" s="12">
        <v>0.4839</v>
      </c>
      <c r="BO23" s="4">
        <v>74.125</v>
      </c>
      <c r="BP23" s="12">
        <v>0.6</v>
      </c>
      <c r="BQ23" s="12">
        <v>0.49149999999999999</v>
      </c>
      <c r="BR23" s="12">
        <v>0.13150000000000001</v>
      </c>
      <c r="BS23" s="4">
        <v>124.3</v>
      </c>
      <c r="BT23" s="4">
        <v>114.9</v>
      </c>
      <c r="BU23" s="11">
        <v>25</v>
      </c>
      <c r="BV23" s="11">
        <v>16</v>
      </c>
      <c r="BW23" s="11">
        <v>24</v>
      </c>
      <c r="BX23" s="11">
        <v>21</v>
      </c>
      <c r="BY23" s="11">
        <v>16</v>
      </c>
      <c r="BZ23" s="11">
        <v>22</v>
      </c>
      <c r="CA23" s="11">
        <v>29</v>
      </c>
      <c r="CB23" s="11">
        <v>26</v>
      </c>
      <c r="CC23" s="11">
        <v>41</v>
      </c>
      <c r="CD23" s="11">
        <v>45</v>
      </c>
      <c r="CE23" s="11">
        <v>38</v>
      </c>
      <c r="CF23" s="11">
        <v>55</v>
      </c>
      <c r="CG23" s="4">
        <v>1.8</v>
      </c>
      <c r="CH23" s="13">
        <v>2.0499999999999998</v>
      </c>
      <c r="CI23" s="4">
        <v>-1.5</v>
      </c>
      <c r="CJ23" s="4">
        <v>1.5</v>
      </c>
      <c r="CK23" s="4">
        <v>169.5</v>
      </c>
      <c r="CL23" s="2" t="s">
        <v>511</v>
      </c>
      <c r="CM23" s="4" t="str">
        <f>VLOOKUP(chalon[[#This Row],[Away_team]],all[[Full name]:[Abbr]],3,FALSE)</f>
        <v>DIJ</v>
      </c>
      <c r="CN23" s="4">
        <f>IF(OR(chalon[[#This Row],[Result]]="w",chalon[[#This Row],[Result]]="dw"),chalon[[#This Row],[win]]-1,-1)</f>
        <v>-1</v>
      </c>
      <c r="CO23" s="4">
        <f>IF(OR(chalon[[#This Row],[Result]]="L",chalon[[#This Row],[Result]]="dl"),chalon[[#This Row],[lose]]-1,-1)</f>
        <v>1.0499999999999998</v>
      </c>
      <c r="CP23" s="4">
        <f>IF(OR((chalon[[#This Row],[Home_scored]]+chalon[[#This Row],[Away_scored]])&gt;chalon[[#This Row],[total]],OR(chalon[[#This Row],[Result]]="dw",chalon[[#This Row],[Result]]="dl")),1,0)</f>
        <v>1</v>
      </c>
      <c r="CQ23" s="4">
        <f>ABS((chalon[[#This Row],[Home_scored]]+chalon[[#This Row],[Away_scored]])-chalon[[#This Row],[total]])+0.5</f>
        <v>10</v>
      </c>
    </row>
    <row r="24" spans="1:95" x14ac:dyDescent="0.25">
      <c r="A24" s="2" t="s">
        <v>349</v>
      </c>
      <c r="B24" s="2" t="s">
        <v>305</v>
      </c>
      <c r="C24" s="3" t="s">
        <v>73</v>
      </c>
      <c r="D24" s="3">
        <v>45725</v>
      </c>
      <c r="E24" s="2" t="s">
        <v>140</v>
      </c>
      <c r="F24" s="2" t="s">
        <v>323</v>
      </c>
      <c r="G24" s="2" t="s">
        <v>75</v>
      </c>
      <c r="H24" s="11">
        <v>86</v>
      </c>
      <c r="I24" s="11">
        <v>77</v>
      </c>
      <c r="J24" s="11">
        <v>32</v>
      </c>
      <c r="K24" s="11">
        <v>66</v>
      </c>
      <c r="L24" s="12">
        <v>0.48480000000000001</v>
      </c>
      <c r="M24" s="11">
        <v>23</v>
      </c>
      <c r="N24" s="11">
        <v>40</v>
      </c>
      <c r="O24" s="12">
        <v>0.57499999999999996</v>
      </c>
      <c r="P24" s="11">
        <v>9</v>
      </c>
      <c r="Q24" s="11">
        <v>26</v>
      </c>
      <c r="R24" s="12">
        <v>0.34620000000000001</v>
      </c>
      <c r="S24" s="11">
        <v>13</v>
      </c>
      <c r="T24" s="11">
        <v>16</v>
      </c>
      <c r="U24" s="12">
        <v>0.8125</v>
      </c>
      <c r="V24" s="11">
        <v>11</v>
      </c>
      <c r="W24" s="11">
        <v>26</v>
      </c>
      <c r="X24" s="11">
        <v>37</v>
      </c>
      <c r="Y24" s="11">
        <v>22</v>
      </c>
      <c r="Z24" s="11">
        <v>9</v>
      </c>
      <c r="AA24" s="11">
        <v>1</v>
      </c>
      <c r="AB24" s="11">
        <v>14</v>
      </c>
      <c r="AC24" s="11">
        <v>22</v>
      </c>
      <c r="AD24" s="11">
        <v>28</v>
      </c>
      <c r="AE24" s="11">
        <v>55</v>
      </c>
      <c r="AF24" s="12">
        <v>0.5091</v>
      </c>
      <c r="AG24" s="11">
        <v>20</v>
      </c>
      <c r="AH24" s="11">
        <v>30</v>
      </c>
      <c r="AI24" s="12">
        <v>0.66669999999999996</v>
      </c>
      <c r="AJ24" s="11">
        <v>8</v>
      </c>
      <c r="AK24" s="11">
        <v>25</v>
      </c>
      <c r="AL24" s="12">
        <v>0.32</v>
      </c>
      <c r="AM24" s="11">
        <v>13</v>
      </c>
      <c r="AN24" s="11">
        <v>23</v>
      </c>
      <c r="AO24" s="12">
        <v>0.56520000000000004</v>
      </c>
      <c r="AP24" s="11">
        <v>5</v>
      </c>
      <c r="AQ24" s="11">
        <v>23</v>
      </c>
      <c r="AR24" s="11">
        <v>28</v>
      </c>
      <c r="AS24" s="11">
        <v>22</v>
      </c>
      <c r="AT24" s="11">
        <v>5</v>
      </c>
      <c r="AU24" s="11">
        <v>2</v>
      </c>
      <c r="AV24" s="11">
        <v>15</v>
      </c>
      <c r="AW24" s="11">
        <v>20</v>
      </c>
      <c r="AX24" s="12">
        <v>0.5887</v>
      </c>
      <c r="AY24" s="12">
        <v>0.55300000000000005</v>
      </c>
      <c r="AZ24" s="12">
        <v>0.32350000000000001</v>
      </c>
      <c r="BA24" s="12">
        <v>0.8387</v>
      </c>
      <c r="BB24" s="12">
        <v>0.56920000000000004</v>
      </c>
      <c r="BC24" s="4">
        <v>75.584000000000003</v>
      </c>
      <c r="BD24" s="12">
        <v>0.6875</v>
      </c>
      <c r="BE24" s="12">
        <v>0.19700000000000001</v>
      </c>
      <c r="BF24" s="12">
        <v>0.1608</v>
      </c>
      <c r="BG24" s="4">
        <v>115</v>
      </c>
      <c r="BH24" s="4">
        <v>102.9</v>
      </c>
      <c r="BI24" s="4">
        <v>74.8125</v>
      </c>
      <c r="BJ24" s="12">
        <v>0.59119999999999995</v>
      </c>
      <c r="BK24" s="12">
        <v>0.58179999999999998</v>
      </c>
      <c r="BL24" s="12">
        <v>0.1613</v>
      </c>
      <c r="BM24" s="12">
        <v>0.67649999999999999</v>
      </c>
      <c r="BN24" s="12">
        <v>0.43080000000000002</v>
      </c>
      <c r="BO24" s="4">
        <v>74.040999999999997</v>
      </c>
      <c r="BP24" s="12">
        <v>0.78569999999999995</v>
      </c>
      <c r="BQ24" s="12">
        <v>0.2364</v>
      </c>
      <c r="BR24" s="12">
        <v>0.18720000000000001</v>
      </c>
      <c r="BS24" s="4">
        <v>102.9</v>
      </c>
      <c r="BT24" s="4">
        <v>115</v>
      </c>
      <c r="BU24" s="11">
        <v>28</v>
      </c>
      <c r="BV24" s="11">
        <v>10</v>
      </c>
      <c r="BW24" s="11">
        <v>31</v>
      </c>
      <c r="BX24" s="11">
        <v>17</v>
      </c>
      <c r="BY24" s="11">
        <v>22</v>
      </c>
      <c r="BZ24" s="11">
        <v>23</v>
      </c>
      <c r="CA24" s="11">
        <v>18</v>
      </c>
      <c r="CB24" s="11">
        <v>14</v>
      </c>
      <c r="CC24" s="11">
        <v>38</v>
      </c>
      <c r="CD24" s="11">
        <v>48</v>
      </c>
      <c r="CE24" s="11">
        <v>45</v>
      </c>
      <c r="CF24" s="11">
        <v>32</v>
      </c>
      <c r="CG24" s="4">
        <v>1.86</v>
      </c>
      <c r="CH24" s="13">
        <v>1.95</v>
      </c>
      <c r="CI24" s="4">
        <v>-1</v>
      </c>
      <c r="CJ24" s="4">
        <v>1</v>
      </c>
      <c r="CK24" s="4">
        <v>158.5</v>
      </c>
      <c r="CL24" s="2" t="s">
        <v>520</v>
      </c>
      <c r="CM24" s="4" t="e">
        <f>VLOOKUP(chalon[[#This Row],[Away_team]],all[[Full name]:[Abbr]],3,FALSE)</f>
        <v>#N/A</v>
      </c>
      <c r="CN24" s="4">
        <f>IF(OR(chalon[[#This Row],[Result]]="w",chalon[[#This Row],[Result]]="dw"),chalon[[#This Row],[win]]-1,-1)</f>
        <v>0.8600000000000001</v>
      </c>
      <c r="CO24" s="4">
        <f>IF(OR(chalon[[#This Row],[Result]]="L",chalon[[#This Row],[Result]]="dl"),chalon[[#This Row],[lose]]-1,-1)</f>
        <v>-1</v>
      </c>
      <c r="CP24" s="4">
        <f>IF(OR((chalon[[#This Row],[Home_scored]]+chalon[[#This Row],[Away_scored]])&gt;chalon[[#This Row],[total]],OR(chalon[[#This Row],[Result]]="dw",chalon[[#This Row],[Result]]="dl")),1,0)</f>
        <v>1</v>
      </c>
      <c r="CQ24" s="4">
        <f>ABS((chalon[[#This Row],[Home_scored]]+chalon[[#This Row],[Away_scored]])-chalon[[#This Row],[total]])+0.5</f>
        <v>5</v>
      </c>
    </row>
    <row r="25" spans="1:95" x14ac:dyDescent="0.25">
      <c r="A25" s="2" t="s">
        <v>349</v>
      </c>
      <c r="B25" s="2" t="s">
        <v>305</v>
      </c>
      <c r="C25" s="3" t="s">
        <v>73</v>
      </c>
      <c r="D25" s="3">
        <v>45738</v>
      </c>
      <c r="E25" s="2" t="s">
        <v>74</v>
      </c>
      <c r="F25" s="2" t="s">
        <v>320</v>
      </c>
      <c r="G25" s="2" t="s">
        <v>75</v>
      </c>
      <c r="H25" s="11">
        <v>106</v>
      </c>
      <c r="I25" s="11">
        <v>76</v>
      </c>
      <c r="J25" s="11">
        <v>38</v>
      </c>
      <c r="K25" s="11">
        <v>60</v>
      </c>
      <c r="L25" s="12">
        <v>0.63329999999999997</v>
      </c>
      <c r="M25" s="11">
        <v>23</v>
      </c>
      <c r="N25" s="11">
        <v>32</v>
      </c>
      <c r="O25" s="12">
        <v>0.71879999999999999</v>
      </c>
      <c r="P25" s="11">
        <v>15</v>
      </c>
      <c r="Q25" s="11">
        <v>28</v>
      </c>
      <c r="R25" s="12">
        <v>0.53569999999999995</v>
      </c>
      <c r="S25" s="11">
        <v>15</v>
      </c>
      <c r="T25" s="11">
        <v>23</v>
      </c>
      <c r="U25" s="12">
        <v>0.6522</v>
      </c>
      <c r="V25" s="11">
        <v>5</v>
      </c>
      <c r="W25" s="11">
        <v>31</v>
      </c>
      <c r="X25" s="11">
        <v>36</v>
      </c>
      <c r="Y25" s="11">
        <v>31</v>
      </c>
      <c r="Z25" s="11">
        <v>6</v>
      </c>
      <c r="AA25" s="11">
        <v>2</v>
      </c>
      <c r="AB25" s="11">
        <v>12</v>
      </c>
      <c r="AC25" s="11">
        <v>22</v>
      </c>
      <c r="AD25" s="11">
        <v>25</v>
      </c>
      <c r="AE25" s="11">
        <v>63</v>
      </c>
      <c r="AF25" s="12">
        <v>0.39679999999999999</v>
      </c>
      <c r="AG25" s="11">
        <v>18</v>
      </c>
      <c r="AH25" s="11">
        <v>34</v>
      </c>
      <c r="AI25" s="12">
        <v>0.52939999999999998</v>
      </c>
      <c r="AJ25" s="11">
        <v>7</v>
      </c>
      <c r="AK25" s="11">
        <v>29</v>
      </c>
      <c r="AL25" s="12">
        <v>0.2414</v>
      </c>
      <c r="AM25" s="11">
        <v>19</v>
      </c>
      <c r="AN25" s="11">
        <v>28</v>
      </c>
      <c r="AO25" s="12">
        <v>0.67859999999999998</v>
      </c>
      <c r="AP25" s="11">
        <v>11</v>
      </c>
      <c r="AQ25" s="11">
        <v>22</v>
      </c>
      <c r="AR25" s="11">
        <v>33</v>
      </c>
      <c r="AS25" s="11">
        <v>16</v>
      </c>
      <c r="AT25" s="11">
        <v>7</v>
      </c>
      <c r="AU25" s="11">
        <v>1</v>
      </c>
      <c r="AV25" s="11">
        <v>13</v>
      </c>
      <c r="AW25" s="11">
        <v>22</v>
      </c>
      <c r="AX25" s="12">
        <v>0.75580000000000003</v>
      </c>
      <c r="AY25" s="12">
        <v>0.75829999999999997</v>
      </c>
      <c r="AZ25" s="12">
        <v>0.1852</v>
      </c>
      <c r="BA25" s="12">
        <v>0.73809999999999998</v>
      </c>
      <c r="BB25" s="12">
        <v>0.52170000000000005</v>
      </c>
      <c r="BC25" s="4">
        <v>77.930999999999997</v>
      </c>
      <c r="BD25" s="12">
        <v>0.81579999999999997</v>
      </c>
      <c r="BE25" s="12">
        <v>0.25</v>
      </c>
      <c r="BF25" s="12">
        <v>0.14610000000000001</v>
      </c>
      <c r="BG25" s="4">
        <v>139.9</v>
      </c>
      <c r="BH25" s="4">
        <v>100.3</v>
      </c>
      <c r="BI25" s="4">
        <v>75.789000000000001</v>
      </c>
      <c r="BJ25" s="12">
        <v>0.50449999999999995</v>
      </c>
      <c r="BK25" s="12">
        <v>0.45240000000000002</v>
      </c>
      <c r="BL25" s="12">
        <v>0.26190000000000002</v>
      </c>
      <c r="BM25" s="12">
        <v>0.81479999999999997</v>
      </c>
      <c r="BN25" s="12">
        <v>0.4783</v>
      </c>
      <c r="BO25" s="4">
        <v>73.647000000000006</v>
      </c>
      <c r="BP25" s="12">
        <v>0.64</v>
      </c>
      <c r="BQ25" s="12">
        <v>0.30159999999999998</v>
      </c>
      <c r="BR25" s="12">
        <v>0.1472</v>
      </c>
      <c r="BS25" s="4">
        <v>100.3</v>
      </c>
      <c r="BT25" s="4">
        <v>139.9</v>
      </c>
      <c r="BU25" s="11">
        <v>24</v>
      </c>
      <c r="BV25" s="11">
        <v>28</v>
      </c>
      <c r="BW25" s="11">
        <v>29</v>
      </c>
      <c r="BX25" s="11">
        <v>25</v>
      </c>
      <c r="BY25" s="11">
        <v>20</v>
      </c>
      <c r="BZ25" s="11">
        <v>24</v>
      </c>
      <c r="CA25" s="11">
        <v>14</v>
      </c>
      <c r="CB25" s="11">
        <v>18</v>
      </c>
      <c r="CC25" s="11">
        <v>52</v>
      </c>
      <c r="CD25" s="11">
        <v>54</v>
      </c>
      <c r="CE25" s="11">
        <v>44</v>
      </c>
      <c r="CF25" s="11">
        <v>32</v>
      </c>
      <c r="CG25" s="4">
        <v>1.38</v>
      </c>
      <c r="CH25" s="13">
        <v>3.1</v>
      </c>
      <c r="CI25" s="4">
        <v>-6.5</v>
      </c>
      <c r="CJ25" s="4">
        <v>6.5</v>
      </c>
      <c r="CK25" s="4">
        <v>160.5</v>
      </c>
      <c r="CL25" s="2" t="s">
        <v>525</v>
      </c>
      <c r="CM25" s="4" t="str">
        <f>VLOOKUP(chalon[[#This Row],[Away_team]],all[[Full name]:[Abbr]],3,FALSE)</f>
        <v>POR</v>
      </c>
      <c r="CN25" s="4">
        <f>IF(OR(chalon[[#This Row],[Result]]="w",chalon[[#This Row],[Result]]="dw"),chalon[[#This Row],[win]]-1,-1)</f>
        <v>0.37999999999999989</v>
      </c>
      <c r="CO25" s="4">
        <f>IF(OR(chalon[[#This Row],[Result]]="L",chalon[[#This Row],[Result]]="dl"),chalon[[#This Row],[lose]]-1,-1)</f>
        <v>-1</v>
      </c>
      <c r="CP25" s="4">
        <f>IF(OR((chalon[[#This Row],[Home_scored]]+chalon[[#This Row],[Away_scored]])&gt;chalon[[#This Row],[total]],OR(chalon[[#This Row],[Result]]="dw",chalon[[#This Row],[Result]]="dl")),1,0)</f>
        <v>1</v>
      </c>
      <c r="CQ25" s="4">
        <f>ABS((chalon[[#This Row],[Home_scored]]+chalon[[#This Row],[Away_scored]])-chalon[[#This Row],[total]])+0.5</f>
        <v>22</v>
      </c>
    </row>
    <row r="26" spans="1:95" x14ac:dyDescent="0.25">
      <c r="A26" s="2" t="s">
        <v>349</v>
      </c>
      <c r="B26" s="2" t="s">
        <v>305</v>
      </c>
      <c r="C26" s="3" t="s">
        <v>73</v>
      </c>
      <c r="D26" s="3">
        <v>45746</v>
      </c>
      <c r="E26" s="2" t="s">
        <v>140</v>
      </c>
      <c r="F26" s="2" t="s">
        <v>327</v>
      </c>
      <c r="G26" s="2" t="s">
        <v>139</v>
      </c>
      <c r="H26" s="11">
        <v>95</v>
      </c>
      <c r="I26" s="11">
        <v>116</v>
      </c>
      <c r="J26" s="11">
        <v>33</v>
      </c>
      <c r="K26" s="11">
        <v>59</v>
      </c>
      <c r="L26" s="12">
        <v>0.55930000000000002</v>
      </c>
      <c r="M26" s="11">
        <v>23</v>
      </c>
      <c r="N26" s="11">
        <v>35</v>
      </c>
      <c r="O26" s="12">
        <v>0.65710000000000002</v>
      </c>
      <c r="P26" s="11">
        <v>10</v>
      </c>
      <c r="Q26" s="11">
        <v>24</v>
      </c>
      <c r="R26" s="12">
        <v>0.41670000000000001</v>
      </c>
      <c r="S26" s="11">
        <v>19</v>
      </c>
      <c r="T26" s="11">
        <v>24</v>
      </c>
      <c r="U26" s="12">
        <v>0.79169999999999996</v>
      </c>
      <c r="V26" s="11">
        <v>9</v>
      </c>
      <c r="W26" s="11">
        <v>18</v>
      </c>
      <c r="X26" s="11">
        <v>27</v>
      </c>
      <c r="Y26" s="11">
        <v>27</v>
      </c>
      <c r="Z26" s="11">
        <v>2</v>
      </c>
      <c r="AA26" s="11">
        <v>0</v>
      </c>
      <c r="AB26" s="11">
        <v>15</v>
      </c>
      <c r="AC26" s="11">
        <v>18</v>
      </c>
      <c r="AD26" s="11">
        <v>39</v>
      </c>
      <c r="AE26" s="11">
        <v>65</v>
      </c>
      <c r="AF26" s="12">
        <v>0.6</v>
      </c>
      <c r="AG26" s="11">
        <v>16</v>
      </c>
      <c r="AH26" s="11">
        <v>21</v>
      </c>
      <c r="AI26" s="12">
        <v>0.76190000000000002</v>
      </c>
      <c r="AJ26" s="11">
        <v>23</v>
      </c>
      <c r="AK26" s="11">
        <v>44</v>
      </c>
      <c r="AL26" s="12">
        <v>0.52270000000000005</v>
      </c>
      <c r="AM26" s="11">
        <v>15</v>
      </c>
      <c r="AN26" s="11">
        <v>20</v>
      </c>
      <c r="AO26" s="12">
        <v>0.75</v>
      </c>
      <c r="AP26" s="11">
        <v>9</v>
      </c>
      <c r="AQ26" s="11">
        <v>19</v>
      </c>
      <c r="AR26" s="11">
        <v>28</v>
      </c>
      <c r="AS26" s="11">
        <v>30</v>
      </c>
      <c r="AT26" s="11">
        <v>9</v>
      </c>
      <c r="AU26" s="11">
        <v>0</v>
      </c>
      <c r="AV26" s="11">
        <v>11</v>
      </c>
      <c r="AW26" s="11">
        <v>23</v>
      </c>
      <c r="AX26" s="12">
        <v>0.68289999999999995</v>
      </c>
      <c r="AY26" s="12">
        <v>0.64410000000000001</v>
      </c>
      <c r="AZ26" s="12">
        <v>0.32140000000000002</v>
      </c>
      <c r="BA26" s="12">
        <v>0.66669999999999996</v>
      </c>
      <c r="BB26" s="12">
        <v>0.4909</v>
      </c>
      <c r="BC26" s="4">
        <v>74.326999999999998</v>
      </c>
      <c r="BD26" s="12">
        <v>0.81820000000000004</v>
      </c>
      <c r="BE26" s="12">
        <v>0.32200000000000001</v>
      </c>
      <c r="BF26" s="12">
        <v>0.1774</v>
      </c>
      <c r="BG26" s="4">
        <v>127.2</v>
      </c>
      <c r="BH26" s="4">
        <v>155.30000000000001</v>
      </c>
      <c r="BI26" s="4">
        <v>74.692499999999995</v>
      </c>
      <c r="BJ26" s="12">
        <v>0.78590000000000004</v>
      </c>
      <c r="BK26" s="12">
        <v>0.77690000000000003</v>
      </c>
      <c r="BL26" s="12">
        <v>0.33329999999999999</v>
      </c>
      <c r="BM26" s="12">
        <v>0.67859999999999998</v>
      </c>
      <c r="BN26" s="12">
        <v>0.5091</v>
      </c>
      <c r="BO26" s="4">
        <v>75.058000000000007</v>
      </c>
      <c r="BP26" s="12">
        <v>0.76919999999999999</v>
      </c>
      <c r="BQ26" s="12">
        <v>0.23080000000000001</v>
      </c>
      <c r="BR26" s="12">
        <v>0.12970000000000001</v>
      </c>
      <c r="BS26" s="4">
        <v>155.30000000000001</v>
      </c>
      <c r="BT26" s="4">
        <v>127.2</v>
      </c>
      <c r="BU26" s="11">
        <v>16</v>
      </c>
      <c r="BV26" s="11">
        <v>21</v>
      </c>
      <c r="BW26" s="11">
        <v>34</v>
      </c>
      <c r="BX26" s="11">
        <v>24</v>
      </c>
      <c r="BY26" s="11">
        <v>24</v>
      </c>
      <c r="BZ26" s="11">
        <v>30</v>
      </c>
      <c r="CA26" s="11">
        <v>33</v>
      </c>
      <c r="CB26" s="11">
        <v>29</v>
      </c>
      <c r="CC26" s="11">
        <v>37</v>
      </c>
      <c r="CD26" s="11">
        <v>58</v>
      </c>
      <c r="CE26" s="11">
        <v>54</v>
      </c>
      <c r="CF26" s="11">
        <v>62</v>
      </c>
      <c r="CG26" s="4">
        <v>4.5</v>
      </c>
      <c r="CH26" s="13">
        <v>1.22</v>
      </c>
      <c r="CI26" s="4">
        <v>9.5</v>
      </c>
      <c r="CJ26" s="4">
        <v>-9.5</v>
      </c>
      <c r="CK26" s="4">
        <v>165.5</v>
      </c>
      <c r="CL26" s="2" t="s">
        <v>537</v>
      </c>
      <c r="CM26" s="4" t="str">
        <f>VLOOKUP(chalon[[#This Row],[Away_team]],all[[Full name]:[Abbr]],3,FALSE)</f>
        <v>LYO</v>
      </c>
      <c r="CN26" s="4">
        <f>IF(OR(chalon[[#This Row],[Result]]="w",chalon[[#This Row],[Result]]="dw"),chalon[[#This Row],[win]]-1,-1)</f>
        <v>-1</v>
      </c>
      <c r="CO26" s="4">
        <f>IF(OR(chalon[[#This Row],[Result]]="L",chalon[[#This Row],[Result]]="dl"),chalon[[#This Row],[lose]]-1,-1)</f>
        <v>0.21999999999999997</v>
      </c>
      <c r="CP26" s="4">
        <f>IF(OR((chalon[[#This Row],[Home_scored]]+chalon[[#This Row],[Away_scored]])&gt;chalon[[#This Row],[total]],OR(chalon[[#This Row],[Result]]="dw",chalon[[#This Row],[Result]]="dl")),1,0)</f>
        <v>1</v>
      </c>
      <c r="CQ26" s="4">
        <f>ABS((chalon[[#This Row],[Home_scored]]+chalon[[#This Row],[Away_scored]])-chalon[[#This Row],[total]])+0.5</f>
        <v>46</v>
      </c>
    </row>
    <row r="27" spans="1:95" x14ac:dyDescent="0.25">
      <c r="A27" s="2" t="s">
        <v>349</v>
      </c>
      <c r="B27" s="2" t="s">
        <v>305</v>
      </c>
      <c r="C27" s="3" t="s">
        <v>73</v>
      </c>
      <c r="D27" s="3">
        <v>45752</v>
      </c>
      <c r="E27" s="2" t="s">
        <v>74</v>
      </c>
      <c r="F27" s="2" t="s">
        <v>308</v>
      </c>
      <c r="G27" s="2" t="s">
        <v>75</v>
      </c>
      <c r="H27" s="11">
        <v>105</v>
      </c>
      <c r="I27" s="11">
        <v>72</v>
      </c>
      <c r="J27" s="11">
        <v>39</v>
      </c>
      <c r="K27" s="11">
        <v>66</v>
      </c>
      <c r="L27" s="12">
        <v>0.59089999999999998</v>
      </c>
      <c r="M27" s="11">
        <v>23</v>
      </c>
      <c r="N27" s="11">
        <v>32</v>
      </c>
      <c r="O27" s="12">
        <v>0.71879999999999999</v>
      </c>
      <c r="P27" s="11">
        <v>16</v>
      </c>
      <c r="Q27" s="11">
        <v>34</v>
      </c>
      <c r="R27" s="12">
        <v>0.47060000000000002</v>
      </c>
      <c r="S27" s="11">
        <v>11</v>
      </c>
      <c r="T27" s="11">
        <v>17</v>
      </c>
      <c r="U27" s="12">
        <v>0.64710000000000001</v>
      </c>
      <c r="V27" s="11">
        <v>5</v>
      </c>
      <c r="W27" s="11">
        <v>24</v>
      </c>
      <c r="X27" s="11">
        <v>29</v>
      </c>
      <c r="Y27" s="11">
        <v>30</v>
      </c>
      <c r="Z27" s="11">
        <v>8</v>
      </c>
      <c r="AA27" s="11">
        <v>1</v>
      </c>
      <c r="AB27" s="11">
        <v>9</v>
      </c>
      <c r="AC27" s="11">
        <v>18</v>
      </c>
      <c r="AD27" s="11">
        <v>27</v>
      </c>
      <c r="AE27" s="11">
        <v>67</v>
      </c>
      <c r="AF27" s="12">
        <v>0.40300000000000002</v>
      </c>
      <c r="AG27" s="11">
        <v>21</v>
      </c>
      <c r="AH27" s="11">
        <v>37</v>
      </c>
      <c r="AI27" s="12">
        <v>0.56759999999999999</v>
      </c>
      <c r="AJ27" s="11">
        <v>6</v>
      </c>
      <c r="AK27" s="11">
        <v>30</v>
      </c>
      <c r="AL27" s="12">
        <v>0.2</v>
      </c>
      <c r="AM27" s="11">
        <v>12</v>
      </c>
      <c r="AN27" s="11">
        <v>20</v>
      </c>
      <c r="AO27" s="12">
        <v>0.6</v>
      </c>
      <c r="AP27" s="11">
        <v>16</v>
      </c>
      <c r="AQ27" s="11">
        <v>25</v>
      </c>
      <c r="AR27" s="11">
        <v>41</v>
      </c>
      <c r="AS27" s="11">
        <v>19</v>
      </c>
      <c r="AT27" s="11">
        <v>4</v>
      </c>
      <c r="AU27" s="11">
        <v>1</v>
      </c>
      <c r="AV27" s="11">
        <v>17</v>
      </c>
      <c r="AW27" s="11">
        <v>22</v>
      </c>
      <c r="AX27" s="12">
        <v>0.71450000000000002</v>
      </c>
      <c r="AY27" s="12">
        <v>0.71209999999999996</v>
      </c>
      <c r="AZ27" s="12">
        <v>0.16669999999999999</v>
      </c>
      <c r="BA27" s="12">
        <v>0.6</v>
      </c>
      <c r="BB27" s="12">
        <v>0.4143</v>
      </c>
      <c r="BC27" s="4">
        <v>76.819000000000003</v>
      </c>
      <c r="BD27" s="12">
        <v>0.76919999999999999</v>
      </c>
      <c r="BE27" s="12">
        <v>0.16669999999999999</v>
      </c>
      <c r="BF27" s="12">
        <v>0.1091</v>
      </c>
      <c r="BG27" s="4">
        <v>138.1</v>
      </c>
      <c r="BH27" s="4">
        <v>94.7</v>
      </c>
      <c r="BI27" s="4">
        <v>76.058499999999995</v>
      </c>
      <c r="BJ27" s="12">
        <v>0.47489999999999999</v>
      </c>
      <c r="BK27" s="12">
        <v>0.44779999999999998</v>
      </c>
      <c r="BL27" s="12">
        <v>0.4</v>
      </c>
      <c r="BM27" s="12">
        <v>0.83330000000000004</v>
      </c>
      <c r="BN27" s="12">
        <v>0.5857</v>
      </c>
      <c r="BO27" s="4">
        <v>75.298000000000002</v>
      </c>
      <c r="BP27" s="12">
        <v>0.70369999999999999</v>
      </c>
      <c r="BQ27" s="12">
        <v>0.17910000000000001</v>
      </c>
      <c r="BR27" s="12">
        <v>0.1832</v>
      </c>
      <c r="BS27" s="4">
        <v>94.7</v>
      </c>
      <c r="BT27" s="4">
        <v>138.1</v>
      </c>
      <c r="BU27" s="11">
        <v>33</v>
      </c>
      <c r="BV27" s="11">
        <v>18</v>
      </c>
      <c r="BW27" s="11">
        <v>29</v>
      </c>
      <c r="BX27" s="11">
        <v>25</v>
      </c>
      <c r="BY27" s="11">
        <v>14</v>
      </c>
      <c r="BZ27" s="11">
        <v>22</v>
      </c>
      <c r="CA27" s="11">
        <v>21</v>
      </c>
      <c r="CB27" s="11">
        <v>15</v>
      </c>
      <c r="CC27" s="11">
        <v>51</v>
      </c>
      <c r="CD27" s="11">
        <v>54</v>
      </c>
      <c r="CE27" s="11">
        <v>36</v>
      </c>
      <c r="CF27" s="11">
        <v>36</v>
      </c>
      <c r="CG27" s="4">
        <v>2.4</v>
      </c>
      <c r="CH27" s="13">
        <v>1.6</v>
      </c>
      <c r="CI27" s="4">
        <v>3.5</v>
      </c>
      <c r="CJ27" s="4">
        <v>-3.5</v>
      </c>
      <c r="CK27" s="4">
        <v>167.5</v>
      </c>
      <c r="CL27" s="2" t="s">
        <v>541</v>
      </c>
      <c r="CM27" s="4" t="str">
        <f>VLOOKUP(chalon[[#This Row],[Away_team]],all[[Full name]:[Abbr]],3,FALSE)</f>
        <v>CHO</v>
      </c>
      <c r="CN27" s="4">
        <f>IF(OR(chalon[[#This Row],[Result]]="w",chalon[[#This Row],[Result]]="dw"),chalon[[#This Row],[win]]-1,-1)</f>
        <v>1.4</v>
      </c>
      <c r="CO27" s="4">
        <f>IF(OR(chalon[[#This Row],[Result]]="L",chalon[[#This Row],[Result]]="dl"),chalon[[#This Row],[lose]]-1,-1)</f>
        <v>-1</v>
      </c>
      <c r="CP27" s="4">
        <f>IF(OR((chalon[[#This Row],[Home_scored]]+chalon[[#This Row],[Away_scored]])&gt;chalon[[#This Row],[total]],OR(chalon[[#This Row],[Result]]="dw",chalon[[#This Row],[Result]]="dl")),1,0)</f>
        <v>1</v>
      </c>
      <c r="CQ27" s="4">
        <f>ABS((chalon[[#This Row],[Home_scored]]+chalon[[#This Row],[Away_scored]])-chalon[[#This Row],[total]])+0.5</f>
        <v>10</v>
      </c>
    </row>
    <row r="28" spans="1:95" x14ac:dyDescent="0.25">
      <c r="A28" s="2" t="s">
        <v>349</v>
      </c>
      <c r="B28" s="2" t="s">
        <v>305</v>
      </c>
      <c r="C28" s="3" t="s">
        <v>73</v>
      </c>
      <c r="D28" s="3">
        <v>45759</v>
      </c>
      <c r="E28" s="2" t="s">
        <v>74</v>
      </c>
      <c r="F28" s="2" t="s">
        <v>333</v>
      </c>
      <c r="G28" s="2" t="s">
        <v>75</v>
      </c>
      <c r="H28" s="11">
        <v>103</v>
      </c>
      <c r="I28" s="11">
        <v>73</v>
      </c>
      <c r="J28" s="11">
        <v>39</v>
      </c>
      <c r="K28" s="11">
        <v>70</v>
      </c>
      <c r="L28" s="12">
        <v>0.55710000000000004</v>
      </c>
      <c r="M28" s="11">
        <v>27</v>
      </c>
      <c r="N28" s="11">
        <v>39</v>
      </c>
      <c r="O28" s="12">
        <v>0.69230000000000003</v>
      </c>
      <c r="P28" s="11">
        <v>12</v>
      </c>
      <c r="Q28" s="11">
        <v>31</v>
      </c>
      <c r="R28" s="12">
        <v>0.3871</v>
      </c>
      <c r="S28" s="11">
        <v>13</v>
      </c>
      <c r="T28" s="11">
        <v>17</v>
      </c>
      <c r="U28" s="12">
        <v>0.76470000000000005</v>
      </c>
      <c r="V28" s="11">
        <v>10</v>
      </c>
      <c r="W28" s="11">
        <v>22</v>
      </c>
      <c r="X28" s="11">
        <v>32</v>
      </c>
      <c r="Y28" s="11">
        <v>15</v>
      </c>
      <c r="Z28" s="11">
        <v>2</v>
      </c>
      <c r="AA28" s="11">
        <v>2</v>
      </c>
      <c r="AB28" s="11">
        <v>8</v>
      </c>
      <c r="AC28" s="11">
        <v>13</v>
      </c>
      <c r="AD28" s="11">
        <v>27</v>
      </c>
      <c r="AE28" s="11">
        <v>60</v>
      </c>
      <c r="AF28" s="12">
        <v>0.45</v>
      </c>
      <c r="AG28" s="11">
        <v>19</v>
      </c>
      <c r="AH28" s="11">
        <v>36</v>
      </c>
      <c r="AI28" s="12">
        <v>0.52780000000000005</v>
      </c>
      <c r="AJ28" s="11">
        <v>8</v>
      </c>
      <c r="AK28" s="11">
        <v>24</v>
      </c>
      <c r="AL28" s="12">
        <v>0.33329999999999999</v>
      </c>
      <c r="AM28" s="11">
        <v>11</v>
      </c>
      <c r="AN28" s="11">
        <v>16</v>
      </c>
      <c r="AO28" s="12">
        <v>0.6875</v>
      </c>
      <c r="AP28" s="11">
        <v>5</v>
      </c>
      <c r="AQ28" s="11">
        <v>20</v>
      </c>
      <c r="AR28" s="11">
        <v>25</v>
      </c>
      <c r="AS28" s="11">
        <v>13</v>
      </c>
      <c r="AT28" s="11">
        <v>4</v>
      </c>
      <c r="AU28" s="11">
        <v>1</v>
      </c>
      <c r="AV28" s="11">
        <v>9</v>
      </c>
      <c r="AW28" s="11">
        <v>12</v>
      </c>
      <c r="AX28" s="12">
        <v>0.66469999999999996</v>
      </c>
      <c r="AY28" s="12">
        <v>0.64290000000000003</v>
      </c>
      <c r="AZ28" s="12">
        <v>0.33329999999999999</v>
      </c>
      <c r="BA28" s="12">
        <v>0.81479999999999997</v>
      </c>
      <c r="BB28" s="12">
        <v>0.56140000000000001</v>
      </c>
      <c r="BC28" s="4">
        <v>74.433999999999997</v>
      </c>
      <c r="BD28" s="12">
        <v>0.3846</v>
      </c>
      <c r="BE28" s="12">
        <v>0.1857</v>
      </c>
      <c r="BF28" s="12">
        <v>9.3600000000000003E-2</v>
      </c>
      <c r="BG28" s="4">
        <v>144.30000000000001</v>
      </c>
      <c r="BH28" s="4">
        <v>102.3</v>
      </c>
      <c r="BI28" s="4">
        <v>71.385999999999996</v>
      </c>
      <c r="BJ28" s="12">
        <v>0.54449999999999998</v>
      </c>
      <c r="BK28" s="12">
        <v>0.51670000000000005</v>
      </c>
      <c r="BL28" s="12">
        <v>0.1852</v>
      </c>
      <c r="BM28" s="12">
        <v>0.66669999999999996</v>
      </c>
      <c r="BN28" s="12">
        <v>0.43859999999999999</v>
      </c>
      <c r="BO28" s="4">
        <v>68.337999999999994</v>
      </c>
      <c r="BP28" s="12">
        <v>0.48149999999999998</v>
      </c>
      <c r="BQ28" s="12">
        <v>0.18329999999999999</v>
      </c>
      <c r="BR28" s="12">
        <v>0.11840000000000001</v>
      </c>
      <c r="BS28" s="4">
        <v>102.3</v>
      </c>
      <c r="BT28" s="4">
        <v>144.30000000000001</v>
      </c>
      <c r="BU28" s="11">
        <v>26</v>
      </c>
      <c r="BV28" s="11">
        <v>25</v>
      </c>
      <c r="BW28" s="11">
        <v>18</v>
      </c>
      <c r="BX28" s="11">
        <v>34</v>
      </c>
      <c r="BY28" s="11">
        <v>15</v>
      </c>
      <c r="BZ28" s="11">
        <v>18</v>
      </c>
      <c r="CA28" s="11">
        <v>23</v>
      </c>
      <c r="CB28" s="11">
        <v>17</v>
      </c>
      <c r="CC28" s="11">
        <v>51</v>
      </c>
      <c r="CD28" s="11">
        <v>52</v>
      </c>
      <c r="CE28" s="11">
        <v>33</v>
      </c>
      <c r="CF28" s="11">
        <v>40</v>
      </c>
      <c r="CG28" s="4">
        <v>1.71</v>
      </c>
      <c r="CH28" s="13">
        <v>2.2000000000000002</v>
      </c>
      <c r="CI28" s="4">
        <v>-2.5</v>
      </c>
      <c r="CJ28" s="4">
        <v>2.5</v>
      </c>
      <c r="CK28" s="4">
        <v>170.5</v>
      </c>
      <c r="CL28" s="2" t="s">
        <v>550</v>
      </c>
      <c r="CM28" s="4" t="str">
        <f>VLOOKUP(chalon[[#This Row],[Away_team]],all[[Full name]:[Abbr]],3,FALSE)</f>
        <v>NCY</v>
      </c>
      <c r="CN28" s="4">
        <f>IF(OR(chalon[[#This Row],[Result]]="w",chalon[[#This Row],[Result]]="dw"),chalon[[#This Row],[win]]-1,-1)</f>
        <v>0.71</v>
      </c>
      <c r="CO28" s="4">
        <f>IF(OR(chalon[[#This Row],[Result]]="L",chalon[[#This Row],[Result]]="dl"),chalon[[#This Row],[lose]]-1,-1)</f>
        <v>-1</v>
      </c>
      <c r="CP28" s="4">
        <f>IF(OR((chalon[[#This Row],[Home_scored]]+chalon[[#This Row],[Away_scored]])&gt;chalon[[#This Row],[total]],OR(chalon[[#This Row],[Result]]="dw",chalon[[#This Row],[Result]]="dl")),1,0)</f>
        <v>1</v>
      </c>
      <c r="CQ28" s="4">
        <f>ABS((chalon[[#This Row],[Home_scored]]+chalon[[#This Row],[Away_scored]])-chalon[[#This Row],[total]])+0.5</f>
        <v>6</v>
      </c>
    </row>
    <row r="29" spans="1:95" x14ac:dyDescent="0.25">
      <c r="A29" s="2" t="s">
        <v>349</v>
      </c>
      <c r="B29" s="2" t="s">
        <v>305</v>
      </c>
      <c r="C29" s="3" t="s">
        <v>73</v>
      </c>
      <c r="D29" s="3">
        <v>45767</v>
      </c>
      <c r="E29" s="2" t="s">
        <v>140</v>
      </c>
      <c r="F29" s="2" t="s">
        <v>339</v>
      </c>
      <c r="G29" s="2" t="s">
        <v>139</v>
      </c>
      <c r="H29" s="11">
        <v>97</v>
      </c>
      <c r="I29" s="11">
        <v>100</v>
      </c>
      <c r="J29" s="11">
        <v>31</v>
      </c>
      <c r="K29" s="11">
        <v>70</v>
      </c>
      <c r="L29" s="12">
        <v>0.44290000000000002</v>
      </c>
      <c r="M29" s="11">
        <v>22</v>
      </c>
      <c r="N29" s="11">
        <v>43</v>
      </c>
      <c r="O29" s="12">
        <v>0.51160000000000005</v>
      </c>
      <c r="P29" s="11">
        <v>9</v>
      </c>
      <c r="Q29" s="11">
        <v>27</v>
      </c>
      <c r="R29" s="12">
        <v>0.33329999999999999</v>
      </c>
      <c r="S29" s="11">
        <v>26</v>
      </c>
      <c r="T29" s="11">
        <v>37</v>
      </c>
      <c r="U29" s="12">
        <v>0.70269999999999999</v>
      </c>
      <c r="V29" s="11">
        <v>16</v>
      </c>
      <c r="W29" s="11">
        <v>26</v>
      </c>
      <c r="X29" s="11">
        <v>42</v>
      </c>
      <c r="Y29" s="11">
        <v>19</v>
      </c>
      <c r="Z29" s="11">
        <v>6</v>
      </c>
      <c r="AA29" s="11">
        <v>1</v>
      </c>
      <c r="AB29" s="11">
        <v>10</v>
      </c>
      <c r="AC29" s="11">
        <v>31</v>
      </c>
      <c r="AD29" s="11">
        <v>30</v>
      </c>
      <c r="AE29" s="11">
        <v>62</v>
      </c>
      <c r="AF29" s="12">
        <v>0.4839</v>
      </c>
      <c r="AG29" s="11">
        <v>17</v>
      </c>
      <c r="AH29" s="11">
        <v>29</v>
      </c>
      <c r="AI29" s="12">
        <v>0.58620000000000005</v>
      </c>
      <c r="AJ29" s="11">
        <v>13</v>
      </c>
      <c r="AK29" s="11">
        <v>33</v>
      </c>
      <c r="AL29" s="12">
        <v>0.39389999999999997</v>
      </c>
      <c r="AM29" s="11">
        <v>27</v>
      </c>
      <c r="AN29" s="11">
        <v>40</v>
      </c>
      <c r="AO29" s="12">
        <v>0.67500000000000004</v>
      </c>
      <c r="AP29" s="11">
        <v>11</v>
      </c>
      <c r="AQ29" s="11">
        <v>30</v>
      </c>
      <c r="AR29" s="11">
        <v>41</v>
      </c>
      <c r="AS29" s="11">
        <v>19</v>
      </c>
      <c r="AT29" s="11">
        <v>4</v>
      </c>
      <c r="AU29" s="11">
        <v>3</v>
      </c>
      <c r="AV29" s="11">
        <v>11</v>
      </c>
      <c r="AW29" s="11">
        <v>29</v>
      </c>
      <c r="AX29" s="12">
        <v>0.56210000000000004</v>
      </c>
      <c r="AY29" s="12">
        <v>0.5071</v>
      </c>
      <c r="AZ29" s="12">
        <v>0.3478</v>
      </c>
      <c r="BA29" s="12">
        <v>0.70269999999999999</v>
      </c>
      <c r="BB29" s="12">
        <v>0.50600000000000001</v>
      </c>
      <c r="BC29" s="4">
        <v>78.903000000000006</v>
      </c>
      <c r="BD29" s="12">
        <v>0.6129</v>
      </c>
      <c r="BE29" s="12">
        <v>0.37140000000000001</v>
      </c>
      <c r="BF29" s="12">
        <v>0.10390000000000001</v>
      </c>
      <c r="BG29" s="4">
        <v>122.2</v>
      </c>
      <c r="BH29" s="4">
        <v>126</v>
      </c>
      <c r="BI29" s="4">
        <v>79.358500000000006</v>
      </c>
      <c r="BJ29" s="12">
        <v>0.62809999999999999</v>
      </c>
      <c r="BK29" s="12">
        <v>0.5887</v>
      </c>
      <c r="BL29" s="12">
        <v>0.29730000000000001</v>
      </c>
      <c r="BM29" s="12">
        <v>0.6522</v>
      </c>
      <c r="BN29" s="12">
        <v>0.49399999999999999</v>
      </c>
      <c r="BO29" s="4">
        <v>79.813999999999993</v>
      </c>
      <c r="BP29" s="12">
        <v>0.63329999999999997</v>
      </c>
      <c r="BQ29" s="12">
        <v>0.4355</v>
      </c>
      <c r="BR29" s="12">
        <v>0.12139999999999999</v>
      </c>
      <c r="BS29" s="4">
        <v>126</v>
      </c>
      <c r="BT29" s="4">
        <v>122.2</v>
      </c>
      <c r="BU29" s="11">
        <v>22</v>
      </c>
      <c r="BV29" s="11">
        <v>24</v>
      </c>
      <c r="BW29" s="11">
        <v>24</v>
      </c>
      <c r="BX29" s="11">
        <v>27</v>
      </c>
      <c r="BY29" s="11">
        <v>28</v>
      </c>
      <c r="BZ29" s="11">
        <v>22</v>
      </c>
      <c r="CA29" s="11">
        <v>29</v>
      </c>
      <c r="CB29" s="11">
        <v>21</v>
      </c>
      <c r="CC29" s="11">
        <v>46</v>
      </c>
      <c r="CD29" s="11">
        <v>51</v>
      </c>
      <c r="CE29" s="11">
        <v>50</v>
      </c>
      <c r="CF29" s="11">
        <v>50</v>
      </c>
      <c r="CG29" s="4">
        <v>5.75</v>
      </c>
      <c r="CH29" s="13">
        <v>1.1499999999999999</v>
      </c>
      <c r="CI29" s="4">
        <v>11.5</v>
      </c>
      <c r="CJ29" s="4">
        <v>-11.5</v>
      </c>
      <c r="CK29" s="4">
        <v>176.5</v>
      </c>
      <c r="CL29" s="2" t="s">
        <v>560</v>
      </c>
      <c r="CM29" s="4" t="str">
        <f>VLOOKUP(chalon[[#This Row],[Away_team]],all[[Full name]:[Abbr]],3,FALSE)</f>
        <v>PAR</v>
      </c>
      <c r="CN29" s="4">
        <f>IF(OR(chalon[[#This Row],[Result]]="w",chalon[[#This Row],[Result]]="dw"),chalon[[#This Row],[win]]-1,-1)</f>
        <v>-1</v>
      </c>
      <c r="CO29" s="4">
        <f>IF(OR(chalon[[#This Row],[Result]]="L",chalon[[#This Row],[Result]]="dl"),chalon[[#This Row],[lose]]-1,-1)</f>
        <v>0.14999999999999991</v>
      </c>
      <c r="CP29" s="4">
        <f>IF(OR((chalon[[#This Row],[Home_scored]]+chalon[[#This Row],[Away_scored]])&gt;chalon[[#This Row],[total]],OR(chalon[[#This Row],[Result]]="dw",chalon[[#This Row],[Result]]="dl")),1,0)</f>
        <v>1</v>
      </c>
      <c r="CQ29" s="4">
        <f>ABS((chalon[[#This Row],[Home_scored]]+chalon[[#This Row],[Away_scored]])-chalon[[#This Row],[total]])+0.5</f>
        <v>21</v>
      </c>
    </row>
    <row r="30" spans="1:95" x14ac:dyDescent="0.25">
      <c r="A30" s="2" t="s">
        <v>349</v>
      </c>
      <c r="B30" s="2" t="s">
        <v>305</v>
      </c>
      <c r="C30" s="3" t="s">
        <v>73</v>
      </c>
      <c r="D30" s="3">
        <v>45774</v>
      </c>
      <c r="E30" s="2" t="s">
        <v>74</v>
      </c>
      <c r="F30" s="2" t="s">
        <v>336</v>
      </c>
      <c r="G30" s="2" t="s">
        <v>75</v>
      </c>
      <c r="H30" s="11">
        <v>107</v>
      </c>
      <c r="I30" s="11">
        <v>84</v>
      </c>
      <c r="J30" s="11">
        <v>36</v>
      </c>
      <c r="K30" s="11">
        <v>60</v>
      </c>
      <c r="L30" s="12">
        <v>0.6</v>
      </c>
      <c r="M30" s="11">
        <v>22</v>
      </c>
      <c r="N30" s="11">
        <v>31</v>
      </c>
      <c r="O30" s="12">
        <v>0.7097</v>
      </c>
      <c r="P30" s="11">
        <v>14</v>
      </c>
      <c r="Q30" s="11">
        <v>29</v>
      </c>
      <c r="R30" s="12">
        <v>0.48280000000000001</v>
      </c>
      <c r="S30" s="11">
        <v>21</v>
      </c>
      <c r="T30" s="11">
        <v>25</v>
      </c>
      <c r="U30" s="12">
        <v>0.84</v>
      </c>
      <c r="V30" s="11">
        <v>7</v>
      </c>
      <c r="W30" s="11">
        <v>27</v>
      </c>
      <c r="X30" s="11">
        <v>34</v>
      </c>
      <c r="Y30" s="11">
        <v>29</v>
      </c>
      <c r="Z30" s="11">
        <v>5</v>
      </c>
      <c r="AA30" s="11">
        <v>2</v>
      </c>
      <c r="AB30" s="11">
        <v>12</v>
      </c>
      <c r="AC30" s="11">
        <v>22</v>
      </c>
      <c r="AD30" s="11">
        <v>33</v>
      </c>
      <c r="AE30" s="11">
        <v>74</v>
      </c>
      <c r="AF30" s="12">
        <v>0.44590000000000002</v>
      </c>
      <c r="AG30" s="11">
        <v>25</v>
      </c>
      <c r="AH30" s="11">
        <v>45</v>
      </c>
      <c r="AI30" s="12">
        <v>0.55559999999999998</v>
      </c>
      <c r="AJ30" s="11">
        <v>8</v>
      </c>
      <c r="AK30" s="11">
        <v>29</v>
      </c>
      <c r="AL30" s="12">
        <v>0.27589999999999998</v>
      </c>
      <c r="AM30" s="11">
        <v>10</v>
      </c>
      <c r="AN30" s="11">
        <v>12</v>
      </c>
      <c r="AO30" s="12">
        <v>0.83330000000000004</v>
      </c>
      <c r="AP30" s="11">
        <v>14</v>
      </c>
      <c r="AQ30" s="11">
        <v>20</v>
      </c>
      <c r="AR30" s="11">
        <v>34</v>
      </c>
      <c r="AS30" s="11">
        <v>17</v>
      </c>
      <c r="AT30" s="11">
        <v>6</v>
      </c>
      <c r="AU30" s="11">
        <v>1</v>
      </c>
      <c r="AV30" s="11">
        <v>10</v>
      </c>
      <c r="AW30" s="11">
        <v>26</v>
      </c>
      <c r="AX30" s="12">
        <v>0.75349999999999995</v>
      </c>
      <c r="AY30" s="12">
        <v>0.7167</v>
      </c>
      <c r="AZ30" s="12">
        <v>0.25929999999999997</v>
      </c>
      <c r="BA30" s="12">
        <v>0.65849999999999997</v>
      </c>
      <c r="BB30" s="12">
        <v>0.5</v>
      </c>
      <c r="BC30" s="4">
        <v>76.712999999999994</v>
      </c>
      <c r="BD30" s="12">
        <v>0.80559999999999998</v>
      </c>
      <c r="BE30" s="12">
        <v>0.35</v>
      </c>
      <c r="BF30" s="12">
        <v>0.14460000000000001</v>
      </c>
      <c r="BG30" s="4">
        <v>145.1</v>
      </c>
      <c r="BH30" s="4">
        <v>113.9</v>
      </c>
      <c r="BI30" s="4">
        <v>73.724500000000006</v>
      </c>
      <c r="BJ30" s="12">
        <v>0.52980000000000005</v>
      </c>
      <c r="BK30" s="12">
        <v>0.5</v>
      </c>
      <c r="BL30" s="12">
        <v>0.34150000000000003</v>
      </c>
      <c r="BM30" s="12">
        <v>0.74070000000000003</v>
      </c>
      <c r="BN30" s="12">
        <v>0.5</v>
      </c>
      <c r="BO30" s="4">
        <v>70.736000000000004</v>
      </c>
      <c r="BP30" s="12">
        <v>0.51519999999999999</v>
      </c>
      <c r="BQ30" s="12">
        <v>0.1351</v>
      </c>
      <c r="BR30" s="12">
        <v>0.112</v>
      </c>
      <c r="BS30" s="4">
        <v>113.9</v>
      </c>
      <c r="BT30" s="4">
        <v>145.1</v>
      </c>
      <c r="BU30" s="11">
        <v>24</v>
      </c>
      <c r="BV30" s="11">
        <v>24</v>
      </c>
      <c r="BW30" s="11">
        <v>28</v>
      </c>
      <c r="BX30" s="11">
        <v>31</v>
      </c>
      <c r="BY30" s="11">
        <v>23</v>
      </c>
      <c r="BZ30" s="11">
        <v>21</v>
      </c>
      <c r="CA30" s="11">
        <v>18</v>
      </c>
      <c r="CB30" s="11">
        <v>22</v>
      </c>
      <c r="CC30" s="11">
        <v>48</v>
      </c>
      <c r="CD30" s="11">
        <v>59</v>
      </c>
      <c r="CE30" s="11">
        <v>44</v>
      </c>
      <c r="CF30" s="11">
        <v>40</v>
      </c>
      <c r="CG30" s="4">
        <v>1.45</v>
      </c>
      <c r="CH30" s="13">
        <v>2.8</v>
      </c>
      <c r="CI30" s="4">
        <v>-5.5</v>
      </c>
      <c r="CJ30" s="4">
        <v>5.5</v>
      </c>
      <c r="CK30" s="4">
        <v>168.5</v>
      </c>
      <c r="CL30" s="2" t="s">
        <v>564</v>
      </c>
      <c r="CM30" s="4" t="str">
        <f>VLOOKUP(chalon[[#This Row],[Away_team]],all[[Full name]:[Abbr]],3,FALSE)</f>
        <v>NAN</v>
      </c>
      <c r="CN30" s="4">
        <f>IF(OR(chalon[[#This Row],[Result]]="w",chalon[[#This Row],[Result]]="dw"),chalon[[#This Row],[win]]-1,-1)</f>
        <v>0.44999999999999996</v>
      </c>
      <c r="CO30" s="4">
        <f>IF(OR(chalon[[#This Row],[Result]]="L",chalon[[#This Row],[Result]]="dl"),chalon[[#This Row],[lose]]-1,-1)</f>
        <v>-1</v>
      </c>
      <c r="CP30" s="4">
        <f>IF(OR((chalon[[#This Row],[Home_scored]]+chalon[[#This Row],[Away_scored]])&gt;chalon[[#This Row],[total]],OR(chalon[[#This Row],[Result]]="dw",chalon[[#This Row],[Result]]="dl")),1,0)</f>
        <v>1</v>
      </c>
      <c r="CQ30" s="4">
        <f>ABS((chalon[[#This Row],[Home_scored]]+chalon[[#This Row],[Away_scored]])-chalon[[#This Row],[total]])+0.5</f>
        <v>23</v>
      </c>
    </row>
    <row r="31" spans="1:95" x14ac:dyDescent="0.25">
      <c r="A31" s="2" t="s">
        <v>349</v>
      </c>
      <c r="B31" s="2" t="s">
        <v>305</v>
      </c>
      <c r="C31" s="3" t="s">
        <v>73</v>
      </c>
      <c r="D31" s="3">
        <v>45780</v>
      </c>
      <c r="E31" s="2" t="s">
        <v>74</v>
      </c>
      <c r="F31" s="2" t="s">
        <v>345</v>
      </c>
      <c r="G31" s="2" t="s">
        <v>75</v>
      </c>
      <c r="H31" s="11">
        <v>86</v>
      </c>
      <c r="I31" s="11">
        <v>78</v>
      </c>
      <c r="J31" s="11">
        <v>30</v>
      </c>
      <c r="K31" s="11">
        <v>55</v>
      </c>
      <c r="L31" s="12">
        <v>0.54549999999999998</v>
      </c>
      <c r="M31" s="11">
        <v>24</v>
      </c>
      <c r="N31" s="11">
        <v>37</v>
      </c>
      <c r="O31" s="12">
        <v>0.64859999999999995</v>
      </c>
      <c r="P31" s="11">
        <v>6</v>
      </c>
      <c r="Q31" s="11">
        <v>18</v>
      </c>
      <c r="R31" s="12">
        <v>0.33329999999999999</v>
      </c>
      <c r="S31" s="11">
        <v>20</v>
      </c>
      <c r="T31" s="11">
        <v>31</v>
      </c>
      <c r="U31" s="12">
        <v>0.6452</v>
      </c>
      <c r="V31" s="11">
        <v>10</v>
      </c>
      <c r="W31" s="11">
        <v>20</v>
      </c>
      <c r="X31" s="11">
        <v>30</v>
      </c>
      <c r="Y31" s="11">
        <v>25</v>
      </c>
      <c r="Z31" s="11">
        <v>11</v>
      </c>
      <c r="AA31" s="11">
        <v>1</v>
      </c>
      <c r="AB31" s="11">
        <v>15</v>
      </c>
      <c r="AC31" s="11">
        <v>17</v>
      </c>
      <c r="AD31" s="11">
        <v>31</v>
      </c>
      <c r="AE31" s="11">
        <v>67</v>
      </c>
      <c r="AF31" s="12">
        <v>0.4627</v>
      </c>
      <c r="AG31" s="11">
        <v>24</v>
      </c>
      <c r="AH31" s="11">
        <v>39</v>
      </c>
      <c r="AI31" s="12">
        <v>0.61539999999999995</v>
      </c>
      <c r="AJ31" s="11">
        <v>7</v>
      </c>
      <c r="AK31" s="11">
        <v>28</v>
      </c>
      <c r="AL31" s="12">
        <v>0.25</v>
      </c>
      <c r="AM31" s="11">
        <v>9</v>
      </c>
      <c r="AN31" s="11">
        <v>13</v>
      </c>
      <c r="AO31" s="12">
        <v>0.69230000000000003</v>
      </c>
      <c r="AP31" s="11">
        <v>15</v>
      </c>
      <c r="AQ31" s="11">
        <v>20</v>
      </c>
      <c r="AR31" s="11">
        <v>35</v>
      </c>
      <c r="AS31" s="11">
        <v>16</v>
      </c>
      <c r="AT31" s="11">
        <v>7</v>
      </c>
      <c r="AU31" s="11">
        <v>1</v>
      </c>
      <c r="AV31" s="11">
        <v>15</v>
      </c>
      <c r="AW31" s="11">
        <v>25</v>
      </c>
      <c r="AX31" s="12">
        <v>0.62649999999999995</v>
      </c>
      <c r="AY31" s="12">
        <v>0.6</v>
      </c>
      <c r="AZ31" s="12">
        <v>0.33329999999999999</v>
      </c>
      <c r="BA31" s="12">
        <v>0.57140000000000002</v>
      </c>
      <c r="BB31" s="12">
        <v>0.46150000000000002</v>
      </c>
      <c r="BC31" s="4">
        <v>73.483000000000004</v>
      </c>
      <c r="BD31" s="12">
        <v>0.83330000000000004</v>
      </c>
      <c r="BE31" s="12">
        <v>0.36359999999999998</v>
      </c>
      <c r="BF31" s="12">
        <v>0.17929999999999999</v>
      </c>
      <c r="BG31" s="4">
        <v>119.3</v>
      </c>
      <c r="BH31" s="4">
        <v>108.2</v>
      </c>
      <c r="BI31" s="4">
        <v>72.087000000000003</v>
      </c>
      <c r="BJ31" s="12">
        <v>0.5363</v>
      </c>
      <c r="BK31" s="12">
        <v>0.51490000000000002</v>
      </c>
      <c r="BL31" s="12">
        <v>0.42859999999999998</v>
      </c>
      <c r="BM31" s="12">
        <v>0.66669999999999996</v>
      </c>
      <c r="BN31" s="12">
        <v>0.53849999999999998</v>
      </c>
      <c r="BO31" s="4">
        <v>70.691000000000003</v>
      </c>
      <c r="BP31" s="12">
        <v>0.5161</v>
      </c>
      <c r="BQ31" s="12">
        <v>0.1343</v>
      </c>
      <c r="BR31" s="12">
        <v>0.17100000000000001</v>
      </c>
      <c r="BS31" s="4">
        <v>108.2</v>
      </c>
      <c r="BT31" s="4">
        <v>119.3</v>
      </c>
      <c r="BU31" s="11">
        <v>21</v>
      </c>
      <c r="BV31" s="11">
        <v>17</v>
      </c>
      <c r="BW31" s="11">
        <v>21</v>
      </c>
      <c r="BX31" s="11">
        <v>27</v>
      </c>
      <c r="BY31" s="11">
        <v>15</v>
      </c>
      <c r="BZ31" s="11">
        <v>20</v>
      </c>
      <c r="CA31" s="11">
        <v>18</v>
      </c>
      <c r="CB31" s="11">
        <v>25</v>
      </c>
      <c r="CC31" s="11">
        <v>38</v>
      </c>
      <c r="CD31" s="11">
        <v>48</v>
      </c>
      <c r="CE31" s="11">
        <v>35</v>
      </c>
      <c r="CF31" s="11">
        <v>43</v>
      </c>
      <c r="CG31" s="4">
        <v>1.38</v>
      </c>
      <c r="CH31" s="13">
        <v>3.1</v>
      </c>
      <c r="CI31" s="4">
        <v>-6.5</v>
      </c>
      <c r="CJ31" s="4">
        <v>6.5</v>
      </c>
      <c r="CK31" s="4">
        <v>167.5</v>
      </c>
      <c r="CL31" s="2" t="s">
        <v>570</v>
      </c>
      <c r="CM31" s="4" t="str">
        <f>VLOOKUP(chalon[[#This Row],[Away_team]],all[[Full name]:[Abbr]],3,FALSE)</f>
        <v>STR</v>
      </c>
      <c r="CN31" s="4">
        <f>IF(OR(chalon[[#This Row],[Result]]="w",chalon[[#This Row],[Result]]="dw"),chalon[[#This Row],[win]]-1,-1)</f>
        <v>0.37999999999999989</v>
      </c>
      <c r="CO31" s="4">
        <f>IF(OR(chalon[[#This Row],[Result]]="L",chalon[[#This Row],[Result]]="dl"),chalon[[#This Row],[lose]]-1,-1)</f>
        <v>-1</v>
      </c>
      <c r="CP31" s="4">
        <f>IF(OR((chalon[[#This Row],[Home_scored]]+chalon[[#This Row],[Away_scored]])&gt;chalon[[#This Row],[total]],OR(chalon[[#This Row],[Result]]="dw",chalon[[#This Row],[Result]]="dl")),1,0)</f>
        <v>0</v>
      </c>
      <c r="CQ31" s="4">
        <f>ABS((chalon[[#This Row],[Home_scored]]+chalon[[#This Row],[Away_scored]])-chalon[[#This Row],[total]])+0.5</f>
        <v>4</v>
      </c>
    </row>
    <row r="32" spans="1:95" x14ac:dyDescent="0.25">
      <c r="A32" s="2" t="s">
        <v>349</v>
      </c>
      <c r="B32" s="2" t="s">
        <v>305</v>
      </c>
      <c r="C32" s="28" t="s">
        <v>73</v>
      </c>
      <c r="D32" s="28">
        <v>45787</v>
      </c>
      <c r="E32" s="2" t="s">
        <v>140</v>
      </c>
      <c r="F32" s="2" t="s">
        <v>314</v>
      </c>
      <c r="G32" s="2" t="s">
        <v>139</v>
      </c>
      <c r="H32" s="11">
        <v>71</v>
      </c>
      <c r="I32" s="11">
        <v>78</v>
      </c>
      <c r="J32" s="11">
        <v>24</v>
      </c>
      <c r="K32" s="11">
        <v>67</v>
      </c>
      <c r="L32" s="12">
        <v>0.35820000000000002</v>
      </c>
      <c r="M32" s="11">
        <v>16</v>
      </c>
      <c r="N32" s="11">
        <v>38</v>
      </c>
      <c r="O32" s="12">
        <v>0.42109999999999997</v>
      </c>
      <c r="P32" s="11">
        <v>8</v>
      </c>
      <c r="Q32" s="11">
        <v>29</v>
      </c>
      <c r="R32" s="12">
        <v>0.27589999999999998</v>
      </c>
      <c r="S32" s="11">
        <v>15</v>
      </c>
      <c r="T32" s="11">
        <v>24</v>
      </c>
      <c r="U32" s="12">
        <v>0.625</v>
      </c>
      <c r="V32" s="11">
        <v>16</v>
      </c>
      <c r="W32" s="11">
        <v>29</v>
      </c>
      <c r="X32" s="11">
        <v>45</v>
      </c>
      <c r="Y32" s="11">
        <v>15</v>
      </c>
      <c r="Z32" s="11">
        <v>5</v>
      </c>
      <c r="AA32" s="11">
        <v>2</v>
      </c>
      <c r="AB32" s="11">
        <v>11</v>
      </c>
      <c r="AC32" s="11">
        <v>26</v>
      </c>
      <c r="AD32" s="11">
        <v>24</v>
      </c>
      <c r="AE32" s="11">
        <v>57</v>
      </c>
      <c r="AF32" s="12">
        <v>0.42109999999999997</v>
      </c>
      <c r="AG32" s="11">
        <v>12</v>
      </c>
      <c r="AH32" s="11">
        <v>27</v>
      </c>
      <c r="AI32" s="12">
        <v>0.44440000000000002</v>
      </c>
      <c r="AJ32" s="11">
        <v>12</v>
      </c>
      <c r="AK32" s="11">
        <v>30</v>
      </c>
      <c r="AL32" s="12">
        <v>0.4</v>
      </c>
      <c r="AM32" s="11">
        <v>18</v>
      </c>
      <c r="AN32" s="11">
        <v>27</v>
      </c>
      <c r="AO32" s="12">
        <v>0.66669999999999996</v>
      </c>
      <c r="AP32" s="11">
        <v>9</v>
      </c>
      <c r="AQ32" s="11">
        <v>30</v>
      </c>
      <c r="AR32" s="11">
        <v>39</v>
      </c>
      <c r="AS32" s="11">
        <v>13</v>
      </c>
      <c r="AT32" s="11">
        <v>6</v>
      </c>
      <c r="AU32" s="11">
        <v>4</v>
      </c>
      <c r="AV32" s="11">
        <v>14</v>
      </c>
      <c r="AW32" s="11">
        <v>23</v>
      </c>
      <c r="AX32" s="12">
        <v>0.4577</v>
      </c>
      <c r="AY32" s="12">
        <v>0.41789999999999999</v>
      </c>
      <c r="AZ32" s="12">
        <v>0.3478</v>
      </c>
      <c r="BA32" s="12">
        <v>0.76319999999999999</v>
      </c>
      <c r="BB32" s="12">
        <v>0.53569999999999995</v>
      </c>
      <c r="BC32" s="4">
        <v>71.241</v>
      </c>
      <c r="BD32" s="12">
        <v>0.625</v>
      </c>
      <c r="BE32" s="12">
        <v>0.22389999999999999</v>
      </c>
      <c r="BF32" s="12">
        <v>0.1242</v>
      </c>
      <c r="BG32" s="4">
        <v>98</v>
      </c>
      <c r="BH32" s="4">
        <v>107.7</v>
      </c>
      <c r="BI32" s="4">
        <v>72.4465</v>
      </c>
      <c r="BJ32" s="12">
        <v>0.56620000000000004</v>
      </c>
      <c r="BK32" s="12">
        <v>0.52629999999999999</v>
      </c>
      <c r="BL32" s="12">
        <v>0.23680000000000001</v>
      </c>
      <c r="BM32" s="12">
        <v>0.6522</v>
      </c>
      <c r="BN32" s="12">
        <v>0.46429999999999999</v>
      </c>
      <c r="BO32" s="4">
        <v>73.652000000000001</v>
      </c>
      <c r="BP32" s="12">
        <v>0.54169999999999996</v>
      </c>
      <c r="BQ32" s="12">
        <v>0.31580000000000003</v>
      </c>
      <c r="BR32" s="12">
        <v>0.16889999999999999</v>
      </c>
      <c r="BS32" s="4">
        <v>107.7</v>
      </c>
      <c r="BT32" s="4">
        <v>98</v>
      </c>
      <c r="BU32" s="11">
        <v>19</v>
      </c>
      <c r="BV32" s="11">
        <v>23</v>
      </c>
      <c r="BW32" s="11">
        <v>20</v>
      </c>
      <c r="BX32" s="11">
        <v>9</v>
      </c>
      <c r="BY32" s="11">
        <v>29</v>
      </c>
      <c r="BZ32" s="11">
        <v>14</v>
      </c>
      <c r="CA32" s="11">
        <v>13</v>
      </c>
      <c r="CB32" s="11">
        <v>22</v>
      </c>
      <c r="CC32" s="11">
        <v>42</v>
      </c>
      <c r="CD32" s="11">
        <v>29</v>
      </c>
      <c r="CE32" s="11">
        <v>43</v>
      </c>
      <c r="CF32" s="11">
        <v>35</v>
      </c>
      <c r="CG32" s="4">
        <v>1.95</v>
      </c>
      <c r="CH32" s="13">
        <v>1.86</v>
      </c>
      <c r="CI32" s="4">
        <v>-1</v>
      </c>
      <c r="CJ32" s="4">
        <v>-1</v>
      </c>
      <c r="CK32" s="4">
        <v>166.5</v>
      </c>
      <c r="CL32" s="2" t="s">
        <v>579</v>
      </c>
      <c r="CM32" s="4" t="str">
        <f>VLOOKUP(chalon[[#This Row],[Away_team]],all[[Full name]:[Abbr]],3,FALSE)</f>
        <v>DUN</v>
      </c>
      <c r="CN32" s="4">
        <f>IF(OR(chalon[[#This Row],[Result]]="w",chalon[[#This Row],[Result]]="dw"),chalon[[#This Row],[win]]-1,-1)</f>
        <v>-1</v>
      </c>
      <c r="CO32" s="4">
        <f>IF(OR(chalon[[#This Row],[Result]]="L",chalon[[#This Row],[Result]]="dl"),chalon[[#This Row],[lose]]-1,-1)</f>
        <v>0.8600000000000001</v>
      </c>
      <c r="CP32" s="4">
        <f>IF(OR((chalon[[#This Row],[Home_scored]]+chalon[[#This Row],[Away_scored]])&gt;chalon[[#This Row],[total]],OR(chalon[[#This Row],[Result]]="dw",chalon[[#This Row],[Result]]="dl")),1,0)</f>
        <v>0</v>
      </c>
      <c r="CQ32" s="4">
        <f>ABS((chalon[[#This Row],[Home_scored]]+chalon[[#This Row],[Away_scored]])-chalon[[#This Row],[total]])+0.5</f>
        <v>18</v>
      </c>
    </row>
    <row r="33" spans="1:95" x14ac:dyDescent="0.25">
      <c r="A33" s="2" t="s">
        <v>349</v>
      </c>
      <c r="B33" s="2" t="s">
        <v>305</v>
      </c>
      <c r="C33" s="28" t="s">
        <v>73</v>
      </c>
      <c r="D33" s="28">
        <v>45794</v>
      </c>
      <c r="E33" s="2" t="s">
        <v>74</v>
      </c>
      <c r="F33" s="2" t="s">
        <v>330</v>
      </c>
      <c r="G33" s="2" t="s">
        <v>75</v>
      </c>
      <c r="H33" s="11">
        <v>90</v>
      </c>
      <c r="I33" s="11">
        <v>65</v>
      </c>
      <c r="J33" s="11">
        <v>32</v>
      </c>
      <c r="K33" s="11">
        <v>63</v>
      </c>
      <c r="L33" s="12">
        <v>0.50790000000000002</v>
      </c>
      <c r="M33" s="11">
        <v>20</v>
      </c>
      <c r="N33" s="11">
        <v>35</v>
      </c>
      <c r="O33" s="12">
        <v>0.57140000000000002</v>
      </c>
      <c r="P33" s="11">
        <v>12</v>
      </c>
      <c r="Q33" s="11">
        <v>28</v>
      </c>
      <c r="R33" s="12">
        <v>0.42859999999999998</v>
      </c>
      <c r="S33" s="11">
        <v>14</v>
      </c>
      <c r="T33" s="11">
        <v>21</v>
      </c>
      <c r="U33" s="12">
        <v>0.66669999999999996</v>
      </c>
      <c r="V33" s="11">
        <v>10</v>
      </c>
      <c r="W33" s="11">
        <v>28</v>
      </c>
      <c r="X33" s="11">
        <v>38</v>
      </c>
      <c r="Y33" s="11">
        <v>28</v>
      </c>
      <c r="Z33" s="11">
        <v>8</v>
      </c>
      <c r="AA33" s="11">
        <v>2</v>
      </c>
      <c r="AB33" s="11">
        <v>12</v>
      </c>
      <c r="AC33" s="11">
        <v>24</v>
      </c>
      <c r="AD33" s="11">
        <v>21</v>
      </c>
      <c r="AE33" s="11">
        <v>61</v>
      </c>
      <c r="AF33" s="12">
        <v>0.34429999999999999</v>
      </c>
      <c r="AG33" s="11">
        <v>14</v>
      </c>
      <c r="AH33" s="11">
        <v>29</v>
      </c>
      <c r="AI33" s="12">
        <v>0.48280000000000001</v>
      </c>
      <c r="AJ33" s="11">
        <v>7</v>
      </c>
      <c r="AK33" s="11">
        <v>32</v>
      </c>
      <c r="AL33" s="12">
        <v>0.21879999999999999</v>
      </c>
      <c r="AM33" s="11">
        <v>16</v>
      </c>
      <c r="AN33" s="11">
        <v>21</v>
      </c>
      <c r="AO33" s="12">
        <v>0.76190000000000002</v>
      </c>
      <c r="AP33" s="11">
        <v>11</v>
      </c>
      <c r="AQ33" s="11">
        <v>23</v>
      </c>
      <c r="AR33" s="11">
        <v>34</v>
      </c>
      <c r="AS33" s="11">
        <v>15</v>
      </c>
      <c r="AT33" s="11">
        <v>6</v>
      </c>
      <c r="AU33" s="11">
        <v>4</v>
      </c>
      <c r="AV33" s="11">
        <v>16</v>
      </c>
      <c r="AW33" s="11">
        <v>24</v>
      </c>
      <c r="AX33" s="12">
        <v>0.62290000000000001</v>
      </c>
      <c r="AY33" s="12">
        <v>0.60319999999999996</v>
      </c>
      <c r="AZ33" s="12">
        <v>0.30299999999999999</v>
      </c>
      <c r="BA33" s="12">
        <v>0.71789999999999998</v>
      </c>
      <c r="BB33" s="12">
        <v>0.52780000000000005</v>
      </c>
      <c r="BC33" s="4">
        <v>74.671000000000006</v>
      </c>
      <c r="BD33" s="12">
        <v>0.875</v>
      </c>
      <c r="BE33" s="12">
        <v>0.22220000000000001</v>
      </c>
      <c r="BF33" s="12">
        <v>0.14249999999999999</v>
      </c>
      <c r="BG33" s="4">
        <v>123.1</v>
      </c>
      <c r="BH33" s="4">
        <v>88.9</v>
      </c>
      <c r="BI33" s="4">
        <v>73.111999999999995</v>
      </c>
      <c r="BJ33" s="12">
        <v>0.4627</v>
      </c>
      <c r="BK33" s="12">
        <v>0.40160000000000001</v>
      </c>
      <c r="BL33" s="12">
        <v>0.28210000000000002</v>
      </c>
      <c r="BM33" s="12">
        <v>0.69699999999999995</v>
      </c>
      <c r="BN33" s="12">
        <v>0.47220000000000001</v>
      </c>
      <c r="BO33" s="4">
        <v>71.552999999999997</v>
      </c>
      <c r="BP33" s="12">
        <v>0.71430000000000005</v>
      </c>
      <c r="BQ33" s="12">
        <v>0.26229999999999998</v>
      </c>
      <c r="BR33" s="12">
        <v>0.1855</v>
      </c>
      <c r="BS33" s="4">
        <v>88.9</v>
      </c>
      <c r="BT33" s="4">
        <v>123.1</v>
      </c>
      <c r="BU33" s="11">
        <v>22</v>
      </c>
      <c r="BV33" s="11">
        <v>22</v>
      </c>
      <c r="BW33" s="11">
        <v>30</v>
      </c>
      <c r="BX33" s="11">
        <v>16</v>
      </c>
      <c r="BY33" s="11">
        <v>17</v>
      </c>
      <c r="BZ33" s="11">
        <v>12</v>
      </c>
      <c r="CA33" s="11">
        <v>23</v>
      </c>
      <c r="CB33" s="11">
        <v>13</v>
      </c>
      <c r="CC33" s="11">
        <v>44</v>
      </c>
      <c r="CD33" s="11">
        <v>46</v>
      </c>
      <c r="CE33" s="11">
        <v>29</v>
      </c>
      <c r="CF33" s="11">
        <v>36</v>
      </c>
      <c r="CG33" s="4">
        <v>3.7</v>
      </c>
      <c r="CH33" s="13">
        <v>1.29</v>
      </c>
      <c r="CI33" s="4">
        <v>8</v>
      </c>
      <c r="CJ33" s="4">
        <v>-8</v>
      </c>
      <c r="CK33" s="4">
        <v>169.5</v>
      </c>
      <c r="CL33" s="2" t="s">
        <v>586</v>
      </c>
      <c r="CM33" s="4" t="str">
        <f>VLOOKUP(chalon[[#This Row],[Away_team]],all[[Full name]:[Abbr]],3,FALSE)</f>
        <v>MON</v>
      </c>
      <c r="CN33" s="4">
        <f>IF(OR(chalon[[#This Row],[Result]]="w",chalon[[#This Row],[Result]]="dw"),chalon[[#This Row],[win]]-1,-1)</f>
        <v>2.7</v>
      </c>
      <c r="CO33" s="4">
        <f>IF(OR(chalon[[#This Row],[Result]]="L",chalon[[#This Row],[Result]]="dl"),chalon[[#This Row],[lose]]-1,-1)</f>
        <v>-1</v>
      </c>
      <c r="CP33" s="4">
        <f>IF(OR((chalon[[#This Row],[Home_scored]]+chalon[[#This Row],[Away_scored]])&gt;chalon[[#This Row],[total]],OR(chalon[[#This Row],[Result]]="dw",chalon[[#This Row],[Result]]="dl")),1,0)</f>
        <v>0</v>
      </c>
      <c r="CQ33" s="4">
        <f>ABS((chalon[[#This Row],[Home_scored]]+chalon[[#This Row],[Away_scored]])-chalon[[#This Row],[total]])+0.5</f>
        <v>15</v>
      </c>
    </row>
    <row r="34" spans="1:95" x14ac:dyDescent="0.25">
      <c r="A34" s="2" t="s">
        <v>349</v>
      </c>
      <c r="B34" s="2" t="s">
        <v>305</v>
      </c>
      <c r="C34" s="28" t="s">
        <v>594</v>
      </c>
      <c r="D34" s="28">
        <v>45797</v>
      </c>
      <c r="E34" s="2" t="s">
        <v>74</v>
      </c>
      <c r="F34" s="2" t="s">
        <v>311</v>
      </c>
      <c r="G34" s="2" t="s">
        <v>75</v>
      </c>
      <c r="H34" s="11">
        <v>106</v>
      </c>
      <c r="I34" s="11">
        <v>85</v>
      </c>
      <c r="J34" s="11">
        <v>34</v>
      </c>
      <c r="K34" s="11">
        <v>63</v>
      </c>
      <c r="L34" s="12">
        <v>0.53969999999999996</v>
      </c>
      <c r="M34" s="11">
        <v>20</v>
      </c>
      <c r="N34" s="11">
        <v>36</v>
      </c>
      <c r="O34" s="12">
        <v>0.55559999999999998</v>
      </c>
      <c r="P34" s="11">
        <v>14</v>
      </c>
      <c r="Q34" s="11">
        <v>27</v>
      </c>
      <c r="R34" s="12">
        <v>0.51849999999999996</v>
      </c>
      <c r="S34" s="11">
        <v>24</v>
      </c>
      <c r="T34" s="11">
        <v>30</v>
      </c>
      <c r="U34" s="12">
        <v>0.8</v>
      </c>
      <c r="V34" s="11">
        <v>15</v>
      </c>
      <c r="W34" s="11">
        <v>26</v>
      </c>
      <c r="X34" s="11">
        <v>41</v>
      </c>
      <c r="Y34" s="11">
        <v>25</v>
      </c>
      <c r="Z34" s="11">
        <v>4</v>
      </c>
      <c r="AA34" s="11">
        <v>13</v>
      </c>
      <c r="AB34" s="11">
        <v>7</v>
      </c>
      <c r="AC34" s="11">
        <v>20</v>
      </c>
      <c r="AD34" s="11">
        <v>35</v>
      </c>
      <c r="AE34" s="11">
        <v>66</v>
      </c>
      <c r="AF34" s="12">
        <v>0.53029999999999999</v>
      </c>
      <c r="AG34" s="11">
        <v>29</v>
      </c>
      <c r="AH34" s="11">
        <v>43</v>
      </c>
      <c r="AI34" s="12">
        <v>0.6744</v>
      </c>
      <c r="AJ34" s="11">
        <v>6</v>
      </c>
      <c r="AK34" s="11">
        <v>23</v>
      </c>
      <c r="AL34" s="12">
        <v>0.26090000000000002</v>
      </c>
      <c r="AM34" s="11">
        <v>9</v>
      </c>
      <c r="AN34" s="11">
        <v>17</v>
      </c>
      <c r="AO34" s="12">
        <v>0.52939999999999998</v>
      </c>
      <c r="AP34" s="11">
        <v>9</v>
      </c>
      <c r="AQ34" s="11">
        <v>16</v>
      </c>
      <c r="AR34" s="11">
        <v>25</v>
      </c>
      <c r="AS34" s="11">
        <v>19</v>
      </c>
      <c r="AT34" s="11">
        <v>3</v>
      </c>
      <c r="AU34" s="11">
        <v>12</v>
      </c>
      <c r="AV34" s="11">
        <v>8</v>
      </c>
      <c r="AW34" s="11">
        <v>29</v>
      </c>
      <c r="AX34" s="12">
        <v>0.69550000000000001</v>
      </c>
      <c r="AY34" s="12">
        <v>0.65080000000000005</v>
      </c>
      <c r="AZ34" s="12">
        <v>0.4839</v>
      </c>
      <c r="BA34" s="12">
        <v>0.7429</v>
      </c>
      <c r="BB34" s="12">
        <v>0.62119999999999997</v>
      </c>
      <c r="BC34" s="4">
        <v>70.647999999999996</v>
      </c>
      <c r="BD34" s="12">
        <v>0.73529999999999995</v>
      </c>
      <c r="BE34" s="12">
        <v>0.38100000000000001</v>
      </c>
      <c r="BF34" s="12">
        <v>8.4099999999999994E-2</v>
      </c>
      <c r="BG34" s="4">
        <v>152</v>
      </c>
      <c r="BH34" s="4">
        <v>121.9</v>
      </c>
      <c r="BI34" s="4">
        <v>69.753500000000003</v>
      </c>
      <c r="BJ34" s="12">
        <v>0.57840000000000003</v>
      </c>
      <c r="BK34" s="12">
        <v>0.57579999999999998</v>
      </c>
      <c r="BL34" s="12">
        <v>0.2571</v>
      </c>
      <c r="BM34" s="12">
        <v>0.5161</v>
      </c>
      <c r="BN34" s="12">
        <v>0.37880000000000003</v>
      </c>
      <c r="BO34" s="4">
        <v>68.858999999999995</v>
      </c>
      <c r="BP34" s="12">
        <v>0.54290000000000005</v>
      </c>
      <c r="BQ34" s="12">
        <v>0.13639999999999999</v>
      </c>
      <c r="BR34" s="12">
        <v>9.8199999999999996E-2</v>
      </c>
      <c r="BS34" s="4">
        <v>121.9</v>
      </c>
      <c r="BT34" s="4">
        <v>152</v>
      </c>
      <c r="BU34" s="11">
        <v>19</v>
      </c>
      <c r="BV34" s="11">
        <v>36</v>
      </c>
      <c r="BW34" s="11">
        <v>19</v>
      </c>
      <c r="BX34" s="11">
        <v>32</v>
      </c>
      <c r="BY34" s="11">
        <v>25</v>
      </c>
      <c r="BZ34" s="11">
        <v>16</v>
      </c>
      <c r="CA34" s="11">
        <v>21</v>
      </c>
      <c r="CB34" s="11">
        <v>23</v>
      </c>
      <c r="CC34" s="11">
        <v>55</v>
      </c>
      <c r="CD34" s="11">
        <v>51</v>
      </c>
      <c r="CE34" s="11">
        <v>41</v>
      </c>
      <c r="CF34" s="11">
        <v>44</v>
      </c>
      <c r="CG34" s="4">
        <v>1.76</v>
      </c>
      <c r="CH34" s="13">
        <v>2.1</v>
      </c>
      <c r="CI34" s="4">
        <v>-2</v>
      </c>
      <c r="CJ34" s="4">
        <v>-2</v>
      </c>
      <c r="CK34" s="4">
        <v>168.5</v>
      </c>
      <c r="CL34" s="2" t="s">
        <v>595</v>
      </c>
      <c r="CM34" s="4" t="str">
        <f>VLOOKUP(chalon[[#This Row],[Away_team]],all[[Full name]:[Abbr]],3,FALSE)</f>
        <v>DIJ</v>
      </c>
      <c r="CN34" s="4">
        <f>IF(OR(chalon[[#This Row],[Result]]="w",chalon[[#This Row],[Result]]="dw"),chalon[[#This Row],[win]]-1,-1)</f>
        <v>0.76</v>
      </c>
      <c r="CO34" s="4">
        <f>IF(OR(chalon[[#This Row],[Result]]="L",chalon[[#This Row],[Result]]="dl"),chalon[[#This Row],[lose]]-1,-1)</f>
        <v>-1</v>
      </c>
      <c r="CP34" s="4">
        <f>IF(OR((chalon[[#This Row],[Home_scored]]+chalon[[#This Row],[Away_scored]])&gt;chalon[[#This Row],[total]],OR(chalon[[#This Row],[Result]]="dw",chalon[[#This Row],[Result]]="dl")),1,0)</f>
        <v>1</v>
      </c>
      <c r="CQ34" s="4">
        <f>ABS((chalon[[#This Row],[Home_scored]]+chalon[[#This Row],[Away_scored]])-chalon[[#This Row],[total]])+0.5</f>
        <v>23</v>
      </c>
    </row>
    <row r="35" spans="1:95" x14ac:dyDescent="0.25">
      <c r="A35" s="2" t="s">
        <v>349</v>
      </c>
      <c r="B35" s="2" t="s">
        <v>305</v>
      </c>
      <c r="C35" s="28" t="s">
        <v>594</v>
      </c>
      <c r="D35" s="28">
        <v>45804</v>
      </c>
      <c r="E35" s="2" t="s">
        <v>140</v>
      </c>
      <c r="F35" s="2" t="s">
        <v>327</v>
      </c>
      <c r="G35" s="2" t="s">
        <v>139</v>
      </c>
      <c r="H35" s="11">
        <v>96</v>
      </c>
      <c r="I35" s="11">
        <v>100</v>
      </c>
      <c r="J35" s="11">
        <v>29</v>
      </c>
      <c r="K35" s="11">
        <v>63</v>
      </c>
      <c r="L35" s="12">
        <v>0.46029999999999999</v>
      </c>
      <c r="M35" s="11">
        <v>21</v>
      </c>
      <c r="N35" s="11">
        <v>37</v>
      </c>
      <c r="O35" s="12">
        <v>0.56759999999999999</v>
      </c>
      <c r="P35" s="11">
        <v>8</v>
      </c>
      <c r="Q35" s="11">
        <v>26</v>
      </c>
      <c r="R35" s="12">
        <v>0.30769999999999997</v>
      </c>
      <c r="S35" s="11">
        <v>30</v>
      </c>
      <c r="T35" s="11">
        <v>37</v>
      </c>
      <c r="U35" s="12">
        <v>0.81079999999999997</v>
      </c>
      <c r="V35" s="11">
        <v>11</v>
      </c>
      <c r="W35" s="11">
        <v>25</v>
      </c>
      <c r="X35" s="11">
        <v>36</v>
      </c>
      <c r="Y35" s="11">
        <v>16</v>
      </c>
      <c r="Z35" s="11">
        <v>4</v>
      </c>
      <c r="AA35" s="11">
        <v>7</v>
      </c>
      <c r="AB35" s="11">
        <v>10</v>
      </c>
      <c r="AC35" s="11">
        <v>26</v>
      </c>
      <c r="AD35" s="11">
        <v>36</v>
      </c>
      <c r="AE35" s="11">
        <v>73</v>
      </c>
      <c r="AF35" s="12">
        <v>0.49320000000000003</v>
      </c>
      <c r="AG35" s="11">
        <v>27</v>
      </c>
      <c r="AH35" s="11">
        <v>49</v>
      </c>
      <c r="AI35" s="12">
        <v>0.55100000000000005</v>
      </c>
      <c r="AJ35" s="11">
        <v>9</v>
      </c>
      <c r="AK35" s="11">
        <v>24</v>
      </c>
      <c r="AL35" s="12">
        <v>0.375</v>
      </c>
      <c r="AM35" s="11">
        <v>19</v>
      </c>
      <c r="AN35" s="11">
        <v>29</v>
      </c>
      <c r="AO35" s="12">
        <v>0.6552</v>
      </c>
      <c r="AP35" s="11">
        <v>16</v>
      </c>
      <c r="AQ35" s="11">
        <v>25</v>
      </c>
      <c r="AR35" s="11">
        <v>41</v>
      </c>
      <c r="AS35" s="11">
        <v>22</v>
      </c>
      <c r="AT35" s="11">
        <v>5</v>
      </c>
      <c r="AU35" s="11">
        <v>4</v>
      </c>
      <c r="AV35" s="11">
        <v>10</v>
      </c>
      <c r="AW35" s="11">
        <v>29</v>
      </c>
      <c r="AX35" s="12">
        <v>0.60540000000000005</v>
      </c>
      <c r="AY35" s="12">
        <v>0.52380000000000004</v>
      </c>
      <c r="AZ35" s="12">
        <v>0.30559999999999998</v>
      </c>
      <c r="BA35" s="12">
        <v>0.60980000000000001</v>
      </c>
      <c r="BB35" s="12">
        <v>0.46750000000000003</v>
      </c>
      <c r="BC35" s="4">
        <v>76.683999999999997</v>
      </c>
      <c r="BD35" s="12">
        <v>0.55169999999999997</v>
      </c>
      <c r="BE35" s="12">
        <v>0.47620000000000001</v>
      </c>
      <c r="BF35" s="12">
        <v>0.112</v>
      </c>
      <c r="BG35" s="4">
        <v>123.2</v>
      </c>
      <c r="BH35" s="4">
        <v>128.30000000000001</v>
      </c>
      <c r="BI35" s="4">
        <v>77.917000000000002</v>
      </c>
      <c r="BJ35" s="12">
        <v>0.58299999999999996</v>
      </c>
      <c r="BK35" s="12">
        <v>0.55479999999999996</v>
      </c>
      <c r="BL35" s="12">
        <v>0.39019999999999999</v>
      </c>
      <c r="BM35" s="12">
        <v>0.69440000000000002</v>
      </c>
      <c r="BN35" s="12">
        <v>0.53249999999999997</v>
      </c>
      <c r="BO35" s="4">
        <v>79.150000000000006</v>
      </c>
      <c r="BP35" s="12">
        <v>0.61109999999999998</v>
      </c>
      <c r="BQ35" s="12">
        <v>0.26029999999999998</v>
      </c>
      <c r="BR35" s="12">
        <v>0.10440000000000001</v>
      </c>
      <c r="BS35" s="4">
        <v>128.30000000000001</v>
      </c>
      <c r="BT35" s="4">
        <v>123.2</v>
      </c>
      <c r="BU35" s="11">
        <v>29</v>
      </c>
      <c r="BV35" s="11">
        <v>23</v>
      </c>
      <c r="BW35" s="11">
        <v>24</v>
      </c>
      <c r="BX35" s="11">
        <v>20</v>
      </c>
      <c r="BY35" s="11">
        <v>21</v>
      </c>
      <c r="BZ35" s="11">
        <v>30</v>
      </c>
      <c r="CA35" s="11">
        <v>26</v>
      </c>
      <c r="CB35" s="11">
        <v>23</v>
      </c>
      <c r="CC35" s="11">
        <v>52</v>
      </c>
      <c r="CD35" s="11">
        <v>44</v>
      </c>
      <c r="CE35" s="11">
        <v>51</v>
      </c>
      <c r="CF35" s="11">
        <v>49</v>
      </c>
      <c r="CG35" s="4">
        <v>4.75</v>
      </c>
      <c r="CH35" s="13">
        <v>1.2</v>
      </c>
      <c r="CI35" s="4">
        <v>-10</v>
      </c>
      <c r="CJ35" s="4">
        <v>-10</v>
      </c>
      <c r="CK35" s="4">
        <v>170.5</v>
      </c>
      <c r="CL35" s="2" t="s">
        <v>599</v>
      </c>
      <c r="CM35" s="4" t="str">
        <f>VLOOKUP(chalon[[#This Row],[Away_team]],all[[Full name]:[Abbr]],3,FALSE)</f>
        <v>LYO</v>
      </c>
      <c r="CN35" s="4">
        <f>IF(OR(chalon[[#This Row],[Result]]="w",chalon[[#This Row],[Result]]="dw"),chalon[[#This Row],[win]]-1,-1)</f>
        <v>-1</v>
      </c>
      <c r="CO35" s="4">
        <f>IF(OR(chalon[[#This Row],[Result]]="L",chalon[[#This Row],[Result]]="dl"),chalon[[#This Row],[lose]]-1,-1)</f>
        <v>0.19999999999999996</v>
      </c>
      <c r="CP35" s="4">
        <f>IF(OR((chalon[[#This Row],[Home_scored]]+chalon[[#This Row],[Away_scored]])&gt;chalon[[#This Row],[total]],OR(chalon[[#This Row],[Result]]="dw",chalon[[#This Row],[Result]]="dl")),1,0)</f>
        <v>1</v>
      </c>
      <c r="CQ35" s="4">
        <f>ABS((chalon[[#This Row],[Home_scored]]+chalon[[#This Row],[Away_scored]])-chalon[[#This Row],[total]])+0.5</f>
        <v>26</v>
      </c>
    </row>
    <row r="36" spans="1:95" x14ac:dyDescent="0.25">
      <c r="A36" s="2" t="s">
        <v>349</v>
      </c>
      <c r="B36" s="2" t="s">
        <v>305</v>
      </c>
      <c r="C36" s="28" t="s">
        <v>594</v>
      </c>
      <c r="D36" s="28">
        <v>45806</v>
      </c>
      <c r="E36" s="2" t="s">
        <v>74</v>
      </c>
      <c r="F36" s="2" t="s">
        <v>327</v>
      </c>
      <c r="G36" s="2" t="s">
        <v>75</v>
      </c>
      <c r="H36" s="11">
        <v>76</v>
      </c>
      <c r="I36" s="11">
        <v>69</v>
      </c>
      <c r="J36" s="11">
        <v>29</v>
      </c>
      <c r="K36" s="11">
        <v>57</v>
      </c>
      <c r="L36" s="12">
        <v>0.50880000000000003</v>
      </c>
      <c r="M36" s="11">
        <v>22</v>
      </c>
      <c r="N36" s="11">
        <v>32</v>
      </c>
      <c r="O36" s="12">
        <v>0.6875</v>
      </c>
      <c r="P36" s="11">
        <v>7</v>
      </c>
      <c r="Q36" s="11">
        <v>25</v>
      </c>
      <c r="R36" s="12">
        <v>0.28000000000000003</v>
      </c>
      <c r="S36" s="11">
        <v>11</v>
      </c>
      <c r="T36" s="11">
        <v>17</v>
      </c>
      <c r="U36" s="12">
        <v>0.64710000000000001</v>
      </c>
      <c r="V36" s="11">
        <v>7</v>
      </c>
      <c r="W36" s="11">
        <v>29</v>
      </c>
      <c r="X36" s="11">
        <v>36</v>
      </c>
      <c r="Y36" s="11">
        <v>14</v>
      </c>
      <c r="Z36" s="11">
        <v>4</v>
      </c>
      <c r="AA36" s="11">
        <v>17</v>
      </c>
      <c r="AB36" s="11">
        <v>8</v>
      </c>
      <c r="AC36" s="11">
        <v>21</v>
      </c>
      <c r="AD36" s="11">
        <v>24</v>
      </c>
      <c r="AE36" s="11">
        <v>59</v>
      </c>
      <c r="AF36" s="12">
        <v>0.40679999999999999</v>
      </c>
      <c r="AG36" s="11">
        <v>14</v>
      </c>
      <c r="AH36" s="11">
        <v>34</v>
      </c>
      <c r="AI36" s="12">
        <v>0.4118</v>
      </c>
      <c r="AJ36" s="11">
        <v>10</v>
      </c>
      <c r="AK36" s="11">
        <v>25</v>
      </c>
      <c r="AL36" s="12">
        <v>0.4</v>
      </c>
      <c r="AM36" s="11">
        <v>11</v>
      </c>
      <c r="AN36" s="11">
        <v>21</v>
      </c>
      <c r="AO36" s="12">
        <v>0.52380000000000004</v>
      </c>
      <c r="AP36" s="11">
        <v>9</v>
      </c>
      <c r="AQ36" s="11">
        <v>24</v>
      </c>
      <c r="AR36" s="11">
        <v>33</v>
      </c>
      <c r="AS36" s="11">
        <v>17</v>
      </c>
      <c r="AT36" s="11">
        <v>2</v>
      </c>
      <c r="AU36" s="11">
        <v>14</v>
      </c>
      <c r="AV36" s="11">
        <v>10</v>
      </c>
      <c r="AW36" s="11">
        <v>19</v>
      </c>
      <c r="AX36" s="12">
        <v>0.58930000000000005</v>
      </c>
      <c r="AY36" s="12">
        <v>0.57020000000000004</v>
      </c>
      <c r="AZ36" s="12">
        <v>0.2258</v>
      </c>
      <c r="BA36" s="12">
        <v>0.76319999999999999</v>
      </c>
      <c r="BB36" s="12">
        <v>0.52170000000000005</v>
      </c>
      <c r="BC36" s="4">
        <v>65.974000000000004</v>
      </c>
      <c r="BD36" s="12">
        <v>0.48280000000000001</v>
      </c>
      <c r="BE36" s="12">
        <v>0.193</v>
      </c>
      <c r="BF36" s="12">
        <v>0.1104</v>
      </c>
      <c r="BG36" s="4">
        <v>114.1</v>
      </c>
      <c r="BH36" s="4">
        <v>103.6</v>
      </c>
      <c r="BI36" s="4">
        <v>66.58</v>
      </c>
      <c r="BJ36" s="12">
        <v>0.50560000000000005</v>
      </c>
      <c r="BK36" s="12">
        <v>0.49149999999999999</v>
      </c>
      <c r="BL36" s="12">
        <v>0.23680000000000001</v>
      </c>
      <c r="BM36" s="12">
        <v>0.7742</v>
      </c>
      <c r="BN36" s="12">
        <v>0.4783</v>
      </c>
      <c r="BO36" s="4">
        <v>67.186000000000007</v>
      </c>
      <c r="BP36" s="12">
        <v>0.70830000000000004</v>
      </c>
      <c r="BQ36" s="12">
        <v>0.18640000000000001</v>
      </c>
      <c r="BR36" s="12">
        <v>0.1278</v>
      </c>
      <c r="BS36" s="4">
        <v>103.6</v>
      </c>
      <c r="BT36" s="4">
        <v>114.1</v>
      </c>
      <c r="BU36" s="11">
        <v>18</v>
      </c>
      <c r="BV36" s="11">
        <v>20</v>
      </c>
      <c r="BW36" s="11">
        <v>15</v>
      </c>
      <c r="BX36" s="11">
        <v>23</v>
      </c>
      <c r="BY36" s="11">
        <v>19</v>
      </c>
      <c r="BZ36" s="11">
        <v>14</v>
      </c>
      <c r="CA36" s="11">
        <v>24</v>
      </c>
      <c r="CB36" s="11">
        <v>12</v>
      </c>
      <c r="CC36" s="11">
        <v>38</v>
      </c>
      <c r="CD36" s="11">
        <v>38</v>
      </c>
      <c r="CE36" s="11">
        <v>33</v>
      </c>
      <c r="CF36" s="11">
        <v>36</v>
      </c>
      <c r="CG36" s="4">
        <v>2.6</v>
      </c>
      <c r="CH36" s="13">
        <v>1.52</v>
      </c>
      <c r="CI36" s="4">
        <v>4.5</v>
      </c>
      <c r="CJ36" s="4">
        <v>-4.5</v>
      </c>
      <c r="CK36" s="4">
        <v>175.5</v>
      </c>
      <c r="CL36" s="2" t="s">
        <v>603</v>
      </c>
      <c r="CM36" s="4" t="str">
        <f>VLOOKUP(chalon[[#This Row],[Away_team]],all[[Full name]:[Abbr]],3,FALSE)</f>
        <v>LYO</v>
      </c>
      <c r="CN36" s="4">
        <f>IF(OR(chalon[[#This Row],[Result]]="w",chalon[[#This Row],[Result]]="dw"),chalon[[#This Row],[win]]-1,-1)</f>
        <v>1.6</v>
      </c>
      <c r="CO36" s="4">
        <f>IF(OR(chalon[[#This Row],[Result]]="L",chalon[[#This Row],[Result]]="dl"),chalon[[#This Row],[lose]]-1,-1)</f>
        <v>-1</v>
      </c>
      <c r="CP36" s="4">
        <f>IF(OR((chalon[[#This Row],[Home_scored]]+chalon[[#This Row],[Away_scored]])&gt;chalon[[#This Row],[total]],OR(chalon[[#This Row],[Result]]="dw",chalon[[#This Row],[Result]]="dl")),1,0)</f>
        <v>0</v>
      </c>
      <c r="CQ36" s="4">
        <f>ABS((chalon[[#This Row],[Home_scored]]+chalon[[#This Row],[Away_scored]])-chalon[[#This Row],[total]])+0.5</f>
        <v>31</v>
      </c>
    </row>
    <row r="37" spans="1:95" x14ac:dyDescent="0.25">
      <c r="A37" s="2" t="s">
        <v>349</v>
      </c>
      <c r="B37" s="2" t="s">
        <v>305</v>
      </c>
      <c r="C37" s="28" t="s">
        <v>594</v>
      </c>
      <c r="D37" s="28">
        <v>45808</v>
      </c>
      <c r="E37" s="2" t="s">
        <v>140</v>
      </c>
      <c r="F37" s="2" t="s">
        <v>327</v>
      </c>
      <c r="G37" s="2" t="s">
        <v>139</v>
      </c>
      <c r="H37" s="11">
        <v>75</v>
      </c>
      <c r="I37" s="11">
        <v>99</v>
      </c>
      <c r="J37" s="11">
        <v>27</v>
      </c>
      <c r="K37" s="11">
        <v>63</v>
      </c>
      <c r="L37" s="12">
        <v>0.42859999999999998</v>
      </c>
      <c r="M37" s="11">
        <v>21</v>
      </c>
      <c r="N37" s="11">
        <v>40</v>
      </c>
      <c r="O37" s="12">
        <v>0.52500000000000002</v>
      </c>
      <c r="P37" s="11">
        <v>6</v>
      </c>
      <c r="Q37" s="11">
        <v>23</v>
      </c>
      <c r="R37" s="12">
        <v>0.26090000000000002</v>
      </c>
      <c r="S37" s="11">
        <v>15</v>
      </c>
      <c r="T37" s="11">
        <v>21</v>
      </c>
      <c r="U37" s="12">
        <v>0.71430000000000005</v>
      </c>
      <c r="V37" s="11">
        <v>7</v>
      </c>
      <c r="W37" s="11">
        <v>19</v>
      </c>
      <c r="X37" s="11">
        <v>26</v>
      </c>
      <c r="Y37" s="11">
        <v>16</v>
      </c>
      <c r="Z37" s="11">
        <v>1</v>
      </c>
      <c r="AA37" s="11">
        <v>12</v>
      </c>
      <c r="AB37" s="11">
        <v>5</v>
      </c>
      <c r="AC37" s="11">
        <v>24</v>
      </c>
      <c r="AD37" s="11">
        <v>31</v>
      </c>
      <c r="AE37" s="11">
        <v>59</v>
      </c>
      <c r="AF37" s="12">
        <v>0.52539999999999998</v>
      </c>
      <c r="AG37" s="11">
        <v>20</v>
      </c>
      <c r="AH37" s="11">
        <v>33</v>
      </c>
      <c r="AI37" s="12">
        <v>0.60609999999999997</v>
      </c>
      <c r="AJ37" s="11">
        <v>11</v>
      </c>
      <c r="AK37" s="11">
        <v>26</v>
      </c>
      <c r="AL37" s="12">
        <v>0.42309999999999998</v>
      </c>
      <c r="AM37" s="11">
        <v>26</v>
      </c>
      <c r="AN37" s="11">
        <v>37</v>
      </c>
      <c r="AO37" s="12">
        <v>0.70269999999999999</v>
      </c>
      <c r="AP37" s="11">
        <v>16</v>
      </c>
      <c r="AQ37" s="11">
        <v>30</v>
      </c>
      <c r="AR37" s="11">
        <v>46</v>
      </c>
      <c r="AS37" s="11">
        <v>27</v>
      </c>
      <c r="AT37" s="11">
        <v>1</v>
      </c>
      <c r="AU37" s="11">
        <v>13</v>
      </c>
      <c r="AV37" s="11">
        <v>5</v>
      </c>
      <c r="AW37" s="11">
        <v>24</v>
      </c>
      <c r="AX37" s="12">
        <v>0.51910000000000001</v>
      </c>
      <c r="AY37" s="12">
        <v>0.47620000000000001</v>
      </c>
      <c r="AZ37" s="12">
        <v>0.18920000000000001</v>
      </c>
      <c r="BA37" s="12">
        <v>0.54290000000000005</v>
      </c>
      <c r="BB37" s="12">
        <v>0.36109999999999998</v>
      </c>
      <c r="BC37" s="4">
        <v>66.028999999999996</v>
      </c>
      <c r="BD37" s="12">
        <v>0.59260000000000002</v>
      </c>
      <c r="BE37" s="12">
        <v>0.23810000000000001</v>
      </c>
      <c r="BF37" s="12">
        <v>6.4699999999999994E-2</v>
      </c>
      <c r="BG37" s="4">
        <v>111.6</v>
      </c>
      <c r="BH37" s="4">
        <v>147.30000000000001</v>
      </c>
      <c r="BI37" s="4">
        <v>67.203999999999994</v>
      </c>
      <c r="BJ37" s="12">
        <v>0.65749999999999997</v>
      </c>
      <c r="BK37" s="12">
        <v>0.61860000000000004</v>
      </c>
      <c r="BL37" s="12">
        <v>0.45710000000000001</v>
      </c>
      <c r="BM37" s="12">
        <v>0.81079999999999997</v>
      </c>
      <c r="BN37" s="12">
        <v>0.63890000000000002</v>
      </c>
      <c r="BO37" s="4">
        <v>68.379000000000005</v>
      </c>
      <c r="BP37" s="12">
        <v>0.871</v>
      </c>
      <c r="BQ37" s="12">
        <v>0.44069999999999998</v>
      </c>
      <c r="BR37" s="12">
        <v>6.2300000000000001E-2</v>
      </c>
      <c r="BS37" s="4">
        <v>147.30000000000001</v>
      </c>
      <c r="BT37" s="4">
        <v>111.6</v>
      </c>
      <c r="BU37" s="11">
        <v>13</v>
      </c>
      <c r="BV37" s="11">
        <v>19</v>
      </c>
      <c r="BW37" s="11">
        <v>23</v>
      </c>
      <c r="BX37" s="11">
        <v>20</v>
      </c>
      <c r="BY37" s="11">
        <v>21</v>
      </c>
      <c r="BZ37" s="11">
        <v>23</v>
      </c>
      <c r="CA37" s="11">
        <v>21</v>
      </c>
      <c r="CB37" s="11">
        <v>34</v>
      </c>
      <c r="CC37" s="11">
        <v>32</v>
      </c>
      <c r="CD37" s="11">
        <v>43</v>
      </c>
      <c r="CE37" s="11">
        <v>44</v>
      </c>
      <c r="CF37" s="11">
        <v>55</v>
      </c>
      <c r="CG37" s="4">
        <v>4.2</v>
      </c>
      <c r="CH37" s="13">
        <v>1.25</v>
      </c>
      <c r="CI37" s="4">
        <v>-9</v>
      </c>
      <c r="CJ37" s="4">
        <v>-9</v>
      </c>
      <c r="CK37" s="4">
        <v>172.5</v>
      </c>
      <c r="CL37" s="2" t="s">
        <v>607</v>
      </c>
      <c r="CM37" s="4" t="str">
        <f>VLOOKUP(chalon[[#This Row],[Away_team]],all[[Full name]:[Abbr]],3,FALSE)</f>
        <v>LYO</v>
      </c>
      <c r="CN37" s="4">
        <f>IF(OR(chalon[[#This Row],[Result]]="w",chalon[[#This Row],[Result]]="dw"),chalon[[#This Row],[win]]-1,-1)</f>
        <v>-1</v>
      </c>
      <c r="CO37" s="4">
        <f>IF(OR(chalon[[#This Row],[Result]]="L",chalon[[#This Row],[Result]]="dl"),chalon[[#This Row],[lose]]-1,-1)</f>
        <v>0.25</v>
      </c>
      <c r="CP37" s="4">
        <f>IF(OR((chalon[[#This Row],[Home_scored]]+chalon[[#This Row],[Away_scored]])&gt;chalon[[#This Row],[total]],OR(chalon[[#This Row],[Result]]="dw",chalon[[#This Row],[Result]]="dl")),1,0)</f>
        <v>1</v>
      </c>
      <c r="CQ37" s="4">
        <f>ABS((chalon[[#This Row],[Home_scored]]+chalon[[#This Row],[Away_scored]])-chalon[[#This Row],[total]])+0.5</f>
        <v>2</v>
      </c>
    </row>
  </sheetData>
  <phoneticPr fontId="11" type="noConversion"/>
  <conditionalFormatting sqref="A4:A37">
    <cfRule type="expression" dxfId="396" priority="3">
      <formula>SUMPRODUCT(--ISERROR(B4:CL4))&gt;0</formula>
    </cfRule>
  </conditionalFormatting>
  <conditionalFormatting sqref="B4:B37">
    <cfRule type="uniqueValues" dxfId="395" priority="454"/>
  </conditionalFormatting>
  <conditionalFormatting sqref="D4:D37">
    <cfRule type="duplicateValues" dxfId="394" priority="456"/>
  </conditionalFormatting>
  <conditionalFormatting sqref="H4:H37">
    <cfRule type="expression" dxfId="393" priority="5">
      <formula>H4=BU4+BV4+BW4+BX4</formula>
    </cfRule>
  </conditionalFormatting>
  <conditionalFormatting sqref="I4:I37">
    <cfRule type="expression" dxfId="392" priority="4">
      <formula>I4=BY4+BZ4+CA4+CB4</formula>
    </cfRule>
  </conditionalFormatting>
  <hyperlinks>
    <hyperlink ref="A1" location="all_data!A1" display="ratings" xr:uid="{1EFD57B4-5BDD-47BB-8AEB-112AB76B2649}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020B-47FA-4EBE-8A83-F597BE358BF8}">
  <sheetPr codeName="Sheet6"/>
  <dimension ref="A1:CQ35"/>
  <sheetViews>
    <sheetView topLeftCell="A23" zoomScale="80" zoomScaleNormal="80" workbookViewId="0">
      <selection activeCell="A36" sqref="A3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349</v>
      </c>
      <c r="B4" s="2" t="s">
        <v>308</v>
      </c>
      <c r="C4" s="2" t="s">
        <v>73</v>
      </c>
      <c r="D4" s="3">
        <v>45562</v>
      </c>
      <c r="E4" s="2" t="s">
        <v>140</v>
      </c>
      <c r="F4" s="2" t="s">
        <v>323</v>
      </c>
      <c r="G4" s="2" t="s">
        <v>75</v>
      </c>
      <c r="H4" s="2">
        <v>78</v>
      </c>
      <c r="I4" s="2">
        <v>64</v>
      </c>
      <c r="J4" s="2">
        <v>28</v>
      </c>
      <c r="K4" s="2">
        <v>60</v>
      </c>
      <c r="L4" s="2">
        <v>0.4667</v>
      </c>
      <c r="M4" s="2">
        <v>20</v>
      </c>
      <c r="N4" s="2">
        <v>39</v>
      </c>
      <c r="O4" s="2">
        <v>0.51280000000000003</v>
      </c>
      <c r="P4" s="2">
        <v>8</v>
      </c>
      <c r="Q4" s="2">
        <v>21</v>
      </c>
      <c r="R4" s="2">
        <v>0.38100000000000001</v>
      </c>
      <c r="S4" s="2">
        <v>14</v>
      </c>
      <c r="T4" s="2">
        <v>16</v>
      </c>
      <c r="U4" s="2">
        <v>0.875</v>
      </c>
      <c r="V4" s="2">
        <v>7</v>
      </c>
      <c r="W4" s="2">
        <v>28</v>
      </c>
      <c r="X4" s="2">
        <v>35</v>
      </c>
      <c r="Y4" s="2">
        <v>20</v>
      </c>
      <c r="Z4" s="2">
        <v>8</v>
      </c>
      <c r="AA4" s="2">
        <v>1</v>
      </c>
      <c r="AB4" s="2">
        <v>10</v>
      </c>
      <c r="AC4" s="2">
        <v>22</v>
      </c>
      <c r="AD4" s="2">
        <v>21</v>
      </c>
      <c r="AE4" s="2">
        <v>55</v>
      </c>
      <c r="AF4" s="2">
        <v>0.38179999999999997</v>
      </c>
      <c r="AG4" s="2">
        <v>18</v>
      </c>
      <c r="AH4" s="2">
        <v>31</v>
      </c>
      <c r="AI4" s="2">
        <v>0.5806</v>
      </c>
      <c r="AJ4" s="2">
        <v>3</v>
      </c>
      <c r="AK4" s="2">
        <v>24</v>
      </c>
      <c r="AL4" s="2">
        <v>0.125</v>
      </c>
      <c r="AM4" s="2">
        <v>19</v>
      </c>
      <c r="AN4" s="2">
        <v>24</v>
      </c>
      <c r="AO4" s="2">
        <v>0.79169999999999996</v>
      </c>
      <c r="AP4" s="2">
        <v>8</v>
      </c>
      <c r="AQ4" s="2">
        <v>25</v>
      </c>
      <c r="AR4" s="2">
        <v>33</v>
      </c>
      <c r="AS4" s="2">
        <v>19</v>
      </c>
      <c r="AT4" s="2">
        <v>7</v>
      </c>
      <c r="AU4" s="2">
        <v>2</v>
      </c>
      <c r="AV4" s="2">
        <v>14</v>
      </c>
      <c r="AW4" s="2">
        <v>18</v>
      </c>
      <c r="AX4" s="2">
        <v>0.58169999999999999</v>
      </c>
      <c r="AY4" s="2">
        <v>0.5333</v>
      </c>
      <c r="AZ4" s="2">
        <v>0.21879999999999999</v>
      </c>
      <c r="BA4" s="2">
        <v>0.77780000000000005</v>
      </c>
      <c r="BB4" s="2">
        <v>0.51470000000000005</v>
      </c>
      <c r="BC4" s="4">
        <v>69.552000000000007</v>
      </c>
      <c r="BD4" s="2">
        <v>0.71430000000000005</v>
      </c>
      <c r="BE4" s="2">
        <v>0.23330000000000001</v>
      </c>
      <c r="BF4" s="2">
        <v>0.1298</v>
      </c>
      <c r="BG4" s="2">
        <v>112</v>
      </c>
      <c r="BH4" s="2">
        <v>91.9</v>
      </c>
      <c r="BI4" s="2">
        <v>69.666499999999999</v>
      </c>
      <c r="BJ4" s="2">
        <v>0.48809999999999998</v>
      </c>
      <c r="BK4" s="2">
        <v>0.40910000000000002</v>
      </c>
      <c r="BL4" s="2">
        <v>0.22220000000000001</v>
      </c>
      <c r="BM4" s="2">
        <v>0.78129999999999999</v>
      </c>
      <c r="BN4" s="2">
        <v>0.48530000000000001</v>
      </c>
      <c r="BO4" s="4">
        <v>69.781000000000006</v>
      </c>
      <c r="BP4" s="2">
        <v>0.90480000000000005</v>
      </c>
      <c r="BQ4" s="2">
        <v>0.34549999999999997</v>
      </c>
      <c r="BR4" s="2">
        <v>0.17599999999999999</v>
      </c>
      <c r="BS4" s="2">
        <v>91.9</v>
      </c>
      <c r="BT4" s="2">
        <v>112</v>
      </c>
      <c r="BU4" s="2">
        <v>17</v>
      </c>
      <c r="BV4" s="2">
        <v>20</v>
      </c>
      <c r="BW4" s="2">
        <v>24</v>
      </c>
      <c r="BX4" s="2">
        <v>17</v>
      </c>
      <c r="BY4" s="2">
        <v>9</v>
      </c>
      <c r="BZ4" s="2">
        <v>18</v>
      </c>
      <c r="CA4" s="2">
        <v>20</v>
      </c>
      <c r="CB4" s="2">
        <v>17</v>
      </c>
      <c r="CC4" s="2">
        <v>37</v>
      </c>
      <c r="CD4" s="2">
        <v>41</v>
      </c>
      <c r="CE4" s="2">
        <v>27</v>
      </c>
      <c r="CF4" s="2">
        <v>37</v>
      </c>
      <c r="CG4" s="2">
        <v>1.53</v>
      </c>
      <c r="CH4" s="2">
        <v>2.6</v>
      </c>
      <c r="CI4" s="2">
        <v>-4.5</v>
      </c>
      <c r="CJ4" s="2">
        <v>4.5</v>
      </c>
      <c r="CK4" s="2">
        <v>148.5</v>
      </c>
      <c r="CL4" s="2" t="s">
        <v>370</v>
      </c>
      <c r="CM4" s="4" t="e">
        <f>VLOOKUP(cholet[[#This Row],[Away_team]],all[[Full name]:[Abbr]],3,FALSE)</f>
        <v>#N/A</v>
      </c>
      <c r="CN4" s="4">
        <f>IF(OR(cholet[[#This Row],[Result]]="w",cholet[[#This Row],[Result]]="dw"),cholet[[#This Row],[win]]-1,-1)</f>
        <v>0.53</v>
      </c>
      <c r="CO4" s="4">
        <f>IF(OR(cholet[[#This Row],[Result]]="L",cholet[[#This Row],[Result]]="dl"),cholet[[#This Row],[lose]]-1,-1)</f>
        <v>-1</v>
      </c>
      <c r="CP4" s="4">
        <f>IF(OR((cholet[[#This Row],[Home_scored]]+cholet[[#This Row],[Away_scored]])&gt;cholet[[#This Row],[total]],OR(cholet[[#This Row],[Result]]="dw",cholet[[#This Row],[Result]]="dl")),1,0)</f>
        <v>0</v>
      </c>
      <c r="CQ4" s="4">
        <f>ABS((cholet[[#This Row],[Home_scored]]+cholet[[#This Row],[Away_scored]])-cholet[[#This Row],[total]])+0.5</f>
        <v>7</v>
      </c>
    </row>
    <row r="5" spans="1:95" x14ac:dyDescent="0.25">
      <c r="A5" s="2" t="s">
        <v>349</v>
      </c>
      <c r="B5" s="2" t="s">
        <v>308</v>
      </c>
      <c r="C5" s="3" t="s">
        <v>73</v>
      </c>
      <c r="D5" s="3">
        <v>45570</v>
      </c>
      <c r="E5" s="2" t="s">
        <v>74</v>
      </c>
      <c r="F5" s="2" t="s">
        <v>314</v>
      </c>
      <c r="G5" s="2" t="s">
        <v>75</v>
      </c>
      <c r="H5" s="11">
        <v>106</v>
      </c>
      <c r="I5" s="11">
        <v>74</v>
      </c>
      <c r="J5" s="11">
        <v>38</v>
      </c>
      <c r="K5" s="11">
        <v>56</v>
      </c>
      <c r="L5" s="12">
        <v>0.67859999999999998</v>
      </c>
      <c r="M5" s="11">
        <v>28</v>
      </c>
      <c r="N5" s="11">
        <v>38</v>
      </c>
      <c r="O5" s="12">
        <v>0.73680000000000001</v>
      </c>
      <c r="P5" s="11">
        <v>10</v>
      </c>
      <c r="Q5" s="11">
        <v>18</v>
      </c>
      <c r="R5" s="12">
        <v>0.55559999999999998</v>
      </c>
      <c r="S5" s="11">
        <v>20</v>
      </c>
      <c r="T5" s="11">
        <v>25</v>
      </c>
      <c r="U5" s="12">
        <v>0.8</v>
      </c>
      <c r="V5" s="11">
        <v>4</v>
      </c>
      <c r="W5" s="11">
        <v>24</v>
      </c>
      <c r="X5" s="11">
        <v>28</v>
      </c>
      <c r="Y5" s="11">
        <v>34</v>
      </c>
      <c r="Z5" s="11">
        <v>11</v>
      </c>
      <c r="AA5" s="11">
        <v>3</v>
      </c>
      <c r="AB5" s="11">
        <v>12</v>
      </c>
      <c r="AC5" s="11">
        <v>24</v>
      </c>
      <c r="AD5" s="11">
        <v>23</v>
      </c>
      <c r="AE5" s="11">
        <v>59</v>
      </c>
      <c r="AF5" s="12">
        <v>0.38979999999999998</v>
      </c>
      <c r="AG5" s="11">
        <v>15</v>
      </c>
      <c r="AH5" s="11">
        <v>34</v>
      </c>
      <c r="AI5" s="12">
        <v>0.44119999999999998</v>
      </c>
      <c r="AJ5" s="11">
        <v>8</v>
      </c>
      <c r="AK5" s="11">
        <v>25</v>
      </c>
      <c r="AL5" s="12">
        <v>0.32</v>
      </c>
      <c r="AM5" s="11">
        <v>20</v>
      </c>
      <c r="AN5" s="11">
        <v>24</v>
      </c>
      <c r="AO5" s="12">
        <v>0.83330000000000004</v>
      </c>
      <c r="AP5" s="11">
        <v>11</v>
      </c>
      <c r="AQ5" s="11">
        <v>15</v>
      </c>
      <c r="AR5" s="11">
        <v>26</v>
      </c>
      <c r="AS5" s="11">
        <v>17</v>
      </c>
      <c r="AT5" s="11">
        <v>9</v>
      </c>
      <c r="AU5" s="11">
        <v>2</v>
      </c>
      <c r="AV5" s="11">
        <v>19</v>
      </c>
      <c r="AW5" s="11">
        <v>24</v>
      </c>
      <c r="AX5" s="12">
        <v>0.79100000000000004</v>
      </c>
      <c r="AY5" s="12">
        <v>0.76790000000000003</v>
      </c>
      <c r="AZ5" s="12">
        <v>0.21049999999999999</v>
      </c>
      <c r="BA5" s="12">
        <v>0.68569999999999998</v>
      </c>
      <c r="BB5" s="12">
        <v>0.51849999999999996</v>
      </c>
      <c r="BC5" s="4">
        <v>75.248999999999995</v>
      </c>
      <c r="BD5" s="12">
        <v>0.89470000000000005</v>
      </c>
      <c r="BE5" s="12">
        <v>0.35709999999999997</v>
      </c>
      <c r="BF5" s="12">
        <v>0.15190000000000001</v>
      </c>
      <c r="BG5" s="4">
        <v>144.69999999999999</v>
      </c>
      <c r="BH5" s="4">
        <v>101</v>
      </c>
      <c r="BI5" s="4">
        <v>73.275999999999996</v>
      </c>
      <c r="BJ5" s="12">
        <v>0.53190000000000004</v>
      </c>
      <c r="BK5" s="12">
        <v>0.45760000000000001</v>
      </c>
      <c r="BL5" s="12">
        <v>0.31430000000000002</v>
      </c>
      <c r="BM5" s="12">
        <v>0.78949999999999998</v>
      </c>
      <c r="BN5" s="12">
        <v>0.48149999999999998</v>
      </c>
      <c r="BO5" s="4">
        <v>71.302999999999997</v>
      </c>
      <c r="BP5" s="12">
        <v>0.73909999999999998</v>
      </c>
      <c r="BQ5" s="12">
        <v>0.33900000000000002</v>
      </c>
      <c r="BR5" s="12">
        <v>0.2145</v>
      </c>
      <c r="BS5" s="4">
        <v>101</v>
      </c>
      <c r="BT5" s="4">
        <v>144.69999999999999</v>
      </c>
      <c r="BU5" s="11">
        <v>26</v>
      </c>
      <c r="BV5" s="11">
        <v>25</v>
      </c>
      <c r="BW5" s="11">
        <v>31</v>
      </c>
      <c r="BX5" s="11">
        <v>24</v>
      </c>
      <c r="BY5" s="11">
        <v>21</v>
      </c>
      <c r="BZ5" s="11">
        <v>15</v>
      </c>
      <c r="CA5" s="11">
        <v>17</v>
      </c>
      <c r="CB5" s="11">
        <v>21</v>
      </c>
      <c r="CC5" s="11">
        <v>51</v>
      </c>
      <c r="CD5" s="11">
        <v>55</v>
      </c>
      <c r="CE5" s="11">
        <v>36</v>
      </c>
      <c r="CF5" s="11">
        <v>38</v>
      </c>
      <c r="CG5" s="4">
        <v>1.53</v>
      </c>
      <c r="CH5" s="13">
        <v>2.6</v>
      </c>
      <c r="CI5" s="4">
        <v>-4.5</v>
      </c>
      <c r="CJ5" s="4">
        <v>4.5</v>
      </c>
      <c r="CK5" s="4">
        <v>152.5</v>
      </c>
      <c r="CL5" s="2" t="s">
        <v>371</v>
      </c>
      <c r="CM5" s="4" t="str">
        <f>VLOOKUP(cholet[[#This Row],[Away_team]],all[[Full name]:[Abbr]],3,FALSE)</f>
        <v>DUN</v>
      </c>
      <c r="CN5" s="4">
        <f>IF(OR(cholet[[#This Row],[Result]]="w",cholet[[#This Row],[Result]]="dw"),cholet[[#This Row],[win]]-1,-1)</f>
        <v>0.53</v>
      </c>
      <c r="CO5" s="4">
        <f>IF(OR(cholet[[#This Row],[Result]]="L",cholet[[#This Row],[Result]]="dl"),cholet[[#This Row],[lose]]-1,-1)</f>
        <v>-1</v>
      </c>
      <c r="CP5" s="4">
        <f>IF(OR((cholet[[#This Row],[Home_scored]]+cholet[[#This Row],[Away_scored]])&gt;cholet[[#This Row],[total]],OR(cholet[[#This Row],[Result]]="dw",cholet[[#This Row],[Result]]="dl")),1,0)</f>
        <v>1</v>
      </c>
      <c r="CQ5" s="4">
        <f>ABS((cholet[[#This Row],[Home_scored]]+cholet[[#This Row],[Away_scored]])-cholet[[#This Row],[total]])+0.5</f>
        <v>28</v>
      </c>
    </row>
    <row r="6" spans="1:95" x14ac:dyDescent="0.25">
      <c r="A6" s="2" t="s">
        <v>349</v>
      </c>
      <c r="B6" s="2" t="s">
        <v>308</v>
      </c>
      <c r="C6" s="3" t="s">
        <v>73</v>
      </c>
      <c r="D6" s="3">
        <v>45576</v>
      </c>
      <c r="E6" s="2" t="s">
        <v>74</v>
      </c>
      <c r="F6" s="2" t="s">
        <v>342</v>
      </c>
      <c r="G6" s="2" t="s">
        <v>75</v>
      </c>
      <c r="H6" s="11">
        <v>82</v>
      </c>
      <c r="I6" s="11">
        <v>59</v>
      </c>
      <c r="J6" s="11">
        <v>30</v>
      </c>
      <c r="K6" s="11">
        <v>53</v>
      </c>
      <c r="L6" s="12">
        <v>0.56599999999999995</v>
      </c>
      <c r="M6" s="11">
        <v>22</v>
      </c>
      <c r="N6" s="11">
        <v>33</v>
      </c>
      <c r="O6" s="12">
        <v>0.66669999999999996</v>
      </c>
      <c r="P6" s="11">
        <v>8</v>
      </c>
      <c r="Q6" s="11">
        <v>20</v>
      </c>
      <c r="R6" s="12">
        <v>0.4</v>
      </c>
      <c r="S6" s="11">
        <v>14</v>
      </c>
      <c r="T6" s="11">
        <v>24</v>
      </c>
      <c r="U6" s="12">
        <v>0.58330000000000004</v>
      </c>
      <c r="V6" s="11">
        <v>7</v>
      </c>
      <c r="W6" s="11">
        <v>21</v>
      </c>
      <c r="X6" s="11">
        <v>28</v>
      </c>
      <c r="Y6" s="11">
        <v>26</v>
      </c>
      <c r="Z6" s="11">
        <v>11</v>
      </c>
      <c r="AA6" s="11">
        <v>2</v>
      </c>
      <c r="AB6" s="11">
        <v>15</v>
      </c>
      <c r="AC6" s="11">
        <v>21</v>
      </c>
      <c r="AD6" s="11">
        <v>21</v>
      </c>
      <c r="AE6" s="11">
        <v>56</v>
      </c>
      <c r="AF6" s="12">
        <v>0.375</v>
      </c>
      <c r="AG6" s="11">
        <v>12</v>
      </c>
      <c r="AH6" s="11">
        <v>25</v>
      </c>
      <c r="AI6" s="12">
        <v>0.48</v>
      </c>
      <c r="AJ6" s="11">
        <v>9</v>
      </c>
      <c r="AK6" s="11">
        <v>31</v>
      </c>
      <c r="AL6" s="12">
        <v>0.2903</v>
      </c>
      <c r="AM6" s="11">
        <v>8</v>
      </c>
      <c r="AN6" s="11">
        <v>8</v>
      </c>
      <c r="AO6" s="12">
        <v>1</v>
      </c>
      <c r="AP6" s="11">
        <v>12</v>
      </c>
      <c r="AQ6" s="11">
        <v>24</v>
      </c>
      <c r="AR6" s="11">
        <v>36</v>
      </c>
      <c r="AS6" s="11">
        <v>14</v>
      </c>
      <c r="AT6" s="11">
        <v>6</v>
      </c>
      <c r="AU6" s="11">
        <v>1</v>
      </c>
      <c r="AV6" s="11">
        <v>22</v>
      </c>
      <c r="AW6" s="11">
        <v>23</v>
      </c>
      <c r="AX6" s="12">
        <v>0.64510000000000001</v>
      </c>
      <c r="AY6" s="12">
        <v>0.64149999999999996</v>
      </c>
      <c r="AZ6" s="12">
        <v>0.2258</v>
      </c>
      <c r="BA6" s="12">
        <v>0.63639999999999997</v>
      </c>
      <c r="BB6" s="12">
        <v>0.4375</v>
      </c>
      <c r="BC6" s="4">
        <v>71.447999999999993</v>
      </c>
      <c r="BD6" s="12">
        <v>0.86670000000000003</v>
      </c>
      <c r="BE6" s="12">
        <v>0.26419999999999999</v>
      </c>
      <c r="BF6" s="12">
        <v>0.19089999999999999</v>
      </c>
      <c r="BG6" s="4">
        <v>117</v>
      </c>
      <c r="BH6" s="4">
        <v>84.2</v>
      </c>
      <c r="BI6" s="4">
        <v>70.082499999999996</v>
      </c>
      <c r="BJ6" s="12">
        <v>0.49559999999999998</v>
      </c>
      <c r="BK6" s="12">
        <v>0.45540000000000003</v>
      </c>
      <c r="BL6" s="12">
        <v>0.36359999999999998</v>
      </c>
      <c r="BM6" s="12">
        <v>0.7742</v>
      </c>
      <c r="BN6" s="12">
        <v>0.5625</v>
      </c>
      <c r="BO6" s="4">
        <v>68.716999999999999</v>
      </c>
      <c r="BP6" s="12">
        <v>0.66669999999999996</v>
      </c>
      <c r="BQ6" s="12">
        <v>0.1429</v>
      </c>
      <c r="BR6" s="12">
        <v>0.26989999999999997</v>
      </c>
      <c r="BS6" s="4">
        <v>84.2</v>
      </c>
      <c r="BT6" s="4">
        <v>117</v>
      </c>
      <c r="BU6" s="11">
        <v>16</v>
      </c>
      <c r="BV6" s="11">
        <v>28</v>
      </c>
      <c r="BW6" s="11">
        <v>25</v>
      </c>
      <c r="BX6" s="11">
        <v>13</v>
      </c>
      <c r="BY6" s="11">
        <v>15</v>
      </c>
      <c r="BZ6" s="11">
        <v>17</v>
      </c>
      <c r="CA6" s="11">
        <v>20</v>
      </c>
      <c r="CB6" s="11">
        <v>7</v>
      </c>
      <c r="CC6" s="11">
        <v>44</v>
      </c>
      <c r="CD6" s="11">
        <v>38</v>
      </c>
      <c r="CE6" s="11">
        <v>32</v>
      </c>
      <c r="CF6" s="11">
        <v>27</v>
      </c>
      <c r="CG6" s="4">
        <v>1.65</v>
      </c>
      <c r="CH6" s="13">
        <v>2.2999999999999998</v>
      </c>
      <c r="CI6" s="4">
        <v>-3</v>
      </c>
      <c r="CJ6" s="4">
        <v>-3</v>
      </c>
      <c r="CK6" s="4">
        <v>155.5</v>
      </c>
      <c r="CL6" s="2" t="s">
        <v>372</v>
      </c>
      <c r="CM6" s="4" t="str">
        <f>VLOOKUP(cholet[[#This Row],[Away_team]],all[[Full name]:[Abbr]],3,FALSE)</f>
        <v>SQU</v>
      </c>
      <c r="CN6" s="4">
        <f>IF(OR(cholet[[#This Row],[Result]]="w",cholet[[#This Row],[Result]]="dw"),cholet[[#This Row],[win]]-1,-1)</f>
        <v>0.64999999999999991</v>
      </c>
      <c r="CO6" s="4">
        <f>IF(OR(cholet[[#This Row],[Result]]="L",cholet[[#This Row],[Result]]="dl"),cholet[[#This Row],[lose]]-1,-1)</f>
        <v>-1</v>
      </c>
      <c r="CP6" s="4">
        <f>IF(OR((cholet[[#This Row],[Home_scored]]+cholet[[#This Row],[Away_scored]])&gt;cholet[[#This Row],[total]],OR(cholet[[#This Row],[Result]]="dw",cholet[[#This Row],[Result]]="dl")),1,0)</f>
        <v>0</v>
      </c>
      <c r="CQ6" s="4">
        <f>ABS((cholet[[#This Row],[Home_scored]]+cholet[[#This Row],[Away_scored]])-cholet[[#This Row],[total]])+0.5</f>
        <v>15</v>
      </c>
    </row>
    <row r="7" spans="1:95" x14ac:dyDescent="0.25">
      <c r="A7" s="2" t="s">
        <v>349</v>
      </c>
      <c r="B7" s="2" t="s">
        <v>308</v>
      </c>
      <c r="C7" s="3" t="s">
        <v>73</v>
      </c>
      <c r="D7" s="3">
        <v>45585</v>
      </c>
      <c r="E7" s="2" t="s">
        <v>140</v>
      </c>
      <c r="F7" s="2" t="s">
        <v>330</v>
      </c>
      <c r="G7" s="2" t="s">
        <v>139</v>
      </c>
      <c r="H7" s="11">
        <v>72</v>
      </c>
      <c r="I7" s="11">
        <v>89</v>
      </c>
      <c r="J7" s="11">
        <v>28</v>
      </c>
      <c r="K7" s="11">
        <v>58</v>
      </c>
      <c r="L7" s="12">
        <v>0.48280000000000001</v>
      </c>
      <c r="M7" s="11">
        <v>22</v>
      </c>
      <c r="N7" s="11">
        <v>37</v>
      </c>
      <c r="O7" s="12">
        <v>0.59460000000000002</v>
      </c>
      <c r="P7" s="11">
        <v>6</v>
      </c>
      <c r="Q7" s="11">
        <v>21</v>
      </c>
      <c r="R7" s="12">
        <v>0.28570000000000001</v>
      </c>
      <c r="S7" s="11">
        <v>10</v>
      </c>
      <c r="T7" s="11">
        <v>18</v>
      </c>
      <c r="U7" s="12">
        <v>0.55559999999999998</v>
      </c>
      <c r="V7" s="11">
        <v>8</v>
      </c>
      <c r="W7" s="11">
        <v>23</v>
      </c>
      <c r="X7" s="11">
        <v>31</v>
      </c>
      <c r="Y7" s="11">
        <v>13</v>
      </c>
      <c r="Z7" s="11">
        <v>6</v>
      </c>
      <c r="AA7" s="11">
        <v>1</v>
      </c>
      <c r="AB7" s="11">
        <v>19</v>
      </c>
      <c r="AC7" s="11">
        <v>30</v>
      </c>
      <c r="AD7" s="11">
        <v>29</v>
      </c>
      <c r="AE7" s="11">
        <v>56</v>
      </c>
      <c r="AF7" s="12">
        <v>0.51790000000000003</v>
      </c>
      <c r="AG7" s="11">
        <v>20</v>
      </c>
      <c r="AH7" s="11">
        <v>34</v>
      </c>
      <c r="AI7" s="12">
        <v>0.58819999999999995</v>
      </c>
      <c r="AJ7" s="11">
        <v>9</v>
      </c>
      <c r="AK7" s="11">
        <v>22</v>
      </c>
      <c r="AL7" s="12">
        <v>0.40910000000000002</v>
      </c>
      <c r="AM7" s="11">
        <v>22</v>
      </c>
      <c r="AN7" s="11">
        <v>33</v>
      </c>
      <c r="AO7" s="12">
        <v>0.66669999999999996</v>
      </c>
      <c r="AP7" s="11">
        <v>10</v>
      </c>
      <c r="AQ7" s="11">
        <v>26</v>
      </c>
      <c r="AR7" s="11">
        <v>36</v>
      </c>
      <c r="AS7" s="11">
        <v>14</v>
      </c>
      <c r="AT7" s="11">
        <v>11</v>
      </c>
      <c r="AU7" s="11">
        <v>5</v>
      </c>
      <c r="AV7" s="11">
        <v>18</v>
      </c>
      <c r="AW7" s="11">
        <v>22</v>
      </c>
      <c r="AX7" s="12">
        <v>0.54610000000000003</v>
      </c>
      <c r="AY7" s="12">
        <v>0.53449999999999998</v>
      </c>
      <c r="AZ7" s="12">
        <v>0.23530000000000001</v>
      </c>
      <c r="BA7" s="12">
        <v>0.69699999999999995</v>
      </c>
      <c r="BB7" s="12">
        <v>0.4627</v>
      </c>
      <c r="BC7" s="4">
        <v>75.915999999999997</v>
      </c>
      <c r="BD7" s="12">
        <v>0.46429999999999999</v>
      </c>
      <c r="BE7" s="12">
        <v>0.1724</v>
      </c>
      <c r="BF7" s="12">
        <v>0.22370000000000001</v>
      </c>
      <c r="BG7" s="4">
        <v>92.8</v>
      </c>
      <c r="BH7" s="4">
        <v>114.8</v>
      </c>
      <c r="BI7" s="4">
        <v>77.545500000000004</v>
      </c>
      <c r="BJ7" s="12">
        <v>0.63100000000000001</v>
      </c>
      <c r="BK7" s="12">
        <v>0.59819999999999995</v>
      </c>
      <c r="BL7" s="12">
        <v>0.30299999999999999</v>
      </c>
      <c r="BM7" s="12">
        <v>0.76470000000000005</v>
      </c>
      <c r="BN7" s="12">
        <v>0.5373</v>
      </c>
      <c r="BO7" s="4">
        <v>79.174999999999997</v>
      </c>
      <c r="BP7" s="12">
        <v>0.48280000000000001</v>
      </c>
      <c r="BQ7" s="12">
        <v>0.39290000000000003</v>
      </c>
      <c r="BR7" s="12">
        <v>0.20330000000000001</v>
      </c>
      <c r="BS7" s="4">
        <v>114.8</v>
      </c>
      <c r="BT7" s="4">
        <v>92.8</v>
      </c>
      <c r="BU7" s="11">
        <v>20</v>
      </c>
      <c r="BV7" s="11">
        <v>25</v>
      </c>
      <c r="BW7" s="11">
        <v>19</v>
      </c>
      <c r="BX7" s="11">
        <v>8</v>
      </c>
      <c r="BY7" s="11">
        <v>20</v>
      </c>
      <c r="BZ7" s="11">
        <v>17</v>
      </c>
      <c r="CA7" s="11">
        <v>22</v>
      </c>
      <c r="CB7" s="11">
        <v>30</v>
      </c>
      <c r="CC7" s="11">
        <v>45</v>
      </c>
      <c r="CD7" s="11">
        <v>27</v>
      </c>
      <c r="CE7" s="11">
        <v>37</v>
      </c>
      <c r="CF7" s="11">
        <v>52</v>
      </c>
      <c r="CG7" s="4">
        <v>4</v>
      </c>
      <c r="CH7" s="13">
        <v>1.26</v>
      </c>
      <c r="CI7" s="4">
        <v>8.5</v>
      </c>
      <c r="CJ7" s="4">
        <v>-8.5</v>
      </c>
      <c r="CK7" s="4">
        <v>157.5</v>
      </c>
      <c r="CL7" s="2" t="s">
        <v>373</v>
      </c>
      <c r="CM7" s="4" t="str">
        <f>VLOOKUP(cholet[[#This Row],[Away_team]],all[[Full name]:[Abbr]],3,FALSE)</f>
        <v>MON</v>
      </c>
      <c r="CN7" s="4">
        <f>IF(OR(cholet[[#This Row],[Result]]="w",cholet[[#This Row],[Result]]="dw"),cholet[[#This Row],[win]]-1,-1)</f>
        <v>-1</v>
      </c>
      <c r="CO7" s="4">
        <f>IF(OR(cholet[[#This Row],[Result]]="L",cholet[[#This Row],[Result]]="dl"),cholet[[#This Row],[lose]]-1,-1)</f>
        <v>0.26</v>
      </c>
      <c r="CP7" s="4">
        <f>IF(OR((cholet[[#This Row],[Home_scored]]+cholet[[#This Row],[Away_scored]])&gt;cholet[[#This Row],[total]],OR(cholet[[#This Row],[Result]]="dw",cholet[[#This Row],[Result]]="dl")),1,0)</f>
        <v>1</v>
      </c>
      <c r="CQ7" s="4">
        <f>ABS((cholet[[#This Row],[Home_scored]]+cholet[[#This Row],[Away_scored]])-cholet[[#This Row],[total]])+0.5</f>
        <v>4</v>
      </c>
    </row>
    <row r="8" spans="1:95" x14ac:dyDescent="0.25">
      <c r="A8" s="2" t="s">
        <v>349</v>
      </c>
      <c r="B8" s="2" t="s">
        <v>308</v>
      </c>
      <c r="C8" s="3" t="s">
        <v>73</v>
      </c>
      <c r="D8" s="3">
        <v>45591</v>
      </c>
      <c r="E8" s="2" t="s">
        <v>74</v>
      </c>
      <c r="F8" s="2" t="s">
        <v>339</v>
      </c>
      <c r="G8" s="2" t="s">
        <v>75</v>
      </c>
      <c r="H8" s="11">
        <v>90</v>
      </c>
      <c r="I8" s="11">
        <v>80</v>
      </c>
      <c r="J8" s="11">
        <v>34</v>
      </c>
      <c r="K8" s="11">
        <v>71</v>
      </c>
      <c r="L8" s="12">
        <v>0.47889999999999999</v>
      </c>
      <c r="M8" s="11">
        <v>25</v>
      </c>
      <c r="N8" s="11">
        <v>47</v>
      </c>
      <c r="O8" s="12">
        <v>0.53190000000000004</v>
      </c>
      <c r="P8" s="11">
        <v>9</v>
      </c>
      <c r="Q8" s="11">
        <v>24</v>
      </c>
      <c r="R8" s="12">
        <v>0.375</v>
      </c>
      <c r="S8" s="11">
        <v>13</v>
      </c>
      <c r="T8" s="11">
        <v>17</v>
      </c>
      <c r="U8" s="12">
        <v>0.76470000000000005</v>
      </c>
      <c r="V8" s="11">
        <v>12</v>
      </c>
      <c r="W8" s="11">
        <v>26</v>
      </c>
      <c r="X8" s="11">
        <v>38</v>
      </c>
      <c r="Y8" s="11">
        <v>20</v>
      </c>
      <c r="Z8" s="11">
        <v>9</v>
      </c>
      <c r="AA8" s="11">
        <v>4</v>
      </c>
      <c r="AB8" s="11">
        <v>11</v>
      </c>
      <c r="AC8" s="11">
        <v>24</v>
      </c>
      <c r="AD8" s="11">
        <v>27</v>
      </c>
      <c r="AE8" s="11">
        <v>67</v>
      </c>
      <c r="AF8" s="12">
        <v>0.40300000000000002</v>
      </c>
      <c r="AG8" s="11">
        <v>17</v>
      </c>
      <c r="AH8" s="11">
        <v>36</v>
      </c>
      <c r="AI8" s="12">
        <v>0.47220000000000001</v>
      </c>
      <c r="AJ8" s="11">
        <v>10</v>
      </c>
      <c r="AK8" s="11">
        <v>31</v>
      </c>
      <c r="AL8" s="12">
        <v>0.3226</v>
      </c>
      <c r="AM8" s="11">
        <v>16</v>
      </c>
      <c r="AN8" s="11">
        <v>23</v>
      </c>
      <c r="AO8" s="12">
        <v>0.69569999999999999</v>
      </c>
      <c r="AP8" s="11">
        <v>18</v>
      </c>
      <c r="AQ8" s="11">
        <v>24</v>
      </c>
      <c r="AR8" s="11">
        <v>42</v>
      </c>
      <c r="AS8" s="11">
        <v>15</v>
      </c>
      <c r="AT8" s="11">
        <v>5</v>
      </c>
      <c r="AU8" s="11">
        <v>4</v>
      </c>
      <c r="AV8" s="11">
        <v>16</v>
      </c>
      <c r="AW8" s="11">
        <v>24</v>
      </c>
      <c r="AX8" s="12">
        <v>0.57340000000000002</v>
      </c>
      <c r="AY8" s="12">
        <v>0.5423</v>
      </c>
      <c r="AZ8" s="12">
        <v>0.33329999999999999</v>
      </c>
      <c r="BA8" s="12">
        <v>0.59089999999999998</v>
      </c>
      <c r="BB8" s="12">
        <v>0.47499999999999998</v>
      </c>
      <c r="BC8" s="4">
        <v>76.298000000000002</v>
      </c>
      <c r="BD8" s="12">
        <v>0.58819999999999995</v>
      </c>
      <c r="BE8" s="12">
        <v>0.18310000000000001</v>
      </c>
      <c r="BF8" s="12">
        <v>0.1229</v>
      </c>
      <c r="BG8" s="4">
        <v>119.9</v>
      </c>
      <c r="BH8" s="4">
        <v>106.6</v>
      </c>
      <c r="BI8" s="4">
        <v>75.077500000000001</v>
      </c>
      <c r="BJ8" s="12">
        <v>0.51870000000000005</v>
      </c>
      <c r="BK8" s="12">
        <v>0.47760000000000002</v>
      </c>
      <c r="BL8" s="12">
        <v>0.40910000000000002</v>
      </c>
      <c r="BM8" s="12">
        <v>0.66669999999999996</v>
      </c>
      <c r="BN8" s="12">
        <v>0.52500000000000002</v>
      </c>
      <c r="BO8" s="4">
        <v>73.856999999999999</v>
      </c>
      <c r="BP8" s="12">
        <v>0.55559999999999998</v>
      </c>
      <c r="BQ8" s="12">
        <v>0.23880000000000001</v>
      </c>
      <c r="BR8" s="12">
        <v>0.17180000000000001</v>
      </c>
      <c r="BS8" s="4">
        <v>106.6</v>
      </c>
      <c r="BT8" s="4">
        <v>119.9</v>
      </c>
      <c r="BU8" s="11">
        <v>25</v>
      </c>
      <c r="BV8" s="11">
        <v>18</v>
      </c>
      <c r="BW8" s="11">
        <v>22</v>
      </c>
      <c r="BX8" s="11">
        <v>25</v>
      </c>
      <c r="BY8" s="11">
        <v>27</v>
      </c>
      <c r="BZ8" s="11">
        <v>14</v>
      </c>
      <c r="CA8" s="11">
        <v>19</v>
      </c>
      <c r="CB8" s="11">
        <v>20</v>
      </c>
      <c r="CC8" s="11">
        <v>43</v>
      </c>
      <c r="CD8" s="11">
        <v>47</v>
      </c>
      <c r="CE8" s="11">
        <v>41</v>
      </c>
      <c r="CF8" s="11">
        <v>39</v>
      </c>
      <c r="CG8" s="4">
        <v>2.5</v>
      </c>
      <c r="CH8" s="13">
        <v>1.56</v>
      </c>
      <c r="CI8" s="4">
        <v>4</v>
      </c>
      <c r="CJ8" s="4">
        <v>-4</v>
      </c>
      <c r="CK8" s="4">
        <v>164.5</v>
      </c>
      <c r="CL8" s="2" t="s">
        <v>374</v>
      </c>
      <c r="CM8" s="4" t="str">
        <f>VLOOKUP(cholet[[#This Row],[Away_team]],all[[Full name]:[Abbr]],3,FALSE)</f>
        <v>PAR</v>
      </c>
      <c r="CN8" s="4">
        <f>IF(OR(cholet[[#This Row],[Result]]="w",cholet[[#This Row],[Result]]="dw"),cholet[[#This Row],[win]]-1,-1)</f>
        <v>1.5</v>
      </c>
      <c r="CO8" s="4">
        <f>IF(OR(cholet[[#This Row],[Result]]="L",cholet[[#This Row],[Result]]="dl"),cholet[[#This Row],[lose]]-1,-1)</f>
        <v>-1</v>
      </c>
      <c r="CP8" s="4">
        <f>IF(OR((cholet[[#This Row],[Home_scored]]+cholet[[#This Row],[Away_scored]])&gt;cholet[[#This Row],[total]],OR(cholet[[#This Row],[Result]]="dw",cholet[[#This Row],[Result]]="dl")),1,0)</f>
        <v>1</v>
      </c>
      <c r="CQ8" s="4">
        <f>ABS((cholet[[#This Row],[Home_scored]]+cholet[[#This Row],[Away_scored]])-cholet[[#This Row],[total]])+0.5</f>
        <v>6</v>
      </c>
    </row>
    <row r="9" spans="1:95" x14ac:dyDescent="0.25">
      <c r="A9" s="2" t="s">
        <v>349</v>
      </c>
      <c r="B9" s="2" t="s">
        <v>308</v>
      </c>
      <c r="C9" s="3" t="s">
        <v>73</v>
      </c>
      <c r="D9" s="3">
        <v>45599</v>
      </c>
      <c r="E9" s="2" t="s">
        <v>140</v>
      </c>
      <c r="F9" s="2" t="s">
        <v>327</v>
      </c>
      <c r="G9" s="2" t="s">
        <v>75</v>
      </c>
      <c r="H9" s="11">
        <v>101</v>
      </c>
      <c r="I9" s="11">
        <v>87</v>
      </c>
      <c r="J9" s="11">
        <v>37</v>
      </c>
      <c r="K9" s="11">
        <v>64</v>
      </c>
      <c r="L9" s="12">
        <v>0.57809999999999995</v>
      </c>
      <c r="M9" s="11">
        <v>28</v>
      </c>
      <c r="N9" s="11">
        <v>43</v>
      </c>
      <c r="O9" s="12">
        <v>0.6512</v>
      </c>
      <c r="P9" s="11">
        <v>9</v>
      </c>
      <c r="Q9" s="11">
        <v>21</v>
      </c>
      <c r="R9" s="12">
        <v>0.42859999999999998</v>
      </c>
      <c r="S9" s="11">
        <v>18</v>
      </c>
      <c r="T9" s="11">
        <v>27</v>
      </c>
      <c r="U9" s="12">
        <v>0.66669999999999996</v>
      </c>
      <c r="V9" s="11">
        <v>9</v>
      </c>
      <c r="W9" s="11">
        <v>25</v>
      </c>
      <c r="X9" s="11">
        <v>34</v>
      </c>
      <c r="Y9" s="11">
        <v>21</v>
      </c>
      <c r="Z9" s="11">
        <v>4</v>
      </c>
      <c r="AA9" s="11">
        <v>3</v>
      </c>
      <c r="AB9" s="11">
        <v>11</v>
      </c>
      <c r="AC9" s="11">
        <v>30</v>
      </c>
      <c r="AD9" s="11">
        <v>26</v>
      </c>
      <c r="AE9" s="11">
        <v>53</v>
      </c>
      <c r="AF9" s="12">
        <v>0.49059999999999998</v>
      </c>
      <c r="AG9" s="11">
        <v>18</v>
      </c>
      <c r="AH9" s="11">
        <v>27</v>
      </c>
      <c r="AI9" s="12">
        <v>0.66669999999999996</v>
      </c>
      <c r="AJ9" s="11">
        <v>8</v>
      </c>
      <c r="AK9" s="11">
        <v>26</v>
      </c>
      <c r="AL9" s="12">
        <v>0.30769999999999997</v>
      </c>
      <c r="AM9" s="11">
        <v>27</v>
      </c>
      <c r="AN9" s="11">
        <v>37</v>
      </c>
      <c r="AO9" s="12">
        <v>0.72970000000000002</v>
      </c>
      <c r="AP9" s="11">
        <v>7</v>
      </c>
      <c r="AQ9" s="11">
        <v>25</v>
      </c>
      <c r="AR9" s="11">
        <v>32</v>
      </c>
      <c r="AS9" s="11">
        <v>16</v>
      </c>
      <c r="AT9" s="11">
        <v>6</v>
      </c>
      <c r="AU9" s="11">
        <v>1</v>
      </c>
      <c r="AV9" s="11">
        <v>13</v>
      </c>
      <c r="AW9" s="11">
        <v>24</v>
      </c>
      <c r="AX9" s="12">
        <v>0.66549999999999998</v>
      </c>
      <c r="AY9" s="12">
        <v>0.64839999999999998</v>
      </c>
      <c r="AZ9" s="12">
        <v>0.26469999999999999</v>
      </c>
      <c r="BA9" s="12">
        <v>0.78129999999999999</v>
      </c>
      <c r="BB9" s="12">
        <v>0.51519999999999999</v>
      </c>
      <c r="BC9" s="4">
        <v>78.153000000000006</v>
      </c>
      <c r="BD9" s="12">
        <v>0.56759999999999999</v>
      </c>
      <c r="BE9" s="12">
        <v>0.28129999999999999</v>
      </c>
      <c r="BF9" s="12">
        <v>0.12659999999999999</v>
      </c>
      <c r="BG9" s="4">
        <v>132.30000000000001</v>
      </c>
      <c r="BH9" s="4">
        <v>114</v>
      </c>
      <c r="BI9" s="4">
        <v>76.316500000000005</v>
      </c>
      <c r="BJ9" s="12">
        <v>0.62790000000000001</v>
      </c>
      <c r="BK9" s="12">
        <v>0.56599999999999995</v>
      </c>
      <c r="BL9" s="12">
        <v>0.21879999999999999</v>
      </c>
      <c r="BM9" s="12">
        <v>0.73529999999999995</v>
      </c>
      <c r="BN9" s="12">
        <v>0.48480000000000001</v>
      </c>
      <c r="BO9" s="4">
        <v>74.48</v>
      </c>
      <c r="BP9" s="12">
        <v>0.61539999999999995</v>
      </c>
      <c r="BQ9" s="12">
        <v>0.50939999999999996</v>
      </c>
      <c r="BR9" s="12">
        <v>0.158</v>
      </c>
      <c r="BS9" s="4">
        <v>114</v>
      </c>
      <c r="BT9" s="4">
        <v>132.30000000000001</v>
      </c>
      <c r="BU9" s="11">
        <v>21</v>
      </c>
      <c r="BV9" s="11">
        <v>29</v>
      </c>
      <c r="BW9" s="11">
        <v>28</v>
      </c>
      <c r="BX9" s="11">
        <v>23</v>
      </c>
      <c r="BY9" s="11">
        <v>19</v>
      </c>
      <c r="BZ9" s="11">
        <v>22</v>
      </c>
      <c r="CA9" s="11">
        <v>23</v>
      </c>
      <c r="CB9" s="11">
        <v>23</v>
      </c>
      <c r="CC9" s="11">
        <v>50</v>
      </c>
      <c r="CD9" s="11">
        <v>51</v>
      </c>
      <c r="CE9" s="11">
        <v>41</v>
      </c>
      <c r="CF9" s="11">
        <v>46</v>
      </c>
      <c r="CG9" s="4">
        <v>4</v>
      </c>
      <c r="CH9" s="13">
        <v>1.26</v>
      </c>
      <c r="CI9" s="4">
        <v>8.5</v>
      </c>
      <c r="CJ9" s="4">
        <v>-8.5</v>
      </c>
      <c r="CK9" s="4">
        <v>161.5</v>
      </c>
      <c r="CL9" s="2" t="s">
        <v>375</v>
      </c>
      <c r="CM9" s="4" t="str">
        <f>VLOOKUP(cholet[[#This Row],[Away_team]],all[[Full name]:[Abbr]],3,FALSE)</f>
        <v>LYO</v>
      </c>
      <c r="CN9" s="4">
        <f>IF(OR(cholet[[#This Row],[Result]]="w",cholet[[#This Row],[Result]]="dw"),cholet[[#This Row],[win]]-1,-1)</f>
        <v>3</v>
      </c>
      <c r="CO9" s="4">
        <f>IF(OR(cholet[[#This Row],[Result]]="L",cholet[[#This Row],[Result]]="dl"),cholet[[#This Row],[lose]]-1,-1)</f>
        <v>-1</v>
      </c>
      <c r="CP9" s="4">
        <f>IF(OR((cholet[[#This Row],[Home_scored]]+cholet[[#This Row],[Away_scored]])&gt;cholet[[#This Row],[total]],OR(cholet[[#This Row],[Result]]="dw",cholet[[#This Row],[Result]]="dl")),1,0)</f>
        <v>1</v>
      </c>
      <c r="CQ9" s="4">
        <f>ABS((cholet[[#This Row],[Home_scored]]+cholet[[#This Row],[Away_scored]])-cholet[[#This Row],[total]])+0.5</f>
        <v>27</v>
      </c>
    </row>
    <row r="10" spans="1:95" x14ac:dyDescent="0.25">
      <c r="A10" s="2" t="s">
        <v>349</v>
      </c>
      <c r="B10" s="2" t="s">
        <v>308</v>
      </c>
      <c r="C10" s="3" t="s">
        <v>73</v>
      </c>
      <c r="D10" s="3">
        <v>45605</v>
      </c>
      <c r="E10" s="2" t="s">
        <v>140</v>
      </c>
      <c r="F10" s="2" t="s">
        <v>324</v>
      </c>
      <c r="G10" s="2" t="s">
        <v>75</v>
      </c>
      <c r="H10" s="11">
        <v>75</v>
      </c>
      <c r="I10" s="11">
        <v>69</v>
      </c>
      <c r="J10" s="11">
        <v>30</v>
      </c>
      <c r="K10" s="11">
        <v>63</v>
      </c>
      <c r="L10" s="12">
        <v>0.47620000000000001</v>
      </c>
      <c r="M10" s="11">
        <v>23</v>
      </c>
      <c r="N10" s="11">
        <v>42</v>
      </c>
      <c r="O10" s="12">
        <v>0.54759999999999998</v>
      </c>
      <c r="P10" s="11">
        <v>7</v>
      </c>
      <c r="Q10" s="11">
        <v>21</v>
      </c>
      <c r="R10" s="12">
        <v>0.33329999999999999</v>
      </c>
      <c r="S10" s="11">
        <v>8</v>
      </c>
      <c r="T10" s="11">
        <v>13</v>
      </c>
      <c r="U10" s="12">
        <v>0.61539999999999995</v>
      </c>
      <c r="V10" s="11">
        <v>7</v>
      </c>
      <c r="W10" s="11">
        <v>29</v>
      </c>
      <c r="X10" s="11">
        <v>36</v>
      </c>
      <c r="Y10" s="11">
        <v>25</v>
      </c>
      <c r="Z10" s="11">
        <v>7</v>
      </c>
      <c r="AA10" s="11">
        <v>0</v>
      </c>
      <c r="AB10" s="11">
        <v>19</v>
      </c>
      <c r="AC10" s="11">
        <v>23</v>
      </c>
      <c r="AD10" s="11">
        <v>22</v>
      </c>
      <c r="AE10" s="11">
        <v>59</v>
      </c>
      <c r="AF10" s="12">
        <v>0.37290000000000001</v>
      </c>
      <c r="AG10" s="11">
        <v>15</v>
      </c>
      <c r="AH10" s="11">
        <v>34</v>
      </c>
      <c r="AI10" s="12">
        <v>0.44119999999999998</v>
      </c>
      <c r="AJ10" s="11">
        <v>7</v>
      </c>
      <c r="AK10" s="11">
        <v>25</v>
      </c>
      <c r="AL10" s="12">
        <v>0.28000000000000003</v>
      </c>
      <c r="AM10" s="11">
        <v>18</v>
      </c>
      <c r="AN10" s="11">
        <v>24</v>
      </c>
      <c r="AO10" s="12">
        <v>0.75</v>
      </c>
      <c r="AP10" s="11">
        <v>8</v>
      </c>
      <c r="AQ10" s="11">
        <v>27</v>
      </c>
      <c r="AR10" s="11">
        <v>35</v>
      </c>
      <c r="AS10" s="11">
        <v>20</v>
      </c>
      <c r="AT10" s="11">
        <v>7</v>
      </c>
      <c r="AU10" s="11">
        <v>2</v>
      </c>
      <c r="AV10" s="11">
        <v>17</v>
      </c>
      <c r="AW10" s="11">
        <v>21</v>
      </c>
      <c r="AX10" s="12">
        <v>0.54569999999999996</v>
      </c>
      <c r="AY10" s="12">
        <v>0.53169999999999995</v>
      </c>
      <c r="AZ10" s="12">
        <v>0.2059</v>
      </c>
      <c r="BA10" s="12">
        <v>0.78380000000000005</v>
      </c>
      <c r="BB10" s="12">
        <v>0.50700000000000001</v>
      </c>
      <c r="BC10" s="4">
        <v>80.334000000000003</v>
      </c>
      <c r="BD10" s="12">
        <v>0.83330000000000004</v>
      </c>
      <c r="BE10" s="12">
        <v>0.127</v>
      </c>
      <c r="BF10" s="12">
        <v>0.21659999999999999</v>
      </c>
      <c r="BG10" s="4">
        <v>95.6</v>
      </c>
      <c r="BH10" s="4">
        <v>88</v>
      </c>
      <c r="BI10" s="4">
        <v>78.442499999999995</v>
      </c>
      <c r="BJ10" s="12">
        <v>0.496</v>
      </c>
      <c r="BK10" s="12">
        <v>0.43219999999999997</v>
      </c>
      <c r="BL10" s="12">
        <v>0.2162</v>
      </c>
      <c r="BM10" s="12">
        <v>0.79410000000000003</v>
      </c>
      <c r="BN10" s="12">
        <v>0.49299999999999999</v>
      </c>
      <c r="BO10" s="4">
        <v>76.551000000000002</v>
      </c>
      <c r="BP10" s="12">
        <v>0.90910000000000002</v>
      </c>
      <c r="BQ10" s="12">
        <v>0.30509999999999998</v>
      </c>
      <c r="BR10" s="12">
        <v>0.19639999999999999</v>
      </c>
      <c r="BS10" s="4">
        <v>88</v>
      </c>
      <c r="BT10" s="4">
        <v>95.6</v>
      </c>
      <c r="BU10" s="11">
        <v>20</v>
      </c>
      <c r="BV10" s="11">
        <v>16</v>
      </c>
      <c r="BW10" s="11">
        <v>26</v>
      </c>
      <c r="BX10" s="11">
        <v>13</v>
      </c>
      <c r="BY10" s="11">
        <v>18</v>
      </c>
      <c r="BZ10" s="11">
        <v>16</v>
      </c>
      <c r="CA10" s="11">
        <v>12</v>
      </c>
      <c r="CB10" s="11">
        <v>23</v>
      </c>
      <c r="CC10" s="11">
        <v>36</v>
      </c>
      <c r="CD10" s="11">
        <v>39</v>
      </c>
      <c r="CE10" s="11">
        <v>34</v>
      </c>
      <c r="CF10" s="11">
        <v>35</v>
      </c>
      <c r="CG10" s="4">
        <v>1.8</v>
      </c>
      <c r="CH10" s="13">
        <v>2.0499999999999998</v>
      </c>
      <c r="CI10" s="4">
        <v>-1.5</v>
      </c>
      <c r="CJ10" s="4">
        <v>1.5</v>
      </c>
      <c r="CK10" s="4">
        <v>157.5</v>
      </c>
      <c r="CL10" s="2" t="s">
        <v>376</v>
      </c>
      <c r="CM10" s="4" t="str">
        <f>VLOOKUP(cholet[[#This Row],[Away_team]],all[[Full name]:[Abbr]],3,FALSE)</f>
        <v>LIM</v>
      </c>
      <c r="CN10" s="4">
        <f>IF(OR(cholet[[#This Row],[Result]]="w",cholet[[#This Row],[Result]]="dw"),cholet[[#This Row],[win]]-1,-1)</f>
        <v>0.8</v>
      </c>
      <c r="CO10" s="4">
        <f>IF(OR(cholet[[#This Row],[Result]]="L",cholet[[#This Row],[Result]]="dl"),cholet[[#This Row],[lose]]-1,-1)</f>
        <v>-1</v>
      </c>
      <c r="CP10" s="4">
        <f>IF(OR((cholet[[#This Row],[Home_scored]]+cholet[[#This Row],[Away_scored]])&gt;cholet[[#This Row],[total]],OR(cholet[[#This Row],[Result]]="dw",cholet[[#This Row],[Result]]="dl")),1,0)</f>
        <v>0</v>
      </c>
      <c r="CQ10" s="4">
        <f>ABS((cholet[[#This Row],[Home_scored]]+cholet[[#This Row],[Away_scored]])-cholet[[#This Row],[total]])+0.5</f>
        <v>14</v>
      </c>
    </row>
    <row r="11" spans="1:95" x14ac:dyDescent="0.25">
      <c r="A11" s="2" t="s">
        <v>349</v>
      </c>
      <c r="B11" s="2" t="s">
        <v>308</v>
      </c>
      <c r="C11" s="3" t="s">
        <v>73</v>
      </c>
      <c r="D11" s="3">
        <v>45612</v>
      </c>
      <c r="E11" s="2" t="s">
        <v>74</v>
      </c>
      <c r="F11" s="2" t="s">
        <v>320</v>
      </c>
      <c r="G11" s="2" t="s">
        <v>75</v>
      </c>
      <c r="H11" s="11">
        <v>80</v>
      </c>
      <c r="I11" s="11">
        <v>65</v>
      </c>
      <c r="J11" s="11">
        <v>32</v>
      </c>
      <c r="K11" s="11">
        <v>68</v>
      </c>
      <c r="L11" s="12">
        <v>0.47060000000000002</v>
      </c>
      <c r="M11" s="11">
        <v>26</v>
      </c>
      <c r="N11" s="11">
        <v>49</v>
      </c>
      <c r="O11" s="12">
        <v>0.53059999999999996</v>
      </c>
      <c r="P11" s="11">
        <v>6</v>
      </c>
      <c r="Q11" s="11">
        <v>19</v>
      </c>
      <c r="R11" s="12">
        <v>0.31580000000000003</v>
      </c>
      <c r="S11" s="11">
        <v>10</v>
      </c>
      <c r="T11" s="11">
        <v>16</v>
      </c>
      <c r="U11" s="12">
        <v>0.625</v>
      </c>
      <c r="V11" s="11">
        <v>15</v>
      </c>
      <c r="W11" s="11">
        <v>29</v>
      </c>
      <c r="X11" s="11">
        <v>44</v>
      </c>
      <c r="Y11" s="11">
        <v>24</v>
      </c>
      <c r="Z11" s="11">
        <v>8</v>
      </c>
      <c r="AA11" s="11">
        <v>1</v>
      </c>
      <c r="AB11" s="11">
        <v>13</v>
      </c>
      <c r="AC11" s="11">
        <v>17</v>
      </c>
      <c r="AD11" s="11">
        <v>23</v>
      </c>
      <c r="AE11" s="11">
        <v>59</v>
      </c>
      <c r="AF11" s="12">
        <v>0.38979999999999998</v>
      </c>
      <c r="AG11" s="11">
        <v>13</v>
      </c>
      <c r="AH11" s="11">
        <v>31</v>
      </c>
      <c r="AI11" s="12">
        <v>0.4194</v>
      </c>
      <c r="AJ11" s="11">
        <v>10</v>
      </c>
      <c r="AK11" s="11">
        <v>28</v>
      </c>
      <c r="AL11" s="12">
        <v>0.35709999999999997</v>
      </c>
      <c r="AM11" s="11">
        <v>9</v>
      </c>
      <c r="AN11" s="11">
        <v>12</v>
      </c>
      <c r="AO11" s="12">
        <v>0.75</v>
      </c>
      <c r="AP11" s="11">
        <v>9</v>
      </c>
      <c r="AQ11" s="11">
        <v>24</v>
      </c>
      <c r="AR11" s="11">
        <v>33</v>
      </c>
      <c r="AS11" s="11">
        <v>14</v>
      </c>
      <c r="AT11" s="11">
        <v>13</v>
      </c>
      <c r="AU11" s="11">
        <v>3</v>
      </c>
      <c r="AV11" s="11">
        <v>17</v>
      </c>
      <c r="AW11" s="11">
        <v>17</v>
      </c>
      <c r="AX11" s="12">
        <v>0.53300000000000003</v>
      </c>
      <c r="AY11" s="12">
        <v>0.51470000000000005</v>
      </c>
      <c r="AZ11" s="12">
        <v>0.3846</v>
      </c>
      <c r="BA11" s="12">
        <v>0.76319999999999999</v>
      </c>
      <c r="BB11" s="12">
        <v>0.57140000000000002</v>
      </c>
      <c r="BC11" s="4">
        <v>74.268000000000001</v>
      </c>
      <c r="BD11" s="12">
        <v>0.75</v>
      </c>
      <c r="BE11" s="12">
        <v>0.14710000000000001</v>
      </c>
      <c r="BF11" s="12">
        <v>0.1477</v>
      </c>
      <c r="BG11" s="4">
        <v>110.7</v>
      </c>
      <c r="BH11" s="4">
        <v>89.9</v>
      </c>
      <c r="BI11" s="4">
        <v>72.281499999999994</v>
      </c>
      <c r="BJ11" s="12">
        <v>0.50560000000000005</v>
      </c>
      <c r="BK11" s="12">
        <v>0.47460000000000002</v>
      </c>
      <c r="BL11" s="12">
        <v>0.23680000000000001</v>
      </c>
      <c r="BM11" s="12">
        <v>0.61539999999999995</v>
      </c>
      <c r="BN11" s="12">
        <v>0.42859999999999998</v>
      </c>
      <c r="BO11" s="4">
        <v>70.295000000000002</v>
      </c>
      <c r="BP11" s="12">
        <v>0.60870000000000002</v>
      </c>
      <c r="BQ11" s="12">
        <v>0.1525</v>
      </c>
      <c r="BR11" s="12">
        <v>0.2092</v>
      </c>
      <c r="BS11" s="4">
        <v>89.9</v>
      </c>
      <c r="BT11" s="4">
        <v>110.7</v>
      </c>
      <c r="BU11" s="11">
        <v>30</v>
      </c>
      <c r="BV11" s="11">
        <v>18</v>
      </c>
      <c r="BW11" s="11">
        <v>15</v>
      </c>
      <c r="BX11" s="11">
        <v>17</v>
      </c>
      <c r="BY11" s="11">
        <v>20</v>
      </c>
      <c r="BZ11" s="11">
        <v>14</v>
      </c>
      <c r="CA11" s="11">
        <v>18</v>
      </c>
      <c r="CB11" s="11">
        <v>13</v>
      </c>
      <c r="CC11" s="11">
        <v>48</v>
      </c>
      <c r="CD11" s="11">
        <v>32</v>
      </c>
      <c r="CE11" s="11">
        <v>34</v>
      </c>
      <c r="CF11" s="11">
        <v>31</v>
      </c>
      <c r="CG11" s="4">
        <v>1.24</v>
      </c>
      <c r="CH11" s="13">
        <v>4.25</v>
      </c>
      <c r="CI11" s="4">
        <v>-9</v>
      </c>
      <c r="CJ11" s="4">
        <v>-9</v>
      </c>
      <c r="CK11" s="4">
        <v>156.5</v>
      </c>
      <c r="CL11" s="2" t="s">
        <v>464</v>
      </c>
      <c r="CM11" s="4" t="str">
        <f>VLOOKUP(cholet[[#This Row],[Away_team]],all[[Full name]:[Abbr]],3,FALSE)</f>
        <v>POR</v>
      </c>
      <c r="CN11" s="4">
        <f>IF(OR(cholet[[#This Row],[Result]]="w",cholet[[#This Row],[Result]]="dw"),cholet[[#This Row],[win]]-1,-1)</f>
        <v>0.24</v>
      </c>
      <c r="CO11" s="4">
        <f>IF(OR(cholet[[#This Row],[Result]]="L",cholet[[#This Row],[Result]]="dl"),cholet[[#This Row],[lose]]-1,-1)</f>
        <v>-1</v>
      </c>
      <c r="CP11" s="4">
        <f>IF(OR((cholet[[#This Row],[Home_scored]]+cholet[[#This Row],[Away_scored]])&gt;cholet[[#This Row],[total]],OR(cholet[[#This Row],[Result]]="dw",cholet[[#This Row],[Result]]="dl")),1,0)</f>
        <v>0</v>
      </c>
      <c r="CQ11" s="4">
        <f>ABS((cholet[[#This Row],[Home_scored]]+cholet[[#This Row],[Away_scored]])-cholet[[#This Row],[total]])+0.5</f>
        <v>12</v>
      </c>
    </row>
    <row r="12" spans="1:95" x14ac:dyDescent="0.25">
      <c r="A12" s="2" t="s">
        <v>349</v>
      </c>
      <c r="B12" s="2" t="s">
        <v>308</v>
      </c>
      <c r="C12" s="3" t="s">
        <v>73</v>
      </c>
      <c r="D12" s="3">
        <v>45626</v>
      </c>
      <c r="E12" s="2" t="s">
        <v>74</v>
      </c>
      <c r="F12" s="2" t="s">
        <v>305</v>
      </c>
      <c r="G12" s="2" t="s">
        <v>75</v>
      </c>
      <c r="H12" s="11">
        <v>88</v>
      </c>
      <c r="I12" s="11">
        <v>74</v>
      </c>
      <c r="J12" s="11">
        <v>30</v>
      </c>
      <c r="K12" s="11">
        <v>60</v>
      </c>
      <c r="L12" s="12">
        <v>0.5</v>
      </c>
      <c r="M12" s="11">
        <v>21</v>
      </c>
      <c r="N12" s="11">
        <v>32</v>
      </c>
      <c r="O12" s="12">
        <v>0.65629999999999999</v>
      </c>
      <c r="P12" s="11">
        <v>9</v>
      </c>
      <c r="Q12" s="11">
        <v>28</v>
      </c>
      <c r="R12" s="12">
        <v>0.32140000000000002</v>
      </c>
      <c r="S12" s="11">
        <v>19</v>
      </c>
      <c r="T12" s="11">
        <v>25</v>
      </c>
      <c r="U12" s="12">
        <v>0.76</v>
      </c>
      <c r="V12" s="11">
        <v>11</v>
      </c>
      <c r="W12" s="11">
        <v>22</v>
      </c>
      <c r="X12" s="11">
        <v>33</v>
      </c>
      <c r="Y12" s="11">
        <v>19</v>
      </c>
      <c r="Z12" s="11">
        <v>9</v>
      </c>
      <c r="AA12" s="11">
        <v>5</v>
      </c>
      <c r="AB12" s="11">
        <v>17</v>
      </c>
      <c r="AC12" s="11">
        <v>21</v>
      </c>
      <c r="AD12" s="11">
        <v>24</v>
      </c>
      <c r="AE12" s="11">
        <v>50</v>
      </c>
      <c r="AF12" s="12">
        <v>0.48</v>
      </c>
      <c r="AG12" s="11">
        <v>14</v>
      </c>
      <c r="AH12" s="11">
        <v>29</v>
      </c>
      <c r="AI12" s="12">
        <v>0.48280000000000001</v>
      </c>
      <c r="AJ12" s="11">
        <v>10</v>
      </c>
      <c r="AK12" s="11">
        <v>21</v>
      </c>
      <c r="AL12" s="12">
        <v>0.47620000000000001</v>
      </c>
      <c r="AM12" s="11">
        <v>16</v>
      </c>
      <c r="AN12" s="11">
        <v>22</v>
      </c>
      <c r="AO12" s="12">
        <v>0.72729999999999995</v>
      </c>
      <c r="AP12" s="11">
        <v>6</v>
      </c>
      <c r="AQ12" s="11">
        <v>22</v>
      </c>
      <c r="AR12" s="11">
        <v>28</v>
      </c>
      <c r="AS12" s="11">
        <v>13</v>
      </c>
      <c r="AT12" s="11">
        <v>7</v>
      </c>
      <c r="AU12" s="11">
        <v>1</v>
      </c>
      <c r="AV12" s="11">
        <v>24</v>
      </c>
      <c r="AW12" s="11">
        <v>25</v>
      </c>
      <c r="AX12" s="12">
        <v>0.61970000000000003</v>
      </c>
      <c r="AY12" s="12">
        <v>0.57499999999999996</v>
      </c>
      <c r="AZ12" s="12">
        <v>0.33329999999999999</v>
      </c>
      <c r="BA12" s="12">
        <v>0.78569999999999995</v>
      </c>
      <c r="BB12" s="12">
        <v>0.54100000000000004</v>
      </c>
      <c r="BC12" s="4">
        <v>76.3</v>
      </c>
      <c r="BD12" s="12">
        <v>0.63329999999999997</v>
      </c>
      <c r="BE12" s="12">
        <v>0.31669999999999998</v>
      </c>
      <c r="BF12" s="12">
        <v>0.19320000000000001</v>
      </c>
      <c r="BG12" s="4">
        <v>114.9</v>
      </c>
      <c r="BH12" s="4">
        <v>96.6</v>
      </c>
      <c r="BI12" s="4">
        <v>76.569500000000005</v>
      </c>
      <c r="BJ12" s="12">
        <v>0.62</v>
      </c>
      <c r="BK12" s="12">
        <v>0.57999999999999996</v>
      </c>
      <c r="BL12" s="12">
        <v>0.21429999999999999</v>
      </c>
      <c r="BM12" s="12">
        <v>0.66669999999999996</v>
      </c>
      <c r="BN12" s="12">
        <v>0.45900000000000002</v>
      </c>
      <c r="BO12" s="4">
        <v>76.838999999999999</v>
      </c>
      <c r="BP12" s="12">
        <v>0.54169999999999996</v>
      </c>
      <c r="BQ12" s="12">
        <v>0.32</v>
      </c>
      <c r="BR12" s="12">
        <v>0.2868</v>
      </c>
      <c r="BS12" s="4">
        <v>96.6</v>
      </c>
      <c r="BT12" s="4">
        <v>114.9</v>
      </c>
      <c r="BU12" s="11">
        <v>20</v>
      </c>
      <c r="BV12" s="11">
        <v>23</v>
      </c>
      <c r="BW12" s="11">
        <v>23</v>
      </c>
      <c r="BX12" s="11">
        <v>22</v>
      </c>
      <c r="BY12" s="11">
        <v>21</v>
      </c>
      <c r="BZ12" s="11">
        <v>16</v>
      </c>
      <c r="CA12" s="11">
        <v>25</v>
      </c>
      <c r="CB12" s="11">
        <v>12</v>
      </c>
      <c r="CC12" s="11">
        <v>43</v>
      </c>
      <c r="CD12" s="11">
        <v>45</v>
      </c>
      <c r="CE12" s="11">
        <v>37</v>
      </c>
      <c r="CF12" s="11">
        <v>37</v>
      </c>
      <c r="CG12" s="4">
        <v>1.18</v>
      </c>
      <c r="CH12" s="13">
        <v>5</v>
      </c>
      <c r="CI12" s="4">
        <v>-10.5</v>
      </c>
      <c r="CJ12" s="4">
        <v>10.5</v>
      </c>
      <c r="CK12" s="4">
        <v>162.5</v>
      </c>
      <c r="CL12" s="2" t="s">
        <v>369</v>
      </c>
      <c r="CM12" s="4" t="str">
        <f>VLOOKUP(cholet[[#This Row],[Away_team]],all[[Full name]:[Abbr]],3,FALSE)</f>
        <v>CHA</v>
      </c>
      <c r="CN12" s="4">
        <f>IF(OR(cholet[[#This Row],[Result]]="w",cholet[[#This Row],[Result]]="dw"),cholet[[#This Row],[win]]-1,-1)</f>
        <v>0.17999999999999994</v>
      </c>
      <c r="CO12" s="4">
        <f>IF(OR(cholet[[#This Row],[Result]]="L",cholet[[#This Row],[Result]]="dl"),cholet[[#This Row],[lose]]-1,-1)</f>
        <v>-1</v>
      </c>
      <c r="CP12" s="4">
        <f>IF(OR((cholet[[#This Row],[Home_scored]]+cholet[[#This Row],[Away_scored]])&gt;cholet[[#This Row],[total]],OR(cholet[[#This Row],[Result]]="dw",cholet[[#This Row],[Result]]="dl")),1,0)</f>
        <v>0</v>
      </c>
      <c r="CQ12" s="4">
        <f>ABS((cholet[[#This Row],[Home_scored]]+cholet[[#This Row],[Away_scored]])-cholet[[#This Row],[total]])+0.5</f>
        <v>1</v>
      </c>
    </row>
    <row r="13" spans="1:95" x14ac:dyDescent="0.25">
      <c r="A13" s="2" t="s">
        <v>349</v>
      </c>
      <c r="B13" s="2" t="s">
        <v>308</v>
      </c>
      <c r="C13" s="3" t="s">
        <v>73</v>
      </c>
      <c r="D13" s="3">
        <v>45633</v>
      </c>
      <c r="E13" s="2" t="s">
        <v>140</v>
      </c>
      <c r="F13" s="2" t="s">
        <v>345</v>
      </c>
      <c r="G13" s="2" t="s">
        <v>75</v>
      </c>
      <c r="H13" s="11">
        <v>94</v>
      </c>
      <c r="I13" s="11">
        <v>83</v>
      </c>
      <c r="J13" s="11">
        <v>31</v>
      </c>
      <c r="K13" s="11">
        <v>68</v>
      </c>
      <c r="L13" s="12">
        <v>0.45590000000000003</v>
      </c>
      <c r="M13" s="11">
        <v>22</v>
      </c>
      <c r="N13" s="11">
        <v>37</v>
      </c>
      <c r="O13" s="12">
        <v>0.59460000000000002</v>
      </c>
      <c r="P13" s="11">
        <v>9</v>
      </c>
      <c r="Q13" s="11">
        <v>31</v>
      </c>
      <c r="R13" s="12">
        <v>0.2903</v>
      </c>
      <c r="S13" s="11">
        <v>23</v>
      </c>
      <c r="T13" s="11">
        <v>30</v>
      </c>
      <c r="U13" s="12">
        <v>0.76670000000000005</v>
      </c>
      <c r="V13" s="11">
        <v>13</v>
      </c>
      <c r="W13" s="11">
        <v>19</v>
      </c>
      <c r="X13" s="11">
        <v>32</v>
      </c>
      <c r="Y13" s="11">
        <v>16</v>
      </c>
      <c r="Z13" s="11">
        <v>13</v>
      </c>
      <c r="AA13" s="11">
        <v>6</v>
      </c>
      <c r="AB13" s="11">
        <v>5</v>
      </c>
      <c r="AC13" s="11">
        <v>20</v>
      </c>
      <c r="AD13" s="11">
        <v>27</v>
      </c>
      <c r="AE13" s="11">
        <v>57</v>
      </c>
      <c r="AF13" s="12">
        <v>0.47370000000000001</v>
      </c>
      <c r="AG13" s="11">
        <v>14</v>
      </c>
      <c r="AH13" s="11">
        <v>28</v>
      </c>
      <c r="AI13" s="12">
        <v>0.5</v>
      </c>
      <c r="AJ13" s="11">
        <v>13</v>
      </c>
      <c r="AK13" s="11">
        <v>29</v>
      </c>
      <c r="AL13" s="12">
        <v>0.44829999999999998</v>
      </c>
      <c r="AM13" s="11">
        <v>16</v>
      </c>
      <c r="AN13" s="11">
        <v>19</v>
      </c>
      <c r="AO13" s="12">
        <v>0.84209999999999996</v>
      </c>
      <c r="AP13" s="11">
        <v>8</v>
      </c>
      <c r="AQ13" s="11">
        <v>26</v>
      </c>
      <c r="AR13" s="11">
        <v>34</v>
      </c>
      <c r="AS13" s="11">
        <v>20</v>
      </c>
      <c r="AT13" s="11">
        <v>3</v>
      </c>
      <c r="AU13" s="11">
        <v>5</v>
      </c>
      <c r="AV13" s="11">
        <v>20</v>
      </c>
      <c r="AW13" s="11">
        <v>28</v>
      </c>
      <c r="AX13" s="12">
        <v>0.57879999999999998</v>
      </c>
      <c r="AY13" s="12">
        <v>0.52210000000000001</v>
      </c>
      <c r="AZ13" s="12">
        <v>0.33329999999999999</v>
      </c>
      <c r="BA13" s="12">
        <v>0.70369999999999999</v>
      </c>
      <c r="BB13" s="12">
        <v>0.48480000000000001</v>
      </c>
      <c r="BC13" s="4">
        <v>68.917000000000002</v>
      </c>
      <c r="BD13" s="12">
        <v>0.5161</v>
      </c>
      <c r="BE13" s="12">
        <v>0.3382</v>
      </c>
      <c r="BF13" s="12">
        <v>5.8000000000000003E-2</v>
      </c>
      <c r="BG13" s="4">
        <v>128.80000000000001</v>
      </c>
      <c r="BH13" s="4">
        <v>113.7</v>
      </c>
      <c r="BI13" s="4">
        <v>72.981999999999999</v>
      </c>
      <c r="BJ13" s="12">
        <v>0.63490000000000002</v>
      </c>
      <c r="BK13" s="12">
        <v>0.5877</v>
      </c>
      <c r="BL13" s="12">
        <v>0.29630000000000001</v>
      </c>
      <c r="BM13" s="12">
        <v>0.66669999999999996</v>
      </c>
      <c r="BN13" s="12">
        <v>0.51519999999999999</v>
      </c>
      <c r="BO13" s="4">
        <v>77.046999999999997</v>
      </c>
      <c r="BP13" s="12">
        <v>0.74070000000000003</v>
      </c>
      <c r="BQ13" s="12">
        <v>0.28070000000000001</v>
      </c>
      <c r="BR13" s="12">
        <v>0.23430000000000001</v>
      </c>
      <c r="BS13" s="4">
        <v>113.7</v>
      </c>
      <c r="BT13" s="4">
        <v>128.80000000000001</v>
      </c>
      <c r="BU13" s="11">
        <v>13</v>
      </c>
      <c r="BV13" s="11">
        <v>28</v>
      </c>
      <c r="BW13" s="11">
        <v>30</v>
      </c>
      <c r="BX13" s="11">
        <v>23</v>
      </c>
      <c r="BY13" s="11">
        <v>17</v>
      </c>
      <c r="BZ13" s="11">
        <v>21</v>
      </c>
      <c r="CA13" s="11">
        <v>20</v>
      </c>
      <c r="CB13" s="11">
        <v>25</v>
      </c>
      <c r="CC13" s="11">
        <v>41</v>
      </c>
      <c r="CD13" s="11">
        <v>53</v>
      </c>
      <c r="CE13" s="11">
        <v>38</v>
      </c>
      <c r="CF13" s="11">
        <v>45</v>
      </c>
      <c r="CG13" s="4">
        <v>1.95</v>
      </c>
      <c r="CH13" s="13">
        <v>1.87</v>
      </c>
      <c r="CI13" s="4">
        <v>-1</v>
      </c>
      <c r="CJ13" s="4">
        <v>-1</v>
      </c>
      <c r="CK13" s="4">
        <v>162.5</v>
      </c>
      <c r="CL13" s="2" t="s">
        <v>437</v>
      </c>
      <c r="CM13" s="4" t="str">
        <f>VLOOKUP(cholet[[#This Row],[Away_team]],all[[Full name]:[Abbr]],3,FALSE)</f>
        <v>STR</v>
      </c>
      <c r="CN13" s="4">
        <f>IF(OR(cholet[[#This Row],[Result]]="w",cholet[[#This Row],[Result]]="dw"),cholet[[#This Row],[win]]-1,-1)</f>
        <v>0.95</v>
      </c>
      <c r="CO13" s="4">
        <f>IF(OR(cholet[[#This Row],[Result]]="L",cholet[[#This Row],[Result]]="dl"),cholet[[#This Row],[lose]]-1,-1)</f>
        <v>-1</v>
      </c>
      <c r="CP13" s="4">
        <f>IF(OR((cholet[[#This Row],[Home_scored]]+cholet[[#This Row],[Away_scored]])&gt;cholet[[#This Row],[total]],OR(cholet[[#This Row],[Result]]="dw",cholet[[#This Row],[Result]]="dl")),1,0)</f>
        <v>1</v>
      </c>
      <c r="CQ13" s="4">
        <f>ABS((cholet[[#This Row],[Home_scored]]+cholet[[#This Row],[Away_scored]])-cholet[[#This Row],[total]])+0.5</f>
        <v>15</v>
      </c>
    </row>
    <row r="14" spans="1:95" x14ac:dyDescent="0.25">
      <c r="A14" s="2" t="s">
        <v>349</v>
      </c>
      <c r="B14" s="2" t="s">
        <v>308</v>
      </c>
      <c r="C14" s="3" t="s">
        <v>73</v>
      </c>
      <c r="D14" s="3">
        <v>45640</v>
      </c>
      <c r="E14" s="2" t="s">
        <v>74</v>
      </c>
      <c r="F14" s="2" t="s">
        <v>302</v>
      </c>
      <c r="G14" s="2" t="s">
        <v>139</v>
      </c>
      <c r="H14" s="11">
        <v>67</v>
      </c>
      <c r="I14" s="11">
        <v>102</v>
      </c>
      <c r="J14" s="11">
        <v>23</v>
      </c>
      <c r="K14" s="11">
        <v>60</v>
      </c>
      <c r="L14" s="12">
        <v>0.38329999999999997</v>
      </c>
      <c r="M14" s="11">
        <v>19</v>
      </c>
      <c r="N14" s="11">
        <v>34</v>
      </c>
      <c r="O14" s="12">
        <v>0.55879999999999996</v>
      </c>
      <c r="P14" s="11">
        <v>4</v>
      </c>
      <c r="Q14" s="11">
        <v>26</v>
      </c>
      <c r="R14" s="12">
        <v>0.15379999999999999</v>
      </c>
      <c r="S14" s="11">
        <v>17</v>
      </c>
      <c r="T14" s="11">
        <v>22</v>
      </c>
      <c r="U14" s="12">
        <v>0.77270000000000005</v>
      </c>
      <c r="V14" s="11">
        <v>5</v>
      </c>
      <c r="W14" s="11">
        <v>21</v>
      </c>
      <c r="X14" s="11">
        <v>26</v>
      </c>
      <c r="Y14" s="11">
        <v>14</v>
      </c>
      <c r="Z14" s="11">
        <v>3</v>
      </c>
      <c r="AA14" s="11">
        <v>0</v>
      </c>
      <c r="AB14" s="11">
        <v>15</v>
      </c>
      <c r="AC14" s="11">
        <v>24</v>
      </c>
      <c r="AD14" s="11">
        <v>34</v>
      </c>
      <c r="AE14" s="11">
        <v>64</v>
      </c>
      <c r="AF14" s="12">
        <v>0.53129999999999999</v>
      </c>
      <c r="AG14" s="11">
        <v>18</v>
      </c>
      <c r="AH14" s="11">
        <v>30</v>
      </c>
      <c r="AI14" s="12">
        <v>0.6</v>
      </c>
      <c r="AJ14" s="11">
        <v>16</v>
      </c>
      <c r="AK14" s="11">
        <v>34</v>
      </c>
      <c r="AL14" s="12">
        <v>0.47060000000000002</v>
      </c>
      <c r="AM14" s="11">
        <v>18</v>
      </c>
      <c r="AN14" s="11">
        <v>22</v>
      </c>
      <c r="AO14" s="12">
        <v>0.81820000000000004</v>
      </c>
      <c r="AP14" s="11">
        <v>9</v>
      </c>
      <c r="AQ14" s="11">
        <v>30</v>
      </c>
      <c r="AR14" s="11">
        <v>39</v>
      </c>
      <c r="AS14" s="11">
        <v>24</v>
      </c>
      <c r="AT14" s="11">
        <v>10</v>
      </c>
      <c r="AU14" s="11">
        <v>5</v>
      </c>
      <c r="AV14" s="11">
        <v>14</v>
      </c>
      <c r="AW14" s="11">
        <v>24</v>
      </c>
      <c r="AX14" s="12">
        <v>0.48080000000000001</v>
      </c>
      <c r="AY14" s="12">
        <v>0.41670000000000001</v>
      </c>
      <c r="AZ14" s="12">
        <v>0.1429</v>
      </c>
      <c r="BA14" s="12">
        <v>0.7</v>
      </c>
      <c r="BB14" s="12">
        <v>0.4</v>
      </c>
      <c r="BC14" s="4">
        <v>76.186999999999998</v>
      </c>
      <c r="BD14" s="12">
        <v>0.60870000000000002</v>
      </c>
      <c r="BE14" s="12">
        <v>0.2833</v>
      </c>
      <c r="BF14" s="12">
        <v>0.17710000000000001</v>
      </c>
      <c r="BG14" s="4">
        <v>86.1</v>
      </c>
      <c r="BH14" s="4">
        <v>131.1</v>
      </c>
      <c r="BI14" s="4">
        <v>77.789500000000004</v>
      </c>
      <c r="BJ14" s="12">
        <v>0.69220000000000004</v>
      </c>
      <c r="BK14" s="12">
        <v>0.65629999999999999</v>
      </c>
      <c r="BL14" s="12">
        <v>0.3</v>
      </c>
      <c r="BM14" s="12">
        <v>0.85709999999999997</v>
      </c>
      <c r="BN14" s="12">
        <v>0.6</v>
      </c>
      <c r="BO14" s="4">
        <v>79.391999999999996</v>
      </c>
      <c r="BP14" s="12">
        <v>0.70589999999999997</v>
      </c>
      <c r="BQ14" s="12">
        <v>0.28129999999999999</v>
      </c>
      <c r="BR14" s="12">
        <v>0.15970000000000001</v>
      </c>
      <c r="BS14" s="4">
        <v>131.1</v>
      </c>
      <c r="BT14" s="4">
        <v>86.1</v>
      </c>
      <c r="BU14" s="11">
        <v>21</v>
      </c>
      <c r="BV14" s="11">
        <v>15</v>
      </c>
      <c r="BW14" s="11">
        <v>19</v>
      </c>
      <c r="BX14" s="11">
        <v>12</v>
      </c>
      <c r="BY14" s="11">
        <v>24</v>
      </c>
      <c r="BZ14" s="11">
        <v>30</v>
      </c>
      <c r="CA14" s="11">
        <v>32</v>
      </c>
      <c r="CB14" s="11">
        <v>16</v>
      </c>
      <c r="CC14" s="11">
        <v>36</v>
      </c>
      <c r="CD14" s="11">
        <v>31</v>
      </c>
      <c r="CE14" s="11">
        <v>54</v>
      </c>
      <c r="CF14" s="11">
        <v>48</v>
      </c>
      <c r="CG14" s="4">
        <v>1.71</v>
      </c>
      <c r="CH14" s="13">
        <v>2.2000000000000002</v>
      </c>
      <c r="CI14" s="4">
        <v>-2.5</v>
      </c>
      <c r="CJ14" s="4">
        <v>2.5</v>
      </c>
      <c r="CK14" s="4">
        <v>164.5</v>
      </c>
      <c r="CL14" s="2" t="s">
        <v>444</v>
      </c>
      <c r="CM14" s="4" t="str">
        <f>VLOOKUP(cholet[[#This Row],[Away_team]],all[[Full name]:[Abbr]],3,FALSE)</f>
        <v>BUR</v>
      </c>
      <c r="CN14" s="4">
        <f>IF(OR(cholet[[#This Row],[Result]]="w",cholet[[#This Row],[Result]]="dw"),cholet[[#This Row],[win]]-1,-1)</f>
        <v>-1</v>
      </c>
      <c r="CO14" s="4">
        <f>IF(OR(cholet[[#This Row],[Result]]="L",cholet[[#This Row],[Result]]="dl"),cholet[[#This Row],[lose]]-1,-1)</f>
        <v>1.2000000000000002</v>
      </c>
      <c r="CP14" s="4">
        <f>IF(OR((cholet[[#This Row],[Home_scored]]+cholet[[#This Row],[Away_scored]])&gt;cholet[[#This Row],[total]],OR(cholet[[#This Row],[Result]]="dw",cholet[[#This Row],[Result]]="dl")),1,0)</f>
        <v>1</v>
      </c>
      <c r="CQ14" s="4">
        <f>ABS((cholet[[#This Row],[Home_scored]]+cholet[[#This Row],[Away_scored]])-cholet[[#This Row],[total]])+0.5</f>
        <v>5</v>
      </c>
    </row>
    <row r="15" spans="1:95" x14ac:dyDescent="0.25">
      <c r="A15" s="2" t="s">
        <v>349</v>
      </c>
      <c r="B15" s="2" t="s">
        <v>308</v>
      </c>
      <c r="C15" s="3" t="s">
        <v>73</v>
      </c>
      <c r="D15" s="3">
        <v>45643</v>
      </c>
      <c r="E15" s="2" t="s">
        <v>74</v>
      </c>
      <c r="F15" s="2" t="s">
        <v>311</v>
      </c>
      <c r="G15" s="2" t="s">
        <v>75</v>
      </c>
      <c r="H15" s="11">
        <v>95</v>
      </c>
      <c r="I15" s="11">
        <v>89</v>
      </c>
      <c r="J15" s="11">
        <v>32</v>
      </c>
      <c r="K15" s="11">
        <v>61</v>
      </c>
      <c r="L15" s="12">
        <v>0.52459999999999996</v>
      </c>
      <c r="M15" s="11">
        <v>25</v>
      </c>
      <c r="N15" s="11">
        <v>36</v>
      </c>
      <c r="O15" s="12">
        <v>0.69440000000000002</v>
      </c>
      <c r="P15" s="11">
        <v>7</v>
      </c>
      <c r="Q15" s="11">
        <v>25</v>
      </c>
      <c r="R15" s="12">
        <v>0.28000000000000003</v>
      </c>
      <c r="S15" s="11">
        <v>24</v>
      </c>
      <c r="T15" s="11">
        <v>30</v>
      </c>
      <c r="U15" s="12">
        <v>0.8</v>
      </c>
      <c r="V15" s="11">
        <v>12</v>
      </c>
      <c r="W15" s="11">
        <v>26</v>
      </c>
      <c r="X15" s="11">
        <v>38</v>
      </c>
      <c r="Y15" s="11">
        <v>25</v>
      </c>
      <c r="Z15" s="11">
        <v>10</v>
      </c>
      <c r="AA15" s="11">
        <v>2</v>
      </c>
      <c r="AB15" s="11">
        <v>21</v>
      </c>
      <c r="AC15" s="11">
        <v>25</v>
      </c>
      <c r="AD15" s="11">
        <v>29</v>
      </c>
      <c r="AE15" s="11">
        <v>60</v>
      </c>
      <c r="AF15" s="12">
        <v>0.48330000000000001</v>
      </c>
      <c r="AG15" s="11">
        <v>19</v>
      </c>
      <c r="AH15" s="11">
        <v>35</v>
      </c>
      <c r="AI15" s="12">
        <v>0.54290000000000005</v>
      </c>
      <c r="AJ15" s="11">
        <v>10</v>
      </c>
      <c r="AK15" s="11">
        <v>25</v>
      </c>
      <c r="AL15" s="12">
        <v>0.4</v>
      </c>
      <c r="AM15" s="11">
        <v>21</v>
      </c>
      <c r="AN15" s="11">
        <v>27</v>
      </c>
      <c r="AO15" s="12">
        <v>0.77780000000000005</v>
      </c>
      <c r="AP15" s="11">
        <v>8</v>
      </c>
      <c r="AQ15" s="11">
        <v>18</v>
      </c>
      <c r="AR15" s="11">
        <v>26</v>
      </c>
      <c r="AS15" s="11">
        <v>26</v>
      </c>
      <c r="AT15" s="11">
        <v>8</v>
      </c>
      <c r="AU15" s="11">
        <v>2</v>
      </c>
      <c r="AV15" s="11">
        <v>19</v>
      </c>
      <c r="AW15" s="11">
        <v>29</v>
      </c>
      <c r="AX15" s="12">
        <v>0.64019999999999999</v>
      </c>
      <c r="AY15" s="12">
        <v>0.58199999999999996</v>
      </c>
      <c r="AZ15" s="12">
        <v>0.4</v>
      </c>
      <c r="BA15" s="12">
        <v>0.76470000000000005</v>
      </c>
      <c r="BB15" s="12">
        <v>0.59379999999999999</v>
      </c>
      <c r="BC15" s="4">
        <v>84.200999999999993</v>
      </c>
      <c r="BD15" s="12">
        <v>0.78129999999999999</v>
      </c>
      <c r="BE15" s="12">
        <v>0.39340000000000003</v>
      </c>
      <c r="BF15" s="12">
        <v>0.22059999999999999</v>
      </c>
      <c r="BG15" s="4">
        <v>116</v>
      </c>
      <c r="BH15" s="4">
        <v>108.7</v>
      </c>
      <c r="BI15" s="4">
        <v>81.897499999999994</v>
      </c>
      <c r="BJ15" s="12">
        <v>0.61909999999999998</v>
      </c>
      <c r="BK15" s="12">
        <v>0.56669999999999998</v>
      </c>
      <c r="BL15" s="12">
        <v>0.23530000000000001</v>
      </c>
      <c r="BM15" s="12">
        <v>0.6</v>
      </c>
      <c r="BN15" s="12">
        <v>0.40629999999999999</v>
      </c>
      <c r="BO15" s="4">
        <v>79.593999999999994</v>
      </c>
      <c r="BP15" s="12">
        <v>0.89659999999999995</v>
      </c>
      <c r="BQ15" s="12">
        <v>0.35</v>
      </c>
      <c r="BR15" s="12">
        <v>0.20910000000000001</v>
      </c>
      <c r="BS15" s="4">
        <v>108.7</v>
      </c>
      <c r="BT15" s="4">
        <v>116</v>
      </c>
      <c r="BU15" s="11">
        <v>25</v>
      </c>
      <c r="BV15" s="11">
        <v>20</v>
      </c>
      <c r="BW15" s="11">
        <v>26</v>
      </c>
      <c r="BX15" s="11">
        <v>24</v>
      </c>
      <c r="BY15" s="11">
        <v>19</v>
      </c>
      <c r="BZ15" s="11">
        <v>28</v>
      </c>
      <c r="CA15" s="11">
        <v>23</v>
      </c>
      <c r="CB15" s="11">
        <v>19</v>
      </c>
      <c r="CC15" s="11">
        <v>45</v>
      </c>
      <c r="CD15" s="11">
        <v>50</v>
      </c>
      <c r="CE15" s="11">
        <v>47</v>
      </c>
      <c r="CF15" s="11">
        <v>42</v>
      </c>
      <c r="CG15" s="4">
        <v>1.53</v>
      </c>
      <c r="CH15" s="13">
        <v>2.6</v>
      </c>
      <c r="CI15" s="4">
        <v>-4.5</v>
      </c>
      <c r="CJ15" s="4">
        <v>4.5</v>
      </c>
      <c r="CK15" s="4">
        <v>164.5</v>
      </c>
      <c r="CL15" s="2" t="s">
        <v>449</v>
      </c>
      <c r="CM15" s="4" t="str">
        <f>VLOOKUP(cholet[[#This Row],[Away_team]],all[[Full name]:[Abbr]],3,FALSE)</f>
        <v>DIJ</v>
      </c>
      <c r="CN15" s="4">
        <f>IF(OR(cholet[[#This Row],[Result]]="w",cholet[[#This Row],[Result]]="dw"),cholet[[#This Row],[win]]-1,-1)</f>
        <v>0.53</v>
      </c>
      <c r="CO15" s="4">
        <f>IF(OR(cholet[[#This Row],[Result]]="L",cholet[[#This Row],[Result]]="dl"),cholet[[#This Row],[lose]]-1,-1)</f>
        <v>-1</v>
      </c>
      <c r="CP15" s="4">
        <f>IF(OR((cholet[[#This Row],[Home_scored]]+cholet[[#This Row],[Away_scored]])&gt;cholet[[#This Row],[total]],OR(cholet[[#This Row],[Result]]="dw",cholet[[#This Row],[Result]]="dl")),1,0)</f>
        <v>1</v>
      </c>
      <c r="CQ15" s="4">
        <f>ABS((cholet[[#This Row],[Home_scored]]+cholet[[#This Row],[Away_scored]])-cholet[[#This Row],[total]])+0.5</f>
        <v>20</v>
      </c>
    </row>
    <row r="16" spans="1:95" x14ac:dyDescent="0.25">
      <c r="A16" s="2" t="s">
        <v>349</v>
      </c>
      <c r="B16" s="2" t="s">
        <v>308</v>
      </c>
      <c r="C16" s="3" t="s">
        <v>73</v>
      </c>
      <c r="D16" s="3">
        <v>45647</v>
      </c>
      <c r="E16" s="2" t="s">
        <v>140</v>
      </c>
      <c r="F16" s="2" t="s">
        <v>336</v>
      </c>
      <c r="G16" s="2" t="s">
        <v>75</v>
      </c>
      <c r="H16" s="11">
        <v>104</v>
      </c>
      <c r="I16" s="11">
        <v>97</v>
      </c>
      <c r="J16" s="11">
        <v>32</v>
      </c>
      <c r="K16" s="11">
        <v>63</v>
      </c>
      <c r="L16" s="12">
        <v>0.50790000000000002</v>
      </c>
      <c r="M16" s="11">
        <v>22</v>
      </c>
      <c r="N16" s="11">
        <v>33</v>
      </c>
      <c r="O16" s="12">
        <v>0.66669999999999996</v>
      </c>
      <c r="P16" s="11">
        <v>10</v>
      </c>
      <c r="Q16" s="11">
        <v>30</v>
      </c>
      <c r="R16" s="12">
        <v>0.33329999999999999</v>
      </c>
      <c r="S16" s="11">
        <v>30</v>
      </c>
      <c r="T16" s="11">
        <v>40</v>
      </c>
      <c r="U16" s="12">
        <v>0.75</v>
      </c>
      <c r="V16" s="11">
        <v>10</v>
      </c>
      <c r="W16" s="11">
        <v>23</v>
      </c>
      <c r="X16" s="11">
        <v>33</v>
      </c>
      <c r="Y16" s="11">
        <v>25</v>
      </c>
      <c r="Z16" s="11">
        <v>3</v>
      </c>
      <c r="AA16" s="11">
        <v>2</v>
      </c>
      <c r="AB16" s="11">
        <v>8</v>
      </c>
      <c r="AC16" s="11">
        <v>25</v>
      </c>
      <c r="AD16" s="11">
        <v>32</v>
      </c>
      <c r="AE16" s="11">
        <v>63</v>
      </c>
      <c r="AF16" s="12">
        <v>0.50790000000000002</v>
      </c>
      <c r="AG16" s="11">
        <v>23</v>
      </c>
      <c r="AH16" s="11">
        <v>43</v>
      </c>
      <c r="AI16" s="12">
        <v>0.53490000000000004</v>
      </c>
      <c r="AJ16" s="11">
        <v>9</v>
      </c>
      <c r="AK16" s="11">
        <v>20</v>
      </c>
      <c r="AL16" s="12">
        <v>0.45</v>
      </c>
      <c r="AM16" s="11">
        <v>24</v>
      </c>
      <c r="AN16" s="11">
        <v>30</v>
      </c>
      <c r="AO16" s="12">
        <v>0.8</v>
      </c>
      <c r="AP16" s="11">
        <v>10</v>
      </c>
      <c r="AQ16" s="11">
        <v>26</v>
      </c>
      <c r="AR16" s="11">
        <v>36</v>
      </c>
      <c r="AS16" s="11">
        <v>19</v>
      </c>
      <c r="AT16" s="11">
        <v>3</v>
      </c>
      <c r="AU16" s="11">
        <v>2</v>
      </c>
      <c r="AV16" s="11">
        <v>9</v>
      </c>
      <c r="AW16" s="11">
        <v>28</v>
      </c>
      <c r="AX16" s="12">
        <v>0.6452</v>
      </c>
      <c r="AY16" s="12">
        <v>0.58730000000000004</v>
      </c>
      <c r="AZ16" s="12">
        <v>0.27779999999999999</v>
      </c>
      <c r="BA16" s="12">
        <v>0.69699999999999995</v>
      </c>
      <c r="BB16" s="12">
        <v>0.4783</v>
      </c>
      <c r="BC16" s="4">
        <v>76.947999999999993</v>
      </c>
      <c r="BD16" s="12">
        <v>0.78129999999999999</v>
      </c>
      <c r="BE16" s="12">
        <v>0.47620000000000001</v>
      </c>
      <c r="BF16" s="12">
        <v>9.0300000000000005E-2</v>
      </c>
      <c r="BG16" s="4">
        <v>137.1</v>
      </c>
      <c r="BH16" s="4">
        <v>127.9</v>
      </c>
      <c r="BI16" s="4">
        <v>75.867000000000004</v>
      </c>
      <c r="BJ16" s="12">
        <v>0.63649999999999995</v>
      </c>
      <c r="BK16" s="12">
        <v>0.57940000000000003</v>
      </c>
      <c r="BL16" s="12">
        <v>0.30299999999999999</v>
      </c>
      <c r="BM16" s="12">
        <v>0.72219999999999995</v>
      </c>
      <c r="BN16" s="12">
        <v>0.52170000000000005</v>
      </c>
      <c r="BO16" s="4">
        <v>74.786000000000001</v>
      </c>
      <c r="BP16" s="12">
        <v>0.59379999999999999</v>
      </c>
      <c r="BQ16" s="12">
        <v>0.38100000000000001</v>
      </c>
      <c r="BR16" s="12">
        <v>0.1056</v>
      </c>
      <c r="BS16" s="4">
        <v>127.9</v>
      </c>
      <c r="BT16" s="4">
        <v>137.1</v>
      </c>
      <c r="BU16" s="11">
        <v>21</v>
      </c>
      <c r="BV16" s="11">
        <v>29</v>
      </c>
      <c r="BW16" s="11">
        <v>26</v>
      </c>
      <c r="BX16" s="11">
        <v>28</v>
      </c>
      <c r="BY16" s="11">
        <v>27</v>
      </c>
      <c r="BZ16" s="11">
        <v>23</v>
      </c>
      <c r="CA16" s="11">
        <v>22</v>
      </c>
      <c r="CB16" s="11">
        <v>25</v>
      </c>
      <c r="CC16" s="11">
        <v>50</v>
      </c>
      <c r="CD16" s="11">
        <v>54</v>
      </c>
      <c r="CE16" s="11">
        <v>50</v>
      </c>
      <c r="CF16" s="11">
        <v>47</v>
      </c>
      <c r="CG16" s="4">
        <v>1.8</v>
      </c>
      <c r="CH16" s="13">
        <v>2.0499999999999998</v>
      </c>
      <c r="CI16" s="4">
        <v>-1.5</v>
      </c>
      <c r="CJ16" s="4">
        <v>1.5</v>
      </c>
      <c r="CK16" s="4">
        <v>165.5</v>
      </c>
      <c r="CL16" s="2" t="s">
        <v>451</v>
      </c>
      <c r="CM16" s="4" t="str">
        <f>VLOOKUP(cholet[[#This Row],[Away_team]],all[[Full name]:[Abbr]],3,FALSE)</f>
        <v>NAN</v>
      </c>
      <c r="CN16" s="4">
        <f>IF(OR(cholet[[#This Row],[Result]]="w",cholet[[#This Row],[Result]]="dw"),cholet[[#This Row],[win]]-1,-1)</f>
        <v>0.8</v>
      </c>
      <c r="CO16" s="4">
        <f>IF(OR(cholet[[#This Row],[Result]]="L",cholet[[#This Row],[Result]]="dl"),cholet[[#This Row],[lose]]-1,-1)</f>
        <v>-1</v>
      </c>
      <c r="CP16" s="4">
        <f>IF(OR((cholet[[#This Row],[Home_scored]]+cholet[[#This Row],[Away_scored]])&gt;cholet[[#This Row],[total]],OR(cholet[[#This Row],[Result]]="dw",cholet[[#This Row],[Result]]="dl")),1,0)</f>
        <v>1</v>
      </c>
      <c r="CQ16" s="4">
        <f>ABS((cholet[[#This Row],[Home_scored]]+cholet[[#This Row],[Away_scored]])-cholet[[#This Row],[total]])+0.5</f>
        <v>36</v>
      </c>
    </row>
    <row r="17" spans="1:95" x14ac:dyDescent="0.25">
      <c r="A17" s="2" t="s">
        <v>349</v>
      </c>
      <c r="B17" s="2" t="s">
        <v>308</v>
      </c>
      <c r="C17" s="3" t="s">
        <v>73</v>
      </c>
      <c r="D17" s="3">
        <v>45653</v>
      </c>
      <c r="E17" s="2" t="s">
        <v>74</v>
      </c>
      <c r="F17" s="2" t="s">
        <v>317</v>
      </c>
      <c r="G17" s="2" t="s">
        <v>139</v>
      </c>
      <c r="H17" s="11">
        <v>86</v>
      </c>
      <c r="I17" s="11">
        <v>92</v>
      </c>
      <c r="J17" s="11">
        <v>31</v>
      </c>
      <c r="K17" s="11">
        <v>65</v>
      </c>
      <c r="L17" s="12">
        <v>0.47689999999999999</v>
      </c>
      <c r="M17" s="11">
        <v>18</v>
      </c>
      <c r="N17" s="11">
        <v>31</v>
      </c>
      <c r="O17" s="12">
        <v>0.5806</v>
      </c>
      <c r="P17" s="11">
        <v>13</v>
      </c>
      <c r="Q17" s="11">
        <v>34</v>
      </c>
      <c r="R17" s="12">
        <v>0.38240000000000002</v>
      </c>
      <c r="S17" s="11">
        <v>11</v>
      </c>
      <c r="T17" s="11">
        <v>15</v>
      </c>
      <c r="U17" s="12">
        <v>0.73329999999999995</v>
      </c>
      <c r="V17" s="11">
        <v>12</v>
      </c>
      <c r="W17" s="11">
        <v>17</v>
      </c>
      <c r="X17" s="11">
        <v>29</v>
      </c>
      <c r="Y17" s="11">
        <v>29</v>
      </c>
      <c r="Z17" s="11">
        <v>4</v>
      </c>
      <c r="AA17" s="11">
        <v>4</v>
      </c>
      <c r="AB17" s="11">
        <v>13</v>
      </c>
      <c r="AC17" s="11">
        <v>23</v>
      </c>
      <c r="AD17" s="11">
        <v>34</v>
      </c>
      <c r="AE17" s="11">
        <v>67</v>
      </c>
      <c r="AF17" s="12">
        <v>0.50749999999999995</v>
      </c>
      <c r="AG17" s="11">
        <v>26</v>
      </c>
      <c r="AH17" s="11">
        <v>42</v>
      </c>
      <c r="AI17" s="12">
        <v>0.61899999999999999</v>
      </c>
      <c r="AJ17" s="11">
        <v>8</v>
      </c>
      <c r="AK17" s="11">
        <v>25</v>
      </c>
      <c r="AL17" s="12">
        <v>0.32</v>
      </c>
      <c r="AM17" s="11">
        <v>16</v>
      </c>
      <c r="AN17" s="11">
        <v>25</v>
      </c>
      <c r="AO17" s="12">
        <v>0.64</v>
      </c>
      <c r="AP17" s="11">
        <v>20</v>
      </c>
      <c r="AQ17" s="11">
        <v>20</v>
      </c>
      <c r="AR17" s="11">
        <v>40</v>
      </c>
      <c r="AS17" s="11">
        <v>16</v>
      </c>
      <c r="AT17" s="11">
        <v>16</v>
      </c>
      <c r="AU17" s="11">
        <v>2</v>
      </c>
      <c r="AV17" s="11">
        <v>14</v>
      </c>
      <c r="AW17" s="11">
        <v>20</v>
      </c>
      <c r="AX17" s="12">
        <v>0.60060000000000002</v>
      </c>
      <c r="AY17" s="12">
        <v>0.57689999999999997</v>
      </c>
      <c r="AZ17" s="12">
        <v>0.375</v>
      </c>
      <c r="BA17" s="12">
        <v>0.45950000000000002</v>
      </c>
      <c r="BB17" s="12">
        <v>0.42030000000000001</v>
      </c>
      <c r="BC17" s="4">
        <v>68.945999999999998</v>
      </c>
      <c r="BD17" s="12">
        <v>0.9355</v>
      </c>
      <c r="BE17" s="12">
        <v>0.16919999999999999</v>
      </c>
      <c r="BF17" s="12">
        <v>0.1537</v>
      </c>
      <c r="BG17" s="4">
        <v>120.9</v>
      </c>
      <c r="BH17" s="4">
        <v>129.30000000000001</v>
      </c>
      <c r="BI17" s="4">
        <v>71.145499999999998</v>
      </c>
      <c r="BJ17" s="12">
        <v>0.5897</v>
      </c>
      <c r="BK17" s="12">
        <v>0.56720000000000004</v>
      </c>
      <c r="BL17" s="12">
        <v>0.54049999999999998</v>
      </c>
      <c r="BM17" s="12">
        <v>0.625</v>
      </c>
      <c r="BN17" s="12">
        <v>0.57969999999999999</v>
      </c>
      <c r="BO17" s="4">
        <v>73.344999999999999</v>
      </c>
      <c r="BP17" s="12">
        <v>0.47060000000000002</v>
      </c>
      <c r="BQ17" s="12">
        <v>0.23880000000000001</v>
      </c>
      <c r="BR17" s="12">
        <v>0.1522</v>
      </c>
      <c r="BS17" s="4">
        <v>129.30000000000001</v>
      </c>
      <c r="BT17" s="4">
        <v>120.9</v>
      </c>
      <c r="BU17" s="11">
        <v>21</v>
      </c>
      <c r="BV17" s="11">
        <v>19</v>
      </c>
      <c r="BW17" s="11">
        <v>19</v>
      </c>
      <c r="BX17" s="11">
        <v>27</v>
      </c>
      <c r="BY17" s="11">
        <v>17</v>
      </c>
      <c r="BZ17" s="11">
        <v>23</v>
      </c>
      <c r="CA17" s="11">
        <v>25</v>
      </c>
      <c r="CB17" s="11">
        <v>27</v>
      </c>
      <c r="CC17" s="11">
        <v>40</v>
      </c>
      <c r="CD17" s="11">
        <v>46</v>
      </c>
      <c r="CE17" s="11">
        <v>40</v>
      </c>
      <c r="CF17" s="11">
        <v>52</v>
      </c>
      <c r="CG17" s="4">
        <v>1.32</v>
      </c>
      <c r="CH17" s="13">
        <v>3.5</v>
      </c>
      <c r="CI17" s="4">
        <v>-7.5</v>
      </c>
      <c r="CJ17" s="4">
        <v>7.5</v>
      </c>
      <c r="CK17" s="4">
        <v>165.5</v>
      </c>
      <c r="CL17" s="2" t="s">
        <v>460</v>
      </c>
      <c r="CM17" s="4" t="str">
        <f>VLOOKUP(cholet[[#This Row],[Away_team]],all[[Full name]:[Abbr]],3,FALSE)</f>
        <v>LEM</v>
      </c>
      <c r="CN17" s="4">
        <f>IF(OR(cholet[[#This Row],[Result]]="w",cholet[[#This Row],[Result]]="dw"),cholet[[#This Row],[win]]-1,-1)</f>
        <v>-1</v>
      </c>
      <c r="CO17" s="4">
        <f>IF(OR(cholet[[#This Row],[Result]]="L",cholet[[#This Row],[Result]]="dl"),cholet[[#This Row],[lose]]-1,-1)</f>
        <v>2.5</v>
      </c>
      <c r="CP17" s="4">
        <f>IF(OR((cholet[[#This Row],[Home_scored]]+cholet[[#This Row],[Away_scored]])&gt;cholet[[#This Row],[total]],OR(cholet[[#This Row],[Result]]="dw",cholet[[#This Row],[Result]]="dl")),1,0)</f>
        <v>1</v>
      </c>
      <c r="CQ17" s="4">
        <f>ABS((cholet[[#This Row],[Home_scored]]+cholet[[#This Row],[Away_scored]])-cholet[[#This Row],[total]])+0.5</f>
        <v>13</v>
      </c>
    </row>
    <row r="18" spans="1:95" x14ac:dyDescent="0.25">
      <c r="A18" s="2" t="s">
        <v>349</v>
      </c>
      <c r="B18" s="2" t="s">
        <v>308</v>
      </c>
      <c r="C18" s="3" t="s">
        <v>73</v>
      </c>
      <c r="D18" s="3">
        <v>45668</v>
      </c>
      <c r="E18" s="2" t="s">
        <v>140</v>
      </c>
      <c r="F18" s="2" t="s">
        <v>333</v>
      </c>
      <c r="G18" s="2" t="s">
        <v>75</v>
      </c>
      <c r="H18" s="11">
        <v>78</v>
      </c>
      <c r="I18" s="11">
        <v>71</v>
      </c>
      <c r="J18" s="11">
        <v>28</v>
      </c>
      <c r="K18" s="11">
        <v>74</v>
      </c>
      <c r="L18" s="12">
        <v>0.37840000000000001</v>
      </c>
      <c r="M18" s="11">
        <v>20</v>
      </c>
      <c r="N18" s="11">
        <v>44</v>
      </c>
      <c r="O18" s="12">
        <v>0.45450000000000002</v>
      </c>
      <c r="P18" s="11">
        <v>8</v>
      </c>
      <c r="Q18" s="11">
        <v>30</v>
      </c>
      <c r="R18" s="12">
        <v>0.26669999999999999</v>
      </c>
      <c r="S18" s="11">
        <v>14</v>
      </c>
      <c r="T18" s="11">
        <v>17</v>
      </c>
      <c r="U18" s="12">
        <v>0.82350000000000001</v>
      </c>
      <c r="V18" s="11">
        <v>22</v>
      </c>
      <c r="W18" s="11">
        <v>24</v>
      </c>
      <c r="X18" s="11">
        <v>46</v>
      </c>
      <c r="Y18" s="11">
        <v>17</v>
      </c>
      <c r="Z18" s="11">
        <v>4</v>
      </c>
      <c r="AA18" s="11">
        <v>1</v>
      </c>
      <c r="AB18" s="11">
        <v>16</v>
      </c>
      <c r="AC18" s="11">
        <v>23</v>
      </c>
      <c r="AD18" s="11">
        <v>24</v>
      </c>
      <c r="AE18" s="11">
        <v>57</v>
      </c>
      <c r="AF18" s="12">
        <v>0.42109999999999997</v>
      </c>
      <c r="AG18" s="11">
        <v>16</v>
      </c>
      <c r="AH18" s="11">
        <v>34</v>
      </c>
      <c r="AI18" s="12">
        <v>0.47060000000000002</v>
      </c>
      <c r="AJ18" s="11">
        <v>8</v>
      </c>
      <c r="AK18" s="11">
        <v>23</v>
      </c>
      <c r="AL18" s="12">
        <v>0.3478</v>
      </c>
      <c r="AM18" s="11">
        <v>15</v>
      </c>
      <c r="AN18" s="11">
        <v>23</v>
      </c>
      <c r="AO18" s="12">
        <v>0.6522</v>
      </c>
      <c r="AP18" s="11">
        <v>9</v>
      </c>
      <c r="AQ18" s="11">
        <v>24</v>
      </c>
      <c r="AR18" s="11">
        <v>33</v>
      </c>
      <c r="AS18" s="11">
        <v>18</v>
      </c>
      <c r="AT18" s="11">
        <v>10</v>
      </c>
      <c r="AU18" s="11">
        <v>5</v>
      </c>
      <c r="AV18" s="11">
        <v>18</v>
      </c>
      <c r="AW18" s="11">
        <v>22</v>
      </c>
      <c r="AX18" s="12">
        <v>0.47860000000000003</v>
      </c>
      <c r="AY18" s="12">
        <v>0.43240000000000001</v>
      </c>
      <c r="AZ18" s="12">
        <v>0.4783</v>
      </c>
      <c r="BA18" s="12">
        <v>0.72729999999999995</v>
      </c>
      <c r="BB18" s="12">
        <v>0.58230000000000004</v>
      </c>
      <c r="BC18" s="4">
        <v>73.260000000000005</v>
      </c>
      <c r="BD18" s="12">
        <v>0.60709999999999997</v>
      </c>
      <c r="BE18" s="12">
        <v>0.18920000000000001</v>
      </c>
      <c r="BF18" s="12">
        <v>0.1641</v>
      </c>
      <c r="BG18" s="4">
        <v>105.5</v>
      </c>
      <c r="BH18" s="4">
        <v>96.1</v>
      </c>
      <c r="BI18" s="4">
        <v>73.915000000000006</v>
      </c>
      <c r="BJ18" s="12">
        <v>0.52890000000000004</v>
      </c>
      <c r="BK18" s="12">
        <v>0.49120000000000003</v>
      </c>
      <c r="BL18" s="12">
        <v>0.2727</v>
      </c>
      <c r="BM18" s="12">
        <v>0.52170000000000005</v>
      </c>
      <c r="BN18" s="12">
        <v>0.41770000000000002</v>
      </c>
      <c r="BO18" s="4">
        <v>74.569999999999993</v>
      </c>
      <c r="BP18" s="12">
        <v>0.75</v>
      </c>
      <c r="BQ18" s="12">
        <v>0.26319999999999999</v>
      </c>
      <c r="BR18" s="12">
        <v>0.21149999999999999</v>
      </c>
      <c r="BS18" s="4">
        <v>96.1</v>
      </c>
      <c r="BT18" s="4">
        <v>105.5</v>
      </c>
      <c r="BU18" s="11">
        <v>21</v>
      </c>
      <c r="BV18" s="11">
        <v>22</v>
      </c>
      <c r="BW18" s="11">
        <v>15</v>
      </c>
      <c r="BX18" s="11">
        <v>20</v>
      </c>
      <c r="BY18" s="11">
        <v>18</v>
      </c>
      <c r="BZ18" s="11">
        <v>21</v>
      </c>
      <c r="CA18" s="11">
        <v>20</v>
      </c>
      <c r="CB18" s="11">
        <v>12</v>
      </c>
      <c r="CC18" s="11">
        <v>43</v>
      </c>
      <c r="CD18" s="11">
        <v>35</v>
      </c>
      <c r="CE18" s="11">
        <v>39</v>
      </c>
      <c r="CF18" s="11">
        <v>32</v>
      </c>
      <c r="CG18" s="4">
        <v>1.53</v>
      </c>
      <c r="CH18" s="13">
        <v>2.6</v>
      </c>
      <c r="CI18" s="4">
        <v>-4.5</v>
      </c>
      <c r="CJ18" s="4">
        <v>4.5</v>
      </c>
      <c r="CK18" s="4">
        <v>167.5</v>
      </c>
      <c r="CL18" s="2" t="s">
        <v>468</v>
      </c>
      <c r="CM18" s="4" t="str">
        <f>VLOOKUP(cholet[[#This Row],[Away_team]],all[[Full name]:[Abbr]],3,FALSE)</f>
        <v>NCY</v>
      </c>
      <c r="CN18" s="4">
        <f>IF(OR(cholet[[#This Row],[Result]]="w",cholet[[#This Row],[Result]]="dw"),cholet[[#This Row],[win]]-1,-1)</f>
        <v>0.53</v>
      </c>
      <c r="CO18" s="4">
        <f>IF(OR(cholet[[#This Row],[Result]]="L",cholet[[#This Row],[Result]]="dl"),cholet[[#This Row],[lose]]-1,-1)</f>
        <v>-1</v>
      </c>
      <c r="CP18" s="4">
        <f>IF(OR((cholet[[#This Row],[Home_scored]]+cholet[[#This Row],[Away_scored]])&gt;cholet[[#This Row],[total]],OR(cholet[[#This Row],[Result]]="dw",cholet[[#This Row],[Result]]="dl")),1,0)</f>
        <v>0</v>
      </c>
      <c r="CQ18" s="4">
        <f>ABS((cholet[[#This Row],[Home_scored]]+cholet[[#This Row],[Away_scored]])-cholet[[#This Row],[total]])+0.5</f>
        <v>19</v>
      </c>
    </row>
    <row r="19" spans="1:95" x14ac:dyDescent="0.25">
      <c r="A19" s="2" t="s">
        <v>349</v>
      </c>
      <c r="B19" s="2" t="s">
        <v>308</v>
      </c>
      <c r="C19" s="3" t="s">
        <v>73</v>
      </c>
      <c r="D19" s="3">
        <v>45675</v>
      </c>
      <c r="E19" s="2" t="s">
        <v>74</v>
      </c>
      <c r="F19" s="2" t="s">
        <v>324</v>
      </c>
      <c r="G19" s="2" t="s">
        <v>75</v>
      </c>
      <c r="H19" s="11">
        <v>96</v>
      </c>
      <c r="I19" s="11">
        <v>86</v>
      </c>
      <c r="J19" s="11">
        <v>32</v>
      </c>
      <c r="K19" s="11">
        <v>64</v>
      </c>
      <c r="L19" s="12">
        <v>0.5</v>
      </c>
      <c r="M19" s="11">
        <v>20</v>
      </c>
      <c r="N19" s="11">
        <v>35</v>
      </c>
      <c r="O19" s="12">
        <v>0.57140000000000002</v>
      </c>
      <c r="P19" s="11">
        <v>12</v>
      </c>
      <c r="Q19" s="11">
        <v>29</v>
      </c>
      <c r="R19" s="12">
        <v>0.4138</v>
      </c>
      <c r="S19" s="11">
        <v>20</v>
      </c>
      <c r="T19" s="11">
        <v>26</v>
      </c>
      <c r="U19" s="12">
        <v>0.76919999999999999</v>
      </c>
      <c r="V19" s="11">
        <v>17</v>
      </c>
      <c r="W19" s="11">
        <v>23</v>
      </c>
      <c r="X19" s="11">
        <v>40</v>
      </c>
      <c r="Y19" s="11">
        <v>23</v>
      </c>
      <c r="Z19" s="11">
        <v>7</v>
      </c>
      <c r="AA19" s="11">
        <v>3</v>
      </c>
      <c r="AB19" s="11">
        <v>17</v>
      </c>
      <c r="AC19" s="11">
        <v>12</v>
      </c>
      <c r="AD19" s="11">
        <v>35</v>
      </c>
      <c r="AE19" s="11">
        <v>69</v>
      </c>
      <c r="AF19" s="12">
        <v>0.50719999999999998</v>
      </c>
      <c r="AG19" s="11">
        <v>23</v>
      </c>
      <c r="AH19" s="11">
        <v>40</v>
      </c>
      <c r="AI19" s="12">
        <v>0.57499999999999996</v>
      </c>
      <c r="AJ19" s="11">
        <v>12</v>
      </c>
      <c r="AK19" s="11">
        <v>29</v>
      </c>
      <c r="AL19" s="12">
        <v>0.4138</v>
      </c>
      <c r="AM19" s="11">
        <v>4</v>
      </c>
      <c r="AN19" s="11">
        <v>6</v>
      </c>
      <c r="AO19" s="12">
        <v>0.66669999999999996</v>
      </c>
      <c r="AP19" s="11">
        <v>10</v>
      </c>
      <c r="AQ19" s="11">
        <v>16</v>
      </c>
      <c r="AR19" s="11">
        <v>26</v>
      </c>
      <c r="AS19" s="11">
        <v>20</v>
      </c>
      <c r="AT19" s="11">
        <v>6</v>
      </c>
      <c r="AU19" s="11">
        <v>3</v>
      </c>
      <c r="AV19" s="11">
        <v>14</v>
      </c>
      <c r="AW19" s="11">
        <v>20</v>
      </c>
      <c r="AX19" s="12">
        <v>0.63629999999999998</v>
      </c>
      <c r="AY19" s="12">
        <v>0.59379999999999999</v>
      </c>
      <c r="AZ19" s="12">
        <v>0.51519999999999999</v>
      </c>
      <c r="BA19" s="12">
        <v>0.69699999999999995</v>
      </c>
      <c r="BB19" s="12">
        <v>0.60609999999999997</v>
      </c>
      <c r="BC19" s="4">
        <v>76.847999999999999</v>
      </c>
      <c r="BD19" s="12">
        <v>0.71879999999999999</v>
      </c>
      <c r="BE19" s="12">
        <v>0.3125</v>
      </c>
      <c r="BF19" s="12">
        <v>0.18390000000000001</v>
      </c>
      <c r="BG19" s="4">
        <v>129.5</v>
      </c>
      <c r="BH19" s="4">
        <v>116</v>
      </c>
      <c r="BI19" s="4">
        <v>74.128</v>
      </c>
      <c r="BJ19" s="12">
        <v>0.60019999999999996</v>
      </c>
      <c r="BK19" s="12">
        <v>0.59419999999999995</v>
      </c>
      <c r="BL19" s="12">
        <v>0.30299999999999999</v>
      </c>
      <c r="BM19" s="12">
        <v>0.48480000000000001</v>
      </c>
      <c r="BN19" s="12">
        <v>0.39389999999999997</v>
      </c>
      <c r="BO19" s="4">
        <v>71.408000000000001</v>
      </c>
      <c r="BP19" s="12">
        <v>0.57140000000000002</v>
      </c>
      <c r="BQ19" s="12">
        <v>5.8000000000000003E-2</v>
      </c>
      <c r="BR19" s="12">
        <v>0.16350000000000001</v>
      </c>
      <c r="BS19" s="4">
        <v>116</v>
      </c>
      <c r="BT19" s="4">
        <v>129.5</v>
      </c>
      <c r="BU19" s="11">
        <v>22</v>
      </c>
      <c r="BV19" s="11">
        <v>19</v>
      </c>
      <c r="BW19" s="11">
        <v>28</v>
      </c>
      <c r="BX19" s="11">
        <v>27</v>
      </c>
      <c r="BY19" s="11">
        <v>21</v>
      </c>
      <c r="BZ19" s="11">
        <v>13</v>
      </c>
      <c r="CA19" s="11">
        <v>23</v>
      </c>
      <c r="CB19" s="11">
        <v>29</v>
      </c>
      <c r="CC19" s="11">
        <v>41</v>
      </c>
      <c r="CD19" s="11">
        <v>55</v>
      </c>
      <c r="CE19" s="11">
        <v>34</v>
      </c>
      <c r="CF19" s="11">
        <v>52</v>
      </c>
      <c r="CG19" s="4">
        <v>1.32</v>
      </c>
      <c r="CH19" s="13">
        <v>3.5</v>
      </c>
      <c r="CI19" s="4">
        <v>-7.5</v>
      </c>
      <c r="CJ19" s="4">
        <v>7.5</v>
      </c>
      <c r="CK19" s="4">
        <v>161.5</v>
      </c>
      <c r="CL19" s="2" t="s">
        <v>476</v>
      </c>
      <c r="CM19" s="4" t="str">
        <f>VLOOKUP(cholet[[#This Row],[Away_team]],all[[Full name]:[Abbr]],3,FALSE)</f>
        <v>LIM</v>
      </c>
      <c r="CN19" s="4">
        <f>IF(OR(cholet[[#This Row],[Result]]="w",cholet[[#This Row],[Result]]="dw"),cholet[[#This Row],[win]]-1,-1)</f>
        <v>0.32000000000000006</v>
      </c>
      <c r="CO19" s="4">
        <f>IF(OR(cholet[[#This Row],[Result]]="L",cholet[[#This Row],[Result]]="dl"),cholet[[#This Row],[lose]]-1,-1)</f>
        <v>-1</v>
      </c>
      <c r="CP19" s="4">
        <f>IF(OR((cholet[[#This Row],[Home_scored]]+cholet[[#This Row],[Away_scored]])&gt;cholet[[#This Row],[total]],OR(cholet[[#This Row],[Result]]="dw",cholet[[#This Row],[Result]]="dl")),1,0)</f>
        <v>1</v>
      </c>
      <c r="CQ19" s="4">
        <f>ABS((cholet[[#This Row],[Home_scored]]+cholet[[#This Row],[Away_scored]])-cholet[[#This Row],[total]])+0.5</f>
        <v>21</v>
      </c>
    </row>
    <row r="20" spans="1:95" x14ac:dyDescent="0.25">
      <c r="A20" s="2" t="s">
        <v>349</v>
      </c>
      <c r="B20" s="2" t="s">
        <v>308</v>
      </c>
      <c r="C20" s="3" t="s">
        <v>73</v>
      </c>
      <c r="D20" s="3">
        <v>45683</v>
      </c>
      <c r="E20" s="2" t="s">
        <v>140</v>
      </c>
      <c r="F20" s="2" t="s">
        <v>339</v>
      </c>
      <c r="G20" s="2" t="s">
        <v>139</v>
      </c>
      <c r="H20" s="11">
        <v>77</v>
      </c>
      <c r="I20" s="11">
        <v>90</v>
      </c>
      <c r="J20" s="11">
        <v>27</v>
      </c>
      <c r="K20" s="11">
        <v>62</v>
      </c>
      <c r="L20" s="12">
        <v>0.4355</v>
      </c>
      <c r="M20" s="11">
        <v>20</v>
      </c>
      <c r="N20" s="11">
        <v>35</v>
      </c>
      <c r="O20" s="12">
        <v>0.57140000000000002</v>
      </c>
      <c r="P20" s="11">
        <v>7</v>
      </c>
      <c r="Q20" s="11">
        <v>27</v>
      </c>
      <c r="R20" s="12">
        <v>0.25929999999999997</v>
      </c>
      <c r="S20" s="11">
        <v>16</v>
      </c>
      <c r="T20" s="11">
        <v>24</v>
      </c>
      <c r="U20" s="12">
        <v>0.66669999999999996</v>
      </c>
      <c r="V20" s="11">
        <v>16</v>
      </c>
      <c r="W20" s="11">
        <v>22</v>
      </c>
      <c r="X20" s="11">
        <v>38</v>
      </c>
      <c r="Y20" s="11">
        <v>13</v>
      </c>
      <c r="Z20" s="11">
        <v>6</v>
      </c>
      <c r="AA20" s="11">
        <v>1</v>
      </c>
      <c r="AB20" s="11">
        <v>16</v>
      </c>
      <c r="AC20" s="11">
        <v>24</v>
      </c>
      <c r="AD20" s="11">
        <v>29</v>
      </c>
      <c r="AE20" s="11">
        <v>65</v>
      </c>
      <c r="AF20" s="12">
        <v>0.44619999999999999</v>
      </c>
      <c r="AG20" s="11">
        <v>16</v>
      </c>
      <c r="AH20" s="11">
        <v>33</v>
      </c>
      <c r="AI20" s="12">
        <v>0.48480000000000001</v>
      </c>
      <c r="AJ20" s="11">
        <v>13</v>
      </c>
      <c r="AK20" s="11">
        <v>32</v>
      </c>
      <c r="AL20" s="12">
        <v>0.40629999999999999</v>
      </c>
      <c r="AM20" s="11">
        <v>19</v>
      </c>
      <c r="AN20" s="11">
        <v>23</v>
      </c>
      <c r="AO20" s="12">
        <v>0.82609999999999995</v>
      </c>
      <c r="AP20" s="11">
        <v>14</v>
      </c>
      <c r="AQ20" s="11">
        <v>25</v>
      </c>
      <c r="AR20" s="11">
        <v>39</v>
      </c>
      <c r="AS20" s="11">
        <v>17</v>
      </c>
      <c r="AT20" s="11">
        <v>8</v>
      </c>
      <c r="AU20" s="11">
        <v>3</v>
      </c>
      <c r="AV20" s="11">
        <v>12</v>
      </c>
      <c r="AW20" s="11">
        <v>20</v>
      </c>
      <c r="AX20" s="12">
        <v>0.53059999999999996</v>
      </c>
      <c r="AY20" s="12">
        <v>0.4919</v>
      </c>
      <c r="AZ20" s="12">
        <v>0.39019999999999999</v>
      </c>
      <c r="BA20" s="12">
        <v>0.61109999999999998</v>
      </c>
      <c r="BB20" s="12">
        <v>0.49349999999999999</v>
      </c>
      <c r="BC20" s="4">
        <v>71.831999999999994</v>
      </c>
      <c r="BD20" s="12">
        <v>0.48149999999999998</v>
      </c>
      <c r="BE20" s="12">
        <v>0.2581</v>
      </c>
      <c r="BF20" s="12">
        <v>0.1807</v>
      </c>
      <c r="BG20" s="4">
        <v>106.8</v>
      </c>
      <c r="BH20" s="4">
        <v>124.8</v>
      </c>
      <c r="BI20" s="4">
        <v>72.102000000000004</v>
      </c>
      <c r="BJ20" s="12">
        <v>0.59899999999999998</v>
      </c>
      <c r="BK20" s="12">
        <v>0.54620000000000002</v>
      </c>
      <c r="BL20" s="12">
        <v>0.38890000000000002</v>
      </c>
      <c r="BM20" s="12">
        <v>0.60980000000000001</v>
      </c>
      <c r="BN20" s="12">
        <v>0.50649999999999995</v>
      </c>
      <c r="BO20" s="4">
        <v>72.372</v>
      </c>
      <c r="BP20" s="12">
        <v>0.58620000000000005</v>
      </c>
      <c r="BQ20" s="12">
        <v>0.2923</v>
      </c>
      <c r="BR20" s="12">
        <v>0.13769999999999999</v>
      </c>
      <c r="BS20" s="4">
        <v>124.8</v>
      </c>
      <c r="BT20" s="4">
        <v>106.8</v>
      </c>
      <c r="BU20" s="11">
        <v>17</v>
      </c>
      <c r="BV20" s="11">
        <v>28</v>
      </c>
      <c r="BW20" s="11">
        <v>20</v>
      </c>
      <c r="BX20" s="11">
        <v>12</v>
      </c>
      <c r="BY20" s="11">
        <v>24</v>
      </c>
      <c r="BZ20" s="11">
        <v>16</v>
      </c>
      <c r="CA20" s="11">
        <v>33</v>
      </c>
      <c r="CB20" s="11">
        <v>17</v>
      </c>
      <c r="CC20" s="11">
        <v>45</v>
      </c>
      <c r="CD20" s="11">
        <v>32</v>
      </c>
      <c r="CE20" s="11">
        <v>40</v>
      </c>
      <c r="CF20" s="11">
        <v>50</v>
      </c>
      <c r="CG20" s="4">
        <v>3.7</v>
      </c>
      <c r="CH20" s="13">
        <v>1.29</v>
      </c>
      <c r="CI20" s="4">
        <v>-8</v>
      </c>
      <c r="CJ20" s="4">
        <v>-8</v>
      </c>
      <c r="CK20" s="4">
        <v>175.5</v>
      </c>
      <c r="CL20" s="2" t="s">
        <v>490</v>
      </c>
      <c r="CM20" s="4" t="str">
        <f>VLOOKUP(cholet[[#This Row],[Away_team]],all[[Full name]:[Abbr]],3,FALSE)</f>
        <v>PAR</v>
      </c>
      <c r="CN20" s="4">
        <f>IF(OR(cholet[[#This Row],[Result]]="w",cholet[[#This Row],[Result]]="dw"),cholet[[#This Row],[win]]-1,-1)</f>
        <v>-1</v>
      </c>
      <c r="CO20" s="4">
        <f>IF(OR(cholet[[#This Row],[Result]]="L",cholet[[#This Row],[Result]]="dl"),cholet[[#This Row],[lose]]-1,-1)</f>
        <v>0.29000000000000004</v>
      </c>
      <c r="CP20" s="4">
        <f>IF(OR((cholet[[#This Row],[Home_scored]]+cholet[[#This Row],[Away_scored]])&gt;cholet[[#This Row],[total]],OR(cholet[[#This Row],[Result]]="dw",cholet[[#This Row],[Result]]="dl")),1,0)</f>
        <v>0</v>
      </c>
      <c r="CQ20" s="4">
        <f>ABS((cholet[[#This Row],[Home_scored]]+cholet[[#This Row],[Away_scored]])-cholet[[#This Row],[total]])+0.5</f>
        <v>9</v>
      </c>
    </row>
    <row r="21" spans="1:95" x14ac:dyDescent="0.25">
      <c r="A21" s="2" t="s">
        <v>349</v>
      </c>
      <c r="B21" s="2" t="s">
        <v>308</v>
      </c>
      <c r="C21" s="3" t="s">
        <v>73</v>
      </c>
      <c r="D21" s="3">
        <v>45690</v>
      </c>
      <c r="E21" s="2" t="s">
        <v>74</v>
      </c>
      <c r="F21" s="2" t="s">
        <v>345</v>
      </c>
      <c r="G21" s="2" t="s">
        <v>75</v>
      </c>
      <c r="H21" s="11">
        <v>105</v>
      </c>
      <c r="I21" s="11">
        <v>75</v>
      </c>
      <c r="J21" s="11">
        <v>42</v>
      </c>
      <c r="K21" s="11">
        <v>71</v>
      </c>
      <c r="L21" s="12">
        <v>0.59150000000000003</v>
      </c>
      <c r="M21" s="11">
        <v>29</v>
      </c>
      <c r="N21" s="11">
        <v>42</v>
      </c>
      <c r="O21" s="12">
        <v>0.6905</v>
      </c>
      <c r="P21" s="11">
        <v>13</v>
      </c>
      <c r="Q21" s="11">
        <v>29</v>
      </c>
      <c r="R21" s="12">
        <v>0.44829999999999998</v>
      </c>
      <c r="S21" s="11">
        <v>8</v>
      </c>
      <c r="T21" s="11">
        <v>8</v>
      </c>
      <c r="U21" s="12">
        <v>1</v>
      </c>
      <c r="V21" s="11">
        <v>15</v>
      </c>
      <c r="W21" s="11">
        <v>25</v>
      </c>
      <c r="X21" s="11">
        <v>40</v>
      </c>
      <c r="Y21" s="11">
        <v>36</v>
      </c>
      <c r="Z21" s="11">
        <v>8</v>
      </c>
      <c r="AA21" s="11">
        <v>1</v>
      </c>
      <c r="AB21" s="11">
        <v>20</v>
      </c>
      <c r="AC21" s="11">
        <v>27</v>
      </c>
      <c r="AD21" s="11">
        <v>22</v>
      </c>
      <c r="AE21" s="11">
        <v>53</v>
      </c>
      <c r="AF21" s="12">
        <v>0.41510000000000002</v>
      </c>
      <c r="AG21" s="11">
        <v>16</v>
      </c>
      <c r="AH21" s="11">
        <v>30</v>
      </c>
      <c r="AI21" s="12">
        <v>0.5333</v>
      </c>
      <c r="AJ21" s="11">
        <v>6</v>
      </c>
      <c r="AK21" s="11">
        <v>23</v>
      </c>
      <c r="AL21" s="12">
        <v>0.26090000000000002</v>
      </c>
      <c r="AM21" s="11">
        <v>25</v>
      </c>
      <c r="AN21" s="11">
        <v>29</v>
      </c>
      <c r="AO21" s="12">
        <v>0.86209999999999998</v>
      </c>
      <c r="AP21" s="11">
        <v>7</v>
      </c>
      <c r="AQ21" s="11">
        <v>13</v>
      </c>
      <c r="AR21" s="11">
        <v>20</v>
      </c>
      <c r="AS21" s="11">
        <v>11</v>
      </c>
      <c r="AT21" s="11">
        <v>6</v>
      </c>
      <c r="AU21" s="11">
        <v>6</v>
      </c>
      <c r="AV21" s="11">
        <v>21</v>
      </c>
      <c r="AW21" s="11">
        <v>18</v>
      </c>
      <c r="AX21" s="12">
        <v>0.70450000000000002</v>
      </c>
      <c r="AY21" s="12">
        <v>0.68310000000000004</v>
      </c>
      <c r="AZ21" s="12">
        <v>0.53569999999999995</v>
      </c>
      <c r="BA21" s="12">
        <v>0.78129999999999999</v>
      </c>
      <c r="BB21" s="12">
        <v>0.66669999999999996</v>
      </c>
      <c r="BC21" s="4">
        <v>82.563999999999993</v>
      </c>
      <c r="BD21" s="12">
        <v>0.85709999999999997</v>
      </c>
      <c r="BE21" s="12">
        <v>0.11269999999999999</v>
      </c>
      <c r="BF21" s="12">
        <v>0.21160000000000001</v>
      </c>
      <c r="BG21" s="4">
        <v>134.1</v>
      </c>
      <c r="BH21" s="4">
        <v>95.8</v>
      </c>
      <c r="BI21" s="4">
        <v>78.277500000000003</v>
      </c>
      <c r="BJ21" s="12">
        <v>0.57030000000000003</v>
      </c>
      <c r="BK21" s="12">
        <v>0.47170000000000001</v>
      </c>
      <c r="BL21" s="12">
        <v>0.21879999999999999</v>
      </c>
      <c r="BM21" s="12">
        <v>0.46429999999999999</v>
      </c>
      <c r="BN21" s="12">
        <v>0.33329999999999999</v>
      </c>
      <c r="BO21" s="4">
        <v>73.991</v>
      </c>
      <c r="BP21" s="12">
        <v>0.5</v>
      </c>
      <c r="BQ21" s="12">
        <v>0.47170000000000001</v>
      </c>
      <c r="BR21" s="12">
        <v>0.24199999999999999</v>
      </c>
      <c r="BS21" s="4">
        <v>95.8</v>
      </c>
      <c r="BT21" s="4">
        <v>134.1</v>
      </c>
      <c r="BU21" s="11">
        <v>33</v>
      </c>
      <c r="BV21" s="11">
        <v>29</v>
      </c>
      <c r="BW21" s="11">
        <v>21</v>
      </c>
      <c r="BX21" s="11">
        <v>22</v>
      </c>
      <c r="BY21" s="11">
        <v>13</v>
      </c>
      <c r="BZ21" s="11">
        <v>27</v>
      </c>
      <c r="CA21" s="11">
        <v>17</v>
      </c>
      <c r="CB21" s="11">
        <v>18</v>
      </c>
      <c r="CC21" s="11">
        <v>62</v>
      </c>
      <c r="CD21" s="11">
        <v>43</v>
      </c>
      <c r="CE21" s="11">
        <v>40</v>
      </c>
      <c r="CF21" s="11">
        <v>35</v>
      </c>
      <c r="CG21" s="4">
        <v>1.36</v>
      </c>
      <c r="CH21" s="13">
        <v>3.3</v>
      </c>
      <c r="CI21" s="4">
        <v>-7</v>
      </c>
      <c r="CJ21" s="4">
        <v>-7</v>
      </c>
      <c r="CK21" s="4">
        <v>166.5</v>
      </c>
      <c r="CL21" s="2" t="s">
        <v>496</v>
      </c>
      <c r="CM21" s="4" t="str">
        <f>VLOOKUP(cholet[[#This Row],[Away_team]],all[[Full name]:[Abbr]],3,FALSE)</f>
        <v>STR</v>
      </c>
      <c r="CN21" s="4">
        <f>IF(OR(cholet[[#This Row],[Result]]="w",cholet[[#This Row],[Result]]="dw"),cholet[[#This Row],[win]]-1,-1)</f>
        <v>0.3600000000000001</v>
      </c>
      <c r="CO21" s="4">
        <f>IF(OR(cholet[[#This Row],[Result]]="L",cholet[[#This Row],[Result]]="dl"),cholet[[#This Row],[lose]]-1,-1)</f>
        <v>-1</v>
      </c>
      <c r="CP21" s="4">
        <f>IF(OR((cholet[[#This Row],[Home_scored]]+cholet[[#This Row],[Away_scored]])&gt;cholet[[#This Row],[total]],OR(cholet[[#This Row],[Result]]="dw",cholet[[#This Row],[Result]]="dl")),1,0)</f>
        <v>1</v>
      </c>
      <c r="CQ21" s="4">
        <f>ABS((cholet[[#This Row],[Home_scored]]+cholet[[#This Row],[Away_scored]])-cholet[[#This Row],[total]])+0.5</f>
        <v>14</v>
      </c>
    </row>
    <row r="22" spans="1:95" x14ac:dyDescent="0.25">
      <c r="A22" s="2" t="s">
        <v>349</v>
      </c>
      <c r="B22" s="2" t="s">
        <v>308</v>
      </c>
      <c r="C22" s="3" t="s">
        <v>73</v>
      </c>
      <c r="D22" s="3">
        <v>45695</v>
      </c>
      <c r="E22" s="2" t="s">
        <v>140</v>
      </c>
      <c r="F22" s="2" t="s">
        <v>314</v>
      </c>
      <c r="G22" s="2" t="s">
        <v>75</v>
      </c>
      <c r="H22" s="11">
        <v>73</v>
      </c>
      <c r="I22" s="11">
        <v>70</v>
      </c>
      <c r="J22" s="11">
        <v>26</v>
      </c>
      <c r="K22" s="11">
        <v>53</v>
      </c>
      <c r="L22" s="12">
        <v>0.49059999999999998</v>
      </c>
      <c r="M22" s="11">
        <v>18</v>
      </c>
      <c r="N22" s="11">
        <v>29</v>
      </c>
      <c r="O22" s="12">
        <v>0.62070000000000003</v>
      </c>
      <c r="P22" s="11">
        <v>8</v>
      </c>
      <c r="Q22" s="11">
        <v>24</v>
      </c>
      <c r="R22" s="12">
        <v>0.33329999999999999</v>
      </c>
      <c r="S22" s="11">
        <v>13</v>
      </c>
      <c r="T22" s="11">
        <v>19</v>
      </c>
      <c r="U22" s="12">
        <v>0.68420000000000003</v>
      </c>
      <c r="V22" s="11">
        <v>4</v>
      </c>
      <c r="W22" s="11">
        <v>26</v>
      </c>
      <c r="X22" s="11">
        <v>30</v>
      </c>
      <c r="Y22" s="11">
        <v>18</v>
      </c>
      <c r="Z22" s="11">
        <v>4</v>
      </c>
      <c r="AA22" s="11">
        <v>1</v>
      </c>
      <c r="AB22" s="11">
        <v>10</v>
      </c>
      <c r="AC22" s="11">
        <v>29</v>
      </c>
      <c r="AD22" s="11">
        <v>20</v>
      </c>
      <c r="AE22" s="11">
        <v>52</v>
      </c>
      <c r="AF22" s="12">
        <v>0.3846</v>
      </c>
      <c r="AG22" s="11">
        <v>13</v>
      </c>
      <c r="AH22" s="11">
        <v>30</v>
      </c>
      <c r="AI22" s="12">
        <v>0.43330000000000002</v>
      </c>
      <c r="AJ22" s="11">
        <v>7</v>
      </c>
      <c r="AK22" s="11">
        <v>22</v>
      </c>
      <c r="AL22" s="12">
        <v>0.31819999999999998</v>
      </c>
      <c r="AM22" s="11">
        <v>23</v>
      </c>
      <c r="AN22" s="11">
        <v>34</v>
      </c>
      <c r="AO22" s="12">
        <v>0.67649999999999999</v>
      </c>
      <c r="AP22" s="11">
        <v>9</v>
      </c>
      <c r="AQ22" s="11">
        <v>25</v>
      </c>
      <c r="AR22" s="11">
        <v>34</v>
      </c>
      <c r="AS22" s="11">
        <v>11</v>
      </c>
      <c r="AT22" s="11">
        <v>3</v>
      </c>
      <c r="AU22" s="11">
        <v>0</v>
      </c>
      <c r="AV22" s="11">
        <v>9</v>
      </c>
      <c r="AW22" s="11">
        <v>19</v>
      </c>
      <c r="AX22" s="12">
        <v>0.59489999999999998</v>
      </c>
      <c r="AY22" s="12">
        <v>0.56599999999999995</v>
      </c>
      <c r="AZ22" s="12">
        <v>0.13789999999999999</v>
      </c>
      <c r="BA22" s="12">
        <v>0.7429</v>
      </c>
      <c r="BB22" s="12">
        <v>0.46879999999999999</v>
      </c>
      <c r="BC22" s="4">
        <v>66.748000000000005</v>
      </c>
      <c r="BD22" s="12">
        <v>0.69230000000000003</v>
      </c>
      <c r="BE22" s="12">
        <v>0.24529999999999999</v>
      </c>
      <c r="BF22" s="12">
        <v>0.1401</v>
      </c>
      <c r="BG22" s="4">
        <v>110.4</v>
      </c>
      <c r="BH22" s="4">
        <v>105.8</v>
      </c>
      <c r="BI22" s="4">
        <v>66.141999999999996</v>
      </c>
      <c r="BJ22" s="12">
        <v>0.52270000000000005</v>
      </c>
      <c r="BK22" s="12">
        <v>0.45190000000000002</v>
      </c>
      <c r="BL22" s="12">
        <v>0.2571</v>
      </c>
      <c r="BM22" s="12">
        <v>0.86209999999999998</v>
      </c>
      <c r="BN22" s="12">
        <v>0.53129999999999999</v>
      </c>
      <c r="BO22" s="4">
        <v>65.536000000000001</v>
      </c>
      <c r="BP22" s="12">
        <v>0.55000000000000004</v>
      </c>
      <c r="BQ22" s="12">
        <v>0.44230000000000003</v>
      </c>
      <c r="BR22" s="12">
        <v>0.11849999999999999</v>
      </c>
      <c r="BS22" s="4">
        <v>105.8</v>
      </c>
      <c r="BT22" s="4">
        <v>110.4</v>
      </c>
      <c r="BU22" s="11">
        <v>11</v>
      </c>
      <c r="BV22" s="11">
        <v>16</v>
      </c>
      <c r="BW22" s="11">
        <v>28</v>
      </c>
      <c r="BX22" s="11">
        <v>18</v>
      </c>
      <c r="BY22" s="11">
        <v>27</v>
      </c>
      <c r="BZ22" s="11">
        <v>11</v>
      </c>
      <c r="CA22" s="11">
        <v>18</v>
      </c>
      <c r="CB22" s="11">
        <v>14</v>
      </c>
      <c r="CC22" s="11">
        <v>27</v>
      </c>
      <c r="CD22" s="11">
        <v>46</v>
      </c>
      <c r="CE22" s="11">
        <v>38</v>
      </c>
      <c r="CF22" s="11">
        <v>32</v>
      </c>
      <c r="CG22" s="4">
        <v>1.53</v>
      </c>
      <c r="CH22" s="13">
        <v>2.6</v>
      </c>
      <c r="CI22" s="4">
        <v>-4.5</v>
      </c>
      <c r="CJ22" s="4">
        <v>4.5</v>
      </c>
      <c r="CK22" s="4">
        <v>162.5</v>
      </c>
      <c r="CL22" s="2" t="s">
        <v>499</v>
      </c>
      <c r="CM22" s="4" t="str">
        <f>VLOOKUP(cholet[[#This Row],[Away_team]],all[[Full name]:[Abbr]],3,FALSE)</f>
        <v>DUN</v>
      </c>
      <c r="CN22" s="4">
        <f>IF(OR(cholet[[#This Row],[Result]]="w",cholet[[#This Row],[Result]]="dw"),cholet[[#This Row],[win]]-1,-1)</f>
        <v>0.53</v>
      </c>
      <c r="CO22" s="4">
        <f>IF(OR(cholet[[#This Row],[Result]]="L",cholet[[#This Row],[Result]]="dl"),cholet[[#This Row],[lose]]-1,-1)</f>
        <v>-1</v>
      </c>
      <c r="CP22" s="4">
        <f>IF(OR((cholet[[#This Row],[Home_scored]]+cholet[[#This Row],[Away_scored]])&gt;cholet[[#This Row],[total]],OR(cholet[[#This Row],[Result]]="dw",cholet[[#This Row],[Result]]="dl")),1,0)</f>
        <v>0</v>
      </c>
      <c r="CQ22" s="4">
        <f>ABS((cholet[[#This Row],[Home_scored]]+cholet[[#This Row],[Away_scored]])-cholet[[#This Row],[total]])+0.5</f>
        <v>20</v>
      </c>
    </row>
    <row r="23" spans="1:95" x14ac:dyDescent="0.25">
      <c r="A23" s="2" t="s">
        <v>349</v>
      </c>
      <c r="B23" s="2" t="s">
        <v>308</v>
      </c>
      <c r="C23" s="3" t="s">
        <v>73</v>
      </c>
      <c r="D23" s="3">
        <v>45718</v>
      </c>
      <c r="E23" s="2" t="s">
        <v>74</v>
      </c>
      <c r="F23" s="2" t="s">
        <v>330</v>
      </c>
      <c r="G23" s="2" t="s">
        <v>139</v>
      </c>
      <c r="H23" s="11">
        <v>84</v>
      </c>
      <c r="I23" s="11">
        <v>95</v>
      </c>
      <c r="J23" s="11">
        <v>32</v>
      </c>
      <c r="K23" s="11">
        <v>60</v>
      </c>
      <c r="L23" s="12">
        <v>0.5333</v>
      </c>
      <c r="M23" s="11">
        <v>26</v>
      </c>
      <c r="N23" s="11">
        <v>41</v>
      </c>
      <c r="O23" s="12">
        <v>0.6341</v>
      </c>
      <c r="P23" s="11">
        <v>6</v>
      </c>
      <c r="Q23" s="11">
        <v>19</v>
      </c>
      <c r="R23" s="12">
        <v>0.31580000000000003</v>
      </c>
      <c r="S23" s="11">
        <v>14</v>
      </c>
      <c r="T23" s="11">
        <v>20</v>
      </c>
      <c r="U23" s="12">
        <v>0.7</v>
      </c>
      <c r="V23" s="11">
        <v>7</v>
      </c>
      <c r="W23" s="11">
        <v>20</v>
      </c>
      <c r="X23" s="11">
        <v>27</v>
      </c>
      <c r="Y23" s="11">
        <v>22</v>
      </c>
      <c r="Z23" s="11">
        <v>5</v>
      </c>
      <c r="AA23" s="11">
        <v>1</v>
      </c>
      <c r="AB23" s="11">
        <v>16</v>
      </c>
      <c r="AC23" s="11">
        <v>25</v>
      </c>
      <c r="AD23" s="11">
        <v>34</v>
      </c>
      <c r="AE23" s="11">
        <v>63</v>
      </c>
      <c r="AF23" s="12">
        <v>0.53969999999999996</v>
      </c>
      <c r="AG23" s="11">
        <v>21</v>
      </c>
      <c r="AH23" s="11">
        <v>32</v>
      </c>
      <c r="AI23" s="12">
        <v>0.65629999999999999</v>
      </c>
      <c r="AJ23" s="11">
        <v>13</v>
      </c>
      <c r="AK23" s="11">
        <v>31</v>
      </c>
      <c r="AL23" s="12">
        <v>0.4194</v>
      </c>
      <c r="AM23" s="11">
        <v>14</v>
      </c>
      <c r="AN23" s="11">
        <v>18</v>
      </c>
      <c r="AO23" s="12">
        <v>0.77780000000000005</v>
      </c>
      <c r="AP23" s="11">
        <v>10</v>
      </c>
      <c r="AQ23" s="11">
        <v>20</v>
      </c>
      <c r="AR23" s="11">
        <v>30</v>
      </c>
      <c r="AS23" s="11">
        <v>27</v>
      </c>
      <c r="AT23" s="11">
        <v>4</v>
      </c>
      <c r="AU23" s="11">
        <v>5</v>
      </c>
      <c r="AV23" s="11">
        <v>14</v>
      </c>
      <c r="AW23" s="11">
        <v>22</v>
      </c>
      <c r="AX23" s="12">
        <v>0.61050000000000004</v>
      </c>
      <c r="AY23" s="12">
        <v>0.58330000000000004</v>
      </c>
      <c r="AZ23" s="12">
        <v>0.25929999999999997</v>
      </c>
      <c r="BA23" s="12">
        <v>0.66669999999999996</v>
      </c>
      <c r="BB23" s="12">
        <v>0.47370000000000001</v>
      </c>
      <c r="BC23" s="4">
        <v>76.233000000000004</v>
      </c>
      <c r="BD23" s="12">
        <v>0.6875</v>
      </c>
      <c r="BE23" s="12">
        <v>0.23330000000000001</v>
      </c>
      <c r="BF23" s="12">
        <v>0.18870000000000001</v>
      </c>
      <c r="BG23" s="4">
        <v>111.9</v>
      </c>
      <c r="BH23" s="4">
        <v>126.6</v>
      </c>
      <c r="BI23" s="4">
        <v>75.045000000000002</v>
      </c>
      <c r="BJ23" s="12">
        <v>0.66979999999999995</v>
      </c>
      <c r="BK23" s="12">
        <v>0.64290000000000003</v>
      </c>
      <c r="BL23" s="12">
        <v>0.33329999999999999</v>
      </c>
      <c r="BM23" s="12">
        <v>0.74070000000000003</v>
      </c>
      <c r="BN23" s="12">
        <v>0.52629999999999999</v>
      </c>
      <c r="BO23" s="4">
        <v>73.856999999999999</v>
      </c>
      <c r="BP23" s="12">
        <v>0.79410000000000003</v>
      </c>
      <c r="BQ23" s="12">
        <v>0.22220000000000001</v>
      </c>
      <c r="BR23" s="12">
        <v>0.16489999999999999</v>
      </c>
      <c r="BS23" s="4">
        <v>126.6</v>
      </c>
      <c r="BT23" s="4">
        <v>111.9</v>
      </c>
      <c r="BU23" s="11">
        <v>31</v>
      </c>
      <c r="BV23" s="11">
        <v>12</v>
      </c>
      <c r="BW23" s="11">
        <v>20</v>
      </c>
      <c r="BX23" s="11">
        <v>21</v>
      </c>
      <c r="BY23" s="11">
        <v>18</v>
      </c>
      <c r="BZ23" s="11">
        <v>25</v>
      </c>
      <c r="CA23" s="11">
        <v>24</v>
      </c>
      <c r="CB23" s="11">
        <v>28</v>
      </c>
      <c r="CC23" s="11">
        <v>43</v>
      </c>
      <c r="CD23" s="11">
        <v>41</v>
      </c>
      <c r="CE23" s="11">
        <v>43</v>
      </c>
      <c r="CF23" s="11">
        <v>52</v>
      </c>
      <c r="CG23" s="4">
        <v>2.8</v>
      </c>
      <c r="CH23" s="13">
        <v>1.45</v>
      </c>
      <c r="CI23" s="4">
        <v>5.5</v>
      </c>
      <c r="CJ23" s="4">
        <v>-5.5</v>
      </c>
      <c r="CK23" s="4">
        <v>169.5</v>
      </c>
      <c r="CL23" s="2" t="s">
        <v>514</v>
      </c>
      <c r="CM23" s="4" t="str">
        <f>VLOOKUP(cholet[[#This Row],[Away_team]],all[[Full name]:[Abbr]],3,FALSE)</f>
        <v>MON</v>
      </c>
      <c r="CN23" s="4">
        <f>IF(OR(cholet[[#This Row],[Result]]="w",cholet[[#This Row],[Result]]="dw"),cholet[[#This Row],[win]]-1,-1)</f>
        <v>-1</v>
      </c>
      <c r="CO23" s="4">
        <f>IF(OR(cholet[[#This Row],[Result]]="L",cholet[[#This Row],[Result]]="dl"),cholet[[#This Row],[lose]]-1,-1)</f>
        <v>0.44999999999999996</v>
      </c>
      <c r="CP23" s="4">
        <f>IF(OR((cholet[[#This Row],[Home_scored]]+cholet[[#This Row],[Away_scored]])&gt;cholet[[#This Row],[total]],OR(cholet[[#This Row],[Result]]="dw",cholet[[#This Row],[Result]]="dl")),1,0)</f>
        <v>1</v>
      </c>
      <c r="CQ23" s="4">
        <f>ABS((cholet[[#This Row],[Home_scored]]+cholet[[#This Row],[Away_scored]])-cholet[[#This Row],[total]])+0.5</f>
        <v>10</v>
      </c>
    </row>
    <row r="24" spans="1:95" x14ac:dyDescent="0.25">
      <c r="A24" s="2" t="s">
        <v>349</v>
      </c>
      <c r="B24" s="2" t="s">
        <v>308</v>
      </c>
      <c r="C24" s="3" t="s">
        <v>73</v>
      </c>
      <c r="D24" s="3">
        <v>45724</v>
      </c>
      <c r="E24" s="2" t="s">
        <v>140</v>
      </c>
      <c r="F24" s="2" t="s">
        <v>311</v>
      </c>
      <c r="G24" s="2" t="s">
        <v>75</v>
      </c>
      <c r="H24" s="11">
        <v>93</v>
      </c>
      <c r="I24" s="11">
        <v>67</v>
      </c>
      <c r="J24" s="11">
        <v>32</v>
      </c>
      <c r="K24" s="11">
        <v>57</v>
      </c>
      <c r="L24" s="12">
        <v>0.56140000000000001</v>
      </c>
      <c r="M24" s="11">
        <v>22</v>
      </c>
      <c r="N24" s="11">
        <v>35</v>
      </c>
      <c r="O24" s="12">
        <v>0.62860000000000005</v>
      </c>
      <c r="P24" s="11">
        <v>10</v>
      </c>
      <c r="Q24" s="11">
        <v>22</v>
      </c>
      <c r="R24" s="12">
        <v>0.45450000000000002</v>
      </c>
      <c r="S24" s="11">
        <v>19</v>
      </c>
      <c r="T24" s="11">
        <v>30</v>
      </c>
      <c r="U24" s="12">
        <v>0.63329999999999997</v>
      </c>
      <c r="V24" s="11">
        <v>7</v>
      </c>
      <c r="W24" s="11">
        <v>34</v>
      </c>
      <c r="X24" s="11">
        <v>41</v>
      </c>
      <c r="Y24" s="11">
        <v>23</v>
      </c>
      <c r="Z24" s="11">
        <v>11</v>
      </c>
      <c r="AA24" s="11">
        <v>2</v>
      </c>
      <c r="AB24" s="11">
        <v>18</v>
      </c>
      <c r="AC24" s="11">
        <v>25</v>
      </c>
      <c r="AD24" s="11">
        <v>19</v>
      </c>
      <c r="AE24" s="11">
        <v>59</v>
      </c>
      <c r="AF24" s="12">
        <v>0.32200000000000001</v>
      </c>
      <c r="AG24" s="11">
        <v>11</v>
      </c>
      <c r="AH24" s="11">
        <v>30</v>
      </c>
      <c r="AI24" s="12">
        <v>0.36670000000000003</v>
      </c>
      <c r="AJ24" s="11">
        <v>8</v>
      </c>
      <c r="AK24" s="11">
        <v>29</v>
      </c>
      <c r="AL24" s="12">
        <v>0.27589999999999998</v>
      </c>
      <c r="AM24" s="11">
        <v>21</v>
      </c>
      <c r="AN24" s="11">
        <v>27</v>
      </c>
      <c r="AO24" s="12">
        <v>0.77780000000000005</v>
      </c>
      <c r="AP24" s="11">
        <v>7</v>
      </c>
      <c r="AQ24" s="11">
        <v>25</v>
      </c>
      <c r="AR24" s="11">
        <v>32</v>
      </c>
      <c r="AS24" s="11">
        <v>16</v>
      </c>
      <c r="AT24" s="11">
        <v>7</v>
      </c>
      <c r="AU24" s="11">
        <v>3</v>
      </c>
      <c r="AV24" s="11">
        <v>17</v>
      </c>
      <c r="AW24" s="11">
        <v>26</v>
      </c>
      <c r="AX24" s="12">
        <v>0.66239999999999999</v>
      </c>
      <c r="AY24" s="12">
        <v>0.64910000000000001</v>
      </c>
      <c r="AZ24" s="12">
        <v>0.21879999999999999</v>
      </c>
      <c r="BA24" s="12">
        <v>0.82930000000000004</v>
      </c>
      <c r="BB24" s="12">
        <v>0.56159999999999999</v>
      </c>
      <c r="BC24" s="4">
        <v>82.433000000000007</v>
      </c>
      <c r="BD24" s="12">
        <v>0.71879999999999999</v>
      </c>
      <c r="BE24" s="12">
        <v>0.33329999999999999</v>
      </c>
      <c r="BF24" s="12">
        <v>0.2041</v>
      </c>
      <c r="BG24" s="4">
        <v>116.3</v>
      </c>
      <c r="BH24" s="4">
        <v>83.8</v>
      </c>
      <c r="BI24" s="4">
        <v>79.935500000000005</v>
      </c>
      <c r="BJ24" s="12">
        <v>0.47260000000000002</v>
      </c>
      <c r="BK24" s="12">
        <v>0.38979999999999998</v>
      </c>
      <c r="BL24" s="12">
        <v>0.17069999999999999</v>
      </c>
      <c r="BM24" s="12">
        <v>0.78129999999999999</v>
      </c>
      <c r="BN24" s="12">
        <v>0.43840000000000001</v>
      </c>
      <c r="BO24" s="4">
        <v>77.438000000000002</v>
      </c>
      <c r="BP24" s="12">
        <v>0.84209999999999996</v>
      </c>
      <c r="BQ24" s="12">
        <v>0.35589999999999999</v>
      </c>
      <c r="BR24" s="12">
        <v>0.19339999999999999</v>
      </c>
      <c r="BS24" s="4">
        <v>83.8</v>
      </c>
      <c r="BT24" s="4">
        <v>116.3</v>
      </c>
      <c r="BU24" s="11">
        <v>27</v>
      </c>
      <c r="BV24" s="11">
        <v>22</v>
      </c>
      <c r="BW24" s="11">
        <v>18</v>
      </c>
      <c r="BX24" s="11">
        <v>26</v>
      </c>
      <c r="BY24" s="11">
        <v>9</v>
      </c>
      <c r="BZ24" s="11">
        <v>23</v>
      </c>
      <c r="CA24" s="11">
        <v>20</v>
      </c>
      <c r="CB24" s="11">
        <v>15</v>
      </c>
      <c r="CC24" s="11">
        <v>49</v>
      </c>
      <c r="CD24" s="11">
        <v>44</v>
      </c>
      <c r="CE24" s="11">
        <v>32</v>
      </c>
      <c r="CF24" s="11">
        <v>35</v>
      </c>
      <c r="CG24" s="4">
        <v>1.8</v>
      </c>
      <c r="CH24" s="13">
        <v>2.0499999999999998</v>
      </c>
      <c r="CI24" s="4">
        <v>-1.5</v>
      </c>
      <c r="CJ24" s="4">
        <v>1.5</v>
      </c>
      <c r="CK24" s="4">
        <v>167.5</v>
      </c>
      <c r="CL24" s="2" t="s">
        <v>518</v>
      </c>
      <c r="CM24" s="4" t="str">
        <f>VLOOKUP(cholet[[#This Row],[Away_team]],all[[Full name]:[Abbr]],3,FALSE)</f>
        <v>DIJ</v>
      </c>
      <c r="CN24" s="4">
        <f>IF(OR(cholet[[#This Row],[Result]]="w",cholet[[#This Row],[Result]]="dw"),cholet[[#This Row],[win]]-1,-1)</f>
        <v>0.8</v>
      </c>
      <c r="CO24" s="4">
        <f>IF(OR(cholet[[#This Row],[Result]]="L",cholet[[#This Row],[Result]]="dl"),cholet[[#This Row],[lose]]-1,-1)</f>
        <v>-1</v>
      </c>
      <c r="CP24" s="4">
        <f>IF(OR((cholet[[#This Row],[Home_scored]]+cholet[[#This Row],[Away_scored]])&gt;cholet[[#This Row],[total]],OR(cholet[[#This Row],[Result]]="dw",cholet[[#This Row],[Result]]="dl")),1,0)</f>
        <v>0</v>
      </c>
      <c r="CQ24" s="4">
        <f>ABS((cholet[[#This Row],[Home_scored]]+cholet[[#This Row],[Away_scored]])-cholet[[#This Row],[total]])+0.5</f>
        <v>8</v>
      </c>
    </row>
    <row r="25" spans="1:95" x14ac:dyDescent="0.25">
      <c r="A25" s="2" t="s">
        <v>349</v>
      </c>
      <c r="B25" s="2" t="s">
        <v>308</v>
      </c>
      <c r="C25" s="3" t="s">
        <v>73</v>
      </c>
      <c r="D25" s="3">
        <v>45738</v>
      </c>
      <c r="E25" s="2" t="s">
        <v>74</v>
      </c>
      <c r="F25" s="2" t="s">
        <v>323</v>
      </c>
      <c r="G25" s="2" t="s">
        <v>75</v>
      </c>
      <c r="H25" s="11">
        <v>83</v>
      </c>
      <c r="I25" s="11">
        <v>77</v>
      </c>
      <c r="J25" s="11">
        <v>32</v>
      </c>
      <c r="K25" s="11">
        <v>73</v>
      </c>
      <c r="L25" s="12">
        <v>0.43840000000000001</v>
      </c>
      <c r="M25" s="11">
        <v>20</v>
      </c>
      <c r="N25" s="11">
        <v>42</v>
      </c>
      <c r="O25" s="12">
        <v>0.47620000000000001</v>
      </c>
      <c r="P25" s="11">
        <v>12</v>
      </c>
      <c r="Q25" s="11">
        <v>31</v>
      </c>
      <c r="R25" s="12">
        <v>0.3871</v>
      </c>
      <c r="S25" s="11">
        <v>7</v>
      </c>
      <c r="T25" s="11">
        <v>8</v>
      </c>
      <c r="U25" s="12">
        <v>0.875</v>
      </c>
      <c r="V25" s="11">
        <v>19</v>
      </c>
      <c r="W25" s="11">
        <v>20</v>
      </c>
      <c r="X25" s="11">
        <v>39</v>
      </c>
      <c r="Y25" s="11">
        <v>21</v>
      </c>
      <c r="Z25" s="11">
        <v>9</v>
      </c>
      <c r="AA25" s="11">
        <v>3</v>
      </c>
      <c r="AB25" s="11">
        <v>10</v>
      </c>
      <c r="AC25" s="11">
        <v>22</v>
      </c>
      <c r="AD25" s="11">
        <v>26</v>
      </c>
      <c r="AE25" s="11">
        <v>55</v>
      </c>
      <c r="AF25" s="12">
        <v>0.47270000000000001</v>
      </c>
      <c r="AG25" s="11">
        <v>19</v>
      </c>
      <c r="AH25" s="11">
        <v>33</v>
      </c>
      <c r="AI25" s="12">
        <v>0.57579999999999998</v>
      </c>
      <c r="AJ25" s="11">
        <v>7</v>
      </c>
      <c r="AK25" s="11">
        <v>22</v>
      </c>
      <c r="AL25" s="12">
        <v>0.31819999999999998</v>
      </c>
      <c r="AM25" s="11">
        <v>18</v>
      </c>
      <c r="AN25" s="11">
        <v>24</v>
      </c>
      <c r="AO25" s="12">
        <v>0.75</v>
      </c>
      <c r="AP25" s="11">
        <v>12</v>
      </c>
      <c r="AQ25" s="11">
        <v>23</v>
      </c>
      <c r="AR25" s="11">
        <v>35</v>
      </c>
      <c r="AS25" s="11">
        <v>17</v>
      </c>
      <c r="AT25" s="11">
        <v>4</v>
      </c>
      <c r="AU25" s="11">
        <v>1</v>
      </c>
      <c r="AV25" s="11">
        <v>14</v>
      </c>
      <c r="AW25" s="11">
        <v>15</v>
      </c>
      <c r="AX25" s="12">
        <v>0.5423</v>
      </c>
      <c r="AY25" s="12">
        <v>0.52049999999999996</v>
      </c>
      <c r="AZ25" s="12">
        <v>0.45240000000000002</v>
      </c>
      <c r="BA25" s="12">
        <v>0.625</v>
      </c>
      <c r="BB25" s="12">
        <v>0.52700000000000002</v>
      </c>
      <c r="BC25" s="4">
        <v>64.826999999999998</v>
      </c>
      <c r="BD25" s="12">
        <v>0.65629999999999999</v>
      </c>
      <c r="BE25" s="12">
        <v>9.5899999999999999E-2</v>
      </c>
      <c r="BF25" s="12">
        <v>0.11559999999999999</v>
      </c>
      <c r="BG25" s="4">
        <v>125</v>
      </c>
      <c r="BH25" s="4">
        <v>116</v>
      </c>
      <c r="BI25" s="4">
        <v>66.394000000000005</v>
      </c>
      <c r="BJ25" s="12">
        <v>0.58720000000000006</v>
      </c>
      <c r="BK25" s="12">
        <v>0.53639999999999999</v>
      </c>
      <c r="BL25" s="12">
        <v>0.375</v>
      </c>
      <c r="BM25" s="12">
        <v>0.54759999999999998</v>
      </c>
      <c r="BN25" s="12">
        <v>0.47299999999999998</v>
      </c>
      <c r="BO25" s="4">
        <v>67.960999999999999</v>
      </c>
      <c r="BP25" s="12">
        <v>0.65380000000000005</v>
      </c>
      <c r="BQ25" s="12">
        <v>0.32729999999999998</v>
      </c>
      <c r="BR25" s="12">
        <v>0.17599999999999999</v>
      </c>
      <c r="BS25" s="4">
        <v>116</v>
      </c>
      <c r="BT25" s="4">
        <v>125</v>
      </c>
      <c r="BU25" s="11">
        <v>25</v>
      </c>
      <c r="BV25" s="11">
        <v>17</v>
      </c>
      <c r="BW25" s="11">
        <v>18</v>
      </c>
      <c r="BX25" s="11">
        <v>23</v>
      </c>
      <c r="BY25" s="11">
        <v>27</v>
      </c>
      <c r="BZ25" s="11">
        <v>14</v>
      </c>
      <c r="CA25" s="11">
        <v>28</v>
      </c>
      <c r="CB25" s="11">
        <v>8</v>
      </c>
      <c r="CC25" s="11">
        <v>42</v>
      </c>
      <c r="CD25" s="11">
        <v>41</v>
      </c>
      <c r="CE25" s="11">
        <v>41</v>
      </c>
      <c r="CF25" s="11">
        <v>36</v>
      </c>
      <c r="CG25" s="4">
        <v>1.1000000000000001</v>
      </c>
      <c r="CH25" s="13">
        <v>7.25</v>
      </c>
      <c r="CI25" s="4">
        <v>-13</v>
      </c>
      <c r="CJ25" s="4">
        <v>-13</v>
      </c>
      <c r="CK25" s="4">
        <v>161.5</v>
      </c>
      <c r="CL25" s="2" t="s">
        <v>526</v>
      </c>
      <c r="CM25" s="4" t="e">
        <f>VLOOKUP(cholet[[#This Row],[Away_team]],all[[Full name]:[Abbr]],3,FALSE)</f>
        <v>#N/A</v>
      </c>
      <c r="CN25" s="4">
        <f>IF(OR(cholet[[#This Row],[Result]]="w",cholet[[#This Row],[Result]]="dw"),cholet[[#This Row],[win]]-1,-1)</f>
        <v>0.10000000000000009</v>
      </c>
      <c r="CO25" s="4">
        <f>IF(OR(cholet[[#This Row],[Result]]="L",cholet[[#This Row],[Result]]="dl"),cholet[[#This Row],[lose]]-1,-1)</f>
        <v>-1</v>
      </c>
      <c r="CP25" s="4">
        <f>IF(OR((cholet[[#This Row],[Home_scored]]+cholet[[#This Row],[Away_scored]])&gt;cholet[[#This Row],[total]],OR(cholet[[#This Row],[Result]]="dw",cholet[[#This Row],[Result]]="dl")),1,0)</f>
        <v>0</v>
      </c>
      <c r="CQ25" s="4">
        <f>ABS((cholet[[#This Row],[Home_scored]]+cholet[[#This Row],[Away_scored]])-cholet[[#This Row],[total]])+0.5</f>
        <v>2</v>
      </c>
    </row>
    <row r="26" spans="1:95" x14ac:dyDescent="0.25">
      <c r="A26" s="2" t="s">
        <v>349</v>
      </c>
      <c r="B26" s="2" t="s">
        <v>308</v>
      </c>
      <c r="C26" s="3" t="s">
        <v>73</v>
      </c>
      <c r="D26" s="3">
        <v>45745</v>
      </c>
      <c r="E26" s="2" t="s">
        <v>140</v>
      </c>
      <c r="F26" s="2" t="s">
        <v>317</v>
      </c>
      <c r="G26" s="2" t="s">
        <v>139</v>
      </c>
      <c r="H26" s="11">
        <v>68</v>
      </c>
      <c r="I26" s="11">
        <v>91</v>
      </c>
      <c r="J26" s="11">
        <v>19</v>
      </c>
      <c r="K26" s="11">
        <v>58</v>
      </c>
      <c r="L26" s="12">
        <v>0.3276</v>
      </c>
      <c r="M26" s="11">
        <v>12</v>
      </c>
      <c r="N26" s="11">
        <v>35</v>
      </c>
      <c r="O26" s="12">
        <v>0.34289999999999998</v>
      </c>
      <c r="P26" s="11">
        <v>7</v>
      </c>
      <c r="Q26" s="11">
        <v>23</v>
      </c>
      <c r="R26" s="12">
        <v>0.30430000000000001</v>
      </c>
      <c r="S26" s="11">
        <v>23</v>
      </c>
      <c r="T26" s="11">
        <v>35</v>
      </c>
      <c r="U26" s="12">
        <v>0.65710000000000002</v>
      </c>
      <c r="V26" s="11">
        <v>16</v>
      </c>
      <c r="W26" s="11">
        <v>28</v>
      </c>
      <c r="X26" s="11">
        <v>44</v>
      </c>
      <c r="Y26" s="11">
        <v>17</v>
      </c>
      <c r="Z26" s="11">
        <v>4</v>
      </c>
      <c r="AA26" s="11">
        <v>5</v>
      </c>
      <c r="AB26" s="11">
        <v>16</v>
      </c>
      <c r="AC26" s="11">
        <v>23</v>
      </c>
      <c r="AD26" s="11">
        <v>30</v>
      </c>
      <c r="AE26" s="11">
        <v>70</v>
      </c>
      <c r="AF26" s="12">
        <v>0.42859999999999998</v>
      </c>
      <c r="AG26" s="11">
        <v>13</v>
      </c>
      <c r="AH26" s="11">
        <v>31</v>
      </c>
      <c r="AI26" s="12">
        <v>0.4194</v>
      </c>
      <c r="AJ26" s="11">
        <v>17</v>
      </c>
      <c r="AK26" s="11">
        <v>39</v>
      </c>
      <c r="AL26" s="12">
        <v>0.43590000000000001</v>
      </c>
      <c r="AM26" s="11">
        <v>14</v>
      </c>
      <c r="AN26" s="11">
        <v>22</v>
      </c>
      <c r="AO26" s="12">
        <v>0.63639999999999997</v>
      </c>
      <c r="AP26" s="11">
        <v>17</v>
      </c>
      <c r="AQ26" s="11">
        <v>30</v>
      </c>
      <c r="AR26" s="11">
        <v>47</v>
      </c>
      <c r="AS26" s="11">
        <v>17</v>
      </c>
      <c r="AT26" s="11">
        <v>9</v>
      </c>
      <c r="AU26" s="11">
        <v>2</v>
      </c>
      <c r="AV26" s="11">
        <v>12</v>
      </c>
      <c r="AW26" s="11">
        <v>26</v>
      </c>
      <c r="AX26" s="12">
        <v>0.4632</v>
      </c>
      <c r="AY26" s="12">
        <v>0.38790000000000002</v>
      </c>
      <c r="AZ26" s="12">
        <v>0.3478</v>
      </c>
      <c r="BA26" s="12">
        <v>0.62219999999999998</v>
      </c>
      <c r="BB26" s="12">
        <v>0.48349999999999999</v>
      </c>
      <c r="BC26" s="4">
        <v>72.825000000000003</v>
      </c>
      <c r="BD26" s="12">
        <v>0.89470000000000005</v>
      </c>
      <c r="BE26" s="12">
        <v>0.39660000000000001</v>
      </c>
      <c r="BF26" s="12">
        <v>0.17899999999999999</v>
      </c>
      <c r="BG26" s="4">
        <v>91.8</v>
      </c>
      <c r="BH26" s="4">
        <v>122.9</v>
      </c>
      <c r="BI26" s="4">
        <v>74.072000000000003</v>
      </c>
      <c r="BJ26" s="12">
        <v>0.57099999999999995</v>
      </c>
      <c r="BK26" s="12">
        <v>0.55000000000000004</v>
      </c>
      <c r="BL26" s="12">
        <v>0.37780000000000002</v>
      </c>
      <c r="BM26" s="12">
        <v>0.6522</v>
      </c>
      <c r="BN26" s="12">
        <v>0.51649999999999996</v>
      </c>
      <c r="BO26" s="4">
        <v>75.319000000000003</v>
      </c>
      <c r="BP26" s="12">
        <v>0.56669999999999998</v>
      </c>
      <c r="BQ26" s="12">
        <v>0.2</v>
      </c>
      <c r="BR26" s="12">
        <v>0.13089999999999999</v>
      </c>
      <c r="BS26" s="4">
        <v>122.9</v>
      </c>
      <c r="BT26" s="4">
        <v>91.8</v>
      </c>
      <c r="BU26" s="11">
        <v>22</v>
      </c>
      <c r="BV26" s="11">
        <v>14</v>
      </c>
      <c r="BW26" s="11">
        <v>14</v>
      </c>
      <c r="BX26" s="11">
        <v>18</v>
      </c>
      <c r="BY26" s="11">
        <v>17</v>
      </c>
      <c r="BZ26" s="11">
        <v>29</v>
      </c>
      <c r="CA26" s="11">
        <v>21</v>
      </c>
      <c r="CB26" s="11">
        <v>24</v>
      </c>
      <c r="CC26" s="11">
        <v>36</v>
      </c>
      <c r="CD26" s="11">
        <v>32</v>
      </c>
      <c r="CE26" s="11">
        <v>46</v>
      </c>
      <c r="CF26" s="11">
        <v>45</v>
      </c>
      <c r="CG26" s="4">
        <v>2.6</v>
      </c>
      <c r="CH26" s="13">
        <v>1.52</v>
      </c>
      <c r="CI26" s="4">
        <v>2.5</v>
      </c>
      <c r="CJ26" s="4">
        <v>-2.5</v>
      </c>
      <c r="CK26" s="4">
        <v>171.5</v>
      </c>
      <c r="CL26" s="2" t="s">
        <v>533</v>
      </c>
      <c r="CM26" s="4" t="str">
        <f>VLOOKUP(cholet[[#This Row],[Away_team]],all[[Full name]:[Abbr]],3,FALSE)</f>
        <v>LEM</v>
      </c>
      <c r="CN26" s="4">
        <f>IF(OR(cholet[[#This Row],[Result]]="w",cholet[[#This Row],[Result]]="dw"),cholet[[#This Row],[win]]-1,-1)</f>
        <v>-1</v>
      </c>
      <c r="CO26" s="4">
        <f>IF(OR(cholet[[#This Row],[Result]]="L",cholet[[#This Row],[Result]]="dl"),cholet[[#This Row],[lose]]-1,-1)</f>
        <v>0.52</v>
      </c>
      <c r="CP26" s="4">
        <f>IF(OR((cholet[[#This Row],[Home_scored]]+cholet[[#This Row],[Away_scored]])&gt;cholet[[#This Row],[total]],OR(cholet[[#This Row],[Result]]="dw",cholet[[#This Row],[Result]]="dl")),1,0)</f>
        <v>0</v>
      </c>
      <c r="CQ26" s="4">
        <f>ABS((cholet[[#This Row],[Home_scored]]+cholet[[#This Row],[Away_scored]])-cholet[[#This Row],[total]])+0.5</f>
        <v>13</v>
      </c>
    </row>
    <row r="27" spans="1:95" x14ac:dyDescent="0.25">
      <c r="A27" s="2" t="s">
        <v>349</v>
      </c>
      <c r="B27" s="2" t="s">
        <v>308</v>
      </c>
      <c r="C27" s="3" t="s">
        <v>73</v>
      </c>
      <c r="D27" s="3">
        <v>45752</v>
      </c>
      <c r="E27" s="2" t="s">
        <v>140</v>
      </c>
      <c r="F27" s="2" t="s">
        <v>305</v>
      </c>
      <c r="G27" s="2" t="s">
        <v>139</v>
      </c>
      <c r="H27" s="11">
        <v>72</v>
      </c>
      <c r="I27" s="11">
        <v>105</v>
      </c>
      <c r="J27" s="11">
        <v>27</v>
      </c>
      <c r="K27" s="11">
        <v>67</v>
      </c>
      <c r="L27" s="12">
        <v>0.40300000000000002</v>
      </c>
      <c r="M27" s="11">
        <v>21</v>
      </c>
      <c r="N27" s="11">
        <v>37</v>
      </c>
      <c r="O27" s="12">
        <v>0.56759999999999999</v>
      </c>
      <c r="P27" s="11">
        <v>6</v>
      </c>
      <c r="Q27" s="11">
        <v>30</v>
      </c>
      <c r="R27" s="12">
        <v>0.2</v>
      </c>
      <c r="S27" s="11">
        <v>12</v>
      </c>
      <c r="T27" s="11">
        <v>20</v>
      </c>
      <c r="U27" s="12">
        <v>0.6</v>
      </c>
      <c r="V27" s="11">
        <v>16</v>
      </c>
      <c r="W27" s="11">
        <v>25</v>
      </c>
      <c r="X27" s="11">
        <v>41</v>
      </c>
      <c r="Y27" s="11">
        <v>19</v>
      </c>
      <c r="Z27" s="11">
        <v>4</v>
      </c>
      <c r="AA27" s="11">
        <v>1</v>
      </c>
      <c r="AB27" s="11">
        <v>17</v>
      </c>
      <c r="AC27" s="11">
        <v>22</v>
      </c>
      <c r="AD27" s="11">
        <v>39</v>
      </c>
      <c r="AE27" s="11">
        <v>66</v>
      </c>
      <c r="AF27" s="12">
        <v>0.59089999999999998</v>
      </c>
      <c r="AG27" s="11">
        <v>23</v>
      </c>
      <c r="AH27" s="11">
        <v>32</v>
      </c>
      <c r="AI27" s="12">
        <v>0.71879999999999999</v>
      </c>
      <c r="AJ27" s="11">
        <v>16</v>
      </c>
      <c r="AK27" s="11">
        <v>34</v>
      </c>
      <c r="AL27" s="12">
        <v>0.47060000000000002</v>
      </c>
      <c r="AM27" s="11">
        <v>11</v>
      </c>
      <c r="AN27" s="11">
        <v>17</v>
      </c>
      <c r="AO27" s="12">
        <v>0.64710000000000001</v>
      </c>
      <c r="AP27" s="11">
        <v>5</v>
      </c>
      <c r="AQ27" s="11">
        <v>24</v>
      </c>
      <c r="AR27" s="11">
        <v>29</v>
      </c>
      <c r="AS27" s="11">
        <v>30</v>
      </c>
      <c r="AT27" s="11">
        <v>8</v>
      </c>
      <c r="AU27" s="11">
        <v>1</v>
      </c>
      <c r="AV27" s="11">
        <v>9</v>
      </c>
      <c r="AW27" s="11">
        <v>18</v>
      </c>
      <c r="AX27" s="12">
        <v>0.47489999999999999</v>
      </c>
      <c r="AY27" s="12">
        <v>0.44779999999999998</v>
      </c>
      <c r="AZ27" s="12">
        <v>0.4</v>
      </c>
      <c r="BA27" s="12">
        <v>0.83330000000000004</v>
      </c>
      <c r="BB27" s="12">
        <v>0.5857</v>
      </c>
      <c r="BC27" s="4">
        <v>75.298000000000002</v>
      </c>
      <c r="BD27" s="12">
        <v>0.70369999999999999</v>
      </c>
      <c r="BE27" s="12">
        <v>0.17910000000000001</v>
      </c>
      <c r="BF27" s="12">
        <v>0.1832</v>
      </c>
      <c r="BG27" s="4">
        <v>94.7</v>
      </c>
      <c r="BH27" s="4">
        <v>138.1</v>
      </c>
      <c r="BI27" s="4">
        <v>76.058499999999995</v>
      </c>
      <c r="BJ27" s="12">
        <v>0.71450000000000002</v>
      </c>
      <c r="BK27" s="12">
        <v>0.71209999999999996</v>
      </c>
      <c r="BL27" s="12">
        <v>0.16669999999999999</v>
      </c>
      <c r="BM27" s="12">
        <v>0.6</v>
      </c>
      <c r="BN27" s="12">
        <v>0.4143</v>
      </c>
      <c r="BO27" s="4">
        <v>76.819000000000003</v>
      </c>
      <c r="BP27" s="12">
        <v>0.76919999999999999</v>
      </c>
      <c r="BQ27" s="12">
        <v>0.16669999999999999</v>
      </c>
      <c r="BR27" s="12">
        <v>0.1091</v>
      </c>
      <c r="BS27" s="4">
        <v>138.1</v>
      </c>
      <c r="BT27" s="4">
        <v>94.7</v>
      </c>
      <c r="BU27" s="11">
        <v>14</v>
      </c>
      <c r="BV27" s="11">
        <v>22</v>
      </c>
      <c r="BW27" s="11">
        <v>21</v>
      </c>
      <c r="BX27" s="11">
        <v>15</v>
      </c>
      <c r="BY27" s="11">
        <v>33</v>
      </c>
      <c r="BZ27" s="11">
        <v>18</v>
      </c>
      <c r="CA27" s="11">
        <v>29</v>
      </c>
      <c r="CB27" s="11">
        <v>25</v>
      </c>
      <c r="CC27" s="11">
        <v>36</v>
      </c>
      <c r="CD27" s="11">
        <v>36</v>
      </c>
      <c r="CE27" s="11">
        <v>51</v>
      </c>
      <c r="CF27" s="11">
        <v>54</v>
      </c>
      <c r="CG27" s="4">
        <v>1.6</v>
      </c>
      <c r="CH27" s="13">
        <v>2.4</v>
      </c>
      <c r="CI27" s="4">
        <v>-3.5</v>
      </c>
      <c r="CJ27" s="4">
        <v>3.5</v>
      </c>
      <c r="CK27" s="4">
        <v>167.5</v>
      </c>
      <c r="CL27" s="2" t="s">
        <v>541</v>
      </c>
      <c r="CM27" s="4" t="str">
        <f>VLOOKUP(cholet[[#This Row],[Away_team]],all[[Full name]:[Abbr]],3,FALSE)</f>
        <v>CHA</v>
      </c>
      <c r="CN27" s="4">
        <f>IF(OR(cholet[[#This Row],[Result]]="w",cholet[[#This Row],[Result]]="dw"),cholet[[#This Row],[win]]-1,-1)</f>
        <v>-1</v>
      </c>
      <c r="CO27" s="4">
        <f>IF(OR(cholet[[#This Row],[Result]]="L",cholet[[#This Row],[Result]]="dl"),cholet[[#This Row],[lose]]-1,-1)</f>
        <v>1.4</v>
      </c>
      <c r="CP27" s="4">
        <f>IF(OR((cholet[[#This Row],[Home_scored]]+cholet[[#This Row],[Away_scored]])&gt;cholet[[#This Row],[total]],OR(cholet[[#This Row],[Result]]="dw",cholet[[#This Row],[Result]]="dl")),1,0)</f>
        <v>1</v>
      </c>
      <c r="CQ27" s="4">
        <f>ABS((cholet[[#This Row],[Home_scored]]+cholet[[#This Row],[Away_scored]])-cholet[[#This Row],[total]])+0.5</f>
        <v>10</v>
      </c>
    </row>
    <row r="28" spans="1:95" x14ac:dyDescent="0.25">
      <c r="A28" s="2" t="s">
        <v>349</v>
      </c>
      <c r="B28" s="2" t="s">
        <v>308</v>
      </c>
      <c r="C28" s="3" t="s">
        <v>73</v>
      </c>
      <c r="D28" s="3">
        <v>45759</v>
      </c>
      <c r="E28" s="2" t="s">
        <v>74</v>
      </c>
      <c r="F28" s="2" t="s">
        <v>336</v>
      </c>
      <c r="G28" s="2" t="s">
        <v>75</v>
      </c>
      <c r="H28" s="11">
        <v>88</v>
      </c>
      <c r="I28" s="11">
        <v>78</v>
      </c>
      <c r="J28" s="11">
        <v>28</v>
      </c>
      <c r="K28" s="11">
        <v>59</v>
      </c>
      <c r="L28" s="12">
        <v>0.47460000000000002</v>
      </c>
      <c r="M28" s="11">
        <v>19</v>
      </c>
      <c r="N28" s="11">
        <v>31</v>
      </c>
      <c r="O28" s="12">
        <v>0.6129</v>
      </c>
      <c r="P28" s="11">
        <v>9</v>
      </c>
      <c r="Q28" s="11">
        <v>28</v>
      </c>
      <c r="R28" s="12">
        <v>0.32140000000000002</v>
      </c>
      <c r="S28" s="11">
        <v>23</v>
      </c>
      <c r="T28" s="11">
        <v>29</v>
      </c>
      <c r="U28" s="12">
        <v>0.79310000000000003</v>
      </c>
      <c r="V28" s="11">
        <v>11</v>
      </c>
      <c r="W28" s="11">
        <v>26</v>
      </c>
      <c r="X28" s="11">
        <v>37</v>
      </c>
      <c r="Y28" s="11">
        <v>22</v>
      </c>
      <c r="Z28" s="11">
        <v>7</v>
      </c>
      <c r="AA28" s="11">
        <v>2</v>
      </c>
      <c r="AB28" s="11">
        <v>16</v>
      </c>
      <c r="AC28" s="11">
        <v>30</v>
      </c>
      <c r="AD28" s="11">
        <v>24</v>
      </c>
      <c r="AE28" s="11">
        <v>58</v>
      </c>
      <c r="AF28" s="12">
        <v>0.4138</v>
      </c>
      <c r="AG28" s="11">
        <v>17</v>
      </c>
      <c r="AH28" s="11">
        <v>36</v>
      </c>
      <c r="AI28" s="12">
        <v>0.47220000000000001</v>
      </c>
      <c r="AJ28" s="11">
        <v>7</v>
      </c>
      <c r="AK28" s="11">
        <v>22</v>
      </c>
      <c r="AL28" s="12">
        <v>0.31819999999999998</v>
      </c>
      <c r="AM28" s="11">
        <v>23</v>
      </c>
      <c r="AN28" s="11">
        <v>33</v>
      </c>
      <c r="AO28" s="12">
        <v>0.69699999999999995</v>
      </c>
      <c r="AP28" s="11">
        <v>11</v>
      </c>
      <c r="AQ28" s="11">
        <v>21</v>
      </c>
      <c r="AR28" s="11">
        <v>32</v>
      </c>
      <c r="AS28" s="11">
        <v>18</v>
      </c>
      <c r="AT28" s="11">
        <v>7</v>
      </c>
      <c r="AU28" s="11">
        <v>0</v>
      </c>
      <c r="AV28" s="11">
        <v>11</v>
      </c>
      <c r="AW28" s="11">
        <v>26</v>
      </c>
      <c r="AX28" s="12">
        <v>0.61319999999999997</v>
      </c>
      <c r="AY28" s="12">
        <v>0.55079999999999996</v>
      </c>
      <c r="AZ28" s="12">
        <v>0.34379999999999999</v>
      </c>
      <c r="BA28" s="12">
        <v>0.70269999999999999</v>
      </c>
      <c r="BB28" s="12">
        <v>0.53620000000000001</v>
      </c>
      <c r="BC28" s="4">
        <v>76.739000000000004</v>
      </c>
      <c r="BD28" s="12">
        <v>0.78569999999999995</v>
      </c>
      <c r="BE28" s="12">
        <v>0.38979999999999998</v>
      </c>
      <c r="BF28" s="12">
        <v>0.18229999999999999</v>
      </c>
      <c r="BG28" s="4">
        <v>120.2</v>
      </c>
      <c r="BH28" s="4">
        <v>106.5</v>
      </c>
      <c r="BI28" s="4">
        <v>73.216499999999996</v>
      </c>
      <c r="BJ28" s="12">
        <v>0.53779999999999994</v>
      </c>
      <c r="BK28" s="12">
        <v>0.47410000000000002</v>
      </c>
      <c r="BL28" s="12">
        <v>0.29730000000000001</v>
      </c>
      <c r="BM28" s="12">
        <v>0.65629999999999999</v>
      </c>
      <c r="BN28" s="12">
        <v>0.46379999999999999</v>
      </c>
      <c r="BO28" s="4">
        <v>69.694000000000003</v>
      </c>
      <c r="BP28" s="12">
        <v>0.75</v>
      </c>
      <c r="BQ28" s="12">
        <v>0.39660000000000001</v>
      </c>
      <c r="BR28" s="12">
        <v>0.13170000000000001</v>
      </c>
      <c r="BS28" s="4">
        <v>106.5</v>
      </c>
      <c r="BT28" s="4">
        <v>120.2</v>
      </c>
      <c r="BU28" s="11">
        <v>25</v>
      </c>
      <c r="BV28" s="11">
        <v>23</v>
      </c>
      <c r="BW28" s="11">
        <v>28</v>
      </c>
      <c r="BX28" s="11">
        <v>12</v>
      </c>
      <c r="BY28" s="11">
        <v>19</v>
      </c>
      <c r="BZ28" s="11">
        <v>19</v>
      </c>
      <c r="CA28" s="11">
        <v>21</v>
      </c>
      <c r="CB28" s="11">
        <v>19</v>
      </c>
      <c r="CC28" s="11">
        <v>48</v>
      </c>
      <c r="CD28" s="11">
        <v>40</v>
      </c>
      <c r="CE28" s="11">
        <v>38</v>
      </c>
      <c r="CF28" s="11">
        <v>40</v>
      </c>
      <c r="CG28" s="4">
        <v>1.38</v>
      </c>
      <c r="CH28" s="13">
        <v>3.1</v>
      </c>
      <c r="CI28" s="4">
        <v>-6.5</v>
      </c>
      <c r="CJ28" s="4">
        <v>6.5</v>
      </c>
      <c r="CK28" s="4">
        <v>169.5</v>
      </c>
      <c r="CL28" s="2" t="s">
        <v>551</v>
      </c>
      <c r="CM28" s="4" t="str">
        <f>VLOOKUP(cholet[[#This Row],[Away_team]],all[[Full name]:[Abbr]],3,FALSE)</f>
        <v>NAN</v>
      </c>
      <c r="CN28" s="4">
        <f>IF(OR(cholet[[#This Row],[Result]]="w",cholet[[#This Row],[Result]]="dw"),cholet[[#This Row],[win]]-1,-1)</f>
        <v>0.37999999999999989</v>
      </c>
      <c r="CO28" s="4">
        <f>IF(OR(cholet[[#This Row],[Result]]="L",cholet[[#This Row],[Result]]="dl"),cholet[[#This Row],[lose]]-1,-1)</f>
        <v>-1</v>
      </c>
      <c r="CP28" s="4">
        <f>IF(OR((cholet[[#This Row],[Home_scored]]+cholet[[#This Row],[Away_scored]])&gt;cholet[[#This Row],[total]],OR(cholet[[#This Row],[Result]]="dw",cholet[[#This Row],[Result]]="dl")),1,0)</f>
        <v>0</v>
      </c>
      <c r="CQ28" s="4">
        <f>ABS((cholet[[#This Row],[Home_scored]]+cholet[[#This Row],[Away_scored]])-cholet[[#This Row],[total]])+0.5</f>
        <v>4</v>
      </c>
    </row>
    <row r="29" spans="1:95" x14ac:dyDescent="0.25">
      <c r="A29" s="2" t="s">
        <v>349</v>
      </c>
      <c r="B29" s="2" t="s">
        <v>308</v>
      </c>
      <c r="C29" s="3" t="s">
        <v>73</v>
      </c>
      <c r="D29" s="3">
        <v>45766</v>
      </c>
      <c r="E29" s="2" t="s">
        <v>140</v>
      </c>
      <c r="F29" s="2" t="s">
        <v>342</v>
      </c>
      <c r="G29" s="2" t="s">
        <v>75</v>
      </c>
      <c r="H29" s="11">
        <v>77</v>
      </c>
      <c r="I29" s="11">
        <v>71</v>
      </c>
      <c r="J29" s="11">
        <v>27</v>
      </c>
      <c r="K29" s="11">
        <v>60</v>
      </c>
      <c r="L29" s="12">
        <v>0.45</v>
      </c>
      <c r="M29" s="11">
        <v>16</v>
      </c>
      <c r="N29" s="11">
        <v>29</v>
      </c>
      <c r="O29" s="12">
        <v>0.55169999999999997</v>
      </c>
      <c r="P29" s="11">
        <v>11</v>
      </c>
      <c r="Q29" s="11">
        <v>31</v>
      </c>
      <c r="R29" s="12">
        <v>0.3548</v>
      </c>
      <c r="S29" s="11">
        <v>12</v>
      </c>
      <c r="T29" s="11">
        <v>17</v>
      </c>
      <c r="U29" s="12">
        <v>0.70589999999999997</v>
      </c>
      <c r="V29" s="11">
        <v>10</v>
      </c>
      <c r="W29" s="11">
        <v>24</v>
      </c>
      <c r="X29" s="11">
        <v>34</v>
      </c>
      <c r="Y29" s="11">
        <v>18</v>
      </c>
      <c r="Z29" s="11">
        <v>12</v>
      </c>
      <c r="AA29" s="11">
        <v>1</v>
      </c>
      <c r="AB29" s="11">
        <v>17</v>
      </c>
      <c r="AC29" s="11">
        <v>23</v>
      </c>
      <c r="AD29" s="11">
        <v>24</v>
      </c>
      <c r="AE29" s="11">
        <v>58</v>
      </c>
      <c r="AF29" s="12">
        <v>0.4138</v>
      </c>
      <c r="AG29" s="11">
        <v>14</v>
      </c>
      <c r="AH29" s="11">
        <v>28</v>
      </c>
      <c r="AI29" s="12">
        <v>0.5</v>
      </c>
      <c r="AJ29" s="11">
        <v>10</v>
      </c>
      <c r="AK29" s="11">
        <v>30</v>
      </c>
      <c r="AL29" s="12">
        <v>0.33329999999999999</v>
      </c>
      <c r="AM29" s="11">
        <v>13</v>
      </c>
      <c r="AN29" s="11">
        <v>25</v>
      </c>
      <c r="AO29" s="12">
        <v>0.52</v>
      </c>
      <c r="AP29" s="11">
        <v>13</v>
      </c>
      <c r="AQ29" s="11">
        <v>25</v>
      </c>
      <c r="AR29" s="11">
        <v>38</v>
      </c>
      <c r="AS29" s="11">
        <v>23</v>
      </c>
      <c r="AT29" s="11">
        <v>8</v>
      </c>
      <c r="AU29" s="11">
        <v>4</v>
      </c>
      <c r="AV29" s="11">
        <v>16</v>
      </c>
      <c r="AW29" s="11">
        <v>23</v>
      </c>
      <c r="AX29" s="12">
        <v>0.57050000000000001</v>
      </c>
      <c r="AY29" s="12">
        <v>0.54169999999999996</v>
      </c>
      <c r="AZ29" s="12">
        <v>0.28570000000000001</v>
      </c>
      <c r="BA29" s="12">
        <v>0.64859999999999995</v>
      </c>
      <c r="BB29" s="12">
        <v>0.47220000000000001</v>
      </c>
      <c r="BC29" s="4">
        <v>73.415000000000006</v>
      </c>
      <c r="BD29" s="12">
        <v>0.66669999999999996</v>
      </c>
      <c r="BE29" s="12">
        <v>0.2</v>
      </c>
      <c r="BF29" s="12">
        <v>0.20119999999999999</v>
      </c>
      <c r="BG29" s="4">
        <v>106.2</v>
      </c>
      <c r="BH29" s="4">
        <v>98</v>
      </c>
      <c r="BI29" s="4">
        <v>72.484499999999997</v>
      </c>
      <c r="BJ29" s="12">
        <v>0.51449999999999996</v>
      </c>
      <c r="BK29" s="12">
        <v>0.5</v>
      </c>
      <c r="BL29" s="12">
        <v>0.35139999999999999</v>
      </c>
      <c r="BM29" s="12">
        <v>0.71430000000000005</v>
      </c>
      <c r="BN29" s="12">
        <v>0.52780000000000005</v>
      </c>
      <c r="BO29" s="4">
        <v>71.554000000000002</v>
      </c>
      <c r="BP29" s="12">
        <v>0.95830000000000004</v>
      </c>
      <c r="BQ29" s="12">
        <v>0.22409999999999999</v>
      </c>
      <c r="BR29" s="12">
        <v>0.18820000000000001</v>
      </c>
      <c r="BS29" s="4">
        <v>98</v>
      </c>
      <c r="BT29" s="4">
        <v>106.2</v>
      </c>
      <c r="BU29" s="11">
        <v>23</v>
      </c>
      <c r="BV29" s="11">
        <v>16</v>
      </c>
      <c r="BW29" s="11">
        <v>20</v>
      </c>
      <c r="BX29" s="11">
        <v>18</v>
      </c>
      <c r="BY29" s="11">
        <v>22</v>
      </c>
      <c r="BZ29" s="11">
        <v>15</v>
      </c>
      <c r="CA29" s="11">
        <v>15</v>
      </c>
      <c r="CB29" s="11">
        <v>19</v>
      </c>
      <c r="CC29" s="11">
        <v>39</v>
      </c>
      <c r="CD29" s="11">
        <v>38</v>
      </c>
      <c r="CE29" s="11">
        <v>37</v>
      </c>
      <c r="CF29" s="11">
        <v>34</v>
      </c>
      <c r="CG29" s="4">
        <v>2.0499999999999998</v>
      </c>
      <c r="CH29" s="13">
        <v>1.8</v>
      </c>
      <c r="CI29" s="4">
        <v>1.5</v>
      </c>
      <c r="CJ29" s="4">
        <v>-1.5</v>
      </c>
      <c r="CK29" s="4">
        <v>161.5</v>
      </c>
      <c r="CL29" s="2" t="s">
        <v>556</v>
      </c>
      <c r="CM29" s="4" t="str">
        <f>VLOOKUP(cholet[[#This Row],[Away_team]],all[[Full name]:[Abbr]],3,FALSE)</f>
        <v>SQU</v>
      </c>
      <c r="CN29" s="4">
        <f>IF(OR(cholet[[#This Row],[Result]]="w",cholet[[#This Row],[Result]]="dw"),cholet[[#This Row],[win]]-1,-1)</f>
        <v>1.0499999999999998</v>
      </c>
      <c r="CO29" s="4">
        <f>IF(OR(cholet[[#This Row],[Result]]="L",cholet[[#This Row],[Result]]="dl"),cholet[[#This Row],[lose]]-1,-1)</f>
        <v>-1</v>
      </c>
      <c r="CP29" s="4">
        <f>IF(OR((cholet[[#This Row],[Home_scored]]+cholet[[#This Row],[Away_scored]])&gt;cholet[[#This Row],[total]],OR(cholet[[#This Row],[Result]]="dw",cholet[[#This Row],[Result]]="dl")),1,0)</f>
        <v>0</v>
      </c>
      <c r="CQ29" s="4">
        <f>ABS((cholet[[#This Row],[Home_scored]]+cholet[[#This Row],[Away_scored]])-cholet[[#This Row],[total]])+0.5</f>
        <v>14</v>
      </c>
    </row>
    <row r="30" spans="1:95" x14ac:dyDescent="0.25">
      <c r="A30" s="2" t="s">
        <v>349</v>
      </c>
      <c r="B30" s="2" t="s">
        <v>308</v>
      </c>
      <c r="C30" s="3" t="s">
        <v>73</v>
      </c>
      <c r="D30" s="3">
        <v>45774</v>
      </c>
      <c r="E30" s="2" t="s">
        <v>140</v>
      </c>
      <c r="F30" s="2" t="s">
        <v>320</v>
      </c>
      <c r="G30" s="2" t="s">
        <v>139</v>
      </c>
      <c r="H30" s="11">
        <v>80</v>
      </c>
      <c r="I30" s="11">
        <v>87</v>
      </c>
      <c r="J30" s="11">
        <v>22</v>
      </c>
      <c r="K30" s="11">
        <v>66</v>
      </c>
      <c r="L30" s="12">
        <v>0.33329999999999999</v>
      </c>
      <c r="M30" s="11">
        <v>16</v>
      </c>
      <c r="N30" s="11">
        <v>38</v>
      </c>
      <c r="O30" s="12">
        <v>0.42109999999999997</v>
      </c>
      <c r="P30" s="11">
        <v>6</v>
      </c>
      <c r="Q30" s="11">
        <v>28</v>
      </c>
      <c r="R30" s="12">
        <v>0.21429999999999999</v>
      </c>
      <c r="S30" s="11">
        <v>30</v>
      </c>
      <c r="T30" s="11">
        <v>34</v>
      </c>
      <c r="U30" s="12">
        <v>0.88239999999999996</v>
      </c>
      <c r="V30" s="11">
        <v>21</v>
      </c>
      <c r="W30" s="11">
        <v>23</v>
      </c>
      <c r="X30" s="11">
        <v>44</v>
      </c>
      <c r="Y30" s="11">
        <v>17</v>
      </c>
      <c r="Z30" s="11">
        <v>4</v>
      </c>
      <c r="AA30" s="11">
        <v>1</v>
      </c>
      <c r="AB30" s="11">
        <v>15</v>
      </c>
      <c r="AC30" s="11">
        <v>30</v>
      </c>
      <c r="AD30" s="11">
        <v>23</v>
      </c>
      <c r="AE30" s="11">
        <v>54</v>
      </c>
      <c r="AF30" s="12">
        <v>0.4259</v>
      </c>
      <c r="AG30" s="11">
        <v>19</v>
      </c>
      <c r="AH30" s="11">
        <v>36</v>
      </c>
      <c r="AI30" s="12">
        <v>0.52780000000000005</v>
      </c>
      <c r="AJ30" s="11">
        <v>4</v>
      </c>
      <c r="AK30" s="11">
        <v>18</v>
      </c>
      <c r="AL30" s="12">
        <v>0.22220000000000001</v>
      </c>
      <c r="AM30" s="11">
        <v>37</v>
      </c>
      <c r="AN30" s="11">
        <v>42</v>
      </c>
      <c r="AO30" s="12">
        <v>0.88100000000000001</v>
      </c>
      <c r="AP30" s="11">
        <v>12</v>
      </c>
      <c r="AQ30" s="11">
        <v>24</v>
      </c>
      <c r="AR30" s="11">
        <v>36</v>
      </c>
      <c r="AS30" s="11">
        <v>19</v>
      </c>
      <c r="AT30" s="11">
        <v>10</v>
      </c>
      <c r="AU30" s="11">
        <v>7</v>
      </c>
      <c r="AV30" s="11">
        <v>12</v>
      </c>
      <c r="AW30" s="11">
        <v>28</v>
      </c>
      <c r="AX30" s="12">
        <v>0.49409999999999998</v>
      </c>
      <c r="AY30" s="12">
        <v>0.37880000000000003</v>
      </c>
      <c r="AZ30" s="12">
        <v>0.4667</v>
      </c>
      <c r="BA30" s="12">
        <v>0.65710000000000002</v>
      </c>
      <c r="BB30" s="12">
        <v>0.55000000000000004</v>
      </c>
      <c r="BC30" s="4">
        <v>72.13</v>
      </c>
      <c r="BD30" s="12">
        <v>0.77270000000000005</v>
      </c>
      <c r="BE30" s="12">
        <v>0.45450000000000002</v>
      </c>
      <c r="BF30" s="12">
        <v>0.15629999999999999</v>
      </c>
      <c r="BG30" s="4">
        <v>111.2</v>
      </c>
      <c r="BH30" s="4">
        <v>120.9</v>
      </c>
      <c r="BI30" s="4">
        <v>71.936499999999995</v>
      </c>
      <c r="BJ30" s="12">
        <v>0.60019999999999996</v>
      </c>
      <c r="BK30" s="12">
        <v>0.46300000000000002</v>
      </c>
      <c r="BL30" s="12">
        <v>0.34289999999999998</v>
      </c>
      <c r="BM30" s="12">
        <v>0.5333</v>
      </c>
      <c r="BN30" s="12">
        <v>0.45</v>
      </c>
      <c r="BO30" s="4">
        <v>71.742999999999995</v>
      </c>
      <c r="BP30" s="12">
        <v>0.82609999999999995</v>
      </c>
      <c r="BQ30" s="12">
        <v>0.68520000000000003</v>
      </c>
      <c r="BR30" s="12">
        <v>0.14199999999999999</v>
      </c>
      <c r="BS30" s="4">
        <v>120.9</v>
      </c>
      <c r="BT30" s="4">
        <v>111.2</v>
      </c>
      <c r="BU30" s="11">
        <v>23</v>
      </c>
      <c r="BV30" s="11">
        <v>22</v>
      </c>
      <c r="BW30" s="11">
        <v>15</v>
      </c>
      <c r="BX30" s="11">
        <v>20</v>
      </c>
      <c r="BY30" s="11">
        <v>20</v>
      </c>
      <c r="BZ30" s="11">
        <v>19</v>
      </c>
      <c r="CA30" s="11">
        <v>23</v>
      </c>
      <c r="CB30" s="11">
        <v>25</v>
      </c>
      <c r="CC30" s="11">
        <v>45</v>
      </c>
      <c r="CD30" s="11">
        <v>35</v>
      </c>
      <c r="CE30" s="11">
        <v>39</v>
      </c>
      <c r="CF30" s="11">
        <v>48</v>
      </c>
      <c r="CG30" s="4">
        <v>1.44</v>
      </c>
      <c r="CH30" s="13">
        <v>2.85</v>
      </c>
      <c r="CI30" s="4">
        <v>-5.5</v>
      </c>
      <c r="CJ30" s="4">
        <v>5.5</v>
      </c>
      <c r="CK30" s="4">
        <v>157.5</v>
      </c>
      <c r="CL30" s="2" t="s">
        <v>567</v>
      </c>
      <c r="CM30" s="4" t="str">
        <f>VLOOKUP(cholet[[#This Row],[Away_team]],all[[Full name]:[Abbr]],3,FALSE)</f>
        <v>POR</v>
      </c>
      <c r="CN30" s="4">
        <f>IF(OR(cholet[[#This Row],[Result]]="w",cholet[[#This Row],[Result]]="dw"),cholet[[#This Row],[win]]-1,-1)</f>
        <v>-1</v>
      </c>
      <c r="CO30" s="4">
        <f>IF(OR(cholet[[#This Row],[Result]]="L",cholet[[#This Row],[Result]]="dl"),cholet[[#This Row],[lose]]-1,-1)</f>
        <v>1.85</v>
      </c>
      <c r="CP30" s="4">
        <f>IF(OR((cholet[[#This Row],[Home_scored]]+cholet[[#This Row],[Away_scored]])&gt;cholet[[#This Row],[total]],OR(cholet[[#This Row],[Result]]="dw",cholet[[#This Row],[Result]]="dl")),1,0)</f>
        <v>1</v>
      </c>
      <c r="CQ30" s="4">
        <f>ABS((cholet[[#This Row],[Home_scored]]+cholet[[#This Row],[Away_scored]])-cholet[[#This Row],[total]])+0.5</f>
        <v>10</v>
      </c>
    </row>
    <row r="31" spans="1:95" x14ac:dyDescent="0.25">
      <c r="A31" s="2" t="s">
        <v>349</v>
      </c>
      <c r="B31" s="2" t="s">
        <v>308</v>
      </c>
      <c r="C31" s="3" t="s">
        <v>73</v>
      </c>
      <c r="D31" s="3">
        <v>45781</v>
      </c>
      <c r="E31" s="2" t="s">
        <v>74</v>
      </c>
      <c r="F31" s="2" t="s">
        <v>327</v>
      </c>
      <c r="G31" s="2" t="s">
        <v>139</v>
      </c>
      <c r="H31" s="11">
        <v>75</v>
      </c>
      <c r="I31" s="11">
        <v>94</v>
      </c>
      <c r="J31" s="11">
        <v>27</v>
      </c>
      <c r="K31" s="11">
        <v>63</v>
      </c>
      <c r="L31" s="12">
        <v>0.42859999999999998</v>
      </c>
      <c r="M31" s="11">
        <v>20</v>
      </c>
      <c r="N31" s="11">
        <v>39</v>
      </c>
      <c r="O31" s="12">
        <v>0.51280000000000003</v>
      </c>
      <c r="P31" s="11">
        <v>7</v>
      </c>
      <c r="Q31" s="11">
        <v>24</v>
      </c>
      <c r="R31" s="12">
        <v>0.29170000000000001</v>
      </c>
      <c r="S31" s="11">
        <v>14</v>
      </c>
      <c r="T31" s="11">
        <v>19</v>
      </c>
      <c r="U31" s="12">
        <v>0.73680000000000001</v>
      </c>
      <c r="V31" s="11">
        <v>12</v>
      </c>
      <c r="W31" s="11">
        <v>23</v>
      </c>
      <c r="X31" s="11">
        <v>35</v>
      </c>
      <c r="Y31" s="11">
        <v>16</v>
      </c>
      <c r="Z31" s="11">
        <v>1</v>
      </c>
      <c r="AA31" s="11">
        <v>1</v>
      </c>
      <c r="AB31" s="11">
        <v>14</v>
      </c>
      <c r="AC31" s="11">
        <v>23</v>
      </c>
      <c r="AD31" s="11">
        <v>32</v>
      </c>
      <c r="AE31" s="11">
        <v>70</v>
      </c>
      <c r="AF31" s="12">
        <v>0.45710000000000001</v>
      </c>
      <c r="AG31" s="11">
        <v>20</v>
      </c>
      <c r="AH31" s="11">
        <v>37</v>
      </c>
      <c r="AI31" s="12">
        <v>0.54049999999999998</v>
      </c>
      <c r="AJ31" s="11">
        <v>12</v>
      </c>
      <c r="AK31" s="11">
        <v>33</v>
      </c>
      <c r="AL31" s="12">
        <v>0.36359999999999998</v>
      </c>
      <c r="AM31" s="11">
        <v>18</v>
      </c>
      <c r="AN31" s="11">
        <v>24</v>
      </c>
      <c r="AO31" s="12">
        <v>0.75</v>
      </c>
      <c r="AP31" s="11">
        <v>16</v>
      </c>
      <c r="AQ31" s="11">
        <v>25</v>
      </c>
      <c r="AR31" s="11">
        <v>41</v>
      </c>
      <c r="AS31" s="11">
        <v>22</v>
      </c>
      <c r="AT31" s="11">
        <v>7</v>
      </c>
      <c r="AU31" s="11">
        <v>1</v>
      </c>
      <c r="AV31" s="11">
        <v>10</v>
      </c>
      <c r="AW31" s="11">
        <v>24</v>
      </c>
      <c r="AX31" s="12">
        <v>0.52549999999999997</v>
      </c>
      <c r="AY31" s="12">
        <v>0.48409999999999997</v>
      </c>
      <c r="AZ31" s="12">
        <v>0.32429999999999998</v>
      </c>
      <c r="BA31" s="12">
        <v>0.5897</v>
      </c>
      <c r="BB31" s="12">
        <v>0.46050000000000002</v>
      </c>
      <c r="BC31" s="4">
        <v>71.393000000000001</v>
      </c>
      <c r="BD31" s="12">
        <v>0.59260000000000002</v>
      </c>
      <c r="BE31" s="12">
        <v>0.22220000000000001</v>
      </c>
      <c r="BF31" s="12">
        <v>0.16400000000000001</v>
      </c>
      <c r="BG31" s="4">
        <v>103.4</v>
      </c>
      <c r="BH31" s="4">
        <v>129.5</v>
      </c>
      <c r="BI31" s="4">
        <v>72.563000000000002</v>
      </c>
      <c r="BJ31" s="12">
        <v>0.58340000000000003</v>
      </c>
      <c r="BK31" s="12">
        <v>0.54290000000000005</v>
      </c>
      <c r="BL31" s="12">
        <v>0.4103</v>
      </c>
      <c r="BM31" s="12">
        <v>0.67569999999999997</v>
      </c>
      <c r="BN31" s="12">
        <v>0.53949999999999998</v>
      </c>
      <c r="BO31" s="4">
        <v>73.733000000000004</v>
      </c>
      <c r="BP31" s="12">
        <v>0.6875</v>
      </c>
      <c r="BQ31" s="12">
        <v>0.2571</v>
      </c>
      <c r="BR31" s="12">
        <v>0.1104</v>
      </c>
      <c r="BS31" s="4">
        <v>129.5</v>
      </c>
      <c r="BT31" s="4">
        <v>103.4</v>
      </c>
      <c r="BU31" s="11">
        <v>5</v>
      </c>
      <c r="BV31" s="11">
        <v>26</v>
      </c>
      <c r="BW31" s="11">
        <v>21</v>
      </c>
      <c r="BX31" s="11">
        <v>23</v>
      </c>
      <c r="BY31" s="11">
        <v>17</v>
      </c>
      <c r="BZ31" s="11">
        <v>25</v>
      </c>
      <c r="CA31" s="11">
        <v>30</v>
      </c>
      <c r="CB31" s="11">
        <v>22</v>
      </c>
      <c r="CC31" s="11">
        <v>31</v>
      </c>
      <c r="CD31" s="11">
        <v>44</v>
      </c>
      <c r="CE31" s="11">
        <v>42</v>
      </c>
      <c r="CF31" s="11">
        <v>52</v>
      </c>
      <c r="CG31" s="4">
        <v>2.4</v>
      </c>
      <c r="CH31" s="13">
        <v>1.6</v>
      </c>
      <c r="CI31" s="4">
        <v>3.5</v>
      </c>
      <c r="CJ31" s="4">
        <v>-3.5</v>
      </c>
      <c r="CK31" s="4">
        <v>169.5</v>
      </c>
      <c r="CL31" s="2" t="s">
        <v>575</v>
      </c>
      <c r="CM31" s="4" t="str">
        <f>VLOOKUP(cholet[[#This Row],[Away_team]],all[[Full name]:[Abbr]],3,FALSE)</f>
        <v>LYO</v>
      </c>
      <c r="CN31" s="4">
        <f>IF(OR(cholet[[#This Row],[Result]]="w",cholet[[#This Row],[Result]]="dw"),cholet[[#This Row],[win]]-1,-1)</f>
        <v>-1</v>
      </c>
      <c r="CO31" s="4">
        <f>IF(OR(cholet[[#This Row],[Result]]="L",cholet[[#This Row],[Result]]="dl"),cholet[[#This Row],[lose]]-1,-1)</f>
        <v>0.60000000000000009</v>
      </c>
      <c r="CP31" s="4">
        <f>IF(OR((cholet[[#This Row],[Home_scored]]+cholet[[#This Row],[Away_scored]])&gt;cholet[[#This Row],[total]],OR(cholet[[#This Row],[Result]]="dw",cholet[[#This Row],[Result]]="dl")),1,0)</f>
        <v>0</v>
      </c>
      <c r="CQ31" s="4">
        <f>ABS((cholet[[#This Row],[Home_scored]]+cholet[[#This Row],[Away_scored]])-cholet[[#This Row],[total]])+0.5</f>
        <v>1</v>
      </c>
    </row>
    <row r="32" spans="1:95" x14ac:dyDescent="0.25">
      <c r="A32" s="2" t="s">
        <v>349</v>
      </c>
      <c r="B32" s="2" t="s">
        <v>308</v>
      </c>
      <c r="C32" s="28" t="s">
        <v>73</v>
      </c>
      <c r="D32" s="28">
        <v>45787</v>
      </c>
      <c r="E32" s="2" t="s">
        <v>74</v>
      </c>
      <c r="F32" s="2" t="s">
        <v>333</v>
      </c>
      <c r="G32" s="2" t="s">
        <v>75</v>
      </c>
      <c r="H32" s="11">
        <v>95</v>
      </c>
      <c r="I32" s="11">
        <v>74</v>
      </c>
      <c r="J32" s="11">
        <v>38</v>
      </c>
      <c r="K32" s="11">
        <v>73</v>
      </c>
      <c r="L32" s="12">
        <v>0.52049999999999996</v>
      </c>
      <c r="M32" s="11">
        <v>26</v>
      </c>
      <c r="N32" s="11">
        <v>40</v>
      </c>
      <c r="O32" s="12">
        <v>0.65</v>
      </c>
      <c r="P32" s="11">
        <v>12</v>
      </c>
      <c r="Q32" s="11">
        <v>33</v>
      </c>
      <c r="R32" s="12">
        <v>0.36359999999999998</v>
      </c>
      <c r="S32" s="11">
        <v>7</v>
      </c>
      <c r="T32" s="11">
        <v>12</v>
      </c>
      <c r="U32" s="12">
        <v>0.58330000000000004</v>
      </c>
      <c r="V32" s="11">
        <v>14</v>
      </c>
      <c r="W32" s="11">
        <v>32</v>
      </c>
      <c r="X32" s="11">
        <v>46</v>
      </c>
      <c r="Y32" s="11">
        <v>29</v>
      </c>
      <c r="Z32" s="11">
        <v>8</v>
      </c>
      <c r="AA32" s="11">
        <v>2</v>
      </c>
      <c r="AB32" s="11">
        <v>15</v>
      </c>
      <c r="AC32" s="11">
        <v>24</v>
      </c>
      <c r="AD32" s="11">
        <v>30</v>
      </c>
      <c r="AE32" s="11">
        <v>65</v>
      </c>
      <c r="AF32" s="12">
        <v>0.46150000000000002</v>
      </c>
      <c r="AG32" s="11">
        <v>25</v>
      </c>
      <c r="AH32" s="11">
        <v>43</v>
      </c>
      <c r="AI32" s="12">
        <v>0.58140000000000003</v>
      </c>
      <c r="AJ32" s="11">
        <v>5</v>
      </c>
      <c r="AK32" s="11">
        <v>22</v>
      </c>
      <c r="AL32" s="12">
        <v>0.2273</v>
      </c>
      <c r="AM32" s="11">
        <v>9</v>
      </c>
      <c r="AN32" s="11">
        <v>22</v>
      </c>
      <c r="AO32" s="12">
        <v>0.40910000000000002</v>
      </c>
      <c r="AP32" s="11">
        <v>12</v>
      </c>
      <c r="AQ32" s="11">
        <v>23</v>
      </c>
      <c r="AR32" s="11">
        <v>35</v>
      </c>
      <c r="AS32" s="11">
        <v>19</v>
      </c>
      <c r="AT32" s="11">
        <v>7</v>
      </c>
      <c r="AU32" s="11">
        <v>0</v>
      </c>
      <c r="AV32" s="11">
        <v>17</v>
      </c>
      <c r="AW32" s="11">
        <v>18</v>
      </c>
      <c r="AX32" s="12">
        <v>0.60680000000000001</v>
      </c>
      <c r="AY32" s="12">
        <v>0.60270000000000001</v>
      </c>
      <c r="AZ32" s="12">
        <v>0.37840000000000001</v>
      </c>
      <c r="BA32" s="12">
        <v>0.72729999999999995</v>
      </c>
      <c r="BB32" s="12">
        <v>0.56789999999999996</v>
      </c>
      <c r="BC32" s="4">
        <v>81.402000000000001</v>
      </c>
      <c r="BD32" s="12">
        <v>0.76319999999999999</v>
      </c>
      <c r="BE32" s="12">
        <v>9.5899999999999999E-2</v>
      </c>
      <c r="BF32" s="12">
        <v>0.1608</v>
      </c>
      <c r="BG32" s="4">
        <v>119.2</v>
      </c>
      <c r="BH32" s="4">
        <v>92.9</v>
      </c>
      <c r="BI32" s="4">
        <v>79.680999999999997</v>
      </c>
      <c r="BJ32" s="12">
        <v>0.49540000000000001</v>
      </c>
      <c r="BK32" s="12">
        <v>0.5</v>
      </c>
      <c r="BL32" s="12">
        <v>0.2727</v>
      </c>
      <c r="BM32" s="12">
        <v>0.62160000000000004</v>
      </c>
      <c r="BN32" s="12">
        <v>0.43209999999999998</v>
      </c>
      <c r="BO32" s="4">
        <v>77.959999999999994</v>
      </c>
      <c r="BP32" s="12">
        <v>0.63329999999999997</v>
      </c>
      <c r="BQ32" s="12">
        <v>0.13850000000000001</v>
      </c>
      <c r="BR32" s="12">
        <v>0.18540000000000001</v>
      </c>
      <c r="BS32" s="4">
        <v>92.9</v>
      </c>
      <c r="BT32" s="4">
        <v>119.2</v>
      </c>
      <c r="BU32" s="11">
        <v>28</v>
      </c>
      <c r="BV32" s="11">
        <v>16</v>
      </c>
      <c r="BW32" s="11">
        <v>23</v>
      </c>
      <c r="BX32" s="11">
        <v>28</v>
      </c>
      <c r="BY32" s="11">
        <v>29</v>
      </c>
      <c r="BZ32" s="11">
        <v>17</v>
      </c>
      <c r="CA32" s="11">
        <v>16</v>
      </c>
      <c r="CB32" s="11">
        <v>12</v>
      </c>
      <c r="CC32" s="11">
        <v>44</v>
      </c>
      <c r="CD32" s="11">
        <v>51</v>
      </c>
      <c r="CE32" s="11">
        <v>46</v>
      </c>
      <c r="CF32" s="11">
        <v>28</v>
      </c>
      <c r="CG32" s="4">
        <v>1.41</v>
      </c>
      <c r="CH32" s="13">
        <v>2.95</v>
      </c>
      <c r="CI32" s="4">
        <v>-6</v>
      </c>
      <c r="CJ32" s="4">
        <v>-6</v>
      </c>
      <c r="CK32" s="4">
        <v>168.5</v>
      </c>
      <c r="CL32" s="2" t="s">
        <v>577</v>
      </c>
      <c r="CM32" s="4" t="str">
        <f>VLOOKUP(cholet[[#This Row],[Away_team]],all[[Full name]:[Abbr]],3,FALSE)</f>
        <v>NCY</v>
      </c>
      <c r="CN32" s="4">
        <f>IF(OR(cholet[[#This Row],[Result]]="w",cholet[[#This Row],[Result]]="dw"),cholet[[#This Row],[win]]-1,-1)</f>
        <v>0.40999999999999992</v>
      </c>
      <c r="CO32" s="4">
        <f>IF(OR(cholet[[#This Row],[Result]]="L",cholet[[#This Row],[Result]]="dl"),cholet[[#This Row],[lose]]-1,-1)</f>
        <v>-1</v>
      </c>
      <c r="CP32" s="4">
        <f>IF(OR((cholet[[#This Row],[Home_scored]]+cholet[[#This Row],[Away_scored]])&gt;cholet[[#This Row],[total]],OR(cholet[[#This Row],[Result]]="dw",cholet[[#This Row],[Result]]="dl")),1,0)</f>
        <v>1</v>
      </c>
      <c r="CQ32" s="4">
        <f>ABS((cholet[[#This Row],[Home_scored]]+cholet[[#This Row],[Away_scored]])-cholet[[#This Row],[total]])+0.5</f>
        <v>1</v>
      </c>
    </row>
    <row r="33" spans="1:95" x14ac:dyDescent="0.25">
      <c r="A33" s="2" t="s">
        <v>349</v>
      </c>
      <c r="B33" s="2" t="s">
        <v>308</v>
      </c>
      <c r="C33" s="28" t="s">
        <v>73</v>
      </c>
      <c r="D33" s="28">
        <v>45794</v>
      </c>
      <c r="E33" s="2" t="s">
        <v>140</v>
      </c>
      <c r="F33" s="2" t="s">
        <v>302</v>
      </c>
      <c r="G33" s="2" t="s">
        <v>75</v>
      </c>
      <c r="H33" s="11">
        <v>89</v>
      </c>
      <c r="I33" s="11">
        <v>86</v>
      </c>
      <c r="J33" s="11">
        <v>36</v>
      </c>
      <c r="K33" s="11">
        <v>65</v>
      </c>
      <c r="L33" s="12">
        <v>0.55379999999999996</v>
      </c>
      <c r="M33" s="11">
        <v>25</v>
      </c>
      <c r="N33" s="11">
        <v>43</v>
      </c>
      <c r="O33" s="12">
        <v>0.58140000000000003</v>
      </c>
      <c r="P33" s="11">
        <v>11</v>
      </c>
      <c r="Q33" s="11">
        <v>22</v>
      </c>
      <c r="R33" s="12">
        <v>0.5</v>
      </c>
      <c r="S33" s="11">
        <v>6</v>
      </c>
      <c r="T33" s="11">
        <v>10</v>
      </c>
      <c r="U33" s="12">
        <v>0.6</v>
      </c>
      <c r="V33" s="11">
        <v>8</v>
      </c>
      <c r="W33" s="11">
        <v>27</v>
      </c>
      <c r="X33" s="11">
        <v>35</v>
      </c>
      <c r="Y33" s="11">
        <v>25</v>
      </c>
      <c r="Z33" s="11">
        <v>4</v>
      </c>
      <c r="AA33" s="11">
        <v>2</v>
      </c>
      <c r="AB33" s="11">
        <v>10</v>
      </c>
      <c r="AC33" s="11">
        <v>22</v>
      </c>
      <c r="AD33" s="11">
        <v>30</v>
      </c>
      <c r="AE33" s="11">
        <v>63</v>
      </c>
      <c r="AF33" s="12">
        <v>0.47620000000000001</v>
      </c>
      <c r="AG33" s="11">
        <v>19</v>
      </c>
      <c r="AH33" s="11">
        <v>36</v>
      </c>
      <c r="AI33" s="12">
        <v>0.52780000000000005</v>
      </c>
      <c r="AJ33" s="11">
        <v>11</v>
      </c>
      <c r="AK33" s="11">
        <v>27</v>
      </c>
      <c r="AL33" s="12">
        <v>0.40739999999999998</v>
      </c>
      <c r="AM33" s="11">
        <v>15</v>
      </c>
      <c r="AN33" s="11">
        <v>23</v>
      </c>
      <c r="AO33" s="12">
        <v>0.6522</v>
      </c>
      <c r="AP33" s="11">
        <v>12</v>
      </c>
      <c r="AQ33" s="11">
        <v>21</v>
      </c>
      <c r="AR33" s="11">
        <v>33</v>
      </c>
      <c r="AS33" s="11">
        <v>24</v>
      </c>
      <c r="AT33" s="11">
        <v>6</v>
      </c>
      <c r="AU33" s="11">
        <v>5</v>
      </c>
      <c r="AV33" s="11">
        <v>10</v>
      </c>
      <c r="AW33" s="11">
        <v>20</v>
      </c>
      <c r="AX33" s="12">
        <v>0.64119999999999999</v>
      </c>
      <c r="AY33" s="12">
        <v>0.63849999999999996</v>
      </c>
      <c r="AZ33" s="12">
        <v>0.27589999999999998</v>
      </c>
      <c r="BA33" s="12">
        <v>0.69230000000000003</v>
      </c>
      <c r="BB33" s="12">
        <v>0.51470000000000005</v>
      </c>
      <c r="BC33" s="4">
        <v>71.906999999999996</v>
      </c>
      <c r="BD33" s="12">
        <v>0.69440000000000002</v>
      </c>
      <c r="BE33" s="12">
        <v>9.2299999999999993E-2</v>
      </c>
      <c r="BF33" s="12">
        <v>0.12590000000000001</v>
      </c>
      <c r="BG33" s="4">
        <v>126</v>
      </c>
      <c r="BH33" s="4">
        <v>121.8</v>
      </c>
      <c r="BI33" s="4">
        <v>70.633499999999998</v>
      </c>
      <c r="BJ33" s="12">
        <v>0.58809999999999996</v>
      </c>
      <c r="BK33" s="12">
        <v>0.5635</v>
      </c>
      <c r="BL33" s="12">
        <v>0.30769999999999997</v>
      </c>
      <c r="BM33" s="12">
        <v>0.72409999999999997</v>
      </c>
      <c r="BN33" s="12">
        <v>0.48530000000000001</v>
      </c>
      <c r="BO33" s="4">
        <v>69.36</v>
      </c>
      <c r="BP33" s="12">
        <v>0.8</v>
      </c>
      <c r="BQ33" s="12">
        <v>0.23810000000000001</v>
      </c>
      <c r="BR33" s="12">
        <v>0.1203</v>
      </c>
      <c r="BS33" s="4">
        <v>121.8</v>
      </c>
      <c r="BT33" s="4">
        <v>126</v>
      </c>
      <c r="BU33" s="11">
        <v>19</v>
      </c>
      <c r="BV33" s="11">
        <v>24</v>
      </c>
      <c r="BW33" s="11">
        <v>27</v>
      </c>
      <c r="BX33" s="11">
        <v>19</v>
      </c>
      <c r="BY33" s="11">
        <v>23</v>
      </c>
      <c r="BZ33" s="11">
        <v>25</v>
      </c>
      <c r="CA33" s="11">
        <v>27</v>
      </c>
      <c r="CB33" s="11">
        <v>11</v>
      </c>
      <c r="CC33" s="11">
        <v>43</v>
      </c>
      <c r="CD33" s="11">
        <v>46</v>
      </c>
      <c r="CE33" s="11">
        <v>48</v>
      </c>
      <c r="CF33" s="11">
        <v>38</v>
      </c>
      <c r="CG33" s="4">
        <v>2.8</v>
      </c>
      <c r="CH33" s="13">
        <v>1.45</v>
      </c>
      <c r="CI33" s="4">
        <v>5.5</v>
      </c>
      <c r="CJ33" s="4">
        <v>-5.5</v>
      </c>
      <c r="CK33" s="4">
        <v>169.5</v>
      </c>
      <c r="CL33" s="2" t="s">
        <v>587</v>
      </c>
      <c r="CM33" s="4" t="str">
        <f>VLOOKUP(cholet[[#This Row],[Away_team]],all[[Full name]:[Abbr]],3,FALSE)</f>
        <v>BUR</v>
      </c>
      <c r="CN33" s="4">
        <f>IF(OR(cholet[[#This Row],[Result]]="w",cholet[[#This Row],[Result]]="dw"),cholet[[#This Row],[win]]-1,-1)</f>
        <v>1.7999999999999998</v>
      </c>
      <c r="CO33" s="4">
        <f>IF(OR(cholet[[#This Row],[Result]]="L",cholet[[#This Row],[Result]]="dl"),cholet[[#This Row],[lose]]-1,-1)</f>
        <v>-1</v>
      </c>
      <c r="CP33" s="4">
        <f>IF(OR((cholet[[#This Row],[Home_scored]]+cholet[[#This Row],[Away_scored]])&gt;cholet[[#This Row],[total]],OR(cholet[[#This Row],[Result]]="dw",cholet[[#This Row],[Result]]="dl")),1,0)</f>
        <v>1</v>
      </c>
      <c r="CQ33" s="4">
        <f>ABS((cholet[[#This Row],[Home_scored]]+cholet[[#This Row],[Away_scored]])-cholet[[#This Row],[total]])+0.5</f>
        <v>6</v>
      </c>
    </row>
    <row r="34" spans="1:95" x14ac:dyDescent="0.25">
      <c r="A34" s="2" t="s">
        <v>349</v>
      </c>
      <c r="B34" s="2" t="s">
        <v>308</v>
      </c>
      <c r="C34" s="28" t="s">
        <v>594</v>
      </c>
      <c r="D34" s="28">
        <v>45803</v>
      </c>
      <c r="E34" s="2" t="s">
        <v>74</v>
      </c>
      <c r="F34" s="2" t="s">
        <v>302</v>
      </c>
      <c r="G34" s="2" t="s">
        <v>139</v>
      </c>
      <c r="H34" s="11">
        <v>71</v>
      </c>
      <c r="I34" s="11">
        <v>95</v>
      </c>
      <c r="J34" s="11">
        <v>26</v>
      </c>
      <c r="K34" s="11">
        <v>54</v>
      </c>
      <c r="L34" s="12">
        <v>0.48149999999999998</v>
      </c>
      <c r="M34" s="11">
        <v>21</v>
      </c>
      <c r="N34" s="11">
        <v>34</v>
      </c>
      <c r="O34" s="12">
        <v>0.61760000000000004</v>
      </c>
      <c r="P34" s="11">
        <v>5</v>
      </c>
      <c r="Q34" s="11">
        <v>20</v>
      </c>
      <c r="R34" s="12">
        <v>0.25</v>
      </c>
      <c r="S34" s="11">
        <v>14</v>
      </c>
      <c r="T34" s="11">
        <v>23</v>
      </c>
      <c r="U34" s="12">
        <v>0.60870000000000002</v>
      </c>
      <c r="V34" s="11">
        <v>10</v>
      </c>
      <c r="W34" s="11">
        <v>24</v>
      </c>
      <c r="X34" s="11">
        <v>34</v>
      </c>
      <c r="Y34" s="11">
        <v>18</v>
      </c>
      <c r="Z34" s="11">
        <v>5</v>
      </c>
      <c r="AA34" s="11">
        <v>3</v>
      </c>
      <c r="AB34" s="11">
        <v>20</v>
      </c>
      <c r="AC34" s="11">
        <v>24</v>
      </c>
      <c r="AD34" s="11">
        <v>36</v>
      </c>
      <c r="AE34" s="11">
        <v>66</v>
      </c>
      <c r="AF34" s="12">
        <v>0.54549999999999998</v>
      </c>
      <c r="AG34" s="11">
        <v>25</v>
      </c>
      <c r="AH34" s="11">
        <v>36</v>
      </c>
      <c r="AI34" s="12">
        <v>0.69440000000000002</v>
      </c>
      <c r="AJ34" s="11">
        <v>11</v>
      </c>
      <c r="AK34" s="11">
        <v>30</v>
      </c>
      <c r="AL34" s="12">
        <v>0.36670000000000003</v>
      </c>
      <c r="AM34" s="11">
        <v>12</v>
      </c>
      <c r="AN34" s="11">
        <v>20</v>
      </c>
      <c r="AO34" s="12">
        <v>0.6</v>
      </c>
      <c r="AP34" s="11">
        <v>10</v>
      </c>
      <c r="AQ34" s="11">
        <v>25</v>
      </c>
      <c r="AR34" s="11">
        <v>35</v>
      </c>
      <c r="AS34" s="11">
        <v>22</v>
      </c>
      <c r="AT34" s="11">
        <v>11</v>
      </c>
      <c r="AU34" s="11">
        <v>2</v>
      </c>
      <c r="AV34" s="11">
        <v>10</v>
      </c>
      <c r="AW34" s="11">
        <v>23</v>
      </c>
      <c r="AX34" s="12">
        <v>0.55359999999999998</v>
      </c>
      <c r="AY34" s="12">
        <v>0.52780000000000005</v>
      </c>
      <c r="AZ34" s="12">
        <v>0.28570000000000001</v>
      </c>
      <c r="BA34" s="12">
        <v>0.70589999999999997</v>
      </c>
      <c r="BB34" s="12">
        <v>0.49280000000000002</v>
      </c>
      <c r="BC34" s="4">
        <v>74.388000000000005</v>
      </c>
      <c r="BD34" s="12">
        <v>0.69230000000000003</v>
      </c>
      <c r="BE34" s="12">
        <v>0.25929999999999997</v>
      </c>
      <c r="BF34" s="12">
        <v>0.23780000000000001</v>
      </c>
      <c r="BG34" s="4">
        <v>95.2</v>
      </c>
      <c r="BH34" s="4">
        <v>127.3</v>
      </c>
      <c r="BI34" s="4">
        <v>74.608500000000006</v>
      </c>
      <c r="BJ34" s="12">
        <v>0.63500000000000001</v>
      </c>
      <c r="BK34" s="12">
        <v>0.62880000000000003</v>
      </c>
      <c r="BL34" s="12">
        <v>0.29409999999999997</v>
      </c>
      <c r="BM34" s="12">
        <v>0.71430000000000005</v>
      </c>
      <c r="BN34" s="12">
        <v>0.50719999999999998</v>
      </c>
      <c r="BO34" s="4">
        <v>74.828999999999994</v>
      </c>
      <c r="BP34" s="12">
        <v>0.61109999999999998</v>
      </c>
      <c r="BQ34" s="12">
        <v>0.18179999999999999</v>
      </c>
      <c r="BR34" s="12">
        <v>0.1179</v>
      </c>
      <c r="BS34" s="4">
        <v>127.3</v>
      </c>
      <c r="BT34" s="4">
        <v>95.2</v>
      </c>
      <c r="BU34" s="11">
        <v>15</v>
      </c>
      <c r="BV34" s="11">
        <v>15</v>
      </c>
      <c r="BW34" s="11">
        <v>23</v>
      </c>
      <c r="BX34" s="11">
        <v>18</v>
      </c>
      <c r="BY34" s="11">
        <v>24</v>
      </c>
      <c r="BZ34" s="11">
        <v>16</v>
      </c>
      <c r="CA34" s="11">
        <v>25</v>
      </c>
      <c r="CB34" s="11">
        <v>30</v>
      </c>
      <c r="CC34" s="11">
        <v>30</v>
      </c>
      <c r="CD34" s="11">
        <v>41</v>
      </c>
      <c r="CE34" s="11">
        <v>40</v>
      </c>
      <c r="CF34" s="11">
        <v>55</v>
      </c>
      <c r="CG34" s="4">
        <v>1.76</v>
      </c>
      <c r="CH34" s="13">
        <v>2.1</v>
      </c>
      <c r="CI34" s="4">
        <v>-2</v>
      </c>
      <c r="CJ34" s="4">
        <v>-2</v>
      </c>
      <c r="CK34" s="4">
        <v>167.5</v>
      </c>
      <c r="CL34" s="2" t="s">
        <v>598</v>
      </c>
      <c r="CM34" s="4" t="str">
        <f>VLOOKUP(cholet[[#This Row],[Away_team]],all[[Full name]:[Abbr]],3,FALSE)</f>
        <v>BUR</v>
      </c>
      <c r="CN34" s="4">
        <f>IF(OR(cholet[[#This Row],[Result]]="w",cholet[[#This Row],[Result]]="dw"),cholet[[#This Row],[win]]-1,-1)</f>
        <v>-1</v>
      </c>
      <c r="CO34" s="4">
        <f>IF(OR(cholet[[#This Row],[Result]]="L",cholet[[#This Row],[Result]]="dl"),cholet[[#This Row],[lose]]-1,-1)</f>
        <v>1.1000000000000001</v>
      </c>
      <c r="CP34" s="4">
        <f>IF(OR((cholet[[#This Row],[Home_scored]]+cholet[[#This Row],[Away_scored]])&gt;cholet[[#This Row],[total]],OR(cholet[[#This Row],[Result]]="dw",cholet[[#This Row],[Result]]="dl")),1,0)</f>
        <v>0</v>
      </c>
      <c r="CQ34" s="4">
        <f>ABS((cholet[[#This Row],[Home_scored]]+cholet[[#This Row],[Away_scored]])-cholet[[#This Row],[total]])+0.5</f>
        <v>2</v>
      </c>
    </row>
    <row r="35" spans="1:95" x14ac:dyDescent="0.25">
      <c r="A35" s="2" t="s">
        <v>349</v>
      </c>
      <c r="B35" s="2" t="s">
        <v>308</v>
      </c>
      <c r="C35" s="28" t="s">
        <v>594</v>
      </c>
      <c r="D35" s="28">
        <v>45805</v>
      </c>
      <c r="E35" s="2" t="s">
        <v>140</v>
      </c>
      <c r="F35" s="2" t="s">
        <v>302</v>
      </c>
      <c r="G35" s="2" t="s">
        <v>139</v>
      </c>
      <c r="H35" s="11">
        <v>89</v>
      </c>
      <c r="I35" s="11">
        <v>94</v>
      </c>
      <c r="J35" s="11">
        <v>32</v>
      </c>
      <c r="K35" s="11">
        <v>74</v>
      </c>
      <c r="L35" s="12">
        <v>0.43240000000000001</v>
      </c>
      <c r="M35" s="11">
        <v>27</v>
      </c>
      <c r="N35" s="11">
        <v>51</v>
      </c>
      <c r="O35" s="12">
        <v>0.52939999999999998</v>
      </c>
      <c r="P35" s="11">
        <v>5</v>
      </c>
      <c r="Q35" s="11">
        <v>23</v>
      </c>
      <c r="R35" s="12">
        <v>0.21740000000000001</v>
      </c>
      <c r="S35" s="11">
        <v>20</v>
      </c>
      <c r="T35" s="11">
        <v>26</v>
      </c>
      <c r="U35" s="12">
        <v>0.76919999999999999</v>
      </c>
      <c r="V35" s="11">
        <v>22</v>
      </c>
      <c r="W35" s="11">
        <v>24</v>
      </c>
      <c r="X35" s="11">
        <v>46</v>
      </c>
      <c r="Y35" s="11">
        <v>11</v>
      </c>
      <c r="Z35" s="11">
        <v>3</v>
      </c>
      <c r="AA35" s="11">
        <v>16</v>
      </c>
      <c r="AB35" s="11">
        <v>3</v>
      </c>
      <c r="AC35" s="11">
        <v>27</v>
      </c>
      <c r="AD35" s="11">
        <v>30</v>
      </c>
      <c r="AE35" s="11">
        <v>61</v>
      </c>
      <c r="AF35" s="12">
        <v>0.49180000000000001</v>
      </c>
      <c r="AG35" s="11">
        <v>22</v>
      </c>
      <c r="AH35" s="11">
        <v>42</v>
      </c>
      <c r="AI35" s="12">
        <v>0.52380000000000004</v>
      </c>
      <c r="AJ35" s="11">
        <v>8</v>
      </c>
      <c r="AK35" s="11">
        <v>19</v>
      </c>
      <c r="AL35" s="12">
        <v>0.42109999999999997</v>
      </c>
      <c r="AM35" s="11">
        <v>26</v>
      </c>
      <c r="AN35" s="11">
        <v>33</v>
      </c>
      <c r="AO35" s="12">
        <v>0.78790000000000004</v>
      </c>
      <c r="AP35" s="11">
        <v>9</v>
      </c>
      <c r="AQ35" s="11">
        <v>22</v>
      </c>
      <c r="AR35" s="11">
        <v>31</v>
      </c>
      <c r="AS35" s="11">
        <v>21</v>
      </c>
      <c r="AT35" s="11">
        <v>5</v>
      </c>
      <c r="AU35" s="11">
        <v>11</v>
      </c>
      <c r="AV35" s="11">
        <v>7</v>
      </c>
      <c r="AW35" s="11">
        <v>26</v>
      </c>
      <c r="AX35" s="12">
        <v>0.52080000000000004</v>
      </c>
      <c r="AY35" s="12">
        <v>0.4662</v>
      </c>
      <c r="AZ35" s="12">
        <v>0.5</v>
      </c>
      <c r="BA35" s="12">
        <v>0.72729999999999995</v>
      </c>
      <c r="BB35" s="12">
        <v>0.59740000000000004</v>
      </c>
      <c r="BC35" s="4">
        <v>65.906999999999996</v>
      </c>
      <c r="BD35" s="12">
        <v>0.34379999999999999</v>
      </c>
      <c r="BE35" s="12">
        <v>0.27029999999999998</v>
      </c>
      <c r="BF35" s="12">
        <v>3.39E-2</v>
      </c>
      <c r="BG35" s="4">
        <v>129.5</v>
      </c>
      <c r="BH35" s="4">
        <v>136.80000000000001</v>
      </c>
      <c r="BI35" s="4">
        <v>68.738500000000002</v>
      </c>
      <c r="BJ35" s="12">
        <v>0.62239999999999995</v>
      </c>
      <c r="BK35" s="12">
        <v>0.55740000000000001</v>
      </c>
      <c r="BL35" s="12">
        <v>0.2727</v>
      </c>
      <c r="BM35" s="12">
        <v>0.5</v>
      </c>
      <c r="BN35" s="12">
        <v>0.40260000000000001</v>
      </c>
      <c r="BO35" s="4">
        <v>71.569999999999993</v>
      </c>
      <c r="BP35" s="12">
        <v>0.7</v>
      </c>
      <c r="BQ35" s="12">
        <v>0.42620000000000002</v>
      </c>
      <c r="BR35" s="12">
        <v>8.48E-2</v>
      </c>
      <c r="BS35" s="4">
        <v>136.80000000000001</v>
      </c>
      <c r="BT35" s="4">
        <v>129.5</v>
      </c>
      <c r="BU35" s="11">
        <v>13</v>
      </c>
      <c r="BV35" s="11">
        <v>23</v>
      </c>
      <c r="BW35" s="11">
        <v>28</v>
      </c>
      <c r="BX35" s="11">
        <v>25</v>
      </c>
      <c r="BY35" s="11">
        <v>24</v>
      </c>
      <c r="BZ35" s="11">
        <v>25</v>
      </c>
      <c r="CA35" s="11">
        <v>26</v>
      </c>
      <c r="CB35" s="11">
        <v>19</v>
      </c>
      <c r="CC35" s="11">
        <v>36</v>
      </c>
      <c r="CD35" s="11">
        <v>53</v>
      </c>
      <c r="CE35" s="11">
        <v>49</v>
      </c>
      <c r="CF35" s="11">
        <v>45</v>
      </c>
      <c r="CG35" s="4">
        <v>3.5</v>
      </c>
      <c r="CH35" s="13">
        <v>1.32</v>
      </c>
      <c r="CI35" s="4">
        <v>7.5</v>
      </c>
      <c r="CJ35" s="4">
        <v>-7.5</v>
      </c>
      <c r="CK35" s="4">
        <v>168.5</v>
      </c>
      <c r="CL35" s="2" t="s">
        <v>601</v>
      </c>
      <c r="CM35" s="4" t="str">
        <f>VLOOKUP(cholet[[#This Row],[Away_team]],all[[Full name]:[Abbr]],3,FALSE)</f>
        <v>BUR</v>
      </c>
      <c r="CN35" s="4">
        <f>IF(OR(cholet[[#This Row],[Result]]="w",cholet[[#This Row],[Result]]="dw"),cholet[[#This Row],[win]]-1,-1)</f>
        <v>-1</v>
      </c>
      <c r="CO35" s="4">
        <f>IF(OR(cholet[[#This Row],[Result]]="L",cholet[[#This Row],[Result]]="dl"),cholet[[#This Row],[lose]]-1,-1)</f>
        <v>0.32000000000000006</v>
      </c>
      <c r="CP35" s="4">
        <f>IF(OR((cholet[[#This Row],[Home_scored]]+cholet[[#This Row],[Away_scored]])&gt;cholet[[#This Row],[total]],OR(cholet[[#This Row],[Result]]="dw",cholet[[#This Row],[Result]]="dl")),1,0)</f>
        <v>1</v>
      </c>
      <c r="CQ35" s="4">
        <f>ABS((cholet[[#This Row],[Home_scored]]+cholet[[#This Row],[Away_scored]])-cholet[[#This Row],[total]])+0.5</f>
        <v>15</v>
      </c>
    </row>
  </sheetData>
  <conditionalFormatting sqref="A4:A35">
    <cfRule type="expression" dxfId="391" priority="1">
      <formula>SUMPRODUCT(--ISERROR(B4:CL4))&gt;0</formula>
    </cfRule>
  </conditionalFormatting>
  <conditionalFormatting sqref="B4:B35">
    <cfRule type="uniqueValues" dxfId="390" priority="458"/>
  </conditionalFormatting>
  <conditionalFormatting sqref="D4:D35">
    <cfRule type="duplicateValues" dxfId="389" priority="459"/>
  </conditionalFormatting>
  <conditionalFormatting sqref="H4:H35">
    <cfRule type="expression" dxfId="388" priority="3">
      <formula>H4=BU4+BV4+BW4+BX4</formula>
    </cfRule>
  </conditionalFormatting>
  <conditionalFormatting sqref="I4:I35">
    <cfRule type="expression" dxfId="387" priority="2">
      <formula>I4=BY4+BZ4+CA4+CB4</formula>
    </cfRule>
  </conditionalFormatting>
  <hyperlinks>
    <hyperlink ref="A1" location="all_data!A1" display="ratings" xr:uid="{C6221097-F910-4BFC-8374-F6302714E9ED}"/>
  </hyperlink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144D8-8D4A-4D73-8BAD-5A6FFAD3061C}">
  <sheetPr codeName="Sheet7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349</v>
      </c>
      <c r="B4" s="2" t="s">
        <v>311</v>
      </c>
      <c r="C4" s="2" t="s">
        <v>73</v>
      </c>
      <c r="D4" s="3">
        <v>45926</v>
      </c>
      <c r="E4" s="2" t="s">
        <v>74</v>
      </c>
      <c r="F4" s="2" t="s">
        <v>317</v>
      </c>
      <c r="G4" s="2" t="s">
        <v>139</v>
      </c>
      <c r="H4" s="2">
        <v>89</v>
      </c>
      <c r="I4" s="2">
        <v>91</v>
      </c>
      <c r="J4" s="2">
        <v>30</v>
      </c>
      <c r="K4" s="2">
        <v>65</v>
      </c>
      <c r="L4" s="2">
        <v>0.46150000000000002</v>
      </c>
      <c r="M4" s="2">
        <v>19</v>
      </c>
      <c r="N4" s="2">
        <v>34</v>
      </c>
      <c r="O4" s="2">
        <v>0.55879999999999996</v>
      </c>
      <c r="P4" s="2">
        <v>11</v>
      </c>
      <c r="Q4" s="2">
        <v>31</v>
      </c>
      <c r="R4" s="2">
        <v>0.3548</v>
      </c>
      <c r="S4" s="2">
        <v>18</v>
      </c>
      <c r="T4" s="2">
        <v>22</v>
      </c>
      <c r="U4" s="2">
        <v>0.81820000000000004</v>
      </c>
      <c r="V4" s="2">
        <v>16</v>
      </c>
      <c r="W4" s="2">
        <v>11</v>
      </c>
      <c r="X4" s="2">
        <v>27</v>
      </c>
      <c r="Y4" s="2">
        <v>21</v>
      </c>
      <c r="Z4" s="2">
        <v>0</v>
      </c>
      <c r="AA4" s="2">
        <v>13</v>
      </c>
      <c r="AB4" s="2">
        <v>7</v>
      </c>
      <c r="AC4" s="2">
        <v>27</v>
      </c>
      <c r="AD4" s="2">
        <v>30</v>
      </c>
      <c r="AE4" s="2">
        <v>56</v>
      </c>
      <c r="AF4" s="2">
        <v>0.53569999999999995</v>
      </c>
      <c r="AG4" s="2">
        <v>21</v>
      </c>
      <c r="AH4" s="2">
        <v>32</v>
      </c>
      <c r="AI4" s="2">
        <v>0.65629999999999999</v>
      </c>
      <c r="AJ4" s="2">
        <v>9</v>
      </c>
      <c r="AK4" s="2">
        <v>24</v>
      </c>
      <c r="AL4" s="2">
        <v>0.375</v>
      </c>
      <c r="AM4" s="2">
        <v>22</v>
      </c>
      <c r="AN4" s="2">
        <v>27</v>
      </c>
      <c r="AO4" s="2">
        <v>0.81479999999999997</v>
      </c>
      <c r="AP4" s="2">
        <v>14</v>
      </c>
      <c r="AQ4" s="2">
        <v>19</v>
      </c>
      <c r="AR4" s="2">
        <v>33</v>
      </c>
      <c r="AS4" s="2">
        <v>16</v>
      </c>
      <c r="AT4" s="2">
        <v>5</v>
      </c>
      <c r="AU4" s="2">
        <v>18</v>
      </c>
      <c r="AV4" s="2">
        <v>5</v>
      </c>
      <c r="AW4" s="2">
        <v>17</v>
      </c>
      <c r="AX4" s="2">
        <v>0.59589999999999999</v>
      </c>
      <c r="AY4" s="2">
        <v>0.54620000000000002</v>
      </c>
      <c r="AZ4" s="2">
        <v>0.45710000000000001</v>
      </c>
      <c r="BA4" s="2">
        <v>0.44</v>
      </c>
      <c r="BB4" s="2">
        <v>0.45</v>
      </c>
      <c r="BC4" s="4">
        <v>58.606999999999999</v>
      </c>
      <c r="BD4" s="2">
        <v>0.7</v>
      </c>
      <c r="BE4" s="2">
        <v>0.27689999999999998</v>
      </c>
      <c r="BF4" s="2">
        <v>8.5699999999999998E-2</v>
      </c>
      <c r="BG4" s="2">
        <v>150.1</v>
      </c>
      <c r="BH4" s="2">
        <v>153.5</v>
      </c>
      <c r="BI4" s="2">
        <v>59.302500000000002</v>
      </c>
      <c r="BJ4" s="2">
        <v>0.67030000000000001</v>
      </c>
      <c r="BK4" s="2">
        <v>0.61609999999999998</v>
      </c>
      <c r="BL4" s="2">
        <v>0.56000000000000005</v>
      </c>
      <c r="BM4" s="2">
        <v>0.54290000000000005</v>
      </c>
      <c r="BN4" s="2">
        <v>0.55000000000000004</v>
      </c>
      <c r="BO4" s="4">
        <v>59.997999999999998</v>
      </c>
      <c r="BP4" s="2">
        <v>0.5333</v>
      </c>
      <c r="BQ4" s="2">
        <v>0.39290000000000003</v>
      </c>
      <c r="BR4" s="2">
        <v>6.8599999999999994E-2</v>
      </c>
      <c r="BS4" s="2">
        <v>153.5</v>
      </c>
      <c r="BT4" s="2">
        <v>150.1</v>
      </c>
      <c r="BU4" s="2">
        <v>22</v>
      </c>
      <c r="BV4" s="2">
        <v>24</v>
      </c>
      <c r="BW4" s="2">
        <v>20</v>
      </c>
      <c r="BX4" s="2">
        <v>23</v>
      </c>
      <c r="BY4" s="2">
        <v>16</v>
      </c>
      <c r="BZ4" s="2">
        <v>25</v>
      </c>
      <c r="CA4" s="2">
        <v>27</v>
      </c>
      <c r="CB4" s="2">
        <v>23</v>
      </c>
      <c r="CC4" s="2">
        <v>46</v>
      </c>
      <c r="CD4" s="2">
        <v>43</v>
      </c>
      <c r="CE4" s="2">
        <v>41</v>
      </c>
      <c r="CF4" s="2">
        <v>50</v>
      </c>
      <c r="CG4" s="2">
        <v>1.71</v>
      </c>
      <c r="CH4" s="2">
        <v>2.2000000000000002</v>
      </c>
      <c r="CI4" s="2">
        <v>-2.5</v>
      </c>
      <c r="CJ4" s="2">
        <v>2.5</v>
      </c>
      <c r="CK4" s="2">
        <v>168.5</v>
      </c>
      <c r="CL4" s="2" t="s">
        <v>624</v>
      </c>
      <c r="CM4" s="4" t="str">
        <f>VLOOKUP(dijon[[#This Row],[Away_team]],all[[Full name]:[Abbr]],3,FALSE)</f>
        <v>LEM</v>
      </c>
      <c r="CN4" s="4">
        <f>IF(OR(dijon[[#This Row],[Result]]="w",dijon[[#This Row],[Result]]="dw"),dijon[[#This Row],[win]]-1,-1)</f>
        <v>-1</v>
      </c>
      <c r="CO4" s="4">
        <f>IF(OR(dijon[[#This Row],[Result]]="L",dijon[[#This Row],[Result]]="dl"),dijon[[#This Row],[lose]]-1,-1)</f>
        <v>1.2000000000000002</v>
      </c>
      <c r="CP4" s="4">
        <f>IF(OR((dijon[[#This Row],[Home_scored]]+dijon[[#This Row],[Away_scored]])&gt;dijon[[#This Row],[total]],OR(dijon[[#This Row],[Result]]="dw",dijon[[#This Row],[Result]]="dl")),1,0)</f>
        <v>1</v>
      </c>
      <c r="CQ4" s="4">
        <f>ABS((dijon[[#This Row],[Home_scored]]+dijon[[#This Row],[Away_scored]])-dijon[[#This Row],[total]])+0.5</f>
        <v>12</v>
      </c>
    </row>
  </sheetData>
  <conditionalFormatting sqref="A4">
    <cfRule type="expression" dxfId="386" priority="1">
      <formula>SUMPRODUCT(--ISERROR(B4:CL4))&gt;0</formula>
    </cfRule>
  </conditionalFormatting>
  <conditionalFormatting sqref="H4">
    <cfRule type="expression" dxfId="385" priority="3">
      <formula>H4=BU4+BV4+BW4+BX4</formula>
    </cfRule>
  </conditionalFormatting>
  <conditionalFormatting sqref="I4">
    <cfRule type="expression" dxfId="384" priority="2">
      <formula>I4=BY4+BZ4+CA4+CB4</formula>
    </cfRule>
  </conditionalFormatting>
  <conditionalFormatting sqref="B4">
    <cfRule type="uniqueValues" dxfId="383" priority="500"/>
  </conditionalFormatting>
  <conditionalFormatting sqref="D4">
    <cfRule type="duplicateValues" dxfId="382" priority="501"/>
  </conditionalFormatting>
  <hyperlinks>
    <hyperlink ref="A1" location="all_data!A1" display="ratings" xr:uid="{C6FF2925-D117-48BE-9DE4-D7A56D1DA33A}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1856-9450-4B1A-A69F-762A38850DCC}">
  <sheetPr codeName="Sheet8"/>
  <dimension ref="A1:CQ33"/>
  <sheetViews>
    <sheetView topLeftCell="A10" zoomScale="80" zoomScaleNormal="80" workbookViewId="0">
      <selection activeCell="A34" sqref="A34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349</v>
      </c>
      <c r="B4" s="2" t="s">
        <v>314</v>
      </c>
      <c r="C4" s="2" t="s">
        <v>73</v>
      </c>
      <c r="D4" s="3">
        <v>45557</v>
      </c>
      <c r="E4" s="2" t="s">
        <v>74</v>
      </c>
      <c r="F4" s="2" t="s">
        <v>339</v>
      </c>
      <c r="G4" s="2" t="s">
        <v>75</v>
      </c>
      <c r="H4" s="2">
        <v>89</v>
      </c>
      <c r="I4" s="2">
        <v>85</v>
      </c>
      <c r="J4" s="2">
        <v>27</v>
      </c>
      <c r="K4" s="2">
        <v>65</v>
      </c>
      <c r="L4" s="2">
        <v>0.41539999999999999</v>
      </c>
      <c r="M4" s="2">
        <v>18</v>
      </c>
      <c r="N4" s="2">
        <v>40</v>
      </c>
      <c r="O4" s="2">
        <v>0.45</v>
      </c>
      <c r="P4" s="2">
        <v>9</v>
      </c>
      <c r="Q4" s="2">
        <v>25</v>
      </c>
      <c r="R4" s="2">
        <v>0.36</v>
      </c>
      <c r="S4" s="2">
        <v>26</v>
      </c>
      <c r="T4" s="2">
        <v>29</v>
      </c>
      <c r="U4" s="2">
        <v>0.89659999999999995</v>
      </c>
      <c r="V4" s="2">
        <v>10</v>
      </c>
      <c r="W4" s="2">
        <v>30</v>
      </c>
      <c r="X4" s="2">
        <v>40</v>
      </c>
      <c r="Y4" s="2">
        <v>18</v>
      </c>
      <c r="Z4" s="2">
        <v>7</v>
      </c>
      <c r="AA4" s="2">
        <v>1</v>
      </c>
      <c r="AB4" s="2">
        <v>10</v>
      </c>
      <c r="AC4" s="2">
        <v>20</v>
      </c>
      <c r="AD4" s="2">
        <v>30</v>
      </c>
      <c r="AE4" s="2">
        <v>66</v>
      </c>
      <c r="AF4" s="2">
        <v>0.45450000000000002</v>
      </c>
      <c r="AG4" s="2">
        <v>17</v>
      </c>
      <c r="AH4" s="2">
        <v>33</v>
      </c>
      <c r="AI4" s="2">
        <v>0.51519999999999999</v>
      </c>
      <c r="AJ4" s="2">
        <v>13</v>
      </c>
      <c r="AK4" s="2">
        <v>33</v>
      </c>
      <c r="AL4" s="2">
        <v>0.39389999999999997</v>
      </c>
      <c r="AM4" s="2">
        <v>12</v>
      </c>
      <c r="AN4" s="2">
        <v>19</v>
      </c>
      <c r="AO4" s="2">
        <v>0.63160000000000005</v>
      </c>
      <c r="AP4" s="2">
        <v>9</v>
      </c>
      <c r="AQ4" s="2">
        <v>27</v>
      </c>
      <c r="AR4" s="2">
        <v>36</v>
      </c>
      <c r="AS4" s="2">
        <v>14</v>
      </c>
      <c r="AT4" s="2">
        <v>3</v>
      </c>
      <c r="AU4" s="2">
        <v>3</v>
      </c>
      <c r="AV4" s="2">
        <v>16</v>
      </c>
      <c r="AW4" s="2">
        <v>25</v>
      </c>
      <c r="AX4" s="2">
        <v>0.57230000000000003</v>
      </c>
      <c r="AY4" s="2">
        <v>0.48459999999999998</v>
      </c>
      <c r="AZ4" s="2">
        <v>0.27029999999999998</v>
      </c>
      <c r="BA4" s="2">
        <v>0.76919999999999999</v>
      </c>
      <c r="BB4" s="2">
        <v>0.52629999999999999</v>
      </c>
      <c r="BC4" s="4">
        <v>76.435000000000002</v>
      </c>
      <c r="BD4" s="2">
        <v>0.66669999999999996</v>
      </c>
      <c r="BE4" s="2">
        <v>0.4</v>
      </c>
      <c r="BF4" s="2">
        <v>0.1139</v>
      </c>
      <c r="BG4" s="2">
        <v>113.8</v>
      </c>
      <c r="BH4" s="2">
        <v>108.7</v>
      </c>
      <c r="BI4" s="2">
        <v>78.202500000000001</v>
      </c>
      <c r="BJ4" s="2">
        <v>0.57150000000000001</v>
      </c>
      <c r="BK4" s="2">
        <v>0.55300000000000005</v>
      </c>
      <c r="BL4" s="2">
        <v>0.23080000000000001</v>
      </c>
      <c r="BM4" s="2">
        <v>0.72970000000000002</v>
      </c>
      <c r="BN4" s="2">
        <v>0.47370000000000001</v>
      </c>
      <c r="BO4" s="4">
        <v>79.97</v>
      </c>
      <c r="BP4" s="2">
        <v>0.4667</v>
      </c>
      <c r="BQ4" s="2">
        <v>0.18179999999999999</v>
      </c>
      <c r="BR4" s="2">
        <v>0.17710000000000001</v>
      </c>
      <c r="BS4" s="2">
        <v>108.7</v>
      </c>
      <c r="BT4" s="2">
        <v>113.8</v>
      </c>
      <c r="BU4" s="2">
        <v>24</v>
      </c>
      <c r="BV4" s="2">
        <v>20</v>
      </c>
      <c r="BW4" s="2">
        <v>25</v>
      </c>
      <c r="BX4" s="2">
        <v>20</v>
      </c>
      <c r="BY4" s="2">
        <v>22</v>
      </c>
      <c r="BZ4" s="2">
        <v>24</v>
      </c>
      <c r="CA4" s="2">
        <v>23</v>
      </c>
      <c r="CB4" s="2">
        <v>16</v>
      </c>
      <c r="CC4" s="2">
        <v>44</v>
      </c>
      <c r="CD4" s="2">
        <v>45</v>
      </c>
      <c r="CE4" s="2">
        <v>46</v>
      </c>
      <c r="CF4" s="2">
        <v>39</v>
      </c>
      <c r="CG4" s="2">
        <v>4</v>
      </c>
      <c r="CH4" s="2">
        <v>1.26</v>
      </c>
      <c r="CI4" s="2">
        <v>8.5</v>
      </c>
      <c r="CJ4" s="2">
        <v>-8.5</v>
      </c>
      <c r="CK4" s="2">
        <v>157.5</v>
      </c>
      <c r="CL4" s="2" t="s">
        <v>385</v>
      </c>
      <c r="CM4" s="4" t="str">
        <f>VLOOKUP(dunker[[#This Row],[Away_team]],all[[Full name]:[Abbr]],3,FALSE)</f>
        <v>PAR</v>
      </c>
      <c r="CN4" s="4">
        <f>IF(OR(dunker[[#This Row],[Result]]="w",dunker[[#This Row],[Result]]="dw"),dunker[[#This Row],[win]]-1,-1)</f>
        <v>3</v>
      </c>
      <c r="CO4" s="4">
        <f>IF(OR(dunker[[#This Row],[Result]]="L",dunker[[#This Row],[Result]]="dl"),dunker[[#This Row],[lose]]-1,-1)</f>
        <v>-1</v>
      </c>
      <c r="CP4" s="4">
        <f>IF(OR((dunker[[#This Row],[Home_scored]]+dunker[[#This Row],[Away_scored]])&gt;dunker[[#This Row],[total]],OR(dunker[[#This Row],[Result]]="dw",dunker[[#This Row],[Result]]="dl")),1,0)</f>
        <v>1</v>
      </c>
      <c r="CQ4" s="4">
        <f>ABS((dunker[[#This Row],[Home_scored]]+dunker[[#This Row],[Away_scored]])-dunker[[#This Row],[total]])+0.5</f>
        <v>17</v>
      </c>
    </row>
    <row r="5" spans="1:95" x14ac:dyDescent="0.25">
      <c r="A5" s="2" t="s">
        <v>349</v>
      </c>
      <c r="B5" s="2" t="s">
        <v>314</v>
      </c>
      <c r="C5" s="3" t="s">
        <v>73</v>
      </c>
      <c r="D5" s="3">
        <v>45564</v>
      </c>
      <c r="E5" s="2" t="s">
        <v>74</v>
      </c>
      <c r="F5" s="2" t="s">
        <v>324</v>
      </c>
      <c r="G5" s="2" t="s">
        <v>75</v>
      </c>
      <c r="H5" s="11">
        <v>70</v>
      </c>
      <c r="I5" s="11">
        <v>56</v>
      </c>
      <c r="J5" s="11">
        <v>23</v>
      </c>
      <c r="K5" s="11">
        <v>61</v>
      </c>
      <c r="L5" s="12">
        <v>0.377</v>
      </c>
      <c r="M5" s="11">
        <v>14</v>
      </c>
      <c r="N5" s="11">
        <v>37</v>
      </c>
      <c r="O5" s="12">
        <v>0.37840000000000001</v>
      </c>
      <c r="P5" s="11">
        <v>9</v>
      </c>
      <c r="Q5" s="11">
        <v>24</v>
      </c>
      <c r="R5" s="12">
        <v>0.375</v>
      </c>
      <c r="S5" s="11">
        <v>15</v>
      </c>
      <c r="T5" s="11">
        <v>17</v>
      </c>
      <c r="U5" s="12">
        <v>0.88239999999999996</v>
      </c>
      <c r="V5" s="11">
        <v>12</v>
      </c>
      <c r="W5" s="11">
        <v>30</v>
      </c>
      <c r="X5" s="11">
        <v>42</v>
      </c>
      <c r="Y5" s="11">
        <v>15</v>
      </c>
      <c r="Z5" s="11">
        <v>10</v>
      </c>
      <c r="AA5" s="11">
        <v>4</v>
      </c>
      <c r="AB5" s="11">
        <v>11</v>
      </c>
      <c r="AC5" s="11">
        <v>18</v>
      </c>
      <c r="AD5" s="11">
        <v>21</v>
      </c>
      <c r="AE5" s="11">
        <v>62</v>
      </c>
      <c r="AF5" s="12">
        <v>0.3387</v>
      </c>
      <c r="AG5" s="11">
        <v>11</v>
      </c>
      <c r="AH5" s="11">
        <v>34</v>
      </c>
      <c r="AI5" s="12">
        <v>0.32350000000000001</v>
      </c>
      <c r="AJ5" s="11">
        <v>10</v>
      </c>
      <c r="AK5" s="11">
        <v>28</v>
      </c>
      <c r="AL5" s="12">
        <v>0.35709999999999997</v>
      </c>
      <c r="AM5" s="11">
        <v>4</v>
      </c>
      <c r="AN5" s="11">
        <v>7</v>
      </c>
      <c r="AO5" s="12">
        <v>0.57140000000000002</v>
      </c>
      <c r="AP5" s="11">
        <v>12</v>
      </c>
      <c r="AQ5" s="11">
        <v>25</v>
      </c>
      <c r="AR5" s="11">
        <v>37</v>
      </c>
      <c r="AS5" s="11">
        <v>13</v>
      </c>
      <c r="AT5" s="11">
        <v>2</v>
      </c>
      <c r="AU5" s="11">
        <v>5</v>
      </c>
      <c r="AV5" s="11">
        <v>16</v>
      </c>
      <c r="AW5" s="11">
        <v>19</v>
      </c>
      <c r="AX5" s="12">
        <v>0.5111</v>
      </c>
      <c r="AY5" s="12">
        <v>0.45079999999999998</v>
      </c>
      <c r="AZ5" s="12">
        <v>0.32429999999999998</v>
      </c>
      <c r="BA5" s="12">
        <v>0.71430000000000005</v>
      </c>
      <c r="BB5" s="12">
        <v>0.53159999999999996</v>
      </c>
      <c r="BC5" s="4">
        <v>67.183000000000007</v>
      </c>
      <c r="BD5" s="12">
        <v>0.6522</v>
      </c>
      <c r="BE5" s="12">
        <v>0.24590000000000001</v>
      </c>
      <c r="BF5" s="12">
        <v>0.1384</v>
      </c>
      <c r="BG5" s="4">
        <v>104.7</v>
      </c>
      <c r="BH5" s="4">
        <v>83.7</v>
      </c>
      <c r="BI5" s="4">
        <v>66.877499999999998</v>
      </c>
      <c r="BJ5" s="12">
        <v>0.43020000000000003</v>
      </c>
      <c r="BK5" s="12">
        <v>0.4194</v>
      </c>
      <c r="BL5" s="12">
        <v>0.28570000000000001</v>
      </c>
      <c r="BM5" s="12">
        <v>0.67569999999999997</v>
      </c>
      <c r="BN5" s="12">
        <v>0.46839999999999998</v>
      </c>
      <c r="BO5" s="4">
        <v>66.572000000000003</v>
      </c>
      <c r="BP5" s="12">
        <v>0.61899999999999999</v>
      </c>
      <c r="BQ5" s="12">
        <v>6.4500000000000002E-2</v>
      </c>
      <c r="BR5" s="12">
        <v>0.1973</v>
      </c>
      <c r="BS5" s="4">
        <v>83.7</v>
      </c>
      <c r="BT5" s="4">
        <v>104.7</v>
      </c>
      <c r="BU5" s="11">
        <v>23</v>
      </c>
      <c r="BV5" s="11">
        <v>14</v>
      </c>
      <c r="BW5" s="11">
        <v>22</v>
      </c>
      <c r="BX5" s="11">
        <v>11</v>
      </c>
      <c r="BY5" s="11">
        <v>9</v>
      </c>
      <c r="BZ5" s="11">
        <v>13</v>
      </c>
      <c r="CA5" s="11">
        <v>9</v>
      </c>
      <c r="CB5" s="11">
        <v>25</v>
      </c>
      <c r="CC5" s="11">
        <v>37</v>
      </c>
      <c r="CD5" s="11">
        <v>33</v>
      </c>
      <c r="CE5" s="11">
        <v>22</v>
      </c>
      <c r="CF5" s="11">
        <v>34</v>
      </c>
      <c r="CG5" s="4">
        <v>1.45</v>
      </c>
      <c r="CH5" s="13">
        <v>2.8</v>
      </c>
      <c r="CI5" s="4">
        <v>-5.5</v>
      </c>
      <c r="CJ5" s="4">
        <v>5.5</v>
      </c>
      <c r="CK5" s="4">
        <v>163.5</v>
      </c>
      <c r="CL5" s="2" t="s">
        <v>386</v>
      </c>
      <c r="CM5" s="4" t="str">
        <f>VLOOKUP(dunker[[#This Row],[Away_team]],all[[Full name]:[Abbr]],3,FALSE)</f>
        <v>LIM</v>
      </c>
      <c r="CN5" s="4">
        <f>IF(OR(dunker[[#This Row],[Result]]="w",dunker[[#This Row],[Result]]="dw"),dunker[[#This Row],[win]]-1,-1)</f>
        <v>0.44999999999999996</v>
      </c>
      <c r="CO5" s="4">
        <f>IF(OR(dunker[[#This Row],[Result]]="L",dunker[[#This Row],[Result]]="dl"),dunker[[#This Row],[lose]]-1,-1)</f>
        <v>-1</v>
      </c>
      <c r="CP5" s="4">
        <f>IF(OR((dunker[[#This Row],[Home_scored]]+dunker[[#This Row],[Away_scored]])&gt;dunker[[#This Row],[total]],OR(dunker[[#This Row],[Result]]="dw",dunker[[#This Row],[Result]]="dl")),1,0)</f>
        <v>0</v>
      </c>
      <c r="CQ5" s="4">
        <f>ABS((dunker[[#This Row],[Home_scored]]+dunker[[#This Row],[Away_scored]])-dunker[[#This Row],[total]])+0.5</f>
        <v>38</v>
      </c>
    </row>
    <row r="6" spans="1:95" x14ac:dyDescent="0.25">
      <c r="A6" s="2" t="s">
        <v>349</v>
      </c>
      <c r="B6" s="2" t="s">
        <v>314</v>
      </c>
      <c r="C6" s="3" t="s">
        <v>73</v>
      </c>
      <c r="D6" s="3">
        <v>45570</v>
      </c>
      <c r="E6" s="2" t="s">
        <v>140</v>
      </c>
      <c r="F6" s="2" t="s">
        <v>308</v>
      </c>
      <c r="G6" s="2" t="s">
        <v>139</v>
      </c>
      <c r="H6" s="11">
        <v>74</v>
      </c>
      <c r="I6" s="11">
        <v>106</v>
      </c>
      <c r="J6" s="11">
        <v>23</v>
      </c>
      <c r="K6" s="11">
        <v>59</v>
      </c>
      <c r="L6" s="12">
        <v>0.38979999999999998</v>
      </c>
      <c r="M6" s="11">
        <v>15</v>
      </c>
      <c r="N6" s="11">
        <v>34</v>
      </c>
      <c r="O6" s="12">
        <v>0.44119999999999998</v>
      </c>
      <c r="P6" s="11">
        <v>8</v>
      </c>
      <c r="Q6" s="11">
        <v>25</v>
      </c>
      <c r="R6" s="12">
        <v>0.32</v>
      </c>
      <c r="S6" s="11">
        <v>20</v>
      </c>
      <c r="T6" s="11">
        <v>24</v>
      </c>
      <c r="U6" s="12">
        <v>0.83330000000000004</v>
      </c>
      <c r="V6" s="11">
        <v>11</v>
      </c>
      <c r="W6" s="11">
        <v>15</v>
      </c>
      <c r="X6" s="11">
        <v>26</v>
      </c>
      <c r="Y6" s="11">
        <v>17</v>
      </c>
      <c r="Z6" s="11">
        <v>9</v>
      </c>
      <c r="AA6" s="11">
        <v>2</v>
      </c>
      <c r="AB6" s="11">
        <v>19</v>
      </c>
      <c r="AC6" s="11">
        <v>24</v>
      </c>
      <c r="AD6" s="11">
        <v>38</v>
      </c>
      <c r="AE6" s="11">
        <v>56</v>
      </c>
      <c r="AF6" s="12">
        <v>0.67859999999999998</v>
      </c>
      <c r="AG6" s="11">
        <v>28</v>
      </c>
      <c r="AH6" s="11">
        <v>38</v>
      </c>
      <c r="AI6" s="12">
        <v>0.73680000000000001</v>
      </c>
      <c r="AJ6" s="11">
        <v>10</v>
      </c>
      <c r="AK6" s="11">
        <v>18</v>
      </c>
      <c r="AL6" s="12">
        <v>0.55559999999999998</v>
      </c>
      <c r="AM6" s="11">
        <v>20</v>
      </c>
      <c r="AN6" s="11">
        <v>25</v>
      </c>
      <c r="AO6" s="12">
        <v>0.8</v>
      </c>
      <c r="AP6" s="11">
        <v>4</v>
      </c>
      <c r="AQ6" s="11">
        <v>24</v>
      </c>
      <c r="AR6" s="11">
        <v>28</v>
      </c>
      <c r="AS6" s="11">
        <v>34</v>
      </c>
      <c r="AT6" s="11">
        <v>11</v>
      </c>
      <c r="AU6" s="11">
        <v>3</v>
      </c>
      <c r="AV6" s="11">
        <v>12</v>
      </c>
      <c r="AW6" s="11">
        <v>24</v>
      </c>
      <c r="AX6" s="12">
        <v>0.53190000000000004</v>
      </c>
      <c r="AY6" s="12">
        <v>0.45760000000000001</v>
      </c>
      <c r="AZ6" s="12">
        <v>0.31430000000000002</v>
      </c>
      <c r="BA6" s="12">
        <v>0.78949999999999998</v>
      </c>
      <c r="BB6" s="12">
        <v>0.48149999999999998</v>
      </c>
      <c r="BC6" s="4">
        <v>71.302999999999997</v>
      </c>
      <c r="BD6" s="12">
        <v>0.73909999999999998</v>
      </c>
      <c r="BE6" s="12">
        <v>0.33900000000000002</v>
      </c>
      <c r="BF6" s="12">
        <v>0.2145</v>
      </c>
      <c r="BG6" s="4">
        <v>101</v>
      </c>
      <c r="BH6" s="4">
        <v>144.69999999999999</v>
      </c>
      <c r="BI6" s="4">
        <v>73.275999999999996</v>
      </c>
      <c r="BJ6" s="12">
        <v>0.79100000000000004</v>
      </c>
      <c r="BK6" s="12">
        <v>0.76790000000000003</v>
      </c>
      <c r="BL6" s="12">
        <v>0.21049999999999999</v>
      </c>
      <c r="BM6" s="12">
        <v>0.68569999999999998</v>
      </c>
      <c r="BN6" s="12">
        <v>0.51849999999999996</v>
      </c>
      <c r="BO6" s="4">
        <v>75.248999999999995</v>
      </c>
      <c r="BP6" s="12">
        <v>0.89470000000000005</v>
      </c>
      <c r="BQ6" s="12">
        <v>0.35709999999999997</v>
      </c>
      <c r="BR6" s="12">
        <v>0.15190000000000001</v>
      </c>
      <c r="BS6" s="4">
        <v>144.69999999999999</v>
      </c>
      <c r="BT6" s="4">
        <v>101</v>
      </c>
      <c r="BU6" s="11">
        <v>21</v>
      </c>
      <c r="BV6" s="11">
        <v>15</v>
      </c>
      <c r="BW6" s="11">
        <v>17</v>
      </c>
      <c r="BX6" s="11">
        <v>21</v>
      </c>
      <c r="BY6" s="11">
        <v>26</v>
      </c>
      <c r="BZ6" s="11">
        <v>25</v>
      </c>
      <c r="CA6" s="11">
        <v>31</v>
      </c>
      <c r="CB6" s="11">
        <v>24</v>
      </c>
      <c r="CC6" s="11">
        <v>36</v>
      </c>
      <c r="CD6" s="11">
        <v>38</v>
      </c>
      <c r="CE6" s="11">
        <v>51</v>
      </c>
      <c r="CF6" s="11">
        <v>55</v>
      </c>
      <c r="CG6" s="4">
        <v>2.6</v>
      </c>
      <c r="CH6" s="13">
        <v>1.53</v>
      </c>
      <c r="CI6" s="4">
        <v>4.5</v>
      </c>
      <c r="CJ6" s="4">
        <v>-4.5</v>
      </c>
      <c r="CK6" s="4">
        <v>152.5</v>
      </c>
      <c r="CL6" s="2" t="s">
        <v>371</v>
      </c>
      <c r="CM6" s="4" t="str">
        <f>VLOOKUP(dunker[[#This Row],[Away_team]],all[[Full name]:[Abbr]],3,FALSE)</f>
        <v>CHO</v>
      </c>
      <c r="CN6" s="4">
        <f>IF(OR(dunker[[#This Row],[Result]]="w",dunker[[#This Row],[Result]]="dw"),dunker[[#This Row],[win]]-1,-1)</f>
        <v>-1</v>
      </c>
      <c r="CO6" s="4">
        <f>IF(OR(dunker[[#This Row],[Result]]="L",dunker[[#This Row],[Result]]="dl"),dunker[[#This Row],[lose]]-1,-1)</f>
        <v>0.53</v>
      </c>
      <c r="CP6" s="4">
        <f>IF(OR((dunker[[#This Row],[Home_scored]]+dunker[[#This Row],[Away_scored]])&gt;dunker[[#This Row],[total]],OR(dunker[[#This Row],[Result]]="dw",dunker[[#This Row],[Result]]="dl")),1,0)</f>
        <v>1</v>
      </c>
      <c r="CQ6" s="4">
        <f>ABS((dunker[[#This Row],[Home_scored]]+dunker[[#This Row],[Away_scored]])-dunker[[#This Row],[total]])+0.5</f>
        <v>28</v>
      </c>
    </row>
    <row r="7" spans="1:95" x14ac:dyDescent="0.25">
      <c r="A7" s="2" t="s">
        <v>349</v>
      </c>
      <c r="B7" s="2" t="s">
        <v>314</v>
      </c>
      <c r="C7" s="3" t="s">
        <v>73</v>
      </c>
      <c r="D7" s="3">
        <v>45578</v>
      </c>
      <c r="E7" s="2" t="s">
        <v>74</v>
      </c>
      <c r="F7" s="2" t="s">
        <v>345</v>
      </c>
      <c r="G7" s="2" t="s">
        <v>75</v>
      </c>
      <c r="H7" s="11">
        <v>78</v>
      </c>
      <c r="I7" s="11">
        <v>72</v>
      </c>
      <c r="J7" s="11">
        <v>28</v>
      </c>
      <c r="K7" s="11">
        <v>60</v>
      </c>
      <c r="L7" s="12">
        <v>0.4667</v>
      </c>
      <c r="M7" s="11">
        <v>24</v>
      </c>
      <c r="N7" s="11">
        <v>40</v>
      </c>
      <c r="O7" s="12">
        <v>0.6</v>
      </c>
      <c r="P7" s="11">
        <v>4</v>
      </c>
      <c r="Q7" s="11">
        <v>20</v>
      </c>
      <c r="R7" s="12">
        <v>0.2</v>
      </c>
      <c r="S7" s="11">
        <v>18</v>
      </c>
      <c r="T7" s="11">
        <v>22</v>
      </c>
      <c r="U7" s="12">
        <v>0.81820000000000004</v>
      </c>
      <c r="V7" s="11">
        <v>5</v>
      </c>
      <c r="W7" s="11">
        <v>24</v>
      </c>
      <c r="X7" s="11">
        <v>29</v>
      </c>
      <c r="Y7" s="11">
        <v>19</v>
      </c>
      <c r="Z7" s="11">
        <v>7</v>
      </c>
      <c r="AA7" s="11">
        <v>1</v>
      </c>
      <c r="AB7" s="11">
        <v>1</v>
      </c>
      <c r="AC7" s="11">
        <v>18</v>
      </c>
      <c r="AD7" s="11">
        <v>26</v>
      </c>
      <c r="AE7" s="11">
        <v>58</v>
      </c>
      <c r="AF7" s="12">
        <v>0.44829999999999998</v>
      </c>
      <c r="AG7" s="11">
        <v>19</v>
      </c>
      <c r="AH7" s="11">
        <v>32</v>
      </c>
      <c r="AI7" s="12">
        <v>0.59379999999999999</v>
      </c>
      <c r="AJ7" s="11">
        <v>7</v>
      </c>
      <c r="AK7" s="11">
        <v>26</v>
      </c>
      <c r="AL7" s="12">
        <v>0.26919999999999999</v>
      </c>
      <c r="AM7" s="11">
        <v>13</v>
      </c>
      <c r="AN7" s="11">
        <v>20</v>
      </c>
      <c r="AO7" s="12">
        <v>0.65</v>
      </c>
      <c r="AP7" s="11">
        <v>8</v>
      </c>
      <c r="AQ7" s="11">
        <v>27</v>
      </c>
      <c r="AR7" s="11">
        <v>35</v>
      </c>
      <c r="AS7" s="11">
        <v>16</v>
      </c>
      <c r="AT7" s="11">
        <v>2</v>
      </c>
      <c r="AU7" s="11">
        <v>1</v>
      </c>
      <c r="AV7" s="11">
        <v>12</v>
      </c>
      <c r="AW7" s="11">
        <v>20</v>
      </c>
      <c r="AX7" s="12">
        <v>0.55969999999999998</v>
      </c>
      <c r="AY7" s="12">
        <v>0.5</v>
      </c>
      <c r="AZ7" s="12">
        <v>0.15629999999999999</v>
      </c>
      <c r="BA7" s="12">
        <v>0.75</v>
      </c>
      <c r="BB7" s="12">
        <v>0.4531</v>
      </c>
      <c r="BC7" s="4">
        <v>63.896999999999998</v>
      </c>
      <c r="BD7" s="12">
        <v>0.67859999999999998</v>
      </c>
      <c r="BE7" s="12">
        <v>0.3</v>
      </c>
      <c r="BF7" s="12">
        <v>1.41E-2</v>
      </c>
      <c r="BG7" s="4">
        <v>116.4</v>
      </c>
      <c r="BH7" s="4">
        <v>107.4</v>
      </c>
      <c r="BI7" s="4">
        <v>67.035499999999999</v>
      </c>
      <c r="BJ7" s="12">
        <v>0.53890000000000005</v>
      </c>
      <c r="BK7" s="12">
        <v>0.50860000000000005</v>
      </c>
      <c r="BL7" s="12">
        <v>0.25</v>
      </c>
      <c r="BM7" s="12">
        <v>0.84379999999999999</v>
      </c>
      <c r="BN7" s="12">
        <v>0.54690000000000005</v>
      </c>
      <c r="BO7" s="4">
        <v>70.174000000000007</v>
      </c>
      <c r="BP7" s="12">
        <v>0.61539999999999995</v>
      </c>
      <c r="BQ7" s="12">
        <v>0.22409999999999999</v>
      </c>
      <c r="BR7" s="12">
        <v>0.15229999999999999</v>
      </c>
      <c r="BS7" s="4">
        <v>107.4</v>
      </c>
      <c r="BT7" s="4">
        <v>116.4</v>
      </c>
      <c r="BU7" s="11">
        <v>23</v>
      </c>
      <c r="BV7" s="11">
        <v>15</v>
      </c>
      <c r="BW7" s="11">
        <v>19</v>
      </c>
      <c r="BX7" s="11">
        <v>21</v>
      </c>
      <c r="BY7" s="11">
        <v>21</v>
      </c>
      <c r="BZ7" s="11">
        <v>15</v>
      </c>
      <c r="CA7" s="11">
        <v>22</v>
      </c>
      <c r="CB7" s="11">
        <v>14</v>
      </c>
      <c r="CC7" s="11">
        <v>38</v>
      </c>
      <c r="CD7" s="11">
        <v>40</v>
      </c>
      <c r="CE7" s="11">
        <v>36</v>
      </c>
      <c r="CF7" s="11">
        <v>36</v>
      </c>
      <c r="CG7" s="4">
        <v>1.56</v>
      </c>
      <c r="CH7" s="13">
        <v>2.5</v>
      </c>
      <c r="CI7" s="4">
        <v>-4</v>
      </c>
      <c r="CJ7" s="4">
        <v>-4</v>
      </c>
      <c r="CK7" s="4">
        <v>156.5</v>
      </c>
      <c r="CL7" s="2" t="s">
        <v>387</v>
      </c>
      <c r="CM7" s="4" t="str">
        <f>VLOOKUP(dunker[[#This Row],[Away_team]],all[[Full name]:[Abbr]],3,FALSE)</f>
        <v>STR</v>
      </c>
      <c r="CN7" s="4">
        <f>IF(OR(dunker[[#This Row],[Result]]="w",dunker[[#This Row],[Result]]="dw"),dunker[[#This Row],[win]]-1,-1)</f>
        <v>0.56000000000000005</v>
      </c>
      <c r="CO7" s="4">
        <f>IF(OR(dunker[[#This Row],[Result]]="L",dunker[[#This Row],[Result]]="dl"),dunker[[#This Row],[lose]]-1,-1)</f>
        <v>-1</v>
      </c>
      <c r="CP7" s="4">
        <f>IF(OR((dunker[[#This Row],[Home_scored]]+dunker[[#This Row],[Away_scored]])&gt;dunker[[#This Row],[total]],OR(dunker[[#This Row],[Result]]="dw",dunker[[#This Row],[Result]]="dl")),1,0)</f>
        <v>0</v>
      </c>
      <c r="CQ7" s="4">
        <f>ABS((dunker[[#This Row],[Home_scored]]+dunker[[#This Row],[Away_scored]])-dunker[[#This Row],[total]])+0.5</f>
        <v>7</v>
      </c>
    </row>
    <row r="8" spans="1:95" x14ac:dyDescent="0.25">
      <c r="A8" s="2" t="s">
        <v>349</v>
      </c>
      <c r="B8" s="2" t="s">
        <v>314</v>
      </c>
      <c r="C8" s="3" t="s">
        <v>73</v>
      </c>
      <c r="D8" s="3">
        <v>45583</v>
      </c>
      <c r="E8" s="2" t="s">
        <v>140</v>
      </c>
      <c r="F8" s="2" t="s">
        <v>320</v>
      </c>
      <c r="G8" s="2" t="s">
        <v>75</v>
      </c>
      <c r="H8" s="11">
        <v>82</v>
      </c>
      <c r="I8" s="11">
        <v>69</v>
      </c>
      <c r="J8" s="11">
        <v>28</v>
      </c>
      <c r="K8" s="11">
        <v>52</v>
      </c>
      <c r="L8" s="12">
        <v>0.53849999999999998</v>
      </c>
      <c r="M8" s="11">
        <v>23</v>
      </c>
      <c r="N8" s="11">
        <v>38</v>
      </c>
      <c r="O8" s="12">
        <v>0.60529999999999995</v>
      </c>
      <c r="P8" s="11">
        <v>5</v>
      </c>
      <c r="Q8" s="11">
        <v>14</v>
      </c>
      <c r="R8" s="12">
        <v>0.35709999999999997</v>
      </c>
      <c r="S8" s="11">
        <v>21</v>
      </c>
      <c r="T8" s="11">
        <v>28</v>
      </c>
      <c r="U8" s="12">
        <v>0.75</v>
      </c>
      <c r="V8" s="11">
        <v>8</v>
      </c>
      <c r="W8" s="11">
        <v>20</v>
      </c>
      <c r="X8" s="11">
        <v>28</v>
      </c>
      <c r="Y8" s="11">
        <v>17</v>
      </c>
      <c r="Z8" s="11">
        <v>10</v>
      </c>
      <c r="AA8" s="11">
        <v>3</v>
      </c>
      <c r="AB8" s="11">
        <v>9</v>
      </c>
      <c r="AC8" s="11">
        <v>17</v>
      </c>
      <c r="AD8" s="11">
        <v>25</v>
      </c>
      <c r="AE8" s="11">
        <v>56</v>
      </c>
      <c r="AF8" s="12">
        <v>0.44640000000000002</v>
      </c>
      <c r="AG8" s="11">
        <v>19</v>
      </c>
      <c r="AH8" s="11">
        <v>36</v>
      </c>
      <c r="AI8" s="12">
        <v>0.52780000000000005</v>
      </c>
      <c r="AJ8" s="11">
        <v>6</v>
      </c>
      <c r="AK8" s="11">
        <v>20</v>
      </c>
      <c r="AL8" s="12">
        <v>0.3</v>
      </c>
      <c r="AM8" s="11">
        <v>13</v>
      </c>
      <c r="AN8" s="11">
        <v>14</v>
      </c>
      <c r="AO8" s="12">
        <v>0.92859999999999998</v>
      </c>
      <c r="AP8" s="11">
        <v>11</v>
      </c>
      <c r="AQ8" s="11">
        <v>16</v>
      </c>
      <c r="AR8" s="11">
        <v>27</v>
      </c>
      <c r="AS8" s="11">
        <v>9</v>
      </c>
      <c r="AT8" s="11">
        <v>4</v>
      </c>
      <c r="AU8" s="11">
        <v>4</v>
      </c>
      <c r="AV8" s="11">
        <v>14</v>
      </c>
      <c r="AW8" s="11">
        <v>26</v>
      </c>
      <c r="AX8" s="12">
        <v>0.63739999999999997</v>
      </c>
      <c r="AY8" s="12">
        <v>0.58650000000000002</v>
      </c>
      <c r="AZ8" s="12">
        <v>0.33329999999999999</v>
      </c>
      <c r="BA8" s="12">
        <v>0.6452</v>
      </c>
      <c r="BB8" s="12">
        <v>0.5091</v>
      </c>
      <c r="BC8" s="4">
        <v>64.863</v>
      </c>
      <c r="BD8" s="12">
        <v>0.60709999999999997</v>
      </c>
      <c r="BE8" s="12">
        <v>0.40379999999999999</v>
      </c>
      <c r="BF8" s="12">
        <v>0.1227</v>
      </c>
      <c r="BG8" s="4">
        <v>129.19999999999999</v>
      </c>
      <c r="BH8" s="4">
        <v>108.7</v>
      </c>
      <c r="BI8" s="4">
        <v>63.474499999999999</v>
      </c>
      <c r="BJ8" s="12">
        <v>0.55500000000000005</v>
      </c>
      <c r="BK8" s="12">
        <v>0.5</v>
      </c>
      <c r="BL8" s="12">
        <v>0.3548</v>
      </c>
      <c r="BM8" s="12">
        <v>0.66669999999999996</v>
      </c>
      <c r="BN8" s="12">
        <v>0.4909</v>
      </c>
      <c r="BO8" s="4">
        <v>62.085999999999999</v>
      </c>
      <c r="BP8" s="12">
        <v>0.36</v>
      </c>
      <c r="BQ8" s="12">
        <v>0.2321</v>
      </c>
      <c r="BR8" s="12">
        <v>0.18379999999999999</v>
      </c>
      <c r="BS8" s="4">
        <v>108.7</v>
      </c>
      <c r="BT8" s="4">
        <v>129.19999999999999</v>
      </c>
      <c r="BU8" s="11">
        <v>22</v>
      </c>
      <c r="BV8" s="11">
        <v>26</v>
      </c>
      <c r="BW8" s="11">
        <v>12</v>
      </c>
      <c r="BX8" s="11">
        <v>22</v>
      </c>
      <c r="BY8" s="11">
        <v>16</v>
      </c>
      <c r="BZ8" s="11">
        <v>23</v>
      </c>
      <c r="CA8" s="11">
        <v>16</v>
      </c>
      <c r="CB8" s="11">
        <v>14</v>
      </c>
      <c r="CC8" s="11">
        <v>48</v>
      </c>
      <c r="CD8" s="11">
        <v>34</v>
      </c>
      <c r="CE8" s="11">
        <v>39</v>
      </c>
      <c r="CF8" s="11">
        <v>30</v>
      </c>
      <c r="CG8" s="4">
        <v>2.0499999999999998</v>
      </c>
      <c r="CH8" s="13">
        <v>1.8</v>
      </c>
      <c r="CI8" s="4">
        <v>1.5</v>
      </c>
      <c r="CJ8" s="4">
        <v>-1.5</v>
      </c>
      <c r="CK8" s="4">
        <v>155.5</v>
      </c>
      <c r="CL8" s="2" t="s">
        <v>388</v>
      </c>
      <c r="CM8" s="4" t="str">
        <f>VLOOKUP(dunker[[#This Row],[Away_team]],all[[Full name]:[Abbr]],3,FALSE)</f>
        <v>POR</v>
      </c>
      <c r="CN8" s="4">
        <f>IF(OR(dunker[[#This Row],[Result]]="w",dunker[[#This Row],[Result]]="dw"),dunker[[#This Row],[win]]-1,-1)</f>
        <v>1.0499999999999998</v>
      </c>
      <c r="CO8" s="4">
        <f>IF(OR(dunker[[#This Row],[Result]]="L",dunker[[#This Row],[Result]]="dl"),dunker[[#This Row],[lose]]-1,-1)</f>
        <v>-1</v>
      </c>
      <c r="CP8" s="4">
        <f>IF(OR((dunker[[#This Row],[Home_scored]]+dunker[[#This Row],[Away_scored]])&gt;dunker[[#This Row],[total]],OR(dunker[[#This Row],[Result]]="dw",dunker[[#This Row],[Result]]="dl")),1,0)</f>
        <v>0</v>
      </c>
      <c r="CQ8" s="4">
        <f>ABS((dunker[[#This Row],[Home_scored]]+dunker[[#This Row],[Away_scored]])-dunker[[#This Row],[total]])+0.5</f>
        <v>5</v>
      </c>
    </row>
    <row r="9" spans="1:95" x14ac:dyDescent="0.25">
      <c r="A9" s="2" t="s">
        <v>349</v>
      </c>
      <c r="B9" s="2" t="s">
        <v>314</v>
      </c>
      <c r="C9" s="3" t="s">
        <v>73</v>
      </c>
      <c r="D9" s="3">
        <v>45592</v>
      </c>
      <c r="E9" s="2" t="s">
        <v>74</v>
      </c>
      <c r="F9" s="2" t="s">
        <v>302</v>
      </c>
      <c r="G9" s="2" t="s">
        <v>139</v>
      </c>
      <c r="H9" s="11">
        <v>75</v>
      </c>
      <c r="I9" s="11">
        <v>83</v>
      </c>
      <c r="J9" s="11">
        <v>27</v>
      </c>
      <c r="K9" s="11">
        <v>56</v>
      </c>
      <c r="L9" s="12">
        <v>0.48209999999999997</v>
      </c>
      <c r="M9" s="11">
        <v>19</v>
      </c>
      <c r="N9" s="11">
        <v>37</v>
      </c>
      <c r="O9" s="12">
        <v>0.51349999999999996</v>
      </c>
      <c r="P9" s="11">
        <v>8</v>
      </c>
      <c r="Q9" s="11">
        <v>19</v>
      </c>
      <c r="R9" s="12">
        <v>0.42109999999999997</v>
      </c>
      <c r="S9" s="11">
        <v>13</v>
      </c>
      <c r="T9" s="11">
        <v>33</v>
      </c>
      <c r="U9" s="12">
        <v>0.39389999999999997</v>
      </c>
      <c r="V9" s="11">
        <v>8</v>
      </c>
      <c r="W9" s="11">
        <v>24</v>
      </c>
      <c r="X9" s="11">
        <v>32</v>
      </c>
      <c r="Y9" s="11">
        <v>14</v>
      </c>
      <c r="Z9" s="11">
        <v>6</v>
      </c>
      <c r="AA9" s="11">
        <v>0</v>
      </c>
      <c r="AB9" s="11">
        <v>12</v>
      </c>
      <c r="AC9" s="11">
        <v>30</v>
      </c>
      <c r="AD9" s="11">
        <v>22</v>
      </c>
      <c r="AE9" s="11">
        <v>58</v>
      </c>
      <c r="AF9" s="12">
        <v>0.37930000000000003</v>
      </c>
      <c r="AG9" s="11">
        <v>19</v>
      </c>
      <c r="AH9" s="11">
        <v>41</v>
      </c>
      <c r="AI9" s="12">
        <v>0.46339999999999998</v>
      </c>
      <c r="AJ9" s="11">
        <v>3</v>
      </c>
      <c r="AK9" s="11">
        <v>17</v>
      </c>
      <c r="AL9" s="12">
        <v>0.17649999999999999</v>
      </c>
      <c r="AM9" s="11">
        <v>36</v>
      </c>
      <c r="AN9" s="11">
        <v>40</v>
      </c>
      <c r="AO9" s="12">
        <v>0.9</v>
      </c>
      <c r="AP9" s="11">
        <v>14</v>
      </c>
      <c r="AQ9" s="11">
        <v>33</v>
      </c>
      <c r="AR9" s="11">
        <v>47</v>
      </c>
      <c r="AS9" s="11">
        <v>10</v>
      </c>
      <c r="AT9" s="11">
        <v>4</v>
      </c>
      <c r="AU9" s="11">
        <v>4</v>
      </c>
      <c r="AV9" s="11">
        <v>15</v>
      </c>
      <c r="AW9" s="11">
        <v>31</v>
      </c>
      <c r="AX9" s="12">
        <v>0.53180000000000005</v>
      </c>
      <c r="AY9" s="12">
        <v>0.55359999999999998</v>
      </c>
      <c r="AZ9" s="12">
        <v>0.1951</v>
      </c>
      <c r="BA9" s="12">
        <v>0.63160000000000005</v>
      </c>
      <c r="BB9" s="12">
        <v>0.40510000000000002</v>
      </c>
      <c r="BC9" s="4">
        <v>73.442999999999998</v>
      </c>
      <c r="BD9" s="12">
        <v>0.51849999999999996</v>
      </c>
      <c r="BE9" s="12">
        <v>0.2321</v>
      </c>
      <c r="BF9" s="12">
        <v>0.1454</v>
      </c>
      <c r="BG9" s="4">
        <v>99.4</v>
      </c>
      <c r="BH9" s="4">
        <v>110</v>
      </c>
      <c r="BI9" s="4">
        <v>75.484499999999997</v>
      </c>
      <c r="BJ9" s="12">
        <v>0.54890000000000005</v>
      </c>
      <c r="BK9" s="12">
        <v>0.4052</v>
      </c>
      <c r="BL9" s="12">
        <v>0.36840000000000001</v>
      </c>
      <c r="BM9" s="12">
        <v>0.80489999999999995</v>
      </c>
      <c r="BN9" s="12">
        <v>0.59489999999999998</v>
      </c>
      <c r="BO9" s="4">
        <v>77.525999999999996</v>
      </c>
      <c r="BP9" s="12">
        <v>0.45450000000000002</v>
      </c>
      <c r="BQ9" s="12">
        <v>0.62070000000000003</v>
      </c>
      <c r="BR9" s="12">
        <v>0.1656</v>
      </c>
      <c r="BS9" s="4">
        <v>110</v>
      </c>
      <c r="BT9" s="4">
        <v>99.4</v>
      </c>
      <c r="BU9" s="11">
        <v>19</v>
      </c>
      <c r="BV9" s="11">
        <v>16</v>
      </c>
      <c r="BW9" s="11">
        <v>20</v>
      </c>
      <c r="BX9" s="11">
        <v>20</v>
      </c>
      <c r="BY9" s="11">
        <v>17</v>
      </c>
      <c r="BZ9" s="11">
        <v>28</v>
      </c>
      <c r="CA9" s="11">
        <v>15</v>
      </c>
      <c r="CB9" s="11">
        <v>23</v>
      </c>
      <c r="CC9" s="11">
        <v>35</v>
      </c>
      <c r="CD9" s="11">
        <v>40</v>
      </c>
      <c r="CE9" s="11">
        <v>45</v>
      </c>
      <c r="CF9" s="11">
        <v>38</v>
      </c>
      <c r="CG9" s="4">
        <v>2.6</v>
      </c>
      <c r="CH9" s="13">
        <v>1.53</v>
      </c>
      <c r="CI9" s="4">
        <v>4.5</v>
      </c>
      <c r="CJ9" s="4">
        <v>-4.5</v>
      </c>
      <c r="CK9" s="4">
        <v>157.5</v>
      </c>
      <c r="CL9" s="2" t="s">
        <v>355</v>
      </c>
      <c r="CM9" s="4" t="str">
        <f>VLOOKUP(dunker[[#This Row],[Away_team]],all[[Full name]:[Abbr]],3,FALSE)</f>
        <v>BUR</v>
      </c>
      <c r="CN9" s="4">
        <f>IF(OR(dunker[[#This Row],[Result]]="w",dunker[[#This Row],[Result]]="dw"),dunker[[#This Row],[win]]-1,-1)</f>
        <v>-1</v>
      </c>
      <c r="CO9" s="4">
        <f>IF(OR(dunker[[#This Row],[Result]]="L",dunker[[#This Row],[Result]]="dl"),dunker[[#This Row],[lose]]-1,-1)</f>
        <v>0.53</v>
      </c>
      <c r="CP9" s="4">
        <f>IF(OR((dunker[[#This Row],[Home_scored]]+dunker[[#This Row],[Away_scored]])&gt;dunker[[#This Row],[total]],OR(dunker[[#This Row],[Result]]="dw",dunker[[#This Row],[Result]]="dl")),1,0)</f>
        <v>1</v>
      </c>
      <c r="CQ9" s="4">
        <f>ABS((dunker[[#This Row],[Home_scored]]+dunker[[#This Row],[Away_scored]])-dunker[[#This Row],[total]])+0.5</f>
        <v>1</v>
      </c>
    </row>
    <row r="10" spans="1:95" x14ac:dyDescent="0.25">
      <c r="A10" s="2" t="s">
        <v>349</v>
      </c>
      <c r="B10" s="2" t="s">
        <v>314</v>
      </c>
      <c r="C10" s="3" t="s">
        <v>73</v>
      </c>
      <c r="D10" s="3">
        <v>45599</v>
      </c>
      <c r="E10" s="2" t="s">
        <v>74</v>
      </c>
      <c r="F10" s="2" t="s">
        <v>330</v>
      </c>
      <c r="G10" s="2" t="s">
        <v>139</v>
      </c>
      <c r="H10" s="11">
        <v>74</v>
      </c>
      <c r="I10" s="11">
        <v>83</v>
      </c>
      <c r="J10" s="11">
        <v>28</v>
      </c>
      <c r="K10" s="11">
        <v>60</v>
      </c>
      <c r="L10" s="12">
        <v>0.4667</v>
      </c>
      <c r="M10" s="11">
        <v>24</v>
      </c>
      <c r="N10" s="11">
        <v>47</v>
      </c>
      <c r="O10" s="12">
        <v>0.51060000000000005</v>
      </c>
      <c r="P10" s="11">
        <v>4</v>
      </c>
      <c r="Q10" s="11">
        <v>13</v>
      </c>
      <c r="R10" s="12">
        <v>0.30769999999999997</v>
      </c>
      <c r="S10" s="11">
        <v>14</v>
      </c>
      <c r="T10" s="11">
        <v>21</v>
      </c>
      <c r="U10" s="12">
        <v>0.66669999999999996</v>
      </c>
      <c r="V10" s="11">
        <v>8</v>
      </c>
      <c r="W10" s="11">
        <v>24</v>
      </c>
      <c r="X10" s="11">
        <v>32</v>
      </c>
      <c r="Y10" s="11">
        <v>13</v>
      </c>
      <c r="Z10" s="11">
        <v>5</v>
      </c>
      <c r="AA10" s="11">
        <v>1</v>
      </c>
      <c r="AB10" s="11">
        <v>12</v>
      </c>
      <c r="AC10" s="11">
        <v>20</v>
      </c>
      <c r="AD10" s="11">
        <v>31</v>
      </c>
      <c r="AE10" s="11">
        <v>66</v>
      </c>
      <c r="AF10" s="12">
        <v>0.46970000000000001</v>
      </c>
      <c r="AG10" s="11">
        <v>22</v>
      </c>
      <c r="AH10" s="11">
        <v>39</v>
      </c>
      <c r="AI10" s="12">
        <v>0.56410000000000005</v>
      </c>
      <c r="AJ10" s="11">
        <v>9</v>
      </c>
      <c r="AK10" s="11">
        <v>27</v>
      </c>
      <c r="AL10" s="12">
        <v>0.33329999999999999</v>
      </c>
      <c r="AM10" s="11">
        <v>12</v>
      </c>
      <c r="AN10" s="11">
        <v>17</v>
      </c>
      <c r="AO10" s="12">
        <v>0.70589999999999997</v>
      </c>
      <c r="AP10" s="11">
        <v>10</v>
      </c>
      <c r="AQ10" s="11">
        <v>28</v>
      </c>
      <c r="AR10" s="11">
        <v>38</v>
      </c>
      <c r="AS10" s="11">
        <v>13</v>
      </c>
      <c r="AT10" s="11">
        <v>6</v>
      </c>
      <c r="AU10" s="11">
        <v>3</v>
      </c>
      <c r="AV10" s="11">
        <v>14</v>
      </c>
      <c r="AW10" s="11">
        <v>25</v>
      </c>
      <c r="AX10" s="12">
        <v>0.53439999999999999</v>
      </c>
      <c r="AY10" s="12">
        <v>0.5</v>
      </c>
      <c r="AZ10" s="12">
        <v>0.22220000000000001</v>
      </c>
      <c r="BA10" s="12">
        <v>0.70589999999999997</v>
      </c>
      <c r="BB10" s="12">
        <v>0.45710000000000001</v>
      </c>
      <c r="BC10" s="4">
        <v>71.84</v>
      </c>
      <c r="BD10" s="12">
        <v>0.46429999999999999</v>
      </c>
      <c r="BE10" s="12">
        <v>0.23330000000000001</v>
      </c>
      <c r="BF10" s="12">
        <v>0.1477</v>
      </c>
      <c r="BG10" s="4">
        <v>99.5</v>
      </c>
      <c r="BH10" s="4">
        <v>111.6</v>
      </c>
      <c r="BI10" s="4">
        <v>74.392499999999998</v>
      </c>
      <c r="BJ10" s="12">
        <v>0.56479999999999997</v>
      </c>
      <c r="BK10" s="12">
        <v>0.53790000000000004</v>
      </c>
      <c r="BL10" s="12">
        <v>0.29409999999999997</v>
      </c>
      <c r="BM10" s="12">
        <v>0.77780000000000005</v>
      </c>
      <c r="BN10" s="12">
        <v>0.54290000000000005</v>
      </c>
      <c r="BO10" s="4">
        <v>76.944999999999993</v>
      </c>
      <c r="BP10" s="12">
        <v>0.4194</v>
      </c>
      <c r="BQ10" s="12">
        <v>0.18179999999999999</v>
      </c>
      <c r="BR10" s="12">
        <v>0.16</v>
      </c>
      <c r="BS10" s="4">
        <v>111.6</v>
      </c>
      <c r="BT10" s="4">
        <v>99.5</v>
      </c>
      <c r="BU10" s="11">
        <v>21</v>
      </c>
      <c r="BV10" s="11">
        <v>28</v>
      </c>
      <c r="BW10" s="11">
        <v>8</v>
      </c>
      <c r="BX10" s="11">
        <v>17</v>
      </c>
      <c r="BY10" s="11">
        <v>23</v>
      </c>
      <c r="BZ10" s="11">
        <v>24</v>
      </c>
      <c r="CA10" s="11">
        <v>15</v>
      </c>
      <c r="CB10" s="11">
        <v>21</v>
      </c>
      <c r="CC10" s="11">
        <v>49</v>
      </c>
      <c r="CD10" s="11">
        <v>25</v>
      </c>
      <c r="CE10" s="11">
        <v>47</v>
      </c>
      <c r="CF10" s="11">
        <v>36</v>
      </c>
      <c r="CG10" s="4">
        <v>3.5</v>
      </c>
      <c r="CH10" s="13">
        <v>1.32</v>
      </c>
      <c r="CI10" s="4">
        <v>7.5</v>
      </c>
      <c r="CJ10" s="4">
        <v>-7.5</v>
      </c>
      <c r="CK10" s="4">
        <v>156.5</v>
      </c>
      <c r="CL10" s="2" t="s">
        <v>389</v>
      </c>
      <c r="CM10" s="4" t="str">
        <f>VLOOKUP(dunker[[#This Row],[Away_team]],all[[Full name]:[Abbr]],3,FALSE)</f>
        <v>MON</v>
      </c>
      <c r="CN10" s="4">
        <f>IF(OR(dunker[[#This Row],[Result]]="w",dunker[[#This Row],[Result]]="dw"),dunker[[#This Row],[win]]-1,-1)</f>
        <v>-1</v>
      </c>
      <c r="CO10" s="4">
        <f>IF(OR(dunker[[#This Row],[Result]]="L",dunker[[#This Row],[Result]]="dl"),dunker[[#This Row],[lose]]-1,-1)</f>
        <v>0.32000000000000006</v>
      </c>
      <c r="CP10" s="4">
        <f>IF(OR((dunker[[#This Row],[Home_scored]]+dunker[[#This Row],[Away_scored]])&gt;dunker[[#This Row],[total]],OR(dunker[[#This Row],[Result]]="dw",dunker[[#This Row],[Result]]="dl")),1,0)</f>
        <v>1</v>
      </c>
      <c r="CQ10" s="4">
        <f>ABS((dunker[[#This Row],[Home_scored]]+dunker[[#This Row],[Away_scored]])-dunker[[#This Row],[total]])+0.5</f>
        <v>1</v>
      </c>
    </row>
    <row r="11" spans="1:95" x14ac:dyDescent="0.25">
      <c r="A11" s="2" t="s">
        <v>349</v>
      </c>
      <c r="B11" s="2" t="s">
        <v>314</v>
      </c>
      <c r="C11" s="3" t="s">
        <v>73</v>
      </c>
      <c r="D11" s="3">
        <v>45605</v>
      </c>
      <c r="E11" s="2" t="s">
        <v>140</v>
      </c>
      <c r="F11" s="2" t="s">
        <v>333</v>
      </c>
      <c r="G11" s="2" t="s">
        <v>139</v>
      </c>
      <c r="H11" s="11">
        <v>63</v>
      </c>
      <c r="I11" s="11">
        <v>80</v>
      </c>
      <c r="J11" s="11">
        <v>25</v>
      </c>
      <c r="K11" s="11">
        <v>68</v>
      </c>
      <c r="L11" s="12">
        <v>0.36759999999999998</v>
      </c>
      <c r="M11" s="11">
        <v>21</v>
      </c>
      <c r="N11" s="11">
        <v>39</v>
      </c>
      <c r="O11" s="12">
        <v>0.53849999999999998</v>
      </c>
      <c r="P11" s="11">
        <v>4</v>
      </c>
      <c r="Q11" s="11">
        <v>29</v>
      </c>
      <c r="R11" s="12">
        <v>0.13789999999999999</v>
      </c>
      <c r="S11" s="11">
        <v>9</v>
      </c>
      <c r="T11" s="11">
        <v>12</v>
      </c>
      <c r="U11" s="12">
        <v>0.75</v>
      </c>
      <c r="V11" s="11">
        <v>13</v>
      </c>
      <c r="W11" s="11">
        <v>26</v>
      </c>
      <c r="X11" s="11">
        <v>39</v>
      </c>
      <c r="Y11" s="11">
        <v>15</v>
      </c>
      <c r="Z11" s="11">
        <v>8</v>
      </c>
      <c r="AA11" s="11">
        <v>0</v>
      </c>
      <c r="AB11" s="11">
        <v>13</v>
      </c>
      <c r="AC11" s="11">
        <v>12</v>
      </c>
      <c r="AD11" s="11">
        <v>30</v>
      </c>
      <c r="AE11" s="11">
        <v>63</v>
      </c>
      <c r="AF11" s="12">
        <v>0.47620000000000001</v>
      </c>
      <c r="AG11" s="11">
        <v>15</v>
      </c>
      <c r="AH11" s="11">
        <v>30</v>
      </c>
      <c r="AI11" s="12">
        <v>0.5</v>
      </c>
      <c r="AJ11" s="11">
        <v>15</v>
      </c>
      <c r="AK11" s="11">
        <v>33</v>
      </c>
      <c r="AL11" s="12">
        <v>0.45450000000000002</v>
      </c>
      <c r="AM11" s="11">
        <v>5</v>
      </c>
      <c r="AN11" s="11">
        <v>10</v>
      </c>
      <c r="AO11" s="12">
        <v>0.5</v>
      </c>
      <c r="AP11" s="11">
        <v>9</v>
      </c>
      <c r="AQ11" s="11">
        <v>30</v>
      </c>
      <c r="AR11" s="11">
        <v>39</v>
      </c>
      <c r="AS11" s="11">
        <v>19</v>
      </c>
      <c r="AT11" s="11">
        <v>8</v>
      </c>
      <c r="AU11" s="11">
        <v>4</v>
      </c>
      <c r="AV11" s="11">
        <v>15</v>
      </c>
      <c r="AW11" s="11">
        <v>19</v>
      </c>
      <c r="AX11" s="12">
        <v>0.4299</v>
      </c>
      <c r="AY11" s="12">
        <v>0.39710000000000001</v>
      </c>
      <c r="AZ11" s="12">
        <v>0.30230000000000001</v>
      </c>
      <c r="BA11" s="12">
        <v>0.7429</v>
      </c>
      <c r="BB11" s="12">
        <v>0.5</v>
      </c>
      <c r="BC11" s="4">
        <v>70.462999999999994</v>
      </c>
      <c r="BD11" s="12">
        <v>0.6</v>
      </c>
      <c r="BE11" s="12">
        <v>0.13239999999999999</v>
      </c>
      <c r="BF11" s="12">
        <v>0.1507</v>
      </c>
      <c r="BG11" s="4">
        <v>87.3</v>
      </c>
      <c r="BH11" s="4">
        <v>110.9</v>
      </c>
      <c r="BI11" s="4">
        <v>72.157499999999999</v>
      </c>
      <c r="BJ11" s="12">
        <v>0.59350000000000003</v>
      </c>
      <c r="BK11" s="12">
        <v>0.59519999999999995</v>
      </c>
      <c r="BL11" s="12">
        <v>0.2571</v>
      </c>
      <c r="BM11" s="12">
        <v>0.69769999999999999</v>
      </c>
      <c r="BN11" s="12">
        <v>0.5</v>
      </c>
      <c r="BO11" s="4">
        <v>73.852000000000004</v>
      </c>
      <c r="BP11" s="12">
        <v>0.63329999999999997</v>
      </c>
      <c r="BQ11" s="12">
        <v>7.9399999999999998E-2</v>
      </c>
      <c r="BR11" s="12">
        <v>0.182</v>
      </c>
      <c r="BS11" s="4">
        <v>110.9</v>
      </c>
      <c r="BT11" s="4">
        <v>87.3</v>
      </c>
      <c r="BU11" s="11">
        <v>14</v>
      </c>
      <c r="BV11" s="11">
        <v>18</v>
      </c>
      <c r="BW11" s="11">
        <v>16</v>
      </c>
      <c r="BX11" s="11">
        <v>15</v>
      </c>
      <c r="BY11" s="11">
        <v>18</v>
      </c>
      <c r="BZ11" s="11">
        <v>22</v>
      </c>
      <c r="CA11" s="11">
        <v>27</v>
      </c>
      <c r="CB11" s="11">
        <v>13</v>
      </c>
      <c r="CC11" s="11">
        <v>32</v>
      </c>
      <c r="CD11" s="11">
        <v>31</v>
      </c>
      <c r="CE11" s="11">
        <v>40</v>
      </c>
      <c r="CF11" s="11">
        <v>40</v>
      </c>
      <c r="CG11" s="4">
        <v>1.8</v>
      </c>
      <c r="CH11" s="13">
        <v>2.0499999999999998</v>
      </c>
      <c r="CI11" s="4">
        <v>-1.5</v>
      </c>
      <c r="CJ11" s="4">
        <v>1.5</v>
      </c>
      <c r="CK11" s="4">
        <v>163.5</v>
      </c>
      <c r="CL11" s="2" t="s">
        <v>390</v>
      </c>
      <c r="CM11" s="4" t="str">
        <f>VLOOKUP(dunker[[#This Row],[Away_team]],all[[Full name]:[Abbr]],3,FALSE)</f>
        <v>NCY</v>
      </c>
      <c r="CN11" s="4">
        <f>IF(OR(dunker[[#This Row],[Result]]="w",dunker[[#This Row],[Result]]="dw"),dunker[[#This Row],[win]]-1,-1)</f>
        <v>-1</v>
      </c>
      <c r="CO11" s="4">
        <f>IF(OR(dunker[[#This Row],[Result]]="L",dunker[[#This Row],[Result]]="dl"),dunker[[#This Row],[lose]]-1,-1)</f>
        <v>1.0499999999999998</v>
      </c>
      <c r="CP11" s="4">
        <f>IF(OR((dunker[[#This Row],[Home_scored]]+dunker[[#This Row],[Away_scored]])&gt;dunker[[#This Row],[total]],OR(dunker[[#This Row],[Result]]="dw",dunker[[#This Row],[Result]]="dl")),1,0)</f>
        <v>0</v>
      </c>
      <c r="CQ11" s="4">
        <f>ABS((dunker[[#This Row],[Home_scored]]+dunker[[#This Row],[Away_scored]])-dunker[[#This Row],[total]])+0.5</f>
        <v>21</v>
      </c>
    </row>
    <row r="12" spans="1:95" x14ac:dyDescent="0.25">
      <c r="A12" s="2" t="s">
        <v>349</v>
      </c>
      <c r="B12" s="2" t="s">
        <v>314</v>
      </c>
      <c r="C12" s="3" t="s">
        <v>73</v>
      </c>
      <c r="D12" s="3">
        <v>45613</v>
      </c>
      <c r="E12" s="2" t="s">
        <v>74</v>
      </c>
      <c r="F12" s="2" t="s">
        <v>327</v>
      </c>
      <c r="G12" s="2" t="s">
        <v>139</v>
      </c>
      <c r="H12" s="11">
        <v>60</v>
      </c>
      <c r="I12" s="11">
        <v>81</v>
      </c>
      <c r="J12" s="11">
        <v>22</v>
      </c>
      <c r="K12" s="11">
        <v>63</v>
      </c>
      <c r="L12" s="12">
        <v>0.34920000000000001</v>
      </c>
      <c r="M12" s="11">
        <v>17</v>
      </c>
      <c r="N12" s="11">
        <v>36</v>
      </c>
      <c r="O12" s="12">
        <v>0.47220000000000001</v>
      </c>
      <c r="P12" s="11">
        <v>5</v>
      </c>
      <c r="Q12" s="11">
        <v>27</v>
      </c>
      <c r="R12" s="12">
        <v>0.1852</v>
      </c>
      <c r="S12" s="11">
        <v>11</v>
      </c>
      <c r="T12" s="11">
        <v>16</v>
      </c>
      <c r="U12" s="12">
        <v>0.6875</v>
      </c>
      <c r="V12" s="11">
        <v>11</v>
      </c>
      <c r="W12" s="11">
        <v>15</v>
      </c>
      <c r="X12" s="11">
        <v>26</v>
      </c>
      <c r="Y12" s="11">
        <v>14</v>
      </c>
      <c r="Z12" s="11">
        <v>11</v>
      </c>
      <c r="AA12" s="11">
        <v>1</v>
      </c>
      <c r="AB12" s="11">
        <v>12</v>
      </c>
      <c r="AC12" s="11">
        <v>21</v>
      </c>
      <c r="AD12" s="11">
        <v>28</v>
      </c>
      <c r="AE12" s="11">
        <v>48</v>
      </c>
      <c r="AF12" s="12">
        <v>0.58330000000000004</v>
      </c>
      <c r="AG12" s="11">
        <v>20</v>
      </c>
      <c r="AH12" s="11">
        <v>29</v>
      </c>
      <c r="AI12" s="12">
        <v>0.68969999999999998</v>
      </c>
      <c r="AJ12" s="11">
        <v>8</v>
      </c>
      <c r="AK12" s="11">
        <v>19</v>
      </c>
      <c r="AL12" s="12">
        <v>0.42109999999999997</v>
      </c>
      <c r="AM12" s="11">
        <v>17</v>
      </c>
      <c r="AN12" s="11">
        <v>21</v>
      </c>
      <c r="AO12" s="12">
        <v>0.8095</v>
      </c>
      <c r="AP12" s="11">
        <v>7</v>
      </c>
      <c r="AQ12" s="11">
        <v>31</v>
      </c>
      <c r="AR12" s="11">
        <v>38</v>
      </c>
      <c r="AS12" s="11">
        <v>21</v>
      </c>
      <c r="AT12" s="11">
        <v>5</v>
      </c>
      <c r="AU12" s="11">
        <v>2</v>
      </c>
      <c r="AV12" s="11">
        <v>18</v>
      </c>
      <c r="AW12" s="11">
        <v>22</v>
      </c>
      <c r="AX12" s="12">
        <v>0.42830000000000001</v>
      </c>
      <c r="AY12" s="12">
        <v>0.38890000000000002</v>
      </c>
      <c r="AZ12" s="12">
        <v>0.26190000000000002</v>
      </c>
      <c r="BA12" s="12">
        <v>0.68179999999999996</v>
      </c>
      <c r="BB12" s="12">
        <v>0.40629999999999999</v>
      </c>
      <c r="BC12" s="4">
        <v>62.84</v>
      </c>
      <c r="BD12" s="12">
        <v>0.63639999999999997</v>
      </c>
      <c r="BE12" s="12">
        <v>0.17460000000000001</v>
      </c>
      <c r="BF12" s="12">
        <v>0.14630000000000001</v>
      </c>
      <c r="BG12" s="4">
        <v>90</v>
      </c>
      <c r="BH12" s="4">
        <v>121.5</v>
      </c>
      <c r="BI12" s="4">
        <v>66.649000000000001</v>
      </c>
      <c r="BJ12" s="12">
        <v>0.70750000000000002</v>
      </c>
      <c r="BK12" s="12">
        <v>0.66669999999999996</v>
      </c>
      <c r="BL12" s="12">
        <v>0.31819999999999998</v>
      </c>
      <c r="BM12" s="12">
        <v>0.73809999999999998</v>
      </c>
      <c r="BN12" s="12">
        <v>0.59379999999999999</v>
      </c>
      <c r="BO12" s="4">
        <v>70.457999999999998</v>
      </c>
      <c r="BP12" s="12">
        <v>0.75</v>
      </c>
      <c r="BQ12" s="12">
        <v>0.35420000000000001</v>
      </c>
      <c r="BR12" s="12">
        <v>0.2392</v>
      </c>
      <c r="BS12" s="4">
        <v>121.5</v>
      </c>
      <c r="BT12" s="4">
        <v>90</v>
      </c>
      <c r="BU12" s="11">
        <v>15</v>
      </c>
      <c r="BV12" s="11">
        <v>12</v>
      </c>
      <c r="BW12" s="11">
        <v>14</v>
      </c>
      <c r="BX12" s="11">
        <v>19</v>
      </c>
      <c r="BY12" s="11">
        <v>26</v>
      </c>
      <c r="BZ12" s="11">
        <v>16</v>
      </c>
      <c r="CA12" s="11">
        <v>19</v>
      </c>
      <c r="CB12" s="11">
        <v>20</v>
      </c>
      <c r="CC12" s="11">
        <v>27</v>
      </c>
      <c r="CD12" s="11">
        <v>33</v>
      </c>
      <c r="CE12" s="11">
        <v>42</v>
      </c>
      <c r="CF12" s="11">
        <v>39</v>
      </c>
      <c r="CG12" s="4">
        <v>2.6</v>
      </c>
      <c r="CH12" s="13">
        <v>1.53</v>
      </c>
      <c r="CI12" s="4">
        <v>4.5</v>
      </c>
      <c r="CJ12" s="4">
        <v>-4.5</v>
      </c>
      <c r="CK12" s="4">
        <v>165.5</v>
      </c>
      <c r="CL12" s="2" t="s">
        <v>391</v>
      </c>
      <c r="CM12" s="4" t="str">
        <f>VLOOKUP(dunker[[#This Row],[Away_team]],all[[Full name]:[Abbr]],3,FALSE)</f>
        <v>LYO</v>
      </c>
      <c r="CN12" s="4">
        <f>IF(OR(dunker[[#This Row],[Result]]="w",dunker[[#This Row],[Result]]="dw"),dunker[[#This Row],[win]]-1,-1)</f>
        <v>-1</v>
      </c>
      <c r="CO12" s="4">
        <f>IF(OR(dunker[[#This Row],[Result]]="L",dunker[[#This Row],[Result]]="dl"),dunker[[#This Row],[lose]]-1,-1)</f>
        <v>0.53</v>
      </c>
      <c r="CP12" s="4">
        <f>IF(OR((dunker[[#This Row],[Home_scored]]+dunker[[#This Row],[Away_scored]])&gt;dunker[[#This Row],[total]],OR(dunker[[#This Row],[Result]]="dw",dunker[[#This Row],[Result]]="dl")),1,0)</f>
        <v>0</v>
      </c>
      <c r="CQ12" s="4">
        <f>ABS((dunker[[#This Row],[Home_scored]]+dunker[[#This Row],[Away_scored]])-dunker[[#This Row],[total]])+0.5</f>
        <v>25</v>
      </c>
    </row>
    <row r="13" spans="1:95" x14ac:dyDescent="0.25">
      <c r="A13" s="2" t="s">
        <v>349</v>
      </c>
      <c r="B13" s="2" t="s">
        <v>314</v>
      </c>
      <c r="C13" s="3" t="s">
        <v>73</v>
      </c>
      <c r="D13" s="3">
        <v>45625</v>
      </c>
      <c r="E13" s="2" t="s">
        <v>140</v>
      </c>
      <c r="F13" s="2" t="s">
        <v>342</v>
      </c>
      <c r="G13" s="2" t="s">
        <v>75</v>
      </c>
      <c r="H13" s="11">
        <v>86</v>
      </c>
      <c r="I13" s="11">
        <v>83</v>
      </c>
      <c r="J13" s="11">
        <v>26</v>
      </c>
      <c r="K13" s="11">
        <v>53</v>
      </c>
      <c r="L13" s="12">
        <v>0.49059999999999998</v>
      </c>
      <c r="M13" s="11">
        <v>12</v>
      </c>
      <c r="N13" s="11">
        <v>26</v>
      </c>
      <c r="O13" s="12">
        <v>0.46150000000000002</v>
      </c>
      <c r="P13" s="11">
        <v>14</v>
      </c>
      <c r="Q13" s="11">
        <v>27</v>
      </c>
      <c r="R13" s="12">
        <v>0.51849999999999996</v>
      </c>
      <c r="S13" s="11">
        <v>20</v>
      </c>
      <c r="T13" s="11">
        <v>23</v>
      </c>
      <c r="U13" s="12">
        <v>0.86960000000000004</v>
      </c>
      <c r="V13" s="11">
        <v>3</v>
      </c>
      <c r="W13" s="11">
        <v>22</v>
      </c>
      <c r="X13" s="11">
        <v>25</v>
      </c>
      <c r="Y13" s="11">
        <v>22</v>
      </c>
      <c r="Z13" s="11">
        <v>7</v>
      </c>
      <c r="AA13" s="11">
        <v>0</v>
      </c>
      <c r="AB13" s="11">
        <v>13</v>
      </c>
      <c r="AC13" s="11">
        <v>14</v>
      </c>
      <c r="AD13" s="11">
        <v>29</v>
      </c>
      <c r="AE13" s="11">
        <v>71</v>
      </c>
      <c r="AF13" s="12">
        <v>0.40849999999999997</v>
      </c>
      <c r="AG13" s="11">
        <v>17</v>
      </c>
      <c r="AH13" s="11">
        <v>40</v>
      </c>
      <c r="AI13" s="12">
        <v>0.42499999999999999</v>
      </c>
      <c r="AJ13" s="11">
        <v>12</v>
      </c>
      <c r="AK13" s="11">
        <v>31</v>
      </c>
      <c r="AL13" s="12">
        <v>0.3871</v>
      </c>
      <c r="AM13" s="11">
        <v>13</v>
      </c>
      <c r="AN13" s="11">
        <v>16</v>
      </c>
      <c r="AO13" s="12">
        <v>0.8125</v>
      </c>
      <c r="AP13" s="11">
        <v>19</v>
      </c>
      <c r="AQ13" s="11">
        <v>24</v>
      </c>
      <c r="AR13" s="11">
        <v>43</v>
      </c>
      <c r="AS13" s="11">
        <v>20</v>
      </c>
      <c r="AT13" s="11">
        <v>5</v>
      </c>
      <c r="AU13" s="11">
        <v>2</v>
      </c>
      <c r="AV13" s="11">
        <v>14</v>
      </c>
      <c r="AW13" s="11">
        <v>22</v>
      </c>
      <c r="AX13" s="12">
        <v>0.68120000000000003</v>
      </c>
      <c r="AY13" s="12">
        <v>0.62260000000000004</v>
      </c>
      <c r="AZ13" s="12">
        <v>0.1111</v>
      </c>
      <c r="BA13" s="12">
        <v>0.53659999999999997</v>
      </c>
      <c r="BB13" s="12">
        <v>0.36759999999999998</v>
      </c>
      <c r="BC13" s="4">
        <v>71.733000000000004</v>
      </c>
      <c r="BD13" s="12">
        <v>0.84619999999999995</v>
      </c>
      <c r="BE13" s="12">
        <v>0.37740000000000001</v>
      </c>
      <c r="BF13" s="12">
        <v>0.17080000000000001</v>
      </c>
      <c r="BG13" s="4">
        <v>120</v>
      </c>
      <c r="BH13" s="4">
        <v>115.9</v>
      </c>
      <c r="BI13" s="4">
        <v>71.638000000000005</v>
      </c>
      <c r="BJ13" s="12">
        <v>0.53180000000000005</v>
      </c>
      <c r="BK13" s="12">
        <v>0.49299999999999999</v>
      </c>
      <c r="BL13" s="12">
        <v>0.46339999999999998</v>
      </c>
      <c r="BM13" s="12">
        <v>0.88890000000000002</v>
      </c>
      <c r="BN13" s="12">
        <v>0.63239999999999996</v>
      </c>
      <c r="BO13" s="4">
        <v>71.543000000000006</v>
      </c>
      <c r="BP13" s="12">
        <v>0.68969999999999998</v>
      </c>
      <c r="BQ13" s="12">
        <v>0.18310000000000001</v>
      </c>
      <c r="BR13" s="12">
        <v>0.15210000000000001</v>
      </c>
      <c r="BS13" s="4">
        <v>115.9</v>
      </c>
      <c r="BT13" s="4">
        <v>120</v>
      </c>
      <c r="BU13" s="11">
        <v>15</v>
      </c>
      <c r="BV13" s="11">
        <v>31</v>
      </c>
      <c r="BW13" s="11">
        <v>18</v>
      </c>
      <c r="BX13" s="11">
        <v>22</v>
      </c>
      <c r="BY13" s="11">
        <v>17</v>
      </c>
      <c r="BZ13" s="11">
        <v>28</v>
      </c>
      <c r="CA13" s="11">
        <v>17</v>
      </c>
      <c r="CB13" s="11">
        <v>21</v>
      </c>
      <c r="CC13" s="11">
        <v>46</v>
      </c>
      <c r="CD13" s="11">
        <v>40</v>
      </c>
      <c r="CE13" s="11">
        <v>45</v>
      </c>
      <c r="CF13" s="11">
        <v>38</v>
      </c>
      <c r="CG13" s="4">
        <v>2.85</v>
      </c>
      <c r="CH13" s="13">
        <v>1.44</v>
      </c>
      <c r="CI13" s="4">
        <v>5.5</v>
      </c>
      <c r="CJ13" s="4">
        <v>-5.5</v>
      </c>
      <c r="CK13" s="4">
        <v>155.5</v>
      </c>
      <c r="CL13" s="2" t="s">
        <v>392</v>
      </c>
      <c r="CM13" s="4" t="str">
        <f>VLOOKUP(dunker[[#This Row],[Away_team]],all[[Full name]:[Abbr]],3,FALSE)</f>
        <v>SQU</v>
      </c>
      <c r="CN13" s="4">
        <f>IF(OR(dunker[[#This Row],[Result]]="w",dunker[[#This Row],[Result]]="dw"),dunker[[#This Row],[win]]-1,-1)</f>
        <v>1.85</v>
      </c>
      <c r="CO13" s="4">
        <f>IF(OR(dunker[[#This Row],[Result]]="L",dunker[[#This Row],[Result]]="dl"),dunker[[#This Row],[lose]]-1,-1)</f>
        <v>-1</v>
      </c>
      <c r="CP13" s="4">
        <f>IF(OR((dunker[[#This Row],[Home_scored]]+dunker[[#This Row],[Away_scored]])&gt;dunker[[#This Row],[total]],OR(dunker[[#This Row],[Result]]="dw",dunker[[#This Row],[Result]]="dl")),1,0)</f>
        <v>1</v>
      </c>
      <c r="CQ13" s="4">
        <f>ABS((dunker[[#This Row],[Home_scored]]+dunker[[#This Row],[Away_scored]])-dunker[[#This Row],[total]])+0.5</f>
        <v>14</v>
      </c>
    </row>
    <row r="14" spans="1:95" x14ac:dyDescent="0.25">
      <c r="A14" s="2" t="s">
        <v>349</v>
      </c>
      <c r="B14" s="2" t="s">
        <v>314</v>
      </c>
      <c r="C14" s="3" t="s">
        <v>73</v>
      </c>
      <c r="D14" s="3">
        <v>45634</v>
      </c>
      <c r="E14" s="2" t="s">
        <v>140</v>
      </c>
      <c r="F14" s="2" t="s">
        <v>323</v>
      </c>
      <c r="G14" s="2" t="s">
        <v>75</v>
      </c>
      <c r="H14" s="11">
        <v>88</v>
      </c>
      <c r="I14" s="11">
        <v>76</v>
      </c>
      <c r="J14" s="11">
        <v>28</v>
      </c>
      <c r="K14" s="11">
        <v>60</v>
      </c>
      <c r="L14" s="12">
        <v>0.4667</v>
      </c>
      <c r="M14" s="11">
        <v>15</v>
      </c>
      <c r="N14" s="11">
        <v>31</v>
      </c>
      <c r="O14" s="12">
        <v>0.4839</v>
      </c>
      <c r="P14" s="11">
        <v>13</v>
      </c>
      <c r="Q14" s="11">
        <v>29</v>
      </c>
      <c r="R14" s="12">
        <v>0.44829999999999998</v>
      </c>
      <c r="S14" s="11">
        <v>19</v>
      </c>
      <c r="T14" s="11">
        <v>22</v>
      </c>
      <c r="U14" s="12">
        <v>0.86360000000000003</v>
      </c>
      <c r="V14" s="11">
        <v>9</v>
      </c>
      <c r="W14" s="11">
        <v>27</v>
      </c>
      <c r="X14" s="11">
        <v>36</v>
      </c>
      <c r="Y14" s="11">
        <v>14</v>
      </c>
      <c r="Z14" s="11">
        <v>3</v>
      </c>
      <c r="AA14" s="11">
        <v>1</v>
      </c>
      <c r="AB14" s="11">
        <v>13</v>
      </c>
      <c r="AC14" s="11">
        <v>21</v>
      </c>
      <c r="AD14" s="11">
        <v>31</v>
      </c>
      <c r="AE14" s="11">
        <v>66</v>
      </c>
      <c r="AF14" s="12">
        <v>0.46970000000000001</v>
      </c>
      <c r="AG14" s="11">
        <v>22</v>
      </c>
      <c r="AH14" s="11">
        <v>38</v>
      </c>
      <c r="AI14" s="12">
        <v>0.57889999999999997</v>
      </c>
      <c r="AJ14" s="11">
        <v>9</v>
      </c>
      <c r="AK14" s="11">
        <v>28</v>
      </c>
      <c r="AL14" s="12">
        <v>0.32140000000000002</v>
      </c>
      <c r="AM14" s="11">
        <v>5</v>
      </c>
      <c r="AN14" s="11">
        <v>10</v>
      </c>
      <c r="AO14" s="12">
        <v>0.5</v>
      </c>
      <c r="AP14" s="11">
        <v>7</v>
      </c>
      <c r="AQ14" s="11">
        <v>25</v>
      </c>
      <c r="AR14" s="11">
        <v>32</v>
      </c>
      <c r="AS14" s="11">
        <v>25</v>
      </c>
      <c r="AT14" s="11">
        <v>4</v>
      </c>
      <c r="AU14" s="11">
        <v>0</v>
      </c>
      <c r="AV14" s="11">
        <v>9</v>
      </c>
      <c r="AW14" s="11">
        <v>23</v>
      </c>
      <c r="AX14" s="12">
        <v>0.63149999999999995</v>
      </c>
      <c r="AY14" s="12">
        <v>0.57499999999999996</v>
      </c>
      <c r="AZ14" s="12">
        <v>0.26469999999999999</v>
      </c>
      <c r="BA14" s="12">
        <v>0.79410000000000003</v>
      </c>
      <c r="BB14" s="12">
        <v>0.52939999999999998</v>
      </c>
      <c r="BC14" s="4">
        <v>73.239999999999995</v>
      </c>
      <c r="BD14" s="12">
        <v>0.5</v>
      </c>
      <c r="BE14" s="12">
        <v>0.31669999999999998</v>
      </c>
      <c r="BF14" s="12">
        <v>0.15720000000000001</v>
      </c>
      <c r="BG14" s="4">
        <v>122.2</v>
      </c>
      <c r="BH14" s="4">
        <v>105.5</v>
      </c>
      <c r="BI14" s="4">
        <v>72.024000000000001</v>
      </c>
      <c r="BJ14" s="12">
        <v>0.53979999999999995</v>
      </c>
      <c r="BK14" s="12">
        <v>0.53790000000000004</v>
      </c>
      <c r="BL14" s="12">
        <v>0.2059</v>
      </c>
      <c r="BM14" s="12">
        <v>0.73529999999999995</v>
      </c>
      <c r="BN14" s="12">
        <v>0.47060000000000002</v>
      </c>
      <c r="BO14" s="4">
        <v>70.808000000000007</v>
      </c>
      <c r="BP14" s="12">
        <v>0.80649999999999999</v>
      </c>
      <c r="BQ14" s="12">
        <v>7.5800000000000006E-2</v>
      </c>
      <c r="BR14" s="12">
        <v>0.1134</v>
      </c>
      <c r="BS14" s="4">
        <v>105.5</v>
      </c>
      <c r="BT14" s="4">
        <v>122.2</v>
      </c>
      <c r="BU14" s="11">
        <v>31</v>
      </c>
      <c r="BV14" s="11">
        <v>19</v>
      </c>
      <c r="BW14" s="11">
        <v>18</v>
      </c>
      <c r="BX14" s="11">
        <v>20</v>
      </c>
      <c r="BY14" s="11">
        <v>16</v>
      </c>
      <c r="BZ14" s="11">
        <v>24</v>
      </c>
      <c r="CA14" s="11">
        <v>13</v>
      </c>
      <c r="CB14" s="11">
        <v>23</v>
      </c>
      <c r="CC14" s="11">
        <v>50</v>
      </c>
      <c r="CD14" s="11">
        <v>38</v>
      </c>
      <c r="CE14" s="11">
        <v>40</v>
      </c>
      <c r="CF14" s="11">
        <v>36</v>
      </c>
      <c r="CG14" s="4">
        <v>1.38</v>
      </c>
      <c r="CH14" s="13">
        <v>3.1</v>
      </c>
      <c r="CI14" s="4">
        <v>-6.5</v>
      </c>
      <c r="CJ14" s="4">
        <v>6.5</v>
      </c>
      <c r="CK14" s="4">
        <v>154.5</v>
      </c>
      <c r="CL14" s="2" t="s">
        <v>438</v>
      </c>
      <c r="CM14" s="4" t="e">
        <f>VLOOKUP(dunker[[#This Row],[Away_team]],all[[Full name]:[Abbr]],3,FALSE)</f>
        <v>#N/A</v>
      </c>
      <c r="CN14" s="4">
        <f>IF(OR(dunker[[#This Row],[Result]]="w",dunker[[#This Row],[Result]]="dw"),dunker[[#This Row],[win]]-1,-1)</f>
        <v>0.37999999999999989</v>
      </c>
      <c r="CO14" s="4">
        <f>IF(OR(dunker[[#This Row],[Result]]="L",dunker[[#This Row],[Result]]="dl"),dunker[[#This Row],[lose]]-1,-1)</f>
        <v>-1</v>
      </c>
      <c r="CP14" s="4">
        <f>IF(OR((dunker[[#This Row],[Home_scored]]+dunker[[#This Row],[Away_scored]])&gt;dunker[[#This Row],[total]],OR(dunker[[#This Row],[Result]]="dw",dunker[[#This Row],[Result]]="dl")),1,0)</f>
        <v>1</v>
      </c>
      <c r="CQ14" s="4">
        <f>ABS((dunker[[#This Row],[Home_scored]]+dunker[[#This Row],[Away_scored]])-dunker[[#This Row],[total]])+0.5</f>
        <v>10</v>
      </c>
    </row>
    <row r="15" spans="1:95" x14ac:dyDescent="0.25">
      <c r="A15" s="2" t="s">
        <v>349</v>
      </c>
      <c r="B15" s="2" t="s">
        <v>314</v>
      </c>
      <c r="C15" s="3" t="s">
        <v>73</v>
      </c>
      <c r="D15" s="3">
        <v>45641</v>
      </c>
      <c r="E15" s="2" t="s">
        <v>74</v>
      </c>
      <c r="F15" s="2" t="s">
        <v>336</v>
      </c>
      <c r="G15" s="2" t="s">
        <v>143</v>
      </c>
      <c r="H15" s="11">
        <v>73</v>
      </c>
      <c r="I15" s="11">
        <v>73</v>
      </c>
      <c r="J15" s="11">
        <v>20</v>
      </c>
      <c r="K15" s="11">
        <v>47</v>
      </c>
      <c r="L15" s="12">
        <v>0.42549999999999999</v>
      </c>
      <c r="M15" s="11">
        <v>16</v>
      </c>
      <c r="N15" s="11">
        <v>27</v>
      </c>
      <c r="O15" s="12">
        <v>0.59260000000000002</v>
      </c>
      <c r="P15" s="11">
        <v>4</v>
      </c>
      <c r="Q15" s="11">
        <v>20</v>
      </c>
      <c r="R15" s="12">
        <v>0.2</v>
      </c>
      <c r="S15" s="11">
        <v>29</v>
      </c>
      <c r="T15" s="11">
        <v>32</v>
      </c>
      <c r="U15" s="12">
        <v>0.90629999999999999</v>
      </c>
      <c r="V15" s="11">
        <v>11</v>
      </c>
      <c r="W15" s="11">
        <v>30</v>
      </c>
      <c r="X15" s="11">
        <v>41</v>
      </c>
      <c r="Y15" s="11">
        <v>14</v>
      </c>
      <c r="Z15" s="11">
        <v>2</v>
      </c>
      <c r="AA15" s="11">
        <v>2</v>
      </c>
      <c r="AB15" s="11">
        <v>20</v>
      </c>
      <c r="AC15" s="11">
        <v>20</v>
      </c>
      <c r="AD15" s="11">
        <v>29</v>
      </c>
      <c r="AE15" s="11">
        <v>68</v>
      </c>
      <c r="AF15" s="12">
        <v>0.42649999999999999</v>
      </c>
      <c r="AG15" s="11">
        <v>21</v>
      </c>
      <c r="AH15" s="11">
        <v>41</v>
      </c>
      <c r="AI15" s="12">
        <v>0.51219999999999999</v>
      </c>
      <c r="AJ15" s="11">
        <v>8</v>
      </c>
      <c r="AK15" s="11">
        <v>27</v>
      </c>
      <c r="AL15" s="12">
        <v>0.29630000000000001</v>
      </c>
      <c r="AM15" s="11">
        <v>7</v>
      </c>
      <c r="AN15" s="11">
        <v>13</v>
      </c>
      <c r="AO15" s="12">
        <v>0.53849999999999998</v>
      </c>
      <c r="AP15" s="11">
        <v>11</v>
      </c>
      <c r="AQ15" s="11">
        <v>18</v>
      </c>
      <c r="AR15" s="11">
        <v>29</v>
      </c>
      <c r="AS15" s="11">
        <v>15</v>
      </c>
      <c r="AT15" s="11">
        <v>9</v>
      </c>
      <c r="AU15" s="11">
        <v>2</v>
      </c>
      <c r="AV15" s="11">
        <v>9</v>
      </c>
      <c r="AW15" s="11">
        <v>27</v>
      </c>
      <c r="AX15" s="12">
        <v>0.59760000000000002</v>
      </c>
      <c r="AY15" s="12">
        <v>0.46810000000000002</v>
      </c>
      <c r="AZ15" s="12">
        <v>0.37930000000000003</v>
      </c>
      <c r="BA15" s="12">
        <v>0.73170000000000002</v>
      </c>
      <c r="BB15" s="12">
        <v>0.5857</v>
      </c>
      <c r="BC15" s="4">
        <v>72.049000000000007</v>
      </c>
      <c r="BD15" s="12">
        <v>0.7</v>
      </c>
      <c r="BE15" s="12">
        <v>0.61699999999999999</v>
      </c>
      <c r="BF15" s="12">
        <v>0.2467</v>
      </c>
      <c r="BG15" s="4">
        <v>105.5</v>
      </c>
      <c r="BH15" s="4">
        <v>105.5</v>
      </c>
      <c r="BI15" s="4">
        <v>69.209999999999994</v>
      </c>
      <c r="BJ15" s="12">
        <v>0.49509999999999998</v>
      </c>
      <c r="BK15" s="12">
        <v>0.48530000000000001</v>
      </c>
      <c r="BL15" s="12">
        <v>0.26829999999999998</v>
      </c>
      <c r="BM15" s="12">
        <v>0.62070000000000003</v>
      </c>
      <c r="BN15" s="12">
        <v>0.4143</v>
      </c>
      <c r="BO15" s="4">
        <v>66.370999999999995</v>
      </c>
      <c r="BP15" s="12">
        <v>0.51719999999999999</v>
      </c>
      <c r="BQ15" s="12">
        <v>0.10290000000000001</v>
      </c>
      <c r="BR15" s="12">
        <v>0.10879999999999999</v>
      </c>
      <c r="BS15" s="4">
        <v>105.5</v>
      </c>
      <c r="BT15" s="4">
        <v>105.5</v>
      </c>
      <c r="BU15" s="11">
        <v>15</v>
      </c>
      <c r="BV15" s="11">
        <v>23</v>
      </c>
      <c r="BW15" s="11">
        <v>16</v>
      </c>
      <c r="BX15" s="11">
        <v>19</v>
      </c>
      <c r="BY15" s="11">
        <v>18</v>
      </c>
      <c r="BZ15" s="11">
        <v>18</v>
      </c>
      <c r="CA15" s="11">
        <v>22</v>
      </c>
      <c r="CB15" s="11">
        <v>15</v>
      </c>
      <c r="CC15" s="11">
        <v>38</v>
      </c>
      <c r="CD15" s="11">
        <v>35</v>
      </c>
      <c r="CE15" s="11">
        <v>36</v>
      </c>
      <c r="CF15" s="11">
        <v>37</v>
      </c>
      <c r="CG15" s="4">
        <v>1.71</v>
      </c>
      <c r="CH15" s="13">
        <v>2.2000000000000002</v>
      </c>
      <c r="CI15" s="4">
        <v>-2.5</v>
      </c>
      <c r="CJ15" s="4">
        <v>2.5</v>
      </c>
      <c r="CK15" s="4">
        <v>162.5</v>
      </c>
      <c r="CL15" s="2" t="s">
        <v>446</v>
      </c>
      <c r="CM15" s="4" t="str">
        <f>VLOOKUP(dunker[[#This Row],[Away_team]],all[[Full name]:[Abbr]],3,FALSE)</f>
        <v>NAN</v>
      </c>
      <c r="CN15" s="4">
        <f>IF(OR(dunker[[#This Row],[Result]]="w",dunker[[#This Row],[Result]]="dw"),dunker[[#This Row],[win]]-1,-1)</f>
        <v>-1</v>
      </c>
      <c r="CO15" s="4">
        <f>IF(OR(dunker[[#This Row],[Result]]="L",dunker[[#This Row],[Result]]="dl"),dunker[[#This Row],[lose]]-1,-1)</f>
        <v>1.2000000000000002</v>
      </c>
      <c r="CP15" s="4">
        <f>IF(OR((dunker[[#This Row],[Home_scored]]+dunker[[#This Row],[Away_scored]])&gt;dunker[[#This Row],[total]],OR(dunker[[#This Row],[Result]]="dw",dunker[[#This Row],[Result]]="dl")),1,0)</f>
        <v>1</v>
      </c>
      <c r="CQ15" s="4">
        <f>ABS((dunker[[#This Row],[Home_scored]]+dunker[[#This Row],[Away_scored]])-dunker[[#This Row],[total]])+0.5</f>
        <v>17</v>
      </c>
    </row>
    <row r="16" spans="1:95" x14ac:dyDescent="0.25">
      <c r="A16" s="2" t="s">
        <v>349</v>
      </c>
      <c r="B16" s="2" t="s">
        <v>314</v>
      </c>
      <c r="C16" s="3" t="s">
        <v>73</v>
      </c>
      <c r="D16" s="3">
        <v>45648</v>
      </c>
      <c r="E16" s="2" t="s">
        <v>140</v>
      </c>
      <c r="F16" s="2" t="s">
        <v>305</v>
      </c>
      <c r="G16" s="2" t="s">
        <v>139</v>
      </c>
      <c r="H16" s="11">
        <v>67</v>
      </c>
      <c r="I16" s="11">
        <v>77</v>
      </c>
      <c r="J16" s="11">
        <v>25</v>
      </c>
      <c r="K16" s="11">
        <v>61</v>
      </c>
      <c r="L16" s="12">
        <v>0.4098</v>
      </c>
      <c r="M16" s="11">
        <v>18</v>
      </c>
      <c r="N16" s="11">
        <v>33</v>
      </c>
      <c r="O16" s="12">
        <v>0.54549999999999998</v>
      </c>
      <c r="P16" s="11">
        <v>7</v>
      </c>
      <c r="Q16" s="11">
        <v>28</v>
      </c>
      <c r="R16" s="12">
        <v>0.25</v>
      </c>
      <c r="S16" s="11">
        <v>10</v>
      </c>
      <c r="T16" s="11">
        <v>12</v>
      </c>
      <c r="U16" s="12">
        <v>0.83330000000000004</v>
      </c>
      <c r="V16" s="11">
        <v>11</v>
      </c>
      <c r="W16" s="11">
        <v>31</v>
      </c>
      <c r="X16" s="11">
        <v>42</v>
      </c>
      <c r="Y16" s="11">
        <v>14</v>
      </c>
      <c r="Z16" s="11">
        <v>2</v>
      </c>
      <c r="AA16" s="11">
        <v>2</v>
      </c>
      <c r="AB16" s="11">
        <v>2</v>
      </c>
      <c r="AC16" s="11">
        <v>17</v>
      </c>
      <c r="AD16" s="11">
        <v>26</v>
      </c>
      <c r="AE16" s="11">
        <v>68</v>
      </c>
      <c r="AF16" s="12">
        <v>0.38240000000000002</v>
      </c>
      <c r="AG16" s="11">
        <v>14</v>
      </c>
      <c r="AH16" s="11">
        <v>40</v>
      </c>
      <c r="AI16" s="12">
        <v>0.35</v>
      </c>
      <c r="AJ16" s="11">
        <v>12</v>
      </c>
      <c r="AK16" s="11">
        <v>28</v>
      </c>
      <c r="AL16" s="12">
        <v>0.42859999999999998</v>
      </c>
      <c r="AM16" s="11">
        <v>13</v>
      </c>
      <c r="AN16" s="11">
        <v>16</v>
      </c>
      <c r="AO16" s="12">
        <v>0.8125</v>
      </c>
      <c r="AP16" s="11">
        <v>13</v>
      </c>
      <c r="AQ16" s="11">
        <v>26</v>
      </c>
      <c r="AR16" s="11">
        <v>39</v>
      </c>
      <c r="AS16" s="11">
        <v>14</v>
      </c>
      <c r="AT16" s="11">
        <v>2</v>
      </c>
      <c r="AU16" s="11">
        <v>2</v>
      </c>
      <c r="AV16" s="11">
        <v>2</v>
      </c>
      <c r="AW16" s="11">
        <v>20</v>
      </c>
      <c r="AX16" s="12">
        <v>0.50539999999999996</v>
      </c>
      <c r="AY16" s="12">
        <v>0.4672</v>
      </c>
      <c r="AZ16" s="12">
        <v>0.29730000000000001</v>
      </c>
      <c r="BA16" s="12">
        <v>0.70450000000000002</v>
      </c>
      <c r="BB16" s="12">
        <v>0.51849999999999996</v>
      </c>
      <c r="BC16" s="4">
        <v>57.710999999999999</v>
      </c>
      <c r="BD16" s="12">
        <v>0.56000000000000005</v>
      </c>
      <c r="BE16" s="12">
        <v>0.16389999999999999</v>
      </c>
      <c r="BF16" s="12">
        <v>2.93E-2</v>
      </c>
      <c r="BG16" s="4">
        <v>112.5</v>
      </c>
      <c r="BH16" s="4">
        <v>129.30000000000001</v>
      </c>
      <c r="BI16" s="4">
        <v>59.5655</v>
      </c>
      <c r="BJ16" s="12">
        <v>0.5131</v>
      </c>
      <c r="BK16" s="12">
        <v>0.47060000000000002</v>
      </c>
      <c r="BL16" s="12">
        <v>0.29549999999999998</v>
      </c>
      <c r="BM16" s="12">
        <v>0.70269999999999999</v>
      </c>
      <c r="BN16" s="12">
        <v>0.48149999999999998</v>
      </c>
      <c r="BO16" s="4">
        <v>61.42</v>
      </c>
      <c r="BP16" s="12">
        <v>0.53849999999999998</v>
      </c>
      <c r="BQ16" s="12">
        <v>0.19120000000000001</v>
      </c>
      <c r="BR16" s="12">
        <v>2.5999999999999999E-2</v>
      </c>
      <c r="BS16" s="4">
        <v>129.30000000000001</v>
      </c>
      <c r="BT16" s="4">
        <v>112.5</v>
      </c>
      <c r="BU16" s="11">
        <v>19</v>
      </c>
      <c r="BV16" s="11">
        <v>13</v>
      </c>
      <c r="BW16" s="11">
        <v>20</v>
      </c>
      <c r="BX16" s="11">
        <v>15</v>
      </c>
      <c r="BY16" s="11">
        <v>16</v>
      </c>
      <c r="BZ16" s="11">
        <v>23</v>
      </c>
      <c r="CA16" s="11">
        <v>14</v>
      </c>
      <c r="CB16" s="11">
        <v>24</v>
      </c>
      <c r="CC16" s="11">
        <v>32</v>
      </c>
      <c r="CD16" s="11">
        <v>35</v>
      </c>
      <c r="CE16" s="11">
        <v>39</v>
      </c>
      <c r="CF16" s="11">
        <v>38</v>
      </c>
      <c r="CG16" s="4">
        <v>2.2000000000000002</v>
      </c>
      <c r="CH16" s="13">
        <v>1.71</v>
      </c>
      <c r="CI16" s="4">
        <v>2.5</v>
      </c>
      <c r="CJ16" s="4">
        <v>-2.5</v>
      </c>
      <c r="CK16" s="4">
        <v>164.5</v>
      </c>
      <c r="CL16" s="2" t="s">
        <v>455</v>
      </c>
      <c r="CM16" s="4" t="str">
        <f>VLOOKUP(dunker[[#This Row],[Away_team]],all[[Full name]:[Abbr]],3,FALSE)</f>
        <v>CHA</v>
      </c>
      <c r="CN16" s="4">
        <f>IF(OR(dunker[[#This Row],[Result]]="w",dunker[[#This Row],[Result]]="dw"),dunker[[#This Row],[win]]-1,-1)</f>
        <v>-1</v>
      </c>
      <c r="CO16" s="4">
        <f>IF(OR(dunker[[#This Row],[Result]]="L",dunker[[#This Row],[Result]]="dl"),dunker[[#This Row],[lose]]-1,-1)</f>
        <v>0.71</v>
      </c>
      <c r="CP16" s="4">
        <f>IF(OR((dunker[[#This Row],[Home_scored]]+dunker[[#This Row],[Away_scored]])&gt;dunker[[#This Row],[total]],OR(dunker[[#This Row],[Result]]="dw",dunker[[#This Row],[Result]]="dl")),1,0)</f>
        <v>0</v>
      </c>
      <c r="CQ16" s="4">
        <f>ABS((dunker[[#This Row],[Home_scored]]+dunker[[#This Row],[Away_scored]])-dunker[[#This Row],[total]])+0.5</f>
        <v>21</v>
      </c>
    </row>
    <row r="17" spans="1:95" x14ac:dyDescent="0.25">
      <c r="A17" s="2" t="s">
        <v>349</v>
      </c>
      <c r="B17" s="2" t="s">
        <v>314</v>
      </c>
      <c r="C17" s="3" t="s">
        <v>73</v>
      </c>
      <c r="D17" s="3">
        <v>45653</v>
      </c>
      <c r="E17" s="2" t="s">
        <v>74</v>
      </c>
      <c r="F17" s="2" t="s">
        <v>311</v>
      </c>
      <c r="G17" s="2" t="s">
        <v>139</v>
      </c>
      <c r="H17" s="11">
        <v>83</v>
      </c>
      <c r="I17" s="11">
        <v>84</v>
      </c>
      <c r="J17" s="11">
        <v>25</v>
      </c>
      <c r="K17" s="11">
        <v>55</v>
      </c>
      <c r="L17" s="12">
        <v>0.45450000000000002</v>
      </c>
      <c r="M17" s="11">
        <v>15</v>
      </c>
      <c r="N17" s="11">
        <v>26</v>
      </c>
      <c r="O17" s="12">
        <v>0.57689999999999997</v>
      </c>
      <c r="P17" s="11">
        <v>10</v>
      </c>
      <c r="Q17" s="11">
        <v>29</v>
      </c>
      <c r="R17" s="12">
        <v>0.3448</v>
      </c>
      <c r="S17" s="11">
        <v>23</v>
      </c>
      <c r="T17" s="11">
        <v>27</v>
      </c>
      <c r="U17" s="12">
        <v>0.85189999999999999</v>
      </c>
      <c r="V17" s="11">
        <v>8</v>
      </c>
      <c r="W17" s="11">
        <v>26</v>
      </c>
      <c r="X17" s="11">
        <v>34</v>
      </c>
      <c r="Y17" s="11">
        <v>20</v>
      </c>
      <c r="Z17" s="11">
        <v>8</v>
      </c>
      <c r="AA17" s="11">
        <v>3</v>
      </c>
      <c r="AB17" s="11">
        <v>15</v>
      </c>
      <c r="AC17" s="11">
        <v>18</v>
      </c>
      <c r="AD17" s="11">
        <v>31</v>
      </c>
      <c r="AE17" s="11">
        <v>61</v>
      </c>
      <c r="AF17" s="12">
        <v>0.50819999999999999</v>
      </c>
      <c r="AG17" s="11">
        <v>22</v>
      </c>
      <c r="AH17" s="11">
        <v>38</v>
      </c>
      <c r="AI17" s="12">
        <v>0.57889999999999997</v>
      </c>
      <c r="AJ17" s="11">
        <v>9</v>
      </c>
      <c r="AK17" s="11">
        <v>23</v>
      </c>
      <c r="AL17" s="12">
        <v>0.39129999999999998</v>
      </c>
      <c r="AM17" s="11">
        <v>13</v>
      </c>
      <c r="AN17" s="11">
        <v>14</v>
      </c>
      <c r="AO17" s="12">
        <v>0.92859999999999998</v>
      </c>
      <c r="AP17" s="11">
        <v>3</v>
      </c>
      <c r="AQ17" s="11">
        <v>21</v>
      </c>
      <c r="AR17" s="11">
        <v>24</v>
      </c>
      <c r="AS17" s="11">
        <v>21</v>
      </c>
      <c r="AT17" s="11">
        <v>9</v>
      </c>
      <c r="AU17" s="11">
        <v>0</v>
      </c>
      <c r="AV17" s="11">
        <v>11</v>
      </c>
      <c r="AW17" s="11">
        <v>23</v>
      </c>
      <c r="AX17" s="12">
        <v>0.62050000000000005</v>
      </c>
      <c r="AY17" s="12">
        <v>0.54549999999999998</v>
      </c>
      <c r="AZ17" s="12">
        <v>0.27589999999999998</v>
      </c>
      <c r="BA17" s="12">
        <v>0.89659999999999995</v>
      </c>
      <c r="BB17" s="12">
        <v>0.58620000000000005</v>
      </c>
      <c r="BC17" s="4">
        <v>73.247</v>
      </c>
      <c r="BD17" s="12">
        <v>0.8</v>
      </c>
      <c r="BE17" s="12">
        <v>0.41820000000000002</v>
      </c>
      <c r="BF17" s="12">
        <v>0.1832</v>
      </c>
      <c r="BG17" s="4">
        <v>113.1</v>
      </c>
      <c r="BH17" s="4">
        <v>114.4</v>
      </c>
      <c r="BI17" s="4">
        <v>73.417500000000004</v>
      </c>
      <c r="BJ17" s="12">
        <v>0.62539999999999996</v>
      </c>
      <c r="BK17" s="12">
        <v>0.58199999999999996</v>
      </c>
      <c r="BL17" s="12">
        <v>0.10340000000000001</v>
      </c>
      <c r="BM17" s="12">
        <v>0.72409999999999997</v>
      </c>
      <c r="BN17" s="12">
        <v>0.4138</v>
      </c>
      <c r="BO17" s="4">
        <v>73.587999999999994</v>
      </c>
      <c r="BP17" s="12">
        <v>0.6774</v>
      </c>
      <c r="BQ17" s="12">
        <v>0.21310000000000001</v>
      </c>
      <c r="BR17" s="12">
        <v>0.14069999999999999</v>
      </c>
      <c r="BS17" s="4">
        <v>114.4</v>
      </c>
      <c r="BT17" s="4">
        <v>113.1</v>
      </c>
      <c r="BU17" s="11">
        <v>23</v>
      </c>
      <c r="BV17" s="11">
        <v>20</v>
      </c>
      <c r="BW17" s="11">
        <v>23</v>
      </c>
      <c r="BX17" s="11">
        <v>17</v>
      </c>
      <c r="BY17" s="11">
        <v>17</v>
      </c>
      <c r="BZ17" s="11">
        <v>16</v>
      </c>
      <c r="CA17" s="11">
        <v>33</v>
      </c>
      <c r="CB17" s="11">
        <v>18</v>
      </c>
      <c r="CC17" s="11">
        <v>43</v>
      </c>
      <c r="CD17" s="11">
        <v>40</v>
      </c>
      <c r="CE17" s="11">
        <v>33</v>
      </c>
      <c r="CF17" s="11">
        <v>51</v>
      </c>
      <c r="CG17" s="4">
        <v>1.71</v>
      </c>
      <c r="CH17" s="13">
        <v>2.2000000000000002</v>
      </c>
      <c r="CI17" s="4">
        <v>-2.5</v>
      </c>
      <c r="CJ17" s="4">
        <v>2.5</v>
      </c>
      <c r="CK17" s="4">
        <v>161.5</v>
      </c>
      <c r="CL17" s="2" t="s">
        <v>462</v>
      </c>
      <c r="CM17" s="4" t="str">
        <f>VLOOKUP(dunker[[#This Row],[Away_team]],all[[Full name]:[Abbr]],3,FALSE)</f>
        <v>DIJ</v>
      </c>
      <c r="CN17" s="4">
        <f>IF(OR(dunker[[#This Row],[Result]]="w",dunker[[#This Row],[Result]]="dw"),dunker[[#This Row],[win]]-1,-1)</f>
        <v>-1</v>
      </c>
      <c r="CO17" s="4">
        <f>IF(OR(dunker[[#This Row],[Result]]="L",dunker[[#This Row],[Result]]="dl"),dunker[[#This Row],[lose]]-1,-1)</f>
        <v>1.2000000000000002</v>
      </c>
      <c r="CP17" s="4">
        <f>IF(OR((dunker[[#This Row],[Home_scored]]+dunker[[#This Row],[Away_scored]])&gt;dunker[[#This Row],[total]],OR(dunker[[#This Row],[Result]]="dw",dunker[[#This Row],[Result]]="dl")),1,0)</f>
        <v>1</v>
      </c>
      <c r="CQ17" s="4">
        <f>ABS((dunker[[#This Row],[Home_scored]]+dunker[[#This Row],[Away_scored]])-dunker[[#This Row],[total]])+0.5</f>
        <v>6</v>
      </c>
    </row>
    <row r="18" spans="1:95" x14ac:dyDescent="0.25">
      <c r="A18" s="2" t="s">
        <v>349</v>
      </c>
      <c r="B18" s="2" t="s">
        <v>314</v>
      </c>
      <c r="C18" s="3" t="s">
        <v>73</v>
      </c>
      <c r="D18" s="3">
        <v>45667</v>
      </c>
      <c r="E18" s="2" t="s">
        <v>140</v>
      </c>
      <c r="F18" s="2" t="s">
        <v>317</v>
      </c>
      <c r="G18" s="2" t="s">
        <v>139</v>
      </c>
      <c r="H18" s="11">
        <v>78</v>
      </c>
      <c r="I18" s="11">
        <v>83</v>
      </c>
      <c r="J18" s="11">
        <v>27</v>
      </c>
      <c r="K18" s="11">
        <v>59</v>
      </c>
      <c r="L18" s="12">
        <v>0.45760000000000001</v>
      </c>
      <c r="M18" s="11">
        <v>16</v>
      </c>
      <c r="N18" s="11">
        <v>27</v>
      </c>
      <c r="O18" s="12">
        <v>0.59260000000000002</v>
      </c>
      <c r="P18" s="11">
        <v>11</v>
      </c>
      <c r="Q18" s="11">
        <v>32</v>
      </c>
      <c r="R18" s="12">
        <v>0.34379999999999999</v>
      </c>
      <c r="S18" s="11">
        <v>13</v>
      </c>
      <c r="T18" s="11">
        <v>18</v>
      </c>
      <c r="U18" s="12">
        <v>0.72219999999999995</v>
      </c>
      <c r="V18" s="11">
        <v>8</v>
      </c>
      <c r="W18" s="11">
        <v>22</v>
      </c>
      <c r="X18" s="11">
        <v>30</v>
      </c>
      <c r="Y18" s="11">
        <v>17</v>
      </c>
      <c r="Z18" s="11">
        <v>5</v>
      </c>
      <c r="AA18" s="11">
        <v>1</v>
      </c>
      <c r="AB18" s="11">
        <v>9</v>
      </c>
      <c r="AC18" s="11">
        <v>23</v>
      </c>
      <c r="AD18" s="11">
        <v>29</v>
      </c>
      <c r="AE18" s="11">
        <v>59</v>
      </c>
      <c r="AF18" s="12">
        <v>0.49149999999999999</v>
      </c>
      <c r="AG18" s="11">
        <v>21</v>
      </c>
      <c r="AH18" s="11">
        <v>35</v>
      </c>
      <c r="AI18" s="12">
        <v>0.6</v>
      </c>
      <c r="AJ18" s="11">
        <v>8</v>
      </c>
      <c r="AK18" s="11">
        <v>24</v>
      </c>
      <c r="AL18" s="12">
        <v>0.33329999999999999</v>
      </c>
      <c r="AM18" s="11">
        <v>17</v>
      </c>
      <c r="AN18" s="11">
        <v>23</v>
      </c>
      <c r="AO18" s="12">
        <v>0.73909999999999998</v>
      </c>
      <c r="AP18" s="11">
        <v>11</v>
      </c>
      <c r="AQ18" s="11">
        <v>28</v>
      </c>
      <c r="AR18" s="11">
        <v>39</v>
      </c>
      <c r="AS18" s="11">
        <v>19</v>
      </c>
      <c r="AT18" s="11">
        <v>4</v>
      </c>
      <c r="AU18" s="11">
        <v>2</v>
      </c>
      <c r="AV18" s="11">
        <v>10</v>
      </c>
      <c r="AW18" s="11">
        <v>21</v>
      </c>
      <c r="AX18" s="12">
        <v>0.58279999999999998</v>
      </c>
      <c r="AY18" s="12">
        <v>0.55079999999999996</v>
      </c>
      <c r="AZ18" s="12">
        <v>0.22220000000000001</v>
      </c>
      <c r="BA18" s="12">
        <v>0.66669999999999996</v>
      </c>
      <c r="BB18" s="12">
        <v>0.43480000000000002</v>
      </c>
      <c r="BC18" s="4">
        <v>66.069000000000003</v>
      </c>
      <c r="BD18" s="12">
        <v>0.62960000000000005</v>
      </c>
      <c r="BE18" s="12">
        <v>0.2203</v>
      </c>
      <c r="BF18" s="12">
        <v>0.11849999999999999</v>
      </c>
      <c r="BG18" s="4">
        <v>115.4</v>
      </c>
      <c r="BH18" s="4">
        <v>122.8</v>
      </c>
      <c r="BI18" s="4">
        <v>67.607500000000002</v>
      </c>
      <c r="BJ18" s="12">
        <v>0.60040000000000004</v>
      </c>
      <c r="BK18" s="12">
        <v>0.55930000000000002</v>
      </c>
      <c r="BL18" s="12">
        <v>0.33329999999999999</v>
      </c>
      <c r="BM18" s="12">
        <v>0.77780000000000005</v>
      </c>
      <c r="BN18" s="12">
        <v>0.56520000000000004</v>
      </c>
      <c r="BO18" s="4">
        <v>69.146000000000001</v>
      </c>
      <c r="BP18" s="12">
        <v>0.6552</v>
      </c>
      <c r="BQ18" s="12">
        <v>0.28810000000000002</v>
      </c>
      <c r="BR18" s="12">
        <v>0.12640000000000001</v>
      </c>
      <c r="BS18" s="4">
        <v>122.8</v>
      </c>
      <c r="BT18" s="4">
        <v>115.4</v>
      </c>
      <c r="BU18" s="11">
        <v>18</v>
      </c>
      <c r="BV18" s="11">
        <v>21</v>
      </c>
      <c r="BW18" s="11">
        <v>19</v>
      </c>
      <c r="BX18" s="11">
        <v>20</v>
      </c>
      <c r="BY18" s="11">
        <v>25</v>
      </c>
      <c r="BZ18" s="11">
        <v>16</v>
      </c>
      <c r="CA18" s="11">
        <v>25</v>
      </c>
      <c r="CB18" s="11">
        <v>17</v>
      </c>
      <c r="CC18" s="11">
        <v>39</v>
      </c>
      <c r="CD18" s="11">
        <v>39</v>
      </c>
      <c r="CE18" s="11">
        <v>41</v>
      </c>
      <c r="CF18" s="11">
        <v>42</v>
      </c>
      <c r="CG18" s="4">
        <v>3.1</v>
      </c>
      <c r="CH18" s="13">
        <v>1.38</v>
      </c>
      <c r="CI18" s="4">
        <v>6.5</v>
      </c>
      <c r="CJ18" s="4">
        <v>-6.5</v>
      </c>
      <c r="CK18" s="4">
        <v>160.5</v>
      </c>
      <c r="CL18" s="2" t="s">
        <v>467</v>
      </c>
      <c r="CM18" s="4" t="str">
        <f>VLOOKUP(dunker[[#This Row],[Away_team]],all[[Full name]:[Abbr]],3,FALSE)</f>
        <v>LEM</v>
      </c>
      <c r="CN18" s="4">
        <f>IF(OR(dunker[[#This Row],[Result]]="w",dunker[[#This Row],[Result]]="dw"),dunker[[#This Row],[win]]-1,-1)</f>
        <v>-1</v>
      </c>
      <c r="CO18" s="4">
        <f>IF(OR(dunker[[#This Row],[Result]]="L",dunker[[#This Row],[Result]]="dl"),dunker[[#This Row],[lose]]-1,-1)</f>
        <v>0.37999999999999989</v>
      </c>
      <c r="CP18" s="4">
        <f>IF(OR((dunker[[#This Row],[Home_scored]]+dunker[[#This Row],[Away_scored]])&gt;dunker[[#This Row],[total]],OR(dunker[[#This Row],[Result]]="dw",dunker[[#This Row],[Result]]="dl")),1,0)</f>
        <v>1</v>
      </c>
      <c r="CQ18" s="4">
        <f>ABS((dunker[[#This Row],[Home_scored]]+dunker[[#This Row],[Away_scored]])-dunker[[#This Row],[total]])+0.5</f>
        <v>1</v>
      </c>
    </row>
    <row r="19" spans="1:95" x14ac:dyDescent="0.25">
      <c r="A19" s="2" t="s">
        <v>349</v>
      </c>
      <c r="B19" s="2" t="s">
        <v>314</v>
      </c>
      <c r="C19" s="3" t="s">
        <v>73</v>
      </c>
      <c r="D19" s="3">
        <v>45676</v>
      </c>
      <c r="E19" s="2" t="s">
        <v>140</v>
      </c>
      <c r="F19" s="2" t="s">
        <v>327</v>
      </c>
      <c r="G19" s="2" t="s">
        <v>139</v>
      </c>
      <c r="H19" s="11">
        <v>83</v>
      </c>
      <c r="I19" s="11">
        <v>90</v>
      </c>
      <c r="J19" s="11">
        <v>33</v>
      </c>
      <c r="K19" s="11">
        <v>64</v>
      </c>
      <c r="L19" s="12">
        <v>0.51559999999999995</v>
      </c>
      <c r="M19" s="11">
        <v>25</v>
      </c>
      <c r="N19" s="11">
        <v>39</v>
      </c>
      <c r="O19" s="12">
        <v>0.64100000000000001</v>
      </c>
      <c r="P19" s="11">
        <v>8</v>
      </c>
      <c r="Q19" s="11">
        <v>25</v>
      </c>
      <c r="R19" s="12">
        <v>0.32</v>
      </c>
      <c r="S19" s="11">
        <v>9</v>
      </c>
      <c r="T19" s="11">
        <v>15</v>
      </c>
      <c r="U19" s="12">
        <v>0.6</v>
      </c>
      <c r="V19" s="11">
        <v>10</v>
      </c>
      <c r="W19" s="11">
        <v>20</v>
      </c>
      <c r="X19" s="11">
        <v>30</v>
      </c>
      <c r="Y19" s="11">
        <v>16</v>
      </c>
      <c r="Z19" s="11">
        <v>3</v>
      </c>
      <c r="AA19" s="11">
        <v>2</v>
      </c>
      <c r="AB19" s="11">
        <v>12</v>
      </c>
      <c r="AC19" s="11">
        <v>21</v>
      </c>
      <c r="AD19" s="11">
        <v>28</v>
      </c>
      <c r="AE19" s="11">
        <v>52</v>
      </c>
      <c r="AF19" s="12">
        <v>0.53849999999999998</v>
      </c>
      <c r="AG19" s="11">
        <v>14</v>
      </c>
      <c r="AH19" s="11">
        <v>29</v>
      </c>
      <c r="AI19" s="12">
        <v>0.48280000000000001</v>
      </c>
      <c r="AJ19" s="11">
        <v>14</v>
      </c>
      <c r="AK19" s="11">
        <v>23</v>
      </c>
      <c r="AL19" s="12">
        <v>0.60870000000000002</v>
      </c>
      <c r="AM19" s="11">
        <v>20</v>
      </c>
      <c r="AN19" s="11">
        <v>27</v>
      </c>
      <c r="AO19" s="12">
        <v>0.74070000000000003</v>
      </c>
      <c r="AP19" s="11">
        <v>6</v>
      </c>
      <c r="AQ19" s="11">
        <v>22</v>
      </c>
      <c r="AR19" s="11">
        <v>28</v>
      </c>
      <c r="AS19" s="11">
        <v>22</v>
      </c>
      <c r="AT19" s="11">
        <v>6</v>
      </c>
      <c r="AU19" s="11">
        <v>4</v>
      </c>
      <c r="AV19" s="11">
        <v>12</v>
      </c>
      <c r="AW19" s="11">
        <v>18</v>
      </c>
      <c r="AX19" s="12">
        <v>0.58779999999999999</v>
      </c>
      <c r="AY19" s="12">
        <v>0.57809999999999995</v>
      </c>
      <c r="AZ19" s="12">
        <v>0.3125</v>
      </c>
      <c r="BA19" s="12">
        <v>0.76919999999999999</v>
      </c>
      <c r="BB19" s="12">
        <v>0.51719999999999999</v>
      </c>
      <c r="BC19" s="4">
        <v>70.942999999999998</v>
      </c>
      <c r="BD19" s="12">
        <v>0.48480000000000001</v>
      </c>
      <c r="BE19" s="12">
        <v>0.1406</v>
      </c>
      <c r="BF19" s="12">
        <v>0.14530000000000001</v>
      </c>
      <c r="BG19" s="4">
        <v>118.4</v>
      </c>
      <c r="BH19" s="4">
        <v>128.4</v>
      </c>
      <c r="BI19" s="4">
        <v>70.12</v>
      </c>
      <c r="BJ19" s="12">
        <v>0.70440000000000003</v>
      </c>
      <c r="BK19" s="12">
        <v>0.67310000000000003</v>
      </c>
      <c r="BL19" s="12">
        <v>0.23080000000000001</v>
      </c>
      <c r="BM19" s="12">
        <v>0.6875</v>
      </c>
      <c r="BN19" s="12">
        <v>0.48280000000000001</v>
      </c>
      <c r="BO19" s="4">
        <v>69.296999999999997</v>
      </c>
      <c r="BP19" s="12">
        <v>0.78569999999999995</v>
      </c>
      <c r="BQ19" s="12">
        <v>0.3846</v>
      </c>
      <c r="BR19" s="12">
        <v>0.15809999999999999</v>
      </c>
      <c r="BS19" s="4">
        <v>128.4</v>
      </c>
      <c r="BT19" s="4">
        <v>118.4</v>
      </c>
      <c r="BU19" s="11">
        <v>21</v>
      </c>
      <c r="BV19" s="11">
        <v>20</v>
      </c>
      <c r="BW19" s="11">
        <v>22</v>
      </c>
      <c r="BX19" s="11">
        <v>20</v>
      </c>
      <c r="BY19" s="11">
        <v>21</v>
      </c>
      <c r="BZ19" s="11">
        <v>29</v>
      </c>
      <c r="CA19" s="11">
        <v>17</v>
      </c>
      <c r="CB19" s="11">
        <v>23</v>
      </c>
      <c r="CC19" s="11">
        <v>41</v>
      </c>
      <c r="CD19" s="11">
        <v>42</v>
      </c>
      <c r="CE19" s="11">
        <v>50</v>
      </c>
      <c r="CF19" s="11">
        <v>40</v>
      </c>
      <c r="CG19" s="4">
        <v>5</v>
      </c>
      <c r="CH19" s="13">
        <v>1.18</v>
      </c>
      <c r="CI19" s="4">
        <v>10.5</v>
      </c>
      <c r="CJ19" s="4">
        <v>-10.5</v>
      </c>
      <c r="CK19" s="4">
        <v>163.5</v>
      </c>
      <c r="CL19" s="2" t="s">
        <v>482</v>
      </c>
      <c r="CM19" s="4" t="str">
        <f>VLOOKUP(dunker[[#This Row],[Away_team]],all[[Full name]:[Abbr]],3,FALSE)</f>
        <v>LYO</v>
      </c>
      <c r="CN19" s="4">
        <f>IF(OR(dunker[[#This Row],[Result]]="w",dunker[[#This Row],[Result]]="dw"),dunker[[#This Row],[win]]-1,-1)</f>
        <v>-1</v>
      </c>
      <c r="CO19" s="4">
        <f>IF(OR(dunker[[#This Row],[Result]]="L",dunker[[#This Row],[Result]]="dl"),dunker[[#This Row],[lose]]-1,-1)</f>
        <v>0.17999999999999994</v>
      </c>
      <c r="CP19" s="4">
        <f>IF(OR((dunker[[#This Row],[Home_scored]]+dunker[[#This Row],[Away_scored]])&gt;dunker[[#This Row],[total]],OR(dunker[[#This Row],[Result]]="dw",dunker[[#This Row],[Result]]="dl")),1,0)</f>
        <v>1</v>
      </c>
      <c r="CQ19" s="4">
        <f>ABS((dunker[[#This Row],[Home_scored]]+dunker[[#This Row],[Away_scored]])-dunker[[#This Row],[total]])+0.5</f>
        <v>10</v>
      </c>
    </row>
    <row r="20" spans="1:95" x14ac:dyDescent="0.25">
      <c r="A20" s="2" t="s">
        <v>349</v>
      </c>
      <c r="B20" s="2" t="s">
        <v>314</v>
      </c>
      <c r="C20" s="3" t="s">
        <v>73</v>
      </c>
      <c r="D20" s="3">
        <v>45682</v>
      </c>
      <c r="E20" s="2" t="s">
        <v>74</v>
      </c>
      <c r="F20" s="2" t="s">
        <v>323</v>
      </c>
      <c r="G20" s="2" t="s">
        <v>75</v>
      </c>
      <c r="H20" s="11">
        <v>94</v>
      </c>
      <c r="I20" s="11">
        <v>68</v>
      </c>
      <c r="J20" s="11">
        <v>34</v>
      </c>
      <c r="K20" s="11">
        <v>69</v>
      </c>
      <c r="L20" s="12">
        <v>0.49280000000000002</v>
      </c>
      <c r="M20" s="11">
        <v>20</v>
      </c>
      <c r="N20" s="11">
        <v>37</v>
      </c>
      <c r="O20" s="12">
        <v>0.54049999999999998</v>
      </c>
      <c r="P20" s="11">
        <v>14</v>
      </c>
      <c r="Q20" s="11">
        <v>32</v>
      </c>
      <c r="R20" s="12">
        <v>0.4375</v>
      </c>
      <c r="S20" s="11">
        <v>12</v>
      </c>
      <c r="T20" s="11">
        <v>18</v>
      </c>
      <c r="U20" s="12">
        <v>0.66669999999999996</v>
      </c>
      <c r="V20" s="11">
        <v>11</v>
      </c>
      <c r="W20" s="11">
        <v>29</v>
      </c>
      <c r="X20" s="11">
        <v>40</v>
      </c>
      <c r="Y20" s="11">
        <v>21</v>
      </c>
      <c r="Z20" s="11">
        <v>7</v>
      </c>
      <c r="AA20" s="11">
        <v>2</v>
      </c>
      <c r="AB20" s="11">
        <v>13</v>
      </c>
      <c r="AC20" s="11">
        <v>22</v>
      </c>
      <c r="AD20" s="11">
        <v>24</v>
      </c>
      <c r="AE20" s="11">
        <v>54</v>
      </c>
      <c r="AF20" s="12">
        <v>0.44440000000000002</v>
      </c>
      <c r="AG20" s="11">
        <v>15</v>
      </c>
      <c r="AH20" s="11">
        <v>32</v>
      </c>
      <c r="AI20" s="12">
        <v>0.46879999999999999</v>
      </c>
      <c r="AJ20" s="11">
        <v>9</v>
      </c>
      <c r="AK20" s="11">
        <v>22</v>
      </c>
      <c r="AL20" s="12">
        <v>0.40910000000000002</v>
      </c>
      <c r="AM20" s="11">
        <v>11</v>
      </c>
      <c r="AN20" s="11">
        <v>17</v>
      </c>
      <c r="AO20" s="12">
        <v>0.64710000000000001</v>
      </c>
      <c r="AP20" s="11">
        <v>5</v>
      </c>
      <c r="AQ20" s="11">
        <v>25</v>
      </c>
      <c r="AR20" s="11">
        <v>30</v>
      </c>
      <c r="AS20" s="11">
        <v>14</v>
      </c>
      <c r="AT20" s="11">
        <v>5</v>
      </c>
      <c r="AU20" s="11">
        <v>1</v>
      </c>
      <c r="AV20" s="11">
        <v>16</v>
      </c>
      <c r="AW20" s="11">
        <v>19</v>
      </c>
      <c r="AX20" s="12">
        <v>0.61099999999999999</v>
      </c>
      <c r="AY20" s="12">
        <v>0.59419999999999995</v>
      </c>
      <c r="AZ20" s="12">
        <v>0.30559999999999998</v>
      </c>
      <c r="BA20" s="12">
        <v>0.85289999999999999</v>
      </c>
      <c r="BB20" s="12">
        <v>0.57140000000000002</v>
      </c>
      <c r="BC20" s="4">
        <v>78.900999999999996</v>
      </c>
      <c r="BD20" s="12">
        <v>0.61760000000000004</v>
      </c>
      <c r="BE20" s="12">
        <v>0.1739</v>
      </c>
      <c r="BF20" s="12">
        <v>0.14460000000000001</v>
      </c>
      <c r="BG20" s="4">
        <v>125</v>
      </c>
      <c r="BH20" s="4">
        <v>90.5</v>
      </c>
      <c r="BI20" s="4">
        <v>75.1755</v>
      </c>
      <c r="BJ20" s="12">
        <v>0.55300000000000005</v>
      </c>
      <c r="BK20" s="12">
        <v>0.52780000000000005</v>
      </c>
      <c r="BL20" s="12">
        <v>0.14710000000000001</v>
      </c>
      <c r="BM20" s="12">
        <v>0.69440000000000002</v>
      </c>
      <c r="BN20" s="12">
        <v>0.42859999999999998</v>
      </c>
      <c r="BO20" s="4">
        <v>71.45</v>
      </c>
      <c r="BP20" s="12">
        <v>0.58330000000000004</v>
      </c>
      <c r="BQ20" s="12">
        <v>0.20369999999999999</v>
      </c>
      <c r="BR20" s="12">
        <v>0.20649999999999999</v>
      </c>
      <c r="BS20" s="4">
        <v>90.5</v>
      </c>
      <c r="BT20" s="4">
        <v>125</v>
      </c>
      <c r="BU20" s="11">
        <v>18</v>
      </c>
      <c r="BV20" s="11">
        <v>28</v>
      </c>
      <c r="BW20" s="11">
        <v>17</v>
      </c>
      <c r="BX20" s="11">
        <v>31</v>
      </c>
      <c r="BY20" s="11">
        <v>27</v>
      </c>
      <c r="BZ20" s="11">
        <v>18</v>
      </c>
      <c r="CA20" s="11">
        <v>11</v>
      </c>
      <c r="CB20" s="11">
        <v>12</v>
      </c>
      <c r="CC20" s="11">
        <v>46</v>
      </c>
      <c r="CD20" s="11">
        <v>48</v>
      </c>
      <c r="CE20" s="11">
        <v>45</v>
      </c>
      <c r="CF20" s="11">
        <v>23</v>
      </c>
      <c r="CG20" s="4">
        <v>1.24</v>
      </c>
      <c r="CH20" s="13">
        <v>4.25</v>
      </c>
      <c r="CI20" s="4">
        <v>-9</v>
      </c>
      <c r="CJ20" s="4">
        <v>-9</v>
      </c>
      <c r="CK20" s="4">
        <v>154.5</v>
      </c>
      <c r="CL20" s="2" t="s">
        <v>484</v>
      </c>
      <c r="CM20" s="4" t="e">
        <f>VLOOKUP(dunker[[#This Row],[Away_team]],all[[Full name]:[Abbr]],3,FALSE)</f>
        <v>#N/A</v>
      </c>
      <c r="CN20" s="4">
        <f>IF(OR(dunker[[#This Row],[Result]]="w",dunker[[#This Row],[Result]]="dw"),dunker[[#This Row],[win]]-1,-1)</f>
        <v>0.24</v>
      </c>
      <c r="CO20" s="4">
        <f>IF(OR(dunker[[#This Row],[Result]]="L",dunker[[#This Row],[Result]]="dl"),dunker[[#This Row],[lose]]-1,-1)</f>
        <v>-1</v>
      </c>
      <c r="CP20" s="4">
        <f>IF(OR((dunker[[#This Row],[Home_scored]]+dunker[[#This Row],[Away_scored]])&gt;dunker[[#This Row],[total]],OR(dunker[[#This Row],[Result]]="dw",dunker[[#This Row],[Result]]="dl")),1,0)</f>
        <v>1</v>
      </c>
      <c r="CQ20" s="4">
        <f>ABS((dunker[[#This Row],[Home_scored]]+dunker[[#This Row],[Away_scored]])-dunker[[#This Row],[total]])+0.5</f>
        <v>8</v>
      </c>
    </row>
    <row r="21" spans="1:95" x14ac:dyDescent="0.25">
      <c r="A21" s="2" t="s">
        <v>349</v>
      </c>
      <c r="B21" s="2" t="s">
        <v>314</v>
      </c>
      <c r="C21" s="3" t="s">
        <v>73</v>
      </c>
      <c r="D21" s="3">
        <v>45690</v>
      </c>
      <c r="E21" s="2" t="s">
        <v>140</v>
      </c>
      <c r="F21" s="2" t="s">
        <v>330</v>
      </c>
      <c r="G21" s="2" t="s">
        <v>139</v>
      </c>
      <c r="H21" s="11">
        <v>59</v>
      </c>
      <c r="I21" s="11">
        <v>90</v>
      </c>
      <c r="J21" s="11">
        <v>20</v>
      </c>
      <c r="K21" s="11">
        <v>58</v>
      </c>
      <c r="L21" s="12">
        <v>0.3448</v>
      </c>
      <c r="M21" s="11">
        <v>16</v>
      </c>
      <c r="N21" s="11">
        <v>37</v>
      </c>
      <c r="O21" s="12">
        <v>0.43240000000000001</v>
      </c>
      <c r="P21" s="11">
        <v>4</v>
      </c>
      <c r="Q21" s="11">
        <v>21</v>
      </c>
      <c r="R21" s="12">
        <v>0.1905</v>
      </c>
      <c r="S21" s="11">
        <v>15</v>
      </c>
      <c r="T21" s="11">
        <v>15</v>
      </c>
      <c r="U21" s="12">
        <v>1</v>
      </c>
      <c r="V21" s="11">
        <v>5</v>
      </c>
      <c r="W21" s="11">
        <v>23</v>
      </c>
      <c r="X21" s="11">
        <v>28</v>
      </c>
      <c r="Y21" s="11">
        <v>9</v>
      </c>
      <c r="Z21" s="11">
        <v>9</v>
      </c>
      <c r="AA21" s="11">
        <v>0</v>
      </c>
      <c r="AB21" s="11">
        <v>9</v>
      </c>
      <c r="AC21" s="11">
        <v>17</v>
      </c>
      <c r="AD21" s="11">
        <v>36</v>
      </c>
      <c r="AE21" s="11">
        <v>67</v>
      </c>
      <c r="AF21" s="12">
        <v>0.5373</v>
      </c>
      <c r="AG21" s="11">
        <v>28</v>
      </c>
      <c r="AH21" s="11">
        <v>37</v>
      </c>
      <c r="AI21" s="12">
        <v>0.75680000000000003</v>
      </c>
      <c r="AJ21" s="11">
        <v>8</v>
      </c>
      <c r="AK21" s="11">
        <v>30</v>
      </c>
      <c r="AL21" s="12">
        <v>0.26669999999999999</v>
      </c>
      <c r="AM21" s="11">
        <v>10</v>
      </c>
      <c r="AN21" s="11">
        <v>12</v>
      </c>
      <c r="AO21" s="12">
        <v>0.83330000000000004</v>
      </c>
      <c r="AP21" s="11">
        <v>12</v>
      </c>
      <c r="AQ21" s="11">
        <v>32</v>
      </c>
      <c r="AR21" s="11">
        <v>44</v>
      </c>
      <c r="AS21" s="11">
        <v>17</v>
      </c>
      <c r="AT21" s="11">
        <v>3</v>
      </c>
      <c r="AU21" s="11">
        <v>3</v>
      </c>
      <c r="AV21" s="11">
        <v>12</v>
      </c>
      <c r="AW21" s="11">
        <v>21</v>
      </c>
      <c r="AX21" s="12">
        <v>0.45669999999999999</v>
      </c>
      <c r="AY21" s="12">
        <v>0.37930000000000003</v>
      </c>
      <c r="AZ21" s="12">
        <v>0.1351</v>
      </c>
      <c r="BA21" s="12">
        <v>0.65710000000000002</v>
      </c>
      <c r="BB21" s="12">
        <v>0.38890000000000002</v>
      </c>
      <c r="BC21" s="4">
        <v>65.739000000000004</v>
      </c>
      <c r="BD21" s="12">
        <v>0.45</v>
      </c>
      <c r="BE21" s="12">
        <v>0.2586</v>
      </c>
      <c r="BF21" s="12">
        <v>0.12230000000000001</v>
      </c>
      <c r="BG21" s="4">
        <v>84</v>
      </c>
      <c r="BH21" s="4">
        <v>128.1</v>
      </c>
      <c r="BI21" s="4">
        <v>70.246499999999997</v>
      </c>
      <c r="BJ21" s="12">
        <v>0.62260000000000004</v>
      </c>
      <c r="BK21" s="12">
        <v>0.59699999999999998</v>
      </c>
      <c r="BL21" s="12">
        <v>0.34289999999999998</v>
      </c>
      <c r="BM21" s="12">
        <v>0.8649</v>
      </c>
      <c r="BN21" s="12">
        <v>0.61109999999999998</v>
      </c>
      <c r="BO21" s="4">
        <v>74.754000000000005</v>
      </c>
      <c r="BP21" s="12">
        <v>0.47220000000000001</v>
      </c>
      <c r="BQ21" s="12">
        <v>0.14929999999999999</v>
      </c>
      <c r="BR21" s="12">
        <v>0.1424</v>
      </c>
      <c r="BS21" s="4">
        <v>128.1</v>
      </c>
      <c r="BT21" s="4">
        <v>84</v>
      </c>
      <c r="BU21" s="11">
        <v>15</v>
      </c>
      <c r="BV21" s="11">
        <v>18</v>
      </c>
      <c r="BW21" s="11">
        <v>9</v>
      </c>
      <c r="BX21" s="11">
        <v>17</v>
      </c>
      <c r="BY21" s="11">
        <v>23</v>
      </c>
      <c r="BZ21" s="11">
        <v>21</v>
      </c>
      <c r="CA21" s="11">
        <v>21</v>
      </c>
      <c r="CB21" s="11">
        <v>25</v>
      </c>
      <c r="CC21" s="11">
        <v>33</v>
      </c>
      <c r="CD21" s="11">
        <v>26</v>
      </c>
      <c r="CE21" s="11">
        <v>44</v>
      </c>
      <c r="CF21" s="11">
        <v>46</v>
      </c>
      <c r="CG21" s="4">
        <v>8</v>
      </c>
      <c r="CH21" s="13">
        <v>1.0900000000000001</v>
      </c>
      <c r="CI21" s="4">
        <v>13.5</v>
      </c>
      <c r="CJ21" s="4">
        <v>-13.5</v>
      </c>
      <c r="CK21" s="4">
        <v>164.5</v>
      </c>
      <c r="CL21" s="2" t="s">
        <v>498</v>
      </c>
      <c r="CM21" s="4" t="str">
        <f>VLOOKUP(dunker[[#This Row],[Away_team]],all[[Full name]:[Abbr]],3,FALSE)</f>
        <v>MON</v>
      </c>
      <c r="CN21" s="4">
        <f>IF(OR(dunker[[#This Row],[Result]]="w",dunker[[#This Row],[Result]]="dw"),dunker[[#This Row],[win]]-1,-1)</f>
        <v>-1</v>
      </c>
      <c r="CO21" s="4">
        <f>IF(OR(dunker[[#This Row],[Result]]="L",dunker[[#This Row],[Result]]="dl"),dunker[[#This Row],[lose]]-1,-1)</f>
        <v>9.000000000000008E-2</v>
      </c>
      <c r="CP21" s="4">
        <f>IF(OR((dunker[[#This Row],[Home_scored]]+dunker[[#This Row],[Away_scored]])&gt;dunker[[#This Row],[total]],OR(dunker[[#This Row],[Result]]="dw",dunker[[#This Row],[Result]]="dl")),1,0)</f>
        <v>0</v>
      </c>
      <c r="CQ21" s="4">
        <f>ABS((dunker[[#This Row],[Home_scored]]+dunker[[#This Row],[Away_scored]])-dunker[[#This Row],[total]])+0.5</f>
        <v>16</v>
      </c>
    </row>
    <row r="22" spans="1:95" x14ac:dyDescent="0.25">
      <c r="A22" s="2" t="s">
        <v>349</v>
      </c>
      <c r="B22" s="2" t="s">
        <v>314</v>
      </c>
      <c r="C22" s="3" t="s">
        <v>73</v>
      </c>
      <c r="D22" s="3">
        <v>45695</v>
      </c>
      <c r="E22" s="2" t="s">
        <v>74</v>
      </c>
      <c r="F22" s="2" t="s">
        <v>308</v>
      </c>
      <c r="G22" s="2" t="s">
        <v>139</v>
      </c>
      <c r="H22" s="11">
        <v>70</v>
      </c>
      <c r="I22" s="11">
        <v>73</v>
      </c>
      <c r="J22" s="11">
        <v>20</v>
      </c>
      <c r="K22" s="11">
        <v>52</v>
      </c>
      <c r="L22" s="12">
        <v>0.3846</v>
      </c>
      <c r="M22" s="11">
        <v>13</v>
      </c>
      <c r="N22" s="11">
        <v>30</v>
      </c>
      <c r="O22" s="12">
        <v>0.43330000000000002</v>
      </c>
      <c r="P22" s="11">
        <v>7</v>
      </c>
      <c r="Q22" s="11">
        <v>22</v>
      </c>
      <c r="R22" s="12">
        <v>0.31819999999999998</v>
      </c>
      <c r="S22" s="11">
        <v>23</v>
      </c>
      <c r="T22" s="11">
        <v>34</v>
      </c>
      <c r="U22" s="12">
        <v>0.67649999999999999</v>
      </c>
      <c r="V22" s="11">
        <v>9</v>
      </c>
      <c r="W22" s="11">
        <v>25</v>
      </c>
      <c r="X22" s="11">
        <v>34</v>
      </c>
      <c r="Y22" s="11">
        <v>11</v>
      </c>
      <c r="Z22" s="11">
        <v>3</v>
      </c>
      <c r="AA22" s="11">
        <v>0</v>
      </c>
      <c r="AB22" s="11">
        <v>9</v>
      </c>
      <c r="AC22" s="11">
        <v>19</v>
      </c>
      <c r="AD22" s="11">
        <v>26</v>
      </c>
      <c r="AE22" s="11">
        <v>53</v>
      </c>
      <c r="AF22" s="12">
        <v>0.49059999999999998</v>
      </c>
      <c r="AG22" s="11">
        <v>18</v>
      </c>
      <c r="AH22" s="11">
        <v>29</v>
      </c>
      <c r="AI22" s="12">
        <v>0.62070000000000003</v>
      </c>
      <c r="AJ22" s="11">
        <v>8</v>
      </c>
      <c r="AK22" s="11">
        <v>24</v>
      </c>
      <c r="AL22" s="12">
        <v>0.33329999999999999</v>
      </c>
      <c r="AM22" s="11">
        <v>13</v>
      </c>
      <c r="AN22" s="11">
        <v>19</v>
      </c>
      <c r="AO22" s="12">
        <v>0.68420000000000003</v>
      </c>
      <c r="AP22" s="11">
        <v>4</v>
      </c>
      <c r="AQ22" s="11">
        <v>26</v>
      </c>
      <c r="AR22" s="11">
        <v>30</v>
      </c>
      <c r="AS22" s="11">
        <v>18</v>
      </c>
      <c r="AT22" s="11">
        <v>4</v>
      </c>
      <c r="AU22" s="11">
        <v>1</v>
      </c>
      <c r="AV22" s="11">
        <v>10</v>
      </c>
      <c r="AW22" s="11">
        <v>29</v>
      </c>
      <c r="AX22" s="12">
        <v>0.52270000000000005</v>
      </c>
      <c r="AY22" s="12">
        <v>0.45190000000000002</v>
      </c>
      <c r="AZ22" s="12">
        <v>0.2571</v>
      </c>
      <c r="BA22" s="12">
        <v>0.86209999999999998</v>
      </c>
      <c r="BB22" s="12">
        <v>0.53129999999999999</v>
      </c>
      <c r="BC22" s="4">
        <v>65.536000000000001</v>
      </c>
      <c r="BD22" s="12">
        <v>0.55000000000000004</v>
      </c>
      <c r="BE22" s="12">
        <v>0.44230000000000003</v>
      </c>
      <c r="BF22" s="12">
        <v>0.11849999999999999</v>
      </c>
      <c r="BG22" s="4">
        <v>105.8</v>
      </c>
      <c r="BH22" s="4">
        <v>110.4</v>
      </c>
      <c r="BI22" s="4">
        <v>66.141999999999996</v>
      </c>
      <c r="BJ22" s="12">
        <v>0.59489999999999998</v>
      </c>
      <c r="BK22" s="12">
        <v>0.56599999999999995</v>
      </c>
      <c r="BL22" s="12">
        <v>0.13789999999999999</v>
      </c>
      <c r="BM22" s="12">
        <v>0.7429</v>
      </c>
      <c r="BN22" s="12">
        <v>0.46879999999999999</v>
      </c>
      <c r="BO22" s="4">
        <v>66.748000000000005</v>
      </c>
      <c r="BP22" s="12">
        <v>0.69230000000000003</v>
      </c>
      <c r="BQ22" s="12">
        <v>0.24529999999999999</v>
      </c>
      <c r="BR22" s="12">
        <v>0.1401</v>
      </c>
      <c r="BS22" s="4">
        <v>110.4</v>
      </c>
      <c r="BT22" s="4">
        <v>105.8</v>
      </c>
      <c r="BU22" s="11">
        <v>27</v>
      </c>
      <c r="BV22" s="11">
        <v>11</v>
      </c>
      <c r="BW22" s="11">
        <v>18</v>
      </c>
      <c r="BX22" s="11">
        <v>14</v>
      </c>
      <c r="BY22" s="11">
        <v>11</v>
      </c>
      <c r="BZ22" s="11">
        <v>16</v>
      </c>
      <c r="CA22" s="11">
        <v>28</v>
      </c>
      <c r="CB22" s="11">
        <v>18</v>
      </c>
      <c r="CC22" s="11">
        <v>38</v>
      </c>
      <c r="CD22" s="11">
        <v>32</v>
      </c>
      <c r="CE22" s="11">
        <v>27</v>
      </c>
      <c r="CF22" s="11">
        <v>46</v>
      </c>
      <c r="CG22" s="4">
        <v>2.6</v>
      </c>
      <c r="CH22" s="13">
        <v>1.53</v>
      </c>
      <c r="CI22" s="4">
        <v>4.5</v>
      </c>
      <c r="CJ22" s="4">
        <v>-4.5</v>
      </c>
      <c r="CK22" s="4">
        <v>162.5</v>
      </c>
      <c r="CL22" s="2" t="s">
        <v>499</v>
      </c>
      <c r="CM22" s="4" t="str">
        <f>VLOOKUP(dunker[[#This Row],[Away_team]],all[[Full name]:[Abbr]],3,FALSE)</f>
        <v>CHO</v>
      </c>
      <c r="CN22" s="4">
        <f>IF(OR(dunker[[#This Row],[Result]]="w",dunker[[#This Row],[Result]]="dw"),dunker[[#This Row],[win]]-1,-1)</f>
        <v>-1</v>
      </c>
      <c r="CO22" s="4">
        <f>IF(OR(dunker[[#This Row],[Result]]="L",dunker[[#This Row],[Result]]="dl"),dunker[[#This Row],[lose]]-1,-1)</f>
        <v>0.53</v>
      </c>
      <c r="CP22" s="4">
        <f>IF(OR((dunker[[#This Row],[Home_scored]]+dunker[[#This Row],[Away_scored]])&gt;dunker[[#This Row],[total]],OR(dunker[[#This Row],[Result]]="dw",dunker[[#This Row],[Result]]="dl")),1,0)</f>
        <v>0</v>
      </c>
      <c r="CQ22" s="4">
        <f>ABS((dunker[[#This Row],[Home_scored]]+dunker[[#This Row],[Away_scored]])-dunker[[#This Row],[total]])+0.5</f>
        <v>20</v>
      </c>
    </row>
    <row r="23" spans="1:95" x14ac:dyDescent="0.25">
      <c r="A23" s="2" t="s">
        <v>349</v>
      </c>
      <c r="B23" s="2" t="s">
        <v>314</v>
      </c>
      <c r="C23" s="3" t="s">
        <v>73</v>
      </c>
      <c r="D23" s="3">
        <v>45716</v>
      </c>
      <c r="E23" s="2" t="s">
        <v>140</v>
      </c>
      <c r="F23" s="2" t="s">
        <v>336</v>
      </c>
      <c r="G23" s="2" t="s">
        <v>139</v>
      </c>
      <c r="H23" s="11">
        <v>80</v>
      </c>
      <c r="I23" s="11">
        <v>93</v>
      </c>
      <c r="J23" s="11">
        <v>29</v>
      </c>
      <c r="K23" s="11">
        <v>61</v>
      </c>
      <c r="L23" s="12">
        <v>0.47539999999999999</v>
      </c>
      <c r="M23" s="11">
        <v>17</v>
      </c>
      <c r="N23" s="11">
        <v>28</v>
      </c>
      <c r="O23" s="12">
        <v>0.60709999999999997</v>
      </c>
      <c r="P23" s="11">
        <v>12</v>
      </c>
      <c r="Q23" s="11">
        <v>33</v>
      </c>
      <c r="R23" s="12">
        <v>0.36359999999999998</v>
      </c>
      <c r="S23" s="11">
        <v>10</v>
      </c>
      <c r="T23" s="11">
        <v>16</v>
      </c>
      <c r="U23" s="12">
        <v>0.625</v>
      </c>
      <c r="V23" s="11">
        <v>9</v>
      </c>
      <c r="W23" s="11">
        <v>22</v>
      </c>
      <c r="X23" s="11">
        <v>31</v>
      </c>
      <c r="Y23" s="11">
        <v>15</v>
      </c>
      <c r="Z23" s="11">
        <v>6</v>
      </c>
      <c r="AA23" s="11">
        <v>0</v>
      </c>
      <c r="AB23" s="11">
        <v>12</v>
      </c>
      <c r="AC23" s="11">
        <v>24</v>
      </c>
      <c r="AD23" s="11">
        <v>30</v>
      </c>
      <c r="AE23" s="11">
        <v>52</v>
      </c>
      <c r="AF23" s="12">
        <v>0.57689999999999997</v>
      </c>
      <c r="AG23" s="11">
        <v>17</v>
      </c>
      <c r="AH23" s="11">
        <v>28</v>
      </c>
      <c r="AI23" s="12">
        <v>0.60709999999999997</v>
      </c>
      <c r="AJ23" s="11">
        <v>13</v>
      </c>
      <c r="AK23" s="11">
        <v>24</v>
      </c>
      <c r="AL23" s="12">
        <v>0.54169999999999996</v>
      </c>
      <c r="AM23" s="11">
        <v>20</v>
      </c>
      <c r="AN23" s="11">
        <v>27</v>
      </c>
      <c r="AO23" s="12">
        <v>0.74070000000000003</v>
      </c>
      <c r="AP23" s="11">
        <v>4</v>
      </c>
      <c r="AQ23" s="11">
        <v>24</v>
      </c>
      <c r="AR23" s="11">
        <v>28</v>
      </c>
      <c r="AS23" s="11">
        <v>19</v>
      </c>
      <c r="AT23" s="11">
        <v>5</v>
      </c>
      <c r="AU23" s="11">
        <v>2</v>
      </c>
      <c r="AV23" s="11">
        <v>14</v>
      </c>
      <c r="AW23" s="11">
        <v>21</v>
      </c>
      <c r="AX23" s="12">
        <v>0.58789999999999998</v>
      </c>
      <c r="AY23" s="12">
        <v>0.57379999999999998</v>
      </c>
      <c r="AZ23" s="12">
        <v>0.2727</v>
      </c>
      <c r="BA23" s="12">
        <v>0.84619999999999995</v>
      </c>
      <c r="BB23" s="12">
        <v>0.52539999999999998</v>
      </c>
      <c r="BC23" s="4">
        <v>69.459000000000003</v>
      </c>
      <c r="BD23" s="12">
        <v>0.51719999999999999</v>
      </c>
      <c r="BE23" s="12">
        <v>0.16389999999999999</v>
      </c>
      <c r="BF23" s="12">
        <v>0.14990000000000001</v>
      </c>
      <c r="BG23" s="4">
        <v>112</v>
      </c>
      <c r="BH23" s="4">
        <v>130.19999999999999</v>
      </c>
      <c r="BI23" s="4">
        <v>71.447999999999993</v>
      </c>
      <c r="BJ23" s="12">
        <v>0.72789999999999999</v>
      </c>
      <c r="BK23" s="12">
        <v>0.70189999999999997</v>
      </c>
      <c r="BL23" s="12">
        <v>0.15379999999999999</v>
      </c>
      <c r="BM23" s="12">
        <v>0.72729999999999995</v>
      </c>
      <c r="BN23" s="12">
        <v>0.47460000000000002</v>
      </c>
      <c r="BO23" s="4">
        <v>73.436999999999998</v>
      </c>
      <c r="BP23" s="12">
        <v>0.63329999999999997</v>
      </c>
      <c r="BQ23" s="12">
        <v>0.3846</v>
      </c>
      <c r="BR23" s="12">
        <v>0.17979999999999999</v>
      </c>
      <c r="BS23" s="4">
        <v>130.19999999999999</v>
      </c>
      <c r="BT23" s="4">
        <v>112</v>
      </c>
      <c r="BU23" s="11">
        <v>23</v>
      </c>
      <c r="BV23" s="11">
        <v>23</v>
      </c>
      <c r="BW23" s="11">
        <v>24</v>
      </c>
      <c r="BX23" s="11">
        <v>10</v>
      </c>
      <c r="BY23" s="11">
        <v>33</v>
      </c>
      <c r="BZ23" s="11">
        <v>18</v>
      </c>
      <c r="CA23" s="11">
        <v>23</v>
      </c>
      <c r="CB23" s="11">
        <v>19</v>
      </c>
      <c r="CC23" s="11">
        <v>46</v>
      </c>
      <c r="CD23" s="11">
        <v>34</v>
      </c>
      <c r="CE23" s="11">
        <v>51</v>
      </c>
      <c r="CF23" s="11">
        <v>42</v>
      </c>
      <c r="CG23" s="4">
        <v>2.6</v>
      </c>
      <c r="CH23" s="13">
        <v>1.52</v>
      </c>
      <c r="CI23" s="4">
        <v>5.5</v>
      </c>
      <c r="CJ23" s="4">
        <v>-5.5</v>
      </c>
      <c r="CK23" s="4">
        <v>165.5</v>
      </c>
      <c r="CL23" s="2" t="s">
        <v>508</v>
      </c>
      <c r="CM23" s="4" t="str">
        <f>VLOOKUP(dunker[[#This Row],[Away_team]],all[[Full name]:[Abbr]],3,FALSE)</f>
        <v>NAN</v>
      </c>
      <c r="CN23" s="4">
        <f>IF(OR(dunker[[#This Row],[Result]]="w",dunker[[#This Row],[Result]]="dw"),dunker[[#This Row],[win]]-1,-1)</f>
        <v>-1</v>
      </c>
      <c r="CO23" s="4">
        <f>IF(OR(dunker[[#This Row],[Result]]="L",dunker[[#This Row],[Result]]="dl"),dunker[[#This Row],[lose]]-1,-1)</f>
        <v>0.52</v>
      </c>
      <c r="CP23" s="4">
        <f>IF(OR((dunker[[#This Row],[Home_scored]]+dunker[[#This Row],[Away_scored]])&gt;dunker[[#This Row],[total]],OR(dunker[[#This Row],[Result]]="dw",dunker[[#This Row],[Result]]="dl")),1,0)</f>
        <v>1</v>
      </c>
      <c r="CQ23" s="4">
        <f>ABS((dunker[[#This Row],[Home_scored]]+dunker[[#This Row],[Away_scored]])-dunker[[#This Row],[total]])+0.5</f>
        <v>8</v>
      </c>
    </row>
    <row r="24" spans="1:95" x14ac:dyDescent="0.25">
      <c r="A24" s="2" t="s">
        <v>349</v>
      </c>
      <c r="B24" s="2" t="s">
        <v>314</v>
      </c>
      <c r="C24" s="3" t="s">
        <v>73</v>
      </c>
      <c r="D24" s="3">
        <v>45724</v>
      </c>
      <c r="E24" s="2" t="s">
        <v>140</v>
      </c>
      <c r="F24" s="2" t="s">
        <v>302</v>
      </c>
      <c r="G24" s="2" t="s">
        <v>139</v>
      </c>
      <c r="H24" s="11">
        <v>84</v>
      </c>
      <c r="I24" s="11">
        <v>94</v>
      </c>
      <c r="J24" s="11">
        <v>23</v>
      </c>
      <c r="K24" s="11">
        <v>51</v>
      </c>
      <c r="L24" s="12">
        <v>0.45100000000000001</v>
      </c>
      <c r="M24" s="11">
        <v>12</v>
      </c>
      <c r="N24" s="11">
        <v>27</v>
      </c>
      <c r="O24" s="12">
        <v>0.44440000000000002</v>
      </c>
      <c r="P24" s="11">
        <v>11</v>
      </c>
      <c r="Q24" s="11">
        <v>24</v>
      </c>
      <c r="R24" s="12">
        <v>0.45829999999999999</v>
      </c>
      <c r="S24" s="11">
        <v>27</v>
      </c>
      <c r="T24" s="11">
        <v>32</v>
      </c>
      <c r="U24" s="12">
        <v>0.84379999999999999</v>
      </c>
      <c r="V24" s="11">
        <v>5</v>
      </c>
      <c r="W24" s="11">
        <v>26</v>
      </c>
      <c r="X24" s="11">
        <v>31</v>
      </c>
      <c r="Y24" s="11">
        <v>11</v>
      </c>
      <c r="Z24" s="11">
        <v>2</v>
      </c>
      <c r="AA24" s="11">
        <v>0</v>
      </c>
      <c r="AB24" s="11">
        <v>12</v>
      </c>
      <c r="AC24" s="11">
        <v>32</v>
      </c>
      <c r="AD24" s="11">
        <v>30</v>
      </c>
      <c r="AE24" s="11">
        <v>66</v>
      </c>
      <c r="AF24" s="12">
        <v>0.45450000000000002</v>
      </c>
      <c r="AG24" s="11">
        <v>26</v>
      </c>
      <c r="AH24" s="11">
        <v>44</v>
      </c>
      <c r="AI24" s="12">
        <v>0.59089999999999998</v>
      </c>
      <c r="AJ24" s="11">
        <v>4</v>
      </c>
      <c r="AK24" s="11">
        <v>22</v>
      </c>
      <c r="AL24" s="12">
        <v>0.18179999999999999</v>
      </c>
      <c r="AM24" s="11">
        <v>30</v>
      </c>
      <c r="AN24" s="11">
        <v>37</v>
      </c>
      <c r="AO24" s="12">
        <v>0.81079999999999997</v>
      </c>
      <c r="AP24" s="11">
        <v>15</v>
      </c>
      <c r="AQ24" s="11">
        <v>24</v>
      </c>
      <c r="AR24" s="11">
        <v>39</v>
      </c>
      <c r="AS24" s="11">
        <v>19</v>
      </c>
      <c r="AT24" s="11">
        <v>8</v>
      </c>
      <c r="AU24" s="11">
        <v>1</v>
      </c>
      <c r="AV24" s="11">
        <v>7</v>
      </c>
      <c r="AW24" s="11">
        <v>27</v>
      </c>
      <c r="AX24" s="12">
        <v>0.64539999999999997</v>
      </c>
      <c r="AY24" s="12">
        <v>0.55879999999999996</v>
      </c>
      <c r="AZ24" s="12">
        <v>0.1724</v>
      </c>
      <c r="BA24" s="12">
        <v>0.6341</v>
      </c>
      <c r="BB24" s="12">
        <v>0.44290000000000002</v>
      </c>
      <c r="BC24" s="4">
        <v>70.968000000000004</v>
      </c>
      <c r="BD24" s="12">
        <v>0.4783</v>
      </c>
      <c r="BE24" s="12">
        <v>0.52939999999999998</v>
      </c>
      <c r="BF24" s="12">
        <v>0.15570000000000001</v>
      </c>
      <c r="BG24" s="4">
        <v>116.7</v>
      </c>
      <c r="BH24" s="4">
        <v>130.6</v>
      </c>
      <c r="BI24" s="4">
        <v>71.976500000000001</v>
      </c>
      <c r="BJ24" s="12">
        <v>0.57120000000000004</v>
      </c>
      <c r="BK24" s="12">
        <v>0.48480000000000001</v>
      </c>
      <c r="BL24" s="12">
        <v>0.3659</v>
      </c>
      <c r="BM24" s="12">
        <v>0.8276</v>
      </c>
      <c r="BN24" s="12">
        <v>0.55710000000000004</v>
      </c>
      <c r="BO24" s="4">
        <v>72.984999999999999</v>
      </c>
      <c r="BP24" s="12">
        <v>0.63329999999999997</v>
      </c>
      <c r="BQ24" s="12">
        <v>0.45450000000000002</v>
      </c>
      <c r="BR24" s="12">
        <v>7.8399999999999997E-2</v>
      </c>
      <c r="BS24" s="4">
        <v>130.6</v>
      </c>
      <c r="BT24" s="4">
        <v>116.7</v>
      </c>
      <c r="BU24" s="11">
        <v>25</v>
      </c>
      <c r="BV24" s="11">
        <v>21</v>
      </c>
      <c r="BW24" s="11">
        <v>20</v>
      </c>
      <c r="BX24" s="11">
        <v>18</v>
      </c>
      <c r="BY24" s="11">
        <v>19</v>
      </c>
      <c r="BZ24" s="11">
        <v>29</v>
      </c>
      <c r="CA24" s="11">
        <v>24</v>
      </c>
      <c r="CB24" s="11">
        <v>22</v>
      </c>
      <c r="CC24" s="11">
        <v>46</v>
      </c>
      <c r="CD24" s="11">
        <v>38</v>
      </c>
      <c r="CE24" s="11">
        <v>48</v>
      </c>
      <c r="CF24" s="11">
        <v>46</v>
      </c>
      <c r="CG24" s="4">
        <v>3.5</v>
      </c>
      <c r="CH24" s="13">
        <v>1.32</v>
      </c>
      <c r="CI24" s="4">
        <v>7.5</v>
      </c>
      <c r="CJ24" s="4">
        <v>-7.5</v>
      </c>
      <c r="CK24" s="4">
        <v>161.5</v>
      </c>
      <c r="CL24" s="2" t="s">
        <v>519</v>
      </c>
      <c r="CM24" s="4" t="str">
        <f>VLOOKUP(dunker[[#This Row],[Away_team]],all[[Full name]:[Abbr]],3,FALSE)</f>
        <v>BUR</v>
      </c>
      <c r="CN24" s="4">
        <f>IF(OR(dunker[[#This Row],[Result]]="w",dunker[[#This Row],[Result]]="dw"),dunker[[#This Row],[win]]-1,-1)</f>
        <v>-1</v>
      </c>
      <c r="CO24" s="4">
        <f>IF(OR(dunker[[#This Row],[Result]]="L",dunker[[#This Row],[Result]]="dl"),dunker[[#This Row],[lose]]-1,-1)</f>
        <v>0.32000000000000006</v>
      </c>
      <c r="CP24" s="4">
        <f>IF(OR((dunker[[#This Row],[Home_scored]]+dunker[[#This Row],[Away_scored]])&gt;dunker[[#This Row],[total]],OR(dunker[[#This Row],[Result]]="dw",dunker[[#This Row],[Result]]="dl")),1,0)</f>
        <v>1</v>
      </c>
      <c r="CQ24" s="4">
        <f>ABS((dunker[[#This Row],[Home_scored]]+dunker[[#This Row],[Away_scored]])-dunker[[#This Row],[total]])+0.5</f>
        <v>17</v>
      </c>
    </row>
    <row r="25" spans="1:95" x14ac:dyDescent="0.25">
      <c r="A25" s="2" t="s">
        <v>349</v>
      </c>
      <c r="B25" s="2" t="s">
        <v>314</v>
      </c>
      <c r="C25" s="3" t="s">
        <v>73</v>
      </c>
      <c r="D25" s="3">
        <v>45739</v>
      </c>
      <c r="E25" s="2" t="s">
        <v>74</v>
      </c>
      <c r="F25" s="2" t="s">
        <v>333</v>
      </c>
      <c r="G25" s="2" t="s">
        <v>139</v>
      </c>
      <c r="H25" s="11">
        <v>84</v>
      </c>
      <c r="I25" s="11">
        <v>87</v>
      </c>
      <c r="J25" s="11">
        <v>27</v>
      </c>
      <c r="K25" s="11">
        <v>64</v>
      </c>
      <c r="L25" s="12">
        <v>0.4219</v>
      </c>
      <c r="M25" s="11">
        <v>16</v>
      </c>
      <c r="N25" s="11">
        <v>33</v>
      </c>
      <c r="O25" s="12">
        <v>0.48480000000000001</v>
      </c>
      <c r="P25" s="11">
        <v>11</v>
      </c>
      <c r="Q25" s="11">
        <v>31</v>
      </c>
      <c r="R25" s="12">
        <v>0.3548</v>
      </c>
      <c r="S25" s="11">
        <v>19</v>
      </c>
      <c r="T25" s="11">
        <v>23</v>
      </c>
      <c r="U25" s="12">
        <v>0.82609999999999995</v>
      </c>
      <c r="V25" s="11">
        <v>12</v>
      </c>
      <c r="W25" s="11">
        <v>26</v>
      </c>
      <c r="X25" s="11">
        <v>38</v>
      </c>
      <c r="Y25" s="11">
        <v>23</v>
      </c>
      <c r="Z25" s="11">
        <v>2</v>
      </c>
      <c r="AA25" s="11">
        <v>2</v>
      </c>
      <c r="AB25" s="11">
        <v>12</v>
      </c>
      <c r="AC25" s="11">
        <v>17</v>
      </c>
      <c r="AD25" s="11">
        <v>36</v>
      </c>
      <c r="AE25" s="11">
        <v>65</v>
      </c>
      <c r="AF25" s="12">
        <v>0.55379999999999996</v>
      </c>
      <c r="AG25" s="11">
        <v>28</v>
      </c>
      <c r="AH25" s="11">
        <v>42</v>
      </c>
      <c r="AI25" s="12">
        <v>0.66669999999999996</v>
      </c>
      <c r="AJ25" s="11">
        <v>8</v>
      </c>
      <c r="AK25" s="11">
        <v>23</v>
      </c>
      <c r="AL25" s="12">
        <v>0.3478</v>
      </c>
      <c r="AM25" s="11">
        <v>7</v>
      </c>
      <c r="AN25" s="11">
        <v>13</v>
      </c>
      <c r="AO25" s="12">
        <v>0.53849999999999998</v>
      </c>
      <c r="AP25" s="11">
        <v>5</v>
      </c>
      <c r="AQ25" s="11">
        <v>26</v>
      </c>
      <c r="AR25" s="11">
        <v>31</v>
      </c>
      <c r="AS25" s="11">
        <v>22</v>
      </c>
      <c r="AT25" s="11">
        <v>7</v>
      </c>
      <c r="AU25" s="11">
        <v>5</v>
      </c>
      <c r="AV25" s="11">
        <v>9</v>
      </c>
      <c r="AW25" s="11">
        <v>20</v>
      </c>
      <c r="AX25" s="12">
        <v>0.56659999999999999</v>
      </c>
      <c r="AY25" s="12">
        <v>0.50780000000000003</v>
      </c>
      <c r="AZ25" s="12">
        <v>0.31580000000000003</v>
      </c>
      <c r="BA25" s="12">
        <v>0.8387</v>
      </c>
      <c r="BB25" s="12">
        <v>0.55069999999999997</v>
      </c>
      <c r="BC25" s="4">
        <v>72.697999999999993</v>
      </c>
      <c r="BD25" s="12">
        <v>0.85189999999999999</v>
      </c>
      <c r="BE25" s="12">
        <v>0.2969</v>
      </c>
      <c r="BF25" s="12">
        <v>0.13930000000000001</v>
      </c>
      <c r="BG25" s="4">
        <v>114.4</v>
      </c>
      <c r="BH25" s="4">
        <v>118.5</v>
      </c>
      <c r="BI25" s="4">
        <v>73.4465</v>
      </c>
      <c r="BJ25" s="12">
        <v>0.61509999999999998</v>
      </c>
      <c r="BK25" s="12">
        <v>0.61539999999999995</v>
      </c>
      <c r="BL25" s="12">
        <v>0.1613</v>
      </c>
      <c r="BM25" s="12">
        <v>0.68420000000000003</v>
      </c>
      <c r="BN25" s="12">
        <v>0.44929999999999998</v>
      </c>
      <c r="BO25" s="4">
        <v>74.194999999999993</v>
      </c>
      <c r="BP25" s="12">
        <v>0.61109999999999998</v>
      </c>
      <c r="BQ25" s="12">
        <v>0.1077</v>
      </c>
      <c r="BR25" s="12">
        <v>0.1129</v>
      </c>
      <c r="BS25" s="4">
        <v>118.5</v>
      </c>
      <c r="BT25" s="4">
        <v>114.4</v>
      </c>
      <c r="BU25" s="11">
        <v>19</v>
      </c>
      <c r="BV25" s="11">
        <v>21</v>
      </c>
      <c r="BW25" s="11">
        <v>21</v>
      </c>
      <c r="BX25" s="11">
        <v>23</v>
      </c>
      <c r="BY25" s="11">
        <v>24</v>
      </c>
      <c r="BZ25" s="11">
        <v>18</v>
      </c>
      <c r="CA25" s="11">
        <v>26</v>
      </c>
      <c r="CB25" s="11">
        <v>19</v>
      </c>
      <c r="CC25" s="11">
        <v>40</v>
      </c>
      <c r="CD25" s="11">
        <v>44</v>
      </c>
      <c r="CE25" s="11">
        <v>42</v>
      </c>
      <c r="CF25" s="11">
        <v>45</v>
      </c>
      <c r="CG25" s="4">
        <v>1.76</v>
      </c>
      <c r="CH25" s="13">
        <v>2.1</v>
      </c>
      <c r="CI25" s="4">
        <v>-2</v>
      </c>
      <c r="CJ25" s="4">
        <v>-2</v>
      </c>
      <c r="CK25" s="4">
        <v>165.5</v>
      </c>
      <c r="CL25" s="2" t="s">
        <v>527</v>
      </c>
      <c r="CM25" s="4" t="str">
        <f>VLOOKUP(dunker[[#This Row],[Away_team]],all[[Full name]:[Abbr]],3,FALSE)</f>
        <v>NCY</v>
      </c>
      <c r="CN25" s="4">
        <f>IF(OR(dunker[[#This Row],[Result]]="w",dunker[[#This Row],[Result]]="dw"),dunker[[#This Row],[win]]-1,-1)</f>
        <v>-1</v>
      </c>
      <c r="CO25" s="4">
        <f>IF(OR(dunker[[#This Row],[Result]]="L",dunker[[#This Row],[Result]]="dl"),dunker[[#This Row],[lose]]-1,-1)</f>
        <v>1.1000000000000001</v>
      </c>
      <c r="CP25" s="4">
        <f>IF(OR((dunker[[#This Row],[Home_scored]]+dunker[[#This Row],[Away_scored]])&gt;dunker[[#This Row],[total]],OR(dunker[[#This Row],[Result]]="dw",dunker[[#This Row],[Result]]="dl")),1,0)</f>
        <v>1</v>
      </c>
      <c r="CQ25" s="4">
        <f>ABS((dunker[[#This Row],[Home_scored]]+dunker[[#This Row],[Away_scored]])-dunker[[#This Row],[total]])+0.5</f>
        <v>6</v>
      </c>
    </row>
    <row r="26" spans="1:95" x14ac:dyDescent="0.25">
      <c r="A26" s="2" t="s">
        <v>349</v>
      </c>
      <c r="B26" s="2" t="s">
        <v>314</v>
      </c>
      <c r="C26" s="3" t="s">
        <v>73</v>
      </c>
      <c r="D26" s="3">
        <v>45746</v>
      </c>
      <c r="E26" s="2" t="s">
        <v>140</v>
      </c>
      <c r="F26" s="2" t="s">
        <v>339</v>
      </c>
      <c r="G26" s="2" t="s">
        <v>139</v>
      </c>
      <c r="H26" s="11">
        <v>66</v>
      </c>
      <c r="I26" s="11">
        <v>109</v>
      </c>
      <c r="J26" s="11">
        <v>25</v>
      </c>
      <c r="K26" s="11">
        <v>72</v>
      </c>
      <c r="L26" s="12">
        <v>0.34720000000000001</v>
      </c>
      <c r="M26" s="11">
        <v>17</v>
      </c>
      <c r="N26" s="11">
        <v>29</v>
      </c>
      <c r="O26" s="12">
        <v>0.58620000000000005</v>
      </c>
      <c r="P26" s="11">
        <v>8</v>
      </c>
      <c r="Q26" s="11">
        <v>43</v>
      </c>
      <c r="R26" s="12">
        <v>0.186</v>
      </c>
      <c r="S26" s="11">
        <v>8</v>
      </c>
      <c r="T26" s="11">
        <v>11</v>
      </c>
      <c r="U26" s="12">
        <v>0.72729999999999995</v>
      </c>
      <c r="V26" s="11">
        <v>18</v>
      </c>
      <c r="W26" s="11">
        <v>18</v>
      </c>
      <c r="X26" s="11">
        <v>36</v>
      </c>
      <c r="Y26" s="11">
        <v>14</v>
      </c>
      <c r="Z26" s="11">
        <v>5</v>
      </c>
      <c r="AA26" s="11">
        <v>2</v>
      </c>
      <c r="AB26" s="11">
        <v>11</v>
      </c>
      <c r="AC26" s="11">
        <v>19</v>
      </c>
      <c r="AD26" s="11">
        <v>42</v>
      </c>
      <c r="AE26" s="11">
        <v>66</v>
      </c>
      <c r="AF26" s="12">
        <v>0.63639999999999997</v>
      </c>
      <c r="AG26" s="11">
        <v>29</v>
      </c>
      <c r="AH26" s="11">
        <v>36</v>
      </c>
      <c r="AI26" s="12">
        <v>0.80559999999999998</v>
      </c>
      <c r="AJ26" s="11">
        <v>13</v>
      </c>
      <c r="AK26" s="11">
        <v>30</v>
      </c>
      <c r="AL26" s="12">
        <v>0.43330000000000002</v>
      </c>
      <c r="AM26" s="11">
        <v>12</v>
      </c>
      <c r="AN26" s="11">
        <v>17</v>
      </c>
      <c r="AO26" s="12">
        <v>0.70589999999999997</v>
      </c>
      <c r="AP26" s="11">
        <v>9</v>
      </c>
      <c r="AQ26" s="11">
        <v>30</v>
      </c>
      <c r="AR26" s="11">
        <v>39</v>
      </c>
      <c r="AS26" s="11">
        <v>29</v>
      </c>
      <c r="AT26" s="11">
        <v>6</v>
      </c>
      <c r="AU26" s="11">
        <v>3</v>
      </c>
      <c r="AV26" s="11">
        <v>8</v>
      </c>
      <c r="AW26" s="11">
        <v>18</v>
      </c>
      <c r="AX26" s="12">
        <v>0.42949999999999999</v>
      </c>
      <c r="AY26" s="12">
        <v>0.40279999999999999</v>
      </c>
      <c r="AZ26" s="12">
        <v>0.375</v>
      </c>
      <c r="BA26" s="12">
        <v>0.66669999999999996</v>
      </c>
      <c r="BB26" s="12">
        <v>0.48</v>
      </c>
      <c r="BC26" s="4">
        <v>62.255000000000003</v>
      </c>
      <c r="BD26" s="12">
        <v>0.56000000000000005</v>
      </c>
      <c r="BE26" s="12">
        <v>0.1111</v>
      </c>
      <c r="BF26" s="12">
        <v>0.12520000000000001</v>
      </c>
      <c r="BG26" s="4">
        <v>96.3</v>
      </c>
      <c r="BH26" s="4">
        <v>159</v>
      </c>
      <c r="BI26" s="4">
        <v>68.564499999999995</v>
      </c>
      <c r="BJ26" s="12">
        <v>0.74170000000000003</v>
      </c>
      <c r="BK26" s="12">
        <v>0.73480000000000001</v>
      </c>
      <c r="BL26" s="12">
        <v>0.33329999999999999</v>
      </c>
      <c r="BM26" s="12">
        <v>0.625</v>
      </c>
      <c r="BN26" s="12">
        <v>0.52</v>
      </c>
      <c r="BO26" s="4">
        <v>74.873999999999995</v>
      </c>
      <c r="BP26" s="12">
        <v>0.6905</v>
      </c>
      <c r="BQ26" s="12">
        <v>0.18179999999999999</v>
      </c>
      <c r="BR26" s="12">
        <v>9.8199999999999996E-2</v>
      </c>
      <c r="BS26" s="4">
        <v>159</v>
      </c>
      <c r="BT26" s="4">
        <v>96.3</v>
      </c>
      <c r="BU26" s="11">
        <v>13</v>
      </c>
      <c r="BV26" s="11">
        <v>14</v>
      </c>
      <c r="BW26" s="11">
        <v>22</v>
      </c>
      <c r="BX26" s="11">
        <v>17</v>
      </c>
      <c r="BY26" s="11">
        <v>26</v>
      </c>
      <c r="BZ26" s="11">
        <v>30</v>
      </c>
      <c r="CA26" s="11">
        <v>29</v>
      </c>
      <c r="CB26" s="11">
        <v>24</v>
      </c>
      <c r="CC26" s="11">
        <v>27</v>
      </c>
      <c r="CD26" s="11">
        <v>39</v>
      </c>
      <c r="CE26" s="11">
        <v>56</v>
      </c>
      <c r="CF26" s="11">
        <v>53</v>
      </c>
      <c r="CG26" s="4">
        <v>6</v>
      </c>
      <c r="CH26" s="13">
        <v>1.1399999999999999</v>
      </c>
      <c r="CI26" s="4">
        <v>11.5</v>
      </c>
      <c r="CJ26" s="4">
        <v>-11.5</v>
      </c>
      <c r="CK26" s="4">
        <v>173.5</v>
      </c>
      <c r="CL26" s="2" t="s">
        <v>536</v>
      </c>
      <c r="CM26" s="4" t="str">
        <f>VLOOKUP(dunker[[#This Row],[Away_team]],all[[Full name]:[Abbr]],3,FALSE)</f>
        <v>PAR</v>
      </c>
      <c r="CN26" s="4">
        <f>IF(OR(dunker[[#This Row],[Result]]="w",dunker[[#This Row],[Result]]="dw"),dunker[[#This Row],[win]]-1,-1)</f>
        <v>-1</v>
      </c>
      <c r="CO26" s="4">
        <f>IF(OR(dunker[[#This Row],[Result]]="L",dunker[[#This Row],[Result]]="dl"),dunker[[#This Row],[lose]]-1,-1)</f>
        <v>0.1399999999999999</v>
      </c>
      <c r="CP26" s="4">
        <f>IF(OR((dunker[[#This Row],[Home_scored]]+dunker[[#This Row],[Away_scored]])&gt;dunker[[#This Row],[total]],OR(dunker[[#This Row],[Result]]="dw",dunker[[#This Row],[Result]]="dl")),1,0)</f>
        <v>1</v>
      </c>
      <c r="CQ26" s="4">
        <f>ABS((dunker[[#This Row],[Home_scored]]+dunker[[#This Row],[Away_scored]])-dunker[[#This Row],[total]])+0.5</f>
        <v>2</v>
      </c>
    </row>
    <row r="27" spans="1:95" x14ac:dyDescent="0.25">
      <c r="A27" s="2" t="s">
        <v>349</v>
      </c>
      <c r="B27" s="2" t="s">
        <v>314</v>
      </c>
      <c r="C27" s="3" t="s">
        <v>73</v>
      </c>
      <c r="D27" s="3">
        <v>45753</v>
      </c>
      <c r="E27" s="2" t="s">
        <v>74</v>
      </c>
      <c r="F27" s="2" t="s">
        <v>320</v>
      </c>
      <c r="G27" s="2" t="s">
        <v>75</v>
      </c>
      <c r="H27" s="11">
        <v>104</v>
      </c>
      <c r="I27" s="11">
        <v>80</v>
      </c>
      <c r="J27" s="11">
        <v>38</v>
      </c>
      <c r="K27" s="11">
        <v>66</v>
      </c>
      <c r="L27" s="12">
        <v>0.57579999999999998</v>
      </c>
      <c r="M27" s="11">
        <v>22</v>
      </c>
      <c r="N27" s="11">
        <v>35</v>
      </c>
      <c r="O27" s="12">
        <v>0.62860000000000005</v>
      </c>
      <c r="P27" s="11">
        <v>16</v>
      </c>
      <c r="Q27" s="11">
        <v>31</v>
      </c>
      <c r="R27" s="12">
        <v>0.5161</v>
      </c>
      <c r="S27" s="11">
        <v>12</v>
      </c>
      <c r="T27" s="11">
        <v>13</v>
      </c>
      <c r="U27" s="12">
        <v>0.92310000000000003</v>
      </c>
      <c r="V27" s="11">
        <v>7</v>
      </c>
      <c r="W27" s="11">
        <v>21</v>
      </c>
      <c r="X27" s="11">
        <v>28</v>
      </c>
      <c r="Y27" s="11">
        <v>26</v>
      </c>
      <c r="Z27" s="11">
        <v>9</v>
      </c>
      <c r="AA27" s="11">
        <v>1</v>
      </c>
      <c r="AB27" s="11">
        <v>8</v>
      </c>
      <c r="AC27" s="11">
        <v>17</v>
      </c>
      <c r="AD27" s="11">
        <v>28</v>
      </c>
      <c r="AE27" s="11">
        <v>56</v>
      </c>
      <c r="AF27" s="12">
        <v>0.5</v>
      </c>
      <c r="AG27" s="11">
        <v>16</v>
      </c>
      <c r="AH27" s="11">
        <v>31</v>
      </c>
      <c r="AI27" s="12">
        <v>0.5161</v>
      </c>
      <c r="AJ27" s="11">
        <v>12</v>
      </c>
      <c r="AK27" s="11">
        <v>25</v>
      </c>
      <c r="AL27" s="12">
        <v>0.48</v>
      </c>
      <c r="AM27" s="11">
        <v>12</v>
      </c>
      <c r="AN27" s="11">
        <v>16</v>
      </c>
      <c r="AO27" s="12">
        <v>0.75</v>
      </c>
      <c r="AP27" s="11">
        <v>8</v>
      </c>
      <c r="AQ27" s="11">
        <v>20</v>
      </c>
      <c r="AR27" s="11">
        <v>28</v>
      </c>
      <c r="AS27" s="11">
        <v>16</v>
      </c>
      <c r="AT27" s="11">
        <v>3</v>
      </c>
      <c r="AU27" s="11">
        <v>3</v>
      </c>
      <c r="AV27" s="11">
        <v>16</v>
      </c>
      <c r="AW27" s="11">
        <v>21</v>
      </c>
      <c r="AX27" s="12">
        <v>0.72499999999999998</v>
      </c>
      <c r="AY27" s="12">
        <v>0.69699999999999995</v>
      </c>
      <c r="AZ27" s="12">
        <v>0.25929999999999997</v>
      </c>
      <c r="BA27" s="12">
        <v>0.72409999999999997</v>
      </c>
      <c r="BB27" s="12">
        <v>0.5</v>
      </c>
      <c r="BC27" s="4">
        <v>71.709999999999994</v>
      </c>
      <c r="BD27" s="12">
        <v>0.68420000000000003</v>
      </c>
      <c r="BE27" s="12">
        <v>0.18179999999999999</v>
      </c>
      <c r="BF27" s="12">
        <v>0.1004</v>
      </c>
      <c r="BG27" s="4">
        <v>146.9</v>
      </c>
      <c r="BH27" s="4">
        <v>113</v>
      </c>
      <c r="BI27" s="4">
        <v>70.775000000000006</v>
      </c>
      <c r="BJ27" s="12">
        <v>0.63449999999999995</v>
      </c>
      <c r="BK27" s="12">
        <v>0.60709999999999997</v>
      </c>
      <c r="BL27" s="12">
        <v>0.27589999999999998</v>
      </c>
      <c r="BM27" s="12">
        <v>0.74070000000000003</v>
      </c>
      <c r="BN27" s="12">
        <v>0.5</v>
      </c>
      <c r="BO27" s="4">
        <v>69.84</v>
      </c>
      <c r="BP27" s="12">
        <v>0.57140000000000002</v>
      </c>
      <c r="BQ27" s="12">
        <v>0.21429999999999999</v>
      </c>
      <c r="BR27" s="12">
        <v>0.2024</v>
      </c>
      <c r="BS27" s="4">
        <v>113</v>
      </c>
      <c r="BT27" s="4">
        <v>146.9</v>
      </c>
      <c r="BU27" s="11">
        <v>22</v>
      </c>
      <c r="BV27" s="11">
        <v>18</v>
      </c>
      <c r="BW27" s="11">
        <v>28</v>
      </c>
      <c r="BX27" s="11">
        <v>36</v>
      </c>
      <c r="BY27" s="11">
        <v>16</v>
      </c>
      <c r="BZ27" s="11">
        <v>23</v>
      </c>
      <c r="CA27" s="11">
        <v>17</v>
      </c>
      <c r="CB27" s="11">
        <v>24</v>
      </c>
      <c r="CC27" s="11">
        <v>40</v>
      </c>
      <c r="CD27" s="11">
        <v>64</v>
      </c>
      <c r="CE27" s="11">
        <v>39</v>
      </c>
      <c r="CF27" s="11">
        <v>41</v>
      </c>
      <c r="CG27" s="4">
        <v>1.52</v>
      </c>
      <c r="CH27" s="13">
        <v>2.6</v>
      </c>
      <c r="CI27" s="4">
        <v>-4.5</v>
      </c>
      <c r="CJ27" s="4">
        <v>4.5</v>
      </c>
      <c r="CK27" s="4">
        <v>156.5</v>
      </c>
      <c r="CL27" s="2" t="s">
        <v>543</v>
      </c>
      <c r="CM27" s="4" t="str">
        <f>VLOOKUP(dunker[[#This Row],[Away_team]],all[[Full name]:[Abbr]],3,FALSE)</f>
        <v>POR</v>
      </c>
      <c r="CN27" s="4">
        <f>IF(OR(dunker[[#This Row],[Result]]="w",dunker[[#This Row],[Result]]="dw"),dunker[[#This Row],[win]]-1,-1)</f>
        <v>0.52</v>
      </c>
      <c r="CO27" s="4">
        <f>IF(OR(dunker[[#This Row],[Result]]="L",dunker[[#This Row],[Result]]="dl"),dunker[[#This Row],[lose]]-1,-1)</f>
        <v>-1</v>
      </c>
      <c r="CP27" s="4">
        <f>IF(OR((dunker[[#This Row],[Home_scored]]+dunker[[#This Row],[Away_scored]])&gt;dunker[[#This Row],[total]],OR(dunker[[#This Row],[Result]]="dw",dunker[[#This Row],[Result]]="dl")),1,0)</f>
        <v>1</v>
      </c>
      <c r="CQ27" s="4">
        <f>ABS((dunker[[#This Row],[Home_scored]]+dunker[[#This Row],[Away_scored]])-dunker[[#This Row],[total]])+0.5</f>
        <v>28</v>
      </c>
    </row>
    <row r="28" spans="1:95" x14ac:dyDescent="0.25">
      <c r="A28" s="2" t="s">
        <v>349</v>
      </c>
      <c r="B28" s="2" t="s">
        <v>314</v>
      </c>
      <c r="C28" s="3" t="s">
        <v>73</v>
      </c>
      <c r="D28" s="3">
        <v>45760</v>
      </c>
      <c r="E28" s="2" t="s">
        <v>74</v>
      </c>
      <c r="F28" s="2" t="s">
        <v>317</v>
      </c>
      <c r="G28" s="2" t="s">
        <v>75</v>
      </c>
      <c r="H28" s="11">
        <v>91</v>
      </c>
      <c r="I28" s="11">
        <v>85</v>
      </c>
      <c r="J28" s="11">
        <v>29</v>
      </c>
      <c r="K28" s="11">
        <v>61</v>
      </c>
      <c r="L28" s="12">
        <v>0.47539999999999999</v>
      </c>
      <c r="M28" s="11">
        <v>18</v>
      </c>
      <c r="N28" s="11">
        <v>37</v>
      </c>
      <c r="O28" s="12">
        <v>0.48649999999999999</v>
      </c>
      <c r="P28" s="11">
        <v>11</v>
      </c>
      <c r="Q28" s="11">
        <v>24</v>
      </c>
      <c r="R28" s="12">
        <v>0.45829999999999999</v>
      </c>
      <c r="S28" s="11">
        <v>22</v>
      </c>
      <c r="T28" s="11">
        <v>27</v>
      </c>
      <c r="U28" s="12">
        <v>0.81479999999999997</v>
      </c>
      <c r="V28" s="11">
        <v>7</v>
      </c>
      <c r="W28" s="11">
        <v>27</v>
      </c>
      <c r="X28" s="11">
        <v>34</v>
      </c>
      <c r="Y28" s="11">
        <v>17</v>
      </c>
      <c r="Z28" s="11">
        <v>9</v>
      </c>
      <c r="AA28" s="11">
        <v>3</v>
      </c>
      <c r="AB28" s="11">
        <v>11</v>
      </c>
      <c r="AC28" s="11">
        <v>17</v>
      </c>
      <c r="AD28" s="11">
        <v>31</v>
      </c>
      <c r="AE28" s="11">
        <v>74</v>
      </c>
      <c r="AF28" s="12">
        <v>0.41889999999999999</v>
      </c>
      <c r="AG28" s="11">
        <v>22</v>
      </c>
      <c r="AH28" s="11">
        <v>40</v>
      </c>
      <c r="AI28" s="12">
        <v>0.55000000000000004</v>
      </c>
      <c r="AJ28" s="11">
        <v>9</v>
      </c>
      <c r="AK28" s="11">
        <v>34</v>
      </c>
      <c r="AL28" s="12">
        <v>0.26469999999999999</v>
      </c>
      <c r="AM28" s="11">
        <v>14</v>
      </c>
      <c r="AN28" s="11">
        <v>18</v>
      </c>
      <c r="AO28" s="12">
        <v>0.77780000000000005</v>
      </c>
      <c r="AP28" s="11">
        <v>15</v>
      </c>
      <c r="AQ28" s="11">
        <v>27</v>
      </c>
      <c r="AR28" s="11">
        <v>42</v>
      </c>
      <c r="AS28" s="11">
        <v>15</v>
      </c>
      <c r="AT28" s="11">
        <v>7</v>
      </c>
      <c r="AU28" s="11">
        <v>4</v>
      </c>
      <c r="AV28" s="11">
        <v>9</v>
      </c>
      <c r="AW28" s="11">
        <v>22</v>
      </c>
      <c r="AX28" s="12">
        <v>0.62429999999999997</v>
      </c>
      <c r="AY28" s="12">
        <v>0.56559999999999999</v>
      </c>
      <c r="AZ28" s="12">
        <v>0.2059</v>
      </c>
      <c r="BA28" s="12">
        <v>0.64290000000000003</v>
      </c>
      <c r="BB28" s="12">
        <v>0.44740000000000002</v>
      </c>
      <c r="BC28" s="4">
        <v>75.751000000000005</v>
      </c>
      <c r="BD28" s="12">
        <v>0.58620000000000005</v>
      </c>
      <c r="BE28" s="12">
        <v>0.36070000000000002</v>
      </c>
      <c r="BF28" s="12">
        <v>0.13109999999999999</v>
      </c>
      <c r="BG28" s="4">
        <v>121.7</v>
      </c>
      <c r="BH28" s="4">
        <v>113.7</v>
      </c>
      <c r="BI28" s="4">
        <v>74.759500000000003</v>
      </c>
      <c r="BJ28" s="12">
        <v>0.51880000000000004</v>
      </c>
      <c r="BK28" s="12">
        <v>0.47970000000000002</v>
      </c>
      <c r="BL28" s="12">
        <v>0.35709999999999997</v>
      </c>
      <c r="BM28" s="12">
        <v>0.79410000000000003</v>
      </c>
      <c r="BN28" s="12">
        <v>0.55259999999999998</v>
      </c>
      <c r="BO28" s="4">
        <v>73.768000000000001</v>
      </c>
      <c r="BP28" s="12">
        <v>0.4839</v>
      </c>
      <c r="BQ28" s="12">
        <v>0.18920000000000001</v>
      </c>
      <c r="BR28" s="12">
        <v>9.9000000000000005E-2</v>
      </c>
      <c r="BS28" s="4">
        <v>113.7</v>
      </c>
      <c r="BT28" s="4">
        <v>121.7</v>
      </c>
      <c r="BU28" s="11">
        <v>28</v>
      </c>
      <c r="BV28" s="11">
        <v>22</v>
      </c>
      <c r="BW28" s="11">
        <v>21</v>
      </c>
      <c r="BX28" s="11">
        <v>20</v>
      </c>
      <c r="BY28" s="11">
        <v>19</v>
      </c>
      <c r="BZ28" s="11">
        <v>23</v>
      </c>
      <c r="CA28" s="11">
        <v>26</v>
      </c>
      <c r="CB28" s="11">
        <v>17</v>
      </c>
      <c r="CC28" s="11">
        <v>50</v>
      </c>
      <c r="CD28" s="11">
        <v>41</v>
      </c>
      <c r="CE28" s="11">
        <v>42</v>
      </c>
      <c r="CF28" s="11">
        <v>43</v>
      </c>
      <c r="CG28" s="4">
        <v>2.5</v>
      </c>
      <c r="CH28" s="13">
        <v>1.55</v>
      </c>
      <c r="CI28" s="4">
        <v>4</v>
      </c>
      <c r="CJ28" s="4">
        <v>-4</v>
      </c>
      <c r="CK28" s="4">
        <v>167.5</v>
      </c>
      <c r="CL28" s="2" t="s">
        <v>552</v>
      </c>
      <c r="CM28" s="4" t="str">
        <f>VLOOKUP(dunker[[#This Row],[Away_team]],all[[Full name]:[Abbr]],3,FALSE)</f>
        <v>LEM</v>
      </c>
      <c r="CN28" s="4">
        <f>IF(OR(dunker[[#This Row],[Result]]="w",dunker[[#This Row],[Result]]="dw"),dunker[[#This Row],[win]]-1,-1)</f>
        <v>1.5</v>
      </c>
      <c r="CO28" s="4">
        <f>IF(OR(dunker[[#This Row],[Result]]="L",dunker[[#This Row],[Result]]="dl"),dunker[[#This Row],[lose]]-1,-1)</f>
        <v>-1</v>
      </c>
      <c r="CP28" s="4">
        <f>IF(OR((dunker[[#This Row],[Home_scored]]+dunker[[#This Row],[Away_scored]])&gt;dunker[[#This Row],[total]],OR(dunker[[#This Row],[Result]]="dw",dunker[[#This Row],[Result]]="dl")),1,0)</f>
        <v>1</v>
      </c>
      <c r="CQ28" s="4">
        <f>ABS((dunker[[#This Row],[Home_scored]]+dunker[[#This Row],[Away_scored]])-dunker[[#This Row],[total]])+0.5</f>
        <v>9</v>
      </c>
    </row>
    <row r="29" spans="1:95" x14ac:dyDescent="0.25">
      <c r="A29" s="2" t="s">
        <v>349</v>
      </c>
      <c r="B29" s="2" t="s">
        <v>314</v>
      </c>
      <c r="C29" s="3" t="s">
        <v>73</v>
      </c>
      <c r="D29" s="3">
        <v>45767</v>
      </c>
      <c r="E29" s="2" t="s">
        <v>140</v>
      </c>
      <c r="F29" s="2" t="s">
        <v>324</v>
      </c>
      <c r="G29" s="2" t="s">
        <v>146</v>
      </c>
      <c r="H29" s="11">
        <v>83</v>
      </c>
      <c r="I29" s="11">
        <v>83</v>
      </c>
      <c r="J29" s="11">
        <v>30</v>
      </c>
      <c r="K29" s="11">
        <v>68</v>
      </c>
      <c r="L29" s="12">
        <v>0.44119999999999998</v>
      </c>
      <c r="M29" s="11">
        <v>19</v>
      </c>
      <c r="N29" s="11">
        <v>35</v>
      </c>
      <c r="O29" s="12">
        <v>0.54290000000000005</v>
      </c>
      <c r="P29" s="11">
        <v>11</v>
      </c>
      <c r="Q29" s="11">
        <v>33</v>
      </c>
      <c r="R29" s="12">
        <v>0.33329999999999999</v>
      </c>
      <c r="S29" s="11">
        <v>12</v>
      </c>
      <c r="T29" s="11">
        <v>17</v>
      </c>
      <c r="U29" s="12">
        <v>0.70589999999999997</v>
      </c>
      <c r="V29" s="11">
        <v>15</v>
      </c>
      <c r="W29" s="11">
        <v>29</v>
      </c>
      <c r="X29" s="11">
        <v>44</v>
      </c>
      <c r="Y29" s="11">
        <v>15</v>
      </c>
      <c r="Z29" s="11">
        <v>2</v>
      </c>
      <c r="AA29" s="11">
        <v>1</v>
      </c>
      <c r="AB29" s="11">
        <v>13</v>
      </c>
      <c r="AC29" s="11">
        <v>28</v>
      </c>
      <c r="AD29" s="11">
        <v>29</v>
      </c>
      <c r="AE29" s="11">
        <v>65</v>
      </c>
      <c r="AF29" s="12">
        <v>0.44619999999999999</v>
      </c>
      <c r="AG29" s="11">
        <v>22</v>
      </c>
      <c r="AH29" s="11">
        <v>44</v>
      </c>
      <c r="AI29" s="12">
        <v>0.5</v>
      </c>
      <c r="AJ29" s="11">
        <v>7</v>
      </c>
      <c r="AK29" s="11">
        <v>21</v>
      </c>
      <c r="AL29" s="12">
        <v>0.33329999999999999</v>
      </c>
      <c r="AM29" s="11">
        <v>18</v>
      </c>
      <c r="AN29" s="11">
        <v>27</v>
      </c>
      <c r="AO29" s="12">
        <v>0.66669999999999996</v>
      </c>
      <c r="AP29" s="11">
        <v>10</v>
      </c>
      <c r="AQ29" s="11">
        <v>26</v>
      </c>
      <c r="AR29" s="11">
        <v>36</v>
      </c>
      <c r="AS29" s="11">
        <v>27</v>
      </c>
      <c r="AT29" s="11">
        <v>7</v>
      </c>
      <c r="AU29" s="11">
        <v>5</v>
      </c>
      <c r="AV29" s="11">
        <v>5</v>
      </c>
      <c r="AW29" s="11">
        <v>21</v>
      </c>
      <c r="AX29" s="12">
        <v>0.54979999999999996</v>
      </c>
      <c r="AY29" s="12">
        <v>0.52210000000000001</v>
      </c>
      <c r="AZ29" s="12">
        <v>0.3659</v>
      </c>
      <c r="BA29" s="12">
        <v>0.74360000000000004</v>
      </c>
      <c r="BB29" s="12">
        <v>0.55000000000000004</v>
      </c>
      <c r="BC29" s="4">
        <v>73.938999999999993</v>
      </c>
      <c r="BD29" s="12">
        <v>0.5</v>
      </c>
      <c r="BE29" s="12">
        <v>0.17649999999999999</v>
      </c>
      <c r="BF29" s="12">
        <v>0.1469</v>
      </c>
      <c r="BG29" s="4">
        <v>115.2</v>
      </c>
      <c r="BH29" s="4">
        <v>115.2</v>
      </c>
      <c r="BI29" s="4">
        <v>72.019499999999994</v>
      </c>
      <c r="BJ29" s="12">
        <v>0.53979999999999995</v>
      </c>
      <c r="BK29" s="12">
        <v>0.5</v>
      </c>
      <c r="BL29" s="12">
        <v>0.25640000000000002</v>
      </c>
      <c r="BM29" s="12">
        <v>0.6341</v>
      </c>
      <c r="BN29" s="12">
        <v>0.45</v>
      </c>
      <c r="BO29" s="4">
        <v>70.099999999999994</v>
      </c>
      <c r="BP29" s="12">
        <v>0.93100000000000005</v>
      </c>
      <c r="BQ29" s="12">
        <v>0.27689999999999998</v>
      </c>
      <c r="BR29" s="12">
        <v>6.1100000000000002E-2</v>
      </c>
      <c r="BS29" s="4">
        <v>115.2</v>
      </c>
      <c r="BT29" s="4">
        <v>115.2</v>
      </c>
      <c r="BU29" s="11">
        <v>21</v>
      </c>
      <c r="BV29" s="11">
        <v>18</v>
      </c>
      <c r="BW29" s="11">
        <v>19</v>
      </c>
      <c r="BX29" s="11">
        <v>25</v>
      </c>
      <c r="BY29" s="11">
        <v>20</v>
      </c>
      <c r="BZ29" s="11">
        <v>24</v>
      </c>
      <c r="CA29" s="11">
        <v>12</v>
      </c>
      <c r="CB29" s="11">
        <v>27</v>
      </c>
      <c r="CC29" s="11">
        <v>39</v>
      </c>
      <c r="CD29" s="11">
        <v>44</v>
      </c>
      <c r="CE29" s="11">
        <v>44</v>
      </c>
      <c r="CF29" s="11">
        <v>39</v>
      </c>
      <c r="CG29" s="4">
        <v>2.4</v>
      </c>
      <c r="CH29" s="13">
        <v>1.6</v>
      </c>
      <c r="CI29" s="4">
        <v>3.5</v>
      </c>
      <c r="CJ29" s="4">
        <v>-3.5</v>
      </c>
      <c r="CK29" s="4">
        <v>162.5</v>
      </c>
      <c r="CL29" s="2" t="s">
        <v>561</v>
      </c>
      <c r="CM29" s="4" t="str">
        <f>VLOOKUP(dunker[[#This Row],[Away_team]],all[[Full name]:[Abbr]],3,FALSE)</f>
        <v>LIM</v>
      </c>
      <c r="CN29" s="4">
        <f>IF(OR(dunker[[#This Row],[Result]]="w",dunker[[#This Row],[Result]]="dw"),dunker[[#This Row],[win]]-1,-1)</f>
        <v>1.4</v>
      </c>
      <c r="CO29" s="4">
        <f>IF(OR(dunker[[#This Row],[Result]]="L",dunker[[#This Row],[Result]]="dl"),dunker[[#This Row],[lose]]-1,-1)</f>
        <v>-1</v>
      </c>
      <c r="CP29" s="4">
        <f>IF(OR((dunker[[#This Row],[Home_scored]]+dunker[[#This Row],[Away_scored]])&gt;dunker[[#This Row],[total]],OR(dunker[[#This Row],[Result]]="dw",dunker[[#This Row],[Result]]="dl")),1,0)</f>
        <v>1</v>
      </c>
      <c r="CQ29" s="4">
        <f>ABS((dunker[[#This Row],[Home_scored]]+dunker[[#This Row],[Away_scored]])-dunker[[#This Row],[total]])+0.5</f>
        <v>4</v>
      </c>
    </row>
    <row r="30" spans="1:95" x14ac:dyDescent="0.25">
      <c r="A30" s="2" t="s">
        <v>349</v>
      </c>
      <c r="B30" s="2" t="s">
        <v>314</v>
      </c>
      <c r="C30" s="3" t="s">
        <v>73</v>
      </c>
      <c r="D30" s="3">
        <v>45774</v>
      </c>
      <c r="E30" s="2" t="s">
        <v>74</v>
      </c>
      <c r="F30" s="2" t="s">
        <v>342</v>
      </c>
      <c r="G30" s="2" t="s">
        <v>75</v>
      </c>
      <c r="H30" s="11">
        <v>91</v>
      </c>
      <c r="I30" s="11">
        <v>75</v>
      </c>
      <c r="J30" s="11">
        <v>29</v>
      </c>
      <c r="K30" s="11">
        <v>60</v>
      </c>
      <c r="L30" s="12">
        <v>0.48330000000000001</v>
      </c>
      <c r="M30" s="11">
        <v>15</v>
      </c>
      <c r="N30" s="11">
        <v>26</v>
      </c>
      <c r="O30" s="12">
        <v>0.57689999999999997</v>
      </c>
      <c r="P30" s="11">
        <v>14</v>
      </c>
      <c r="Q30" s="11">
        <v>34</v>
      </c>
      <c r="R30" s="12">
        <v>0.4118</v>
      </c>
      <c r="S30" s="11">
        <v>19</v>
      </c>
      <c r="T30" s="11">
        <v>28</v>
      </c>
      <c r="U30" s="12">
        <v>0.67859999999999998</v>
      </c>
      <c r="V30" s="11">
        <v>7</v>
      </c>
      <c r="W30" s="11">
        <v>28</v>
      </c>
      <c r="X30" s="11">
        <v>35</v>
      </c>
      <c r="Y30" s="11">
        <v>25</v>
      </c>
      <c r="Z30" s="11">
        <v>5</v>
      </c>
      <c r="AA30" s="11">
        <v>2</v>
      </c>
      <c r="AB30" s="11">
        <v>2</v>
      </c>
      <c r="AC30" s="11">
        <v>16</v>
      </c>
      <c r="AD30" s="11">
        <v>28</v>
      </c>
      <c r="AE30" s="11">
        <v>70</v>
      </c>
      <c r="AF30" s="12">
        <v>0.4</v>
      </c>
      <c r="AG30" s="11">
        <v>20</v>
      </c>
      <c r="AH30" s="11">
        <v>44</v>
      </c>
      <c r="AI30" s="12">
        <v>0.45450000000000002</v>
      </c>
      <c r="AJ30" s="11">
        <v>8</v>
      </c>
      <c r="AK30" s="11">
        <v>26</v>
      </c>
      <c r="AL30" s="12">
        <v>0.30769999999999997</v>
      </c>
      <c r="AM30" s="11">
        <v>11</v>
      </c>
      <c r="AN30" s="11">
        <v>11</v>
      </c>
      <c r="AO30" s="12">
        <v>1</v>
      </c>
      <c r="AP30" s="11">
        <v>12</v>
      </c>
      <c r="AQ30" s="11">
        <v>28</v>
      </c>
      <c r="AR30" s="11">
        <v>40</v>
      </c>
      <c r="AS30" s="11">
        <v>17</v>
      </c>
      <c r="AT30" s="11">
        <v>3</v>
      </c>
      <c r="AU30" s="11">
        <v>2</v>
      </c>
      <c r="AV30" s="11">
        <v>12</v>
      </c>
      <c r="AW30" s="11">
        <v>26</v>
      </c>
      <c r="AX30" s="12">
        <v>0.62909999999999999</v>
      </c>
      <c r="AY30" s="12">
        <v>0.6</v>
      </c>
      <c r="AZ30" s="12">
        <v>0.2</v>
      </c>
      <c r="BA30" s="12">
        <v>0.7</v>
      </c>
      <c r="BB30" s="12">
        <v>0.4667</v>
      </c>
      <c r="BC30" s="4">
        <v>66.566000000000003</v>
      </c>
      <c r="BD30" s="12">
        <v>0.86209999999999998</v>
      </c>
      <c r="BE30" s="12">
        <v>0.31669999999999998</v>
      </c>
      <c r="BF30" s="12">
        <v>2.69E-2</v>
      </c>
      <c r="BG30" s="4">
        <v>130.5</v>
      </c>
      <c r="BH30" s="4">
        <v>107.5</v>
      </c>
      <c r="BI30" s="4">
        <v>69.742000000000004</v>
      </c>
      <c r="BJ30" s="12">
        <v>0.50109999999999999</v>
      </c>
      <c r="BK30" s="12">
        <v>0.45710000000000001</v>
      </c>
      <c r="BL30" s="12">
        <v>0.3</v>
      </c>
      <c r="BM30" s="12">
        <v>0.8</v>
      </c>
      <c r="BN30" s="12">
        <v>0.5333</v>
      </c>
      <c r="BO30" s="4">
        <v>72.918000000000006</v>
      </c>
      <c r="BP30" s="12">
        <v>0.60709999999999997</v>
      </c>
      <c r="BQ30" s="12">
        <v>0.15709999999999999</v>
      </c>
      <c r="BR30" s="12">
        <v>0.13819999999999999</v>
      </c>
      <c r="BS30" s="4">
        <v>107.5</v>
      </c>
      <c r="BT30" s="4">
        <v>130.5</v>
      </c>
      <c r="BU30" s="11">
        <v>33</v>
      </c>
      <c r="BV30" s="11">
        <v>21</v>
      </c>
      <c r="BW30" s="11">
        <v>25</v>
      </c>
      <c r="BX30" s="11">
        <v>12</v>
      </c>
      <c r="BY30" s="11">
        <v>14</v>
      </c>
      <c r="BZ30" s="11">
        <v>23</v>
      </c>
      <c r="CA30" s="11">
        <v>20</v>
      </c>
      <c r="CB30" s="11">
        <v>18</v>
      </c>
      <c r="CC30" s="11">
        <v>54</v>
      </c>
      <c r="CD30" s="11">
        <v>37</v>
      </c>
      <c r="CE30" s="11">
        <v>37</v>
      </c>
      <c r="CF30" s="11">
        <v>38</v>
      </c>
      <c r="CG30" s="4">
        <v>1.8</v>
      </c>
      <c r="CH30" s="13">
        <v>2.0499999999999998</v>
      </c>
      <c r="CI30" s="4">
        <v>-1.5</v>
      </c>
      <c r="CJ30" s="4">
        <v>1.5</v>
      </c>
      <c r="CK30" s="4">
        <v>162.5</v>
      </c>
      <c r="CL30" s="2" t="s">
        <v>566</v>
      </c>
      <c r="CM30" s="4" t="str">
        <f>VLOOKUP(dunker[[#This Row],[Away_team]],all[[Full name]:[Abbr]],3,FALSE)</f>
        <v>SQU</v>
      </c>
      <c r="CN30" s="4">
        <f>IF(OR(dunker[[#This Row],[Result]]="w",dunker[[#This Row],[Result]]="dw"),dunker[[#This Row],[win]]-1,-1)</f>
        <v>0.8</v>
      </c>
      <c r="CO30" s="4">
        <f>IF(OR(dunker[[#This Row],[Result]]="L",dunker[[#This Row],[Result]]="dl"),dunker[[#This Row],[lose]]-1,-1)</f>
        <v>-1</v>
      </c>
      <c r="CP30" s="4">
        <f>IF(OR((dunker[[#This Row],[Home_scored]]+dunker[[#This Row],[Away_scored]])&gt;dunker[[#This Row],[total]],OR(dunker[[#This Row],[Result]]="dw",dunker[[#This Row],[Result]]="dl")),1,0)</f>
        <v>1</v>
      </c>
      <c r="CQ30" s="4">
        <f>ABS((dunker[[#This Row],[Home_scored]]+dunker[[#This Row],[Away_scored]])-dunker[[#This Row],[total]])+0.5</f>
        <v>4</v>
      </c>
    </row>
    <row r="31" spans="1:95" x14ac:dyDescent="0.25">
      <c r="A31" s="2" t="s">
        <v>349</v>
      </c>
      <c r="B31" s="2" t="s">
        <v>314</v>
      </c>
      <c r="C31" s="3" t="s">
        <v>73</v>
      </c>
      <c r="D31" s="3">
        <v>45780</v>
      </c>
      <c r="E31" s="2" t="s">
        <v>140</v>
      </c>
      <c r="F31" s="2" t="s">
        <v>311</v>
      </c>
      <c r="G31" s="2" t="s">
        <v>139</v>
      </c>
      <c r="H31" s="11">
        <v>77</v>
      </c>
      <c r="I31" s="11">
        <v>93</v>
      </c>
      <c r="J31" s="11">
        <v>27</v>
      </c>
      <c r="K31" s="11">
        <v>62</v>
      </c>
      <c r="L31" s="12">
        <v>0.4355</v>
      </c>
      <c r="M31" s="11">
        <v>17</v>
      </c>
      <c r="N31" s="11">
        <v>36</v>
      </c>
      <c r="O31" s="12">
        <v>0.47220000000000001</v>
      </c>
      <c r="P31" s="11">
        <v>10</v>
      </c>
      <c r="Q31" s="11">
        <v>26</v>
      </c>
      <c r="R31" s="12">
        <v>0.3846</v>
      </c>
      <c r="S31" s="11">
        <v>13</v>
      </c>
      <c r="T31" s="11">
        <v>19</v>
      </c>
      <c r="U31" s="12">
        <v>0.68420000000000003</v>
      </c>
      <c r="V31" s="11">
        <v>12</v>
      </c>
      <c r="W31" s="11">
        <v>31</v>
      </c>
      <c r="X31" s="11">
        <v>43</v>
      </c>
      <c r="Y31" s="11">
        <v>13</v>
      </c>
      <c r="Z31" s="11">
        <v>4</v>
      </c>
      <c r="AA31" s="11">
        <v>2</v>
      </c>
      <c r="AB31" s="11">
        <v>21</v>
      </c>
      <c r="AC31" s="11">
        <v>25</v>
      </c>
      <c r="AD31" s="11">
        <v>30</v>
      </c>
      <c r="AE31" s="11">
        <v>63</v>
      </c>
      <c r="AF31" s="12">
        <v>0.47620000000000001</v>
      </c>
      <c r="AG31" s="11">
        <v>21</v>
      </c>
      <c r="AH31" s="11">
        <v>37</v>
      </c>
      <c r="AI31" s="12">
        <v>0.56759999999999999</v>
      </c>
      <c r="AJ31" s="11">
        <v>9</v>
      </c>
      <c r="AK31" s="11">
        <v>26</v>
      </c>
      <c r="AL31" s="12">
        <v>0.34620000000000001</v>
      </c>
      <c r="AM31" s="11">
        <v>24</v>
      </c>
      <c r="AN31" s="11">
        <v>31</v>
      </c>
      <c r="AO31" s="12">
        <v>0.7742</v>
      </c>
      <c r="AP31" s="11">
        <v>6</v>
      </c>
      <c r="AQ31" s="11">
        <v>25</v>
      </c>
      <c r="AR31" s="11">
        <v>31</v>
      </c>
      <c r="AS31" s="11">
        <v>21</v>
      </c>
      <c r="AT31" s="11">
        <v>6</v>
      </c>
      <c r="AU31" s="11">
        <v>2</v>
      </c>
      <c r="AV31" s="11">
        <v>6</v>
      </c>
      <c r="AW31" s="11">
        <v>25</v>
      </c>
      <c r="AX31" s="12">
        <v>0.54720000000000002</v>
      </c>
      <c r="AY31" s="12">
        <v>0.5161</v>
      </c>
      <c r="AZ31" s="12">
        <v>0.32429999999999998</v>
      </c>
      <c r="BA31" s="12">
        <v>0.83779999999999999</v>
      </c>
      <c r="BB31" s="12">
        <v>0.58109999999999995</v>
      </c>
      <c r="BC31" s="4">
        <v>80.149000000000001</v>
      </c>
      <c r="BD31" s="12">
        <v>0.48149999999999998</v>
      </c>
      <c r="BE31" s="12">
        <v>0.2097</v>
      </c>
      <c r="BF31" s="12">
        <v>0.22989999999999999</v>
      </c>
      <c r="BG31" s="4">
        <v>99.5</v>
      </c>
      <c r="BH31" s="4">
        <v>120.2</v>
      </c>
      <c r="BI31" s="4">
        <v>77.357500000000002</v>
      </c>
      <c r="BJ31" s="12">
        <v>0.60670000000000002</v>
      </c>
      <c r="BK31" s="12">
        <v>0.54759999999999998</v>
      </c>
      <c r="BL31" s="12">
        <v>0.16220000000000001</v>
      </c>
      <c r="BM31" s="12">
        <v>0.67569999999999997</v>
      </c>
      <c r="BN31" s="12">
        <v>0.41889999999999999</v>
      </c>
      <c r="BO31" s="4">
        <v>74.566000000000003</v>
      </c>
      <c r="BP31" s="12">
        <v>0.7</v>
      </c>
      <c r="BQ31" s="12">
        <v>0.38100000000000001</v>
      </c>
      <c r="BR31" s="12">
        <v>7.2599999999999998E-2</v>
      </c>
      <c r="BS31" s="4">
        <v>120.2</v>
      </c>
      <c r="BT31" s="4">
        <v>99.5</v>
      </c>
      <c r="BU31" s="11">
        <v>21</v>
      </c>
      <c r="BV31" s="11">
        <v>18</v>
      </c>
      <c r="BW31" s="11">
        <v>20</v>
      </c>
      <c r="BX31" s="11">
        <v>18</v>
      </c>
      <c r="BY31" s="11">
        <v>18</v>
      </c>
      <c r="BZ31" s="11">
        <v>23</v>
      </c>
      <c r="CA31" s="11">
        <v>30</v>
      </c>
      <c r="CB31" s="11">
        <v>22</v>
      </c>
      <c r="CC31" s="11">
        <v>39</v>
      </c>
      <c r="CD31" s="11">
        <v>38</v>
      </c>
      <c r="CE31" s="11">
        <v>41</v>
      </c>
      <c r="CF31" s="11">
        <v>52</v>
      </c>
      <c r="CG31" s="4">
        <v>2.8</v>
      </c>
      <c r="CH31" s="13">
        <v>1.45</v>
      </c>
      <c r="CI31" s="4">
        <v>5.5</v>
      </c>
      <c r="CJ31" s="4">
        <v>-5.5</v>
      </c>
      <c r="CK31" s="4">
        <v>162.5</v>
      </c>
      <c r="CL31" s="2" t="s">
        <v>572</v>
      </c>
      <c r="CM31" s="4" t="str">
        <f>VLOOKUP(dunker[[#This Row],[Away_team]],all[[Full name]:[Abbr]],3,FALSE)</f>
        <v>DIJ</v>
      </c>
      <c r="CN31" s="4">
        <f>IF(OR(dunker[[#This Row],[Result]]="w",dunker[[#This Row],[Result]]="dw"),dunker[[#This Row],[win]]-1,-1)</f>
        <v>-1</v>
      </c>
      <c r="CO31" s="4">
        <f>IF(OR(dunker[[#This Row],[Result]]="L",dunker[[#This Row],[Result]]="dl"),dunker[[#This Row],[lose]]-1,-1)</f>
        <v>0.44999999999999996</v>
      </c>
      <c r="CP31" s="4">
        <f>IF(OR((dunker[[#This Row],[Home_scored]]+dunker[[#This Row],[Away_scored]])&gt;dunker[[#This Row],[total]],OR(dunker[[#This Row],[Result]]="dw",dunker[[#This Row],[Result]]="dl")),1,0)</f>
        <v>1</v>
      </c>
      <c r="CQ31" s="4">
        <f>ABS((dunker[[#This Row],[Home_scored]]+dunker[[#This Row],[Away_scored]])-dunker[[#This Row],[total]])+0.5</f>
        <v>8</v>
      </c>
    </row>
    <row r="32" spans="1:95" x14ac:dyDescent="0.25">
      <c r="A32" s="2" t="s">
        <v>349</v>
      </c>
      <c r="B32" s="2" t="s">
        <v>314</v>
      </c>
      <c r="C32" s="28" t="s">
        <v>73</v>
      </c>
      <c r="D32" s="28">
        <v>45787</v>
      </c>
      <c r="E32" s="2" t="s">
        <v>74</v>
      </c>
      <c r="F32" s="2" t="s">
        <v>305</v>
      </c>
      <c r="G32" s="2" t="s">
        <v>75</v>
      </c>
      <c r="H32" s="11">
        <v>78</v>
      </c>
      <c r="I32" s="11">
        <v>71</v>
      </c>
      <c r="J32" s="11">
        <v>24</v>
      </c>
      <c r="K32" s="11">
        <v>57</v>
      </c>
      <c r="L32" s="12">
        <v>0.42109999999999997</v>
      </c>
      <c r="M32" s="11">
        <v>12</v>
      </c>
      <c r="N32" s="11">
        <v>27</v>
      </c>
      <c r="O32" s="12">
        <v>0.44440000000000002</v>
      </c>
      <c r="P32" s="11">
        <v>12</v>
      </c>
      <c r="Q32" s="11">
        <v>30</v>
      </c>
      <c r="R32" s="12">
        <v>0.4</v>
      </c>
      <c r="S32" s="11">
        <v>18</v>
      </c>
      <c r="T32" s="11">
        <v>27</v>
      </c>
      <c r="U32" s="12">
        <v>0.66669999999999996</v>
      </c>
      <c r="V32" s="11">
        <v>9</v>
      </c>
      <c r="W32" s="11">
        <v>30</v>
      </c>
      <c r="X32" s="11">
        <v>39</v>
      </c>
      <c r="Y32" s="11">
        <v>13</v>
      </c>
      <c r="Z32" s="11">
        <v>6</v>
      </c>
      <c r="AA32" s="11">
        <v>4</v>
      </c>
      <c r="AB32" s="11">
        <v>14</v>
      </c>
      <c r="AC32" s="11">
        <v>23</v>
      </c>
      <c r="AD32" s="11">
        <v>24</v>
      </c>
      <c r="AE32" s="11">
        <v>67</v>
      </c>
      <c r="AF32" s="12">
        <v>0.35820000000000002</v>
      </c>
      <c r="AG32" s="11">
        <v>16</v>
      </c>
      <c r="AH32" s="11">
        <v>38</v>
      </c>
      <c r="AI32" s="12">
        <v>0.42109999999999997</v>
      </c>
      <c r="AJ32" s="11">
        <v>8</v>
      </c>
      <c r="AK32" s="11">
        <v>29</v>
      </c>
      <c r="AL32" s="12">
        <v>0.27589999999999998</v>
      </c>
      <c r="AM32" s="11">
        <v>15</v>
      </c>
      <c r="AN32" s="11">
        <v>24</v>
      </c>
      <c r="AO32" s="12">
        <v>0.625</v>
      </c>
      <c r="AP32" s="11">
        <v>16</v>
      </c>
      <c r="AQ32" s="11">
        <v>29</v>
      </c>
      <c r="AR32" s="11">
        <v>45</v>
      </c>
      <c r="AS32" s="11">
        <v>15</v>
      </c>
      <c r="AT32" s="11">
        <v>5</v>
      </c>
      <c r="AU32" s="11">
        <v>2</v>
      </c>
      <c r="AV32" s="11">
        <v>11</v>
      </c>
      <c r="AW32" s="11">
        <v>26</v>
      </c>
      <c r="AX32" s="12">
        <v>0.56620000000000004</v>
      </c>
      <c r="AY32" s="12">
        <v>0.52629999999999999</v>
      </c>
      <c r="AZ32" s="12">
        <v>0.23680000000000001</v>
      </c>
      <c r="BA32" s="12">
        <v>0.6522</v>
      </c>
      <c r="BB32" s="12">
        <v>0.46429999999999999</v>
      </c>
      <c r="BC32" s="4">
        <v>73.652000000000001</v>
      </c>
      <c r="BD32" s="12">
        <v>0.54169999999999996</v>
      </c>
      <c r="BE32" s="12">
        <v>0.31580000000000003</v>
      </c>
      <c r="BF32" s="12">
        <v>0.16889999999999999</v>
      </c>
      <c r="BG32" s="4">
        <v>107.7</v>
      </c>
      <c r="BH32" s="4">
        <v>98</v>
      </c>
      <c r="BI32" s="4">
        <v>72.4465</v>
      </c>
      <c r="BJ32" s="12">
        <v>0.4577</v>
      </c>
      <c r="BK32" s="12">
        <v>0.41789999999999999</v>
      </c>
      <c r="BL32" s="12">
        <v>0.3478</v>
      </c>
      <c r="BM32" s="12">
        <v>0.76319999999999999</v>
      </c>
      <c r="BN32" s="12">
        <v>0.53569999999999995</v>
      </c>
      <c r="BO32" s="4">
        <v>71.241</v>
      </c>
      <c r="BP32" s="12">
        <v>0.625</v>
      </c>
      <c r="BQ32" s="12">
        <v>0.22389999999999999</v>
      </c>
      <c r="BR32" s="12">
        <v>0.1242</v>
      </c>
      <c r="BS32" s="4">
        <v>98</v>
      </c>
      <c r="BT32" s="4">
        <v>107.7</v>
      </c>
      <c r="BU32" s="11">
        <v>29</v>
      </c>
      <c r="BV32" s="11">
        <v>14</v>
      </c>
      <c r="BW32" s="11">
        <v>13</v>
      </c>
      <c r="BX32" s="11">
        <v>22</v>
      </c>
      <c r="BY32" s="11">
        <v>19</v>
      </c>
      <c r="BZ32" s="11">
        <v>23</v>
      </c>
      <c r="CA32" s="11">
        <v>20</v>
      </c>
      <c r="CB32" s="11">
        <v>9</v>
      </c>
      <c r="CC32" s="11">
        <v>43</v>
      </c>
      <c r="CD32" s="11">
        <v>35</v>
      </c>
      <c r="CE32" s="11">
        <v>42</v>
      </c>
      <c r="CF32" s="11">
        <v>29</v>
      </c>
      <c r="CG32" s="4">
        <v>1.86</v>
      </c>
      <c r="CH32" s="13">
        <v>1.95</v>
      </c>
      <c r="CI32" s="4">
        <v>-1</v>
      </c>
      <c r="CJ32" s="4">
        <v>-1</v>
      </c>
      <c r="CK32" s="4">
        <v>166.5</v>
      </c>
      <c r="CL32" s="2" t="s">
        <v>579</v>
      </c>
      <c r="CM32" s="4" t="str">
        <f>VLOOKUP(dunker[[#This Row],[Away_team]],all[[Full name]:[Abbr]],3,FALSE)</f>
        <v>CHA</v>
      </c>
      <c r="CN32" s="4">
        <f>IF(OR(dunker[[#This Row],[Result]]="w",dunker[[#This Row],[Result]]="dw"),dunker[[#This Row],[win]]-1,-1)</f>
        <v>0.8600000000000001</v>
      </c>
      <c r="CO32" s="4">
        <f>IF(OR(dunker[[#This Row],[Result]]="L",dunker[[#This Row],[Result]]="dl"),dunker[[#This Row],[lose]]-1,-1)</f>
        <v>-1</v>
      </c>
      <c r="CP32" s="4">
        <f>IF(OR((dunker[[#This Row],[Home_scored]]+dunker[[#This Row],[Away_scored]])&gt;dunker[[#This Row],[total]],OR(dunker[[#This Row],[Result]]="dw",dunker[[#This Row],[Result]]="dl")),1,0)</f>
        <v>0</v>
      </c>
      <c r="CQ32" s="4">
        <f>ABS((dunker[[#This Row],[Home_scored]]+dunker[[#This Row],[Away_scored]])-dunker[[#This Row],[total]])+0.5</f>
        <v>18</v>
      </c>
    </row>
    <row r="33" spans="1:95" x14ac:dyDescent="0.25">
      <c r="A33" s="2" t="s">
        <v>349</v>
      </c>
      <c r="B33" s="2" t="s">
        <v>314</v>
      </c>
      <c r="C33" s="28" t="s">
        <v>73</v>
      </c>
      <c r="D33" s="28">
        <v>45794</v>
      </c>
      <c r="E33" s="2" t="s">
        <v>140</v>
      </c>
      <c r="F33" s="2" t="s">
        <v>345</v>
      </c>
      <c r="G33" s="2" t="s">
        <v>139</v>
      </c>
      <c r="H33" s="11">
        <v>88</v>
      </c>
      <c r="I33" s="11">
        <v>91</v>
      </c>
      <c r="J33" s="11">
        <v>26</v>
      </c>
      <c r="K33" s="11">
        <v>56</v>
      </c>
      <c r="L33" s="12">
        <v>0.46429999999999999</v>
      </c>
      <c r="M33" s="11">
        <v>16</v>
      </c>
      <c r="N33" s="11">
        <v>27</v>
      </c>
      <c r="O33" s="12">
        <v>0.59260000000000002</v>
      </c>
      <c r="P33" s="11">
        <v>10</v>
      </c>
      <c r="Q33" s="11">
        <v>29</v>
      </c>
      <c r="R33" s="12">
        <v>0.3448</v>
      </c>
      <c r="S33" s="11">
        <v>26</v>
      </c>
      <c r="T33" s="11">
        <v>31</v>
      </c>
      <c r="U33" s="12">
        <v>0.8387</v>
      </c>
      <c r="V33" s="11">
        <v>8</v>
      </c>
      <c r="W33" s="11">
        <v>23</v>
      </c>
      <c r="X33" s="11">
        <v>31</v>
      </c>
      <c r="Y33" s="11">
        <v>9</v>
      </c>
      <c r="Z33" s="11">
        <v>4</v>
      </c>
      <c r="AA33" s="11">
        <v>1</v>
      </c>
      <c r="AB33" s="11">
        <v>14</v>
      </c>
      <c r="AC33" s="11">
        <v>22</v>
      </c>
      <c r="AD33" s="11">
        <v>34</v>
      </c>
      <c r="AE33" s="11">
        <v>64</v>
      </c>
      <c r="AF33" s="12">
        <v>0.53129999999999999</v>
      </c>
      <c r="AG33" s="11">
        <v>23</v>
      </c>
      <c r="AH33" s="11">
        <v>32</v>
      </c>
      <c r="AI33" s="12">
        <v>0.71879999999999999</v>
      </c>
      <c r="AJ33" s="11">
        <v>11</v>
      </c>
      <c r="AK33" s="11">
        <v>32</v>
      </c>
      <c r="AL33" s="12">
        <v>0.34379999999999999</v>
      </c>
      <c r="AM33" s="11">
        <v>12</v>
      </c>
      <c r="AN33" s="11">
        <v>21</v>
      </c>
      <c r="AO33" s="12">
        <v>0.57140000000000002</v>
      </c>
      <c r="AP33" s="11">
        <v>8</v>
      </c>
      <c r="AQ33" s="11">
        <v>22</v>
      </c>
      <c r="AR33" s="11">
        <v>30</v>
      </c>
      <c r="AS33" s="11">
        <v>24</v>
      </c>
      <c r="AT33" s="11">
        <v>8</v>
      </c>
      <c r="AU33" s="11">
        <v>3</v>
      </c>
      <c r="AV33" s="11">
        <v>11</v>
      </c>
      <c r="AW33" s="11">
        <v>30</v>
      </c>
      <c r="AX33" s="12">
        <v>0.63180000000000003</v>
      </c>
      <c r="AY33" s="12">
        <v>0.55359999999999998</v>
      </c>
      <c r="AZ33" s="12">
        <v>0.26669999999999999</v>
      </c>
      <c r="BA33" s="12">
        <v>0.7419</v>
      </c>
      <c r="BB33" s="12">
        <v>0.50819999999999999</v>
      </c>
      <c r="BC33" s="4">
        <v>74.116</v>
      </c>
      <c r="BD33" s="12">
        <v>0.34620000000000001</v>
      </c>
      <c r="BE33" s="12">
        <v>0.46429999999999999</v>
      </c>
      <c r="BF33" s="12">
        <v>0.16739999999999999</v>
      </c>
      <c r="BG33" s="4">
        <v>118.2</v>
      </c>
      <c r="BH33" s="4">
        <v>122.2</v>
      </c>
      <c r="BI33" s="4">
        <v>74.477999999999994</v>
      </c>
      <c r="BJ33" s="12">
        <v>0.62119999999999997</v>
      </c>
      <c r="BK33" s="12">
        <v>0.61719999999999997</v>
      </c>
      <c r="BL33" s="12">
        <v>0.2581</v>
      </c>
      <c r="BM33" s="12">
        <v>0.73329999999999995</v>
      </c>
      <c r="BN33" s="12">
        <v>0.49180000000000001</v>
      </c>
      <c r="BO33" s="4">
        <v>74.84</v>
      </c>
      <c r="BP33" s="12">
        <v>0.70589999999999997</v>
      </c>
      <c r="BQ33" s="12">
        <v>0.1875</v>
      </c>
      <c r="BR33" s="12">
        <v>0.13059999999999999</v>
      </c>
      <c r="BS33" s="4">
        <v>122.2</v>
      </c>
      <c r="BT33" s="4">
        <v>118.2</v>
      </c>
      <c r="BU33" s="11">
        <v>22</v>
      </c>
      <c r="BV33" s="11">
        <v>21</v>
      </c>
      <c r="BW33" s="11">
        <v>19</v>
      </c>
      <c r="BX33" s="11">
        <v>26</v>
      </c>
      <c r="BY33" s="11">
        <v>26</v>
      </c>
      <c r="BZ33" s="11">
        <v>24</v>
      </c>
      <c r="CA33" s="11">
        <v>26</v>
      </c>
      <c r="CB33" s="11">
        <v>15</v>
      </c>
      <c r="CC33" s="11">
        <v>43</v>
      </c>
      <c r="CD33" s="11">
        <v>45</v>
      </c>
      <c r="CE33" s="11">
        <v>50</v>
      </c>
      <c r="CF33" s="11">
        <v>41</v>
      </c>
      <c r="CG33" s="4">
        <v>1.6</v>
      </c>
      <c r="CH33" s="13">
        <v>2.4</v>
      </c>
      <c r="CI33" s="4">
        <v>-3.5</v>
      </c>
      <c r="CJ33" s="4">
        <v>3.5</v>
      </c>
      <c r="CK33" s="4">
        <v>160.5</v>
      </c>
      <c r="CL33" s="2" t="s">
        <v>593</v>
      </c>
      <c r="CM33" s="4" t="str">
        <f>VLOOKUP(dunker[[#This Row],[Away_team]],all[[Full name]:[Abbr]],3,FALSE)</f>
        <v>STR</v>
      </c>
      <c r="CN33" s="4">
        <f>IF(OR(dunker[[#This Row],[Result]]="w",dunker[[#This Row],[Result]]="dw"),dunker[[#This Row],[win]]-1,-1)</f>
        <v>-1</v>
      </c>
      <c r="CO33" s="4">
        <f>IF(OR(dunker[[#This Row],[Result]]="L",dunker[[#This Row],[Result]]="dl"),dunker[[#This Row],[lose]]-1,-1)</f>
        <v>1.4</v>
      </c>
      <c r="CP33" s="4">
        <f>IF(OR((dunker[[#This Row],[Home_scored]]+dunker[[#This Row],[Away_scored]])&gt;dunker[[#This Row],[total]],OR(dunker[[#This Row],[Result]]="dw",dunker[[#This Row],[Result]]="dl")),1,0)</f>
        <v>1</v>
      </c>
      <c r="CQ33" s="4">
        <f>ABS((dunker[[#This Row],[Home_scored]]+dunker[[#This Row],[Away_scored]])-dunker[[#This Row],[total]])+0.5</f>
        <v>19</v>
      </c>
    </row>
  </sheetData>
  <conditionalFormatting sqref="A4:A33">
    <cfRule type="expression" dxfId="381" priority="1">
      <formula>SUMPRODUCT(--ISERROR(B4:CL4))&gt;0</formula>
    </cfRule>
  </conditionalFormatting>
  <conditionalFormatting sqref="B4:B33">
    <cfRule type="uniqueValues" dxfId="380" priority="464"/>
  </conditionalFormatting>
  <conditionalFormatting sqref="D4:D33">
    <cfRule type="duplicateValues" dxfId="379" priority="465"/>
  </conditionalFormatting>
  <conditionalFormatting sqref="H4:H33">
    <cfRule type="expression" dxfId="378" priority="3">
      <formula>H4=BU4+BV4+BW4+BX4</formula>
    </cfRule>
  </conditionalFormatting>
  <conditionalFormatting sqref="I4:I33">
    <cfRule type="expression" dxfId="377" priority="2">
      <formula>I4=BY4+BZ4+CA4+CB4</formula>
    </cfRule>
  </conditionalFormatting>
  <hyperlinks>
    <hyperlink ref="A1" location="all_data!A1" display="ratings" xr:uid="{3F1F43AF-EA86-42A0-99DD-3BD1FE1307C2}"/>
  </hyperlink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4CB29-A514-4887-AA75-7C768B1B45D2}">
  <sheetPr codeName="Sheet9"/>
  <dimension ref="A1:CQ4"/>
  <sheetViews>
    <sheetView tabSelected="1"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349</v>
      </c>
      <c r="B4" s="2" t="s">
        <v>317</v>
      </c>
      <c r="C4" s="2" t="s">
        <v>73</v>
      </c>
      <c r="D4" s="3">
        <v>45926</v>
      </c>
      <c r="E4" s="2" t="s">
        <v>140</v>
      </c>
      <c r="F4" s="2" t="s">
        <v>311</v>
      </c>
      <c r="G4" s="2" t="s">
        <v>75</v>
      </c>
      <c r="H4" s="2">
        <v>91</v>
      </c>
      <c r="I4" s="2">
        <v>89</v>
      </c>
      <c r="J4" s="2">
        <v>30</v>
      </c>
      <c r="K4" s="2">
        <v>56</v>
      </c>
      <c r="L4" s="2">
        <v>0.53569999999999995</v>
      </c>
      <c r="M4" s="2">
        <v>21</v>
      </c>
      <c r="N4" s="2">
        <v>32</v>
      </c>
      <c r="O4" s="2">
        <v>0.65629999999999999</v>
      </c>
      <c r="P4" s="2">
        <v>9</v>
      </c>
      <c r="Q4" s="2">
        <v>24</v>
      </c>
      <c r="R4" s="2">
        <v>0.375</v>
      </c>
      <c r="S4" s="2">
        <v>22</v>
      </c>
      <c r="T4" s="2">
        <v>27</v>
      </c>
      <c r="U4" s="2">
        <v>0.81479999999999997</v>
      </c>
      <c r="V4" s="2">
        <v>14</v>
      </c>
      <c r="W4" s="2">
        <v>19</v>
      </c>
      <c r="X4" s="2">
        <v>33</v>
      </c>
      <c r="Y4" s="2">
        <v>16</v>
      </c>
      <c r="Z4" s="2">
        <v>5</v>
      </c>
      <c r="AA4" s="2">
        <v>18</v>
      </c>
      <c r="AB4" s="2">
        <v>5</v>
      </c>
      <c r="AC4" s="2">
        <v>17</v>
      </c>
      <c r="AD4" s="2">
        <v>30</v>
      </c>
      <c r="AE4" s="2">
        <v>65</v>
      </c>
      <c r="AF4" s="2">
        <v>0.46150000000000002</v>
      </c>
      <c r="AG4" s="2">
        <v>19</v>
      </c>
      <c r="AH4" s="2">
        <v>34</v>
      </c>
      <c r="AI4" s="2">
        <v>0.55879999999999996</v>
      </c>
      <c r="AJ4" s="2">
        <v>11</v>
      </c>
      <c r="AK4" s="2">
        <v>31</v>
      </c>
      <c r="AL4" s="2">
        <v>0.3548</v>
      </c>
      <c r="AM4" s="2">
        <v>18</v>
      </c>
      <c r="AN4" s="2">
        <v>22</v>
      </c>
      <c r="AO4" s="2">
        <v>0.81820000000000004</v>
      </c>
      <c r="AP4" s="2">
        <v>16</v>
      </c>
      <c r="AQ4" s="2">
        <v>11</v>
      </c>
      <c r="AR4" s="2">
        <v>27</v>
      </c>
      <c r="AS4" s="2">
        <v>21</v>
      </c>
      <c r="AT4" s="2">
        <v>0</v>
      </c>
      <c r="AU4" s="2">
        <v>13</v>
      </c>
      <c r="AV4" s="2">
        <v>7</v>
      </c>
      <c r="AW4" s="2">
        <v>27</v>
      </c>
      <c r="AX4" s="2">
        <v>0.67030000000000001</v>
      </c>
      <c r="AY4" s="2">
        <v>0.61609999999999998</v>
      </c>
      <c r="AZ4" s="2">
        <v>0.56000000000000005</v>
      </c>
      <c r="BA4" s="2">
        <v>0.54290000000000005</v>
      </c>
      <c r="BB4" s="2">
        <v>0.55000000000000004</v>
      </c>
      <c r="BC4" s="4">
        <v>59.997999999999998</v>
      </c>
      <c r="BD4" s="2">
        <v>0.5333</v>
      </c>
      <c r="BE4" s="2">
        <v>0.39290000000000003</v>
      </c>
      <c r="BF4" s="2">
        <v>6.8599999999999994E-2</v>
      </c>
      <c r="BG4" s="2">
        <v>153.5</v>
      </c>
      <c r="BH4" s="2">
        <v>150.1</v>
      </c>
      <c r="BI4" s="2">
        <v>59.302500000000002</v>
      </c>
      <c r="BJ4" s="2">
        <v>0.59589999999999999</v>
      </c>
      <c r="BK4" s="2">
        <v>0.54620000000000002</v>
      </c>
      <c r="BL4" s="2">
        <v>0.45710000000000001</v>
      </c>
      <c r="BM4" s="2">
        <v>0.44</v>
      </c>
      <c r="BN4" s="2">
        <v>0.45</v>
      </c>
      <c r="BO4" s="4">
        <v>58.606999999999999</v>
      </c>
      <c r="BP4" s="2">
        <v>0.7</v>
      </c>
      <c r="BQ4" s="2">
        <v>0.27689999999999998</v>
      </c>
      <c r="BR4" s="2">
        <v>8.5699999999999998E-2</v>
      </c>
      <c r="BS4" s="2">
        <v>150.1</v>
      </c>
      <c r="BT4" s="2">
        <v>153.5</v>
      </c>
      <c r="BU4" s="2">
        <v>16</v>
      </c>
      <c r="BV4" s="2">
        <v>25</v>
      </c>
      <c r="BW4" s="2">
        <v>27</v>
      </c>
      <c r="BX4" s="2">
        <v>23</v>
      </c>
      <c r="BY4" s="2">
        <v>22</v>
      </c>
      <c r="BZ4" s="2">
        <v>24</v>
      </c>
      <c r="CA4" s="2">
        <v>20</v>
      </c>
      <c r="CB4" s="2">
        <v>23</v>
      </c>
      <c r="CC4" s="2">
        <v>41</v>
      </c>
      <c r="CD4" s="2">
        <v>50</v>
      </c>
      <c r="CE4" s="2">
        <v>46</v>
      </c>
      <c r="CF4" s="2">
        <v>43</v>
      </c>
      <c r="CG4" s="2">
        <v>2.2000000000000002</v>
      </c>
      <c r="CH4" s="2">
        <v>1.71</v>
      </c>
      <c r="CI4" s="2">
        <v>2.5</v>
      </c>
      <c r="CJ4" s="2">
        <v>-2.5</v>
      </c>
      <c r="CK4" s="2">
        <v>168.5</v>
      </c>
      <c r="CL4" s="2" t="s">
        <v>624</v>
      </c>
      <c r="CM4" s="4" t="str">
        <f>VLOOKUP(leman[[#This Row],[Away_team]],all[[Full name]:[Abbr]],3,FALSE)</f>
        <v>DIJ</v>
      </c>
      <c r="CN4" s="4">
        <f>IF(OR(leman[[#This Row],[Result]]="w",leman[[#This Row],[Result]]="dw"),leman[[#This Row],[win]]-1,-1)</f>
        <v>1.2000000000000002</v>
      </c>
      <c r="CO4" s="4">
        <f>IF(OR(leman[[#This Row],[Result]]="L",leman[[#This Row],[Result]]="dl"),leman[[#This Row],[lose]]-1,-1)</f>
        <v>-1</v>
      </c>
      <c r="CP4" s="4">
        <f>IF(OR((leman[[#This Row],[Home_scored]]+leman[[#This Row],[Away_scored]])&gt;leman[[#This Row],[total]],OR(leman[[#This Row],[Result]]="dw",leman[[#This Row],[Result]]="dl")),1,0)</f>
        <v>1</v>
      </c>
      <c r="CQ4" s="4">
        <f>ABS((leman[[#This Row],[Home_scored]]+leman[[#This Row],[Away_scored]])-leman[[#This Row],[total]])+0.5</f>
        <v>12</v>
      </c>
    </row>
  </sheetData>
  <conditionalFormatting sqref="A4">
    <cfRule type="expression" dxfId="376" priority="1">
      <formula>SUMPRODUCT(--ISERROR(B4:CL4))&gt;0</formula>
    </cfRule>
  </conditionalFormatting>
  <conditionalFormatting sqref="H4">
    <cfRule type="expression" dxfId="375" priority="3">
      <formula>H4=BU4+BV4+BW4+BX4</formula>
    </cfRule>
  </conditionalFormatting>
  <conditionalFormatting sqref="I4">
    <cfRule type="expression" dxfId="374" priority="2">
      <formula>I4=BY4+BZ4+CA4+CB4</formula>
    </cfRule>
  </conditionalFormatting>
  <conditionalFormatting sqref="B4">
    <cfRule type="uniqueValues" dxfId="1" priority="503"/>
  </conditionalFormatting>
  <conditionalFormatting sqref="D4">
    <cfRule type="duplicateValues" dxfId="0" priority="504"/>
  </conditionalFormatting>
  <hyperlinks>
    <hyperlink ref="A1" location="all_data!A1" display="ratings" xr:uid="{5C0A7EDA-CE68-421B-9EA7-D20D35EE3492}"/>
  </hyperlink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CB1F-8C65-4BAF-897B-EBE8E27D7155}">
  <sheetPr codeName="Sheet10"/>
  <dimension ref="A1:CQ33"/>
  <sheetViews>
    <sheetView zoomScale="80" zoomScaleNormal="80" workbookViewId="0">
      <selection activeCell="A34" sqref="A34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349</v>
      </c>
      <c r="B4" s="2" t="s">
        <v>320</v>
      </c>
      <c r="C4" s="3" t="s">
        <v>73</v>
      </c>
      <c r="D4" s="3">
        <v>45556</v>
      </c>
      <c r="E4" s="2" t="s">
        <v>74</v>
      </c>
      <c r="F4" s="2" t="s">
        <v>302</v>
      </c>
      <c r="G4" s="2" t="s">
        <v>139</v>
      </c>
      <c r="H4" s="2">
        <v>65</v>
      </c>
      <c r="I4" s="2">
        <v>94</v>
      </c>
      <c r="J4" s="2">
        <v>25</v>
      </c>
      <c r="K4" s="2">
        <v>67</v>
      </c>
      <c r="L4" s="2">
        <v>0.37309999999999999</v>
      </c>
      <c r="M4" s="2">
        <v>20</v>
      </c>
      <c r="N4" s="2">
        <v>45</v>
      </c>
      <c r="O4" s="2">
        <v>0.44440000000000002</v>
      </c>
      <c r="P4" s="2">
        <v>5</v>
      </c>
      <c r="Q4" s="2">
        <v>22</v>
      </c>
      <c r="R4" s="2">
        <v>0.2273</v>
      </c>
      <c r="S4" s="2">
        <v>10</v>
      </c>
      <c r="T4" s="2">
        <v>15</v>
      </c>
      <c r="U4" s="2">
        <v>0.66669999999999996</v>
      </c>
      <c r="V4" s="2">
        <v>19</v>
      </c>
      <c r="W4" s="2">
        <v>23</v>
      </c>
      <c r="X4" s="2">
        <v>42</v>
      </c>
      <c r="Y4" s="2">
        <v>11</v>
      </c>
      <c r="Z4" s="2">
        <v>6</v>
      </c>
      <c r="AA4" s="2">
        <v>2</v>
      </c>
      <c r="AB4" s="2">
        <v>21</v>
      </c>
      <c r="AC4" s="2">
        <v>19</v>
      </c>
      <c r="AD4" s="2">
        <v>35</v>
      </c>
      <c r="AE4" s="2">
        <v>68</v>
      </c>
      <c r="AF4" s="2">
        <v>0.51470000000000005</v>
      </c>
      <c r="AG4" s="2">
        <v>26</v>
      </c>
      <c r="AH4" s="2">
        <v>42</v>
      </c>
      <c r="AI4" s="2">
        <v>0.61899999999999999</v>
      </c>
      <c r="AJ4" s="2">
        <v>9</v>
      </c>
      <c r="AK4" s="2">
        <v>26</v>
      </c>
      <c r="AL4" s="2">
        <v>0.34620000000000001</v>
      </c>
      <c r="AM4" s="2">
        <v>15</v>
      </c>
      <c r="AN4" s="2">
        <v>17</v>
      </c>
      <c r="AO4" s="2">
        <v>0.88239999999999996</v>
      </c>
      <c r="AP4" s="2">
        <v>10</v>
      </c>
      <c r="AQ4" s="2">
        <v>25</v>
      </c>
      <c r="AR4" s="2">
        <v>35</v>
      </c>
      <c r="AS4" s="2">
        <v>22</v>
      </c>
      <c r="AT4" s="2">
        <v>11</v>
      </c>
      <c r="AU4" s="2">
        <v>3</v>
      </c>
      <c r="AV4" s="2">
        <v>12</v>
      </c>
      <c r="AW4" s="2">
        <v>16</v>
      </c>
      <c r="AX4" s="2">
        <v>0.44159999999999999</v>
      </c>
      <c r="AY4" s="2">
        <v>0.41039999999999999</v>
      </c>
      <c r="AZ4" s="2">
        <v>0.43180000000000002</v>
      </c>
      <c r="BA4" s="2">
        <v>0.69699999999999995</v>
      </c>
      <c r="BB4" s="2">
        <v>0.54549999999999998</v>
      </c>
      <c r="BC4" s="4">
        <v>73.67</v>
      </c>
      <c r="BD4" s="2">
        <v>0.44</v>
      </c>
      <c r="BE4" s="2">
        <v>0.14929999999999999</v>
      </c>
      <c r="BF4" s="2">
        <v>0.222</v>
      </c>
      <c r="BG4" s="2">
        <v>86.4</v>
      </c>
      <c r="BH4" s="2">
        <v>125</v>
      </c>
      <c r="BI4" s="2">
        <v>75.1905</v>
      </c>
      <c r="BJ4" s="2">
        <v>0.62270000000000003</v>
      </c>
      <c r="BK4" s="2">
        <v>0.58089999999999997</v>
      </c>
      <c r="BL4" s="2">
        <v>0.30299999999999999</v>
      </c>
      <c r="BM4" s="2">
        <v>0.56820000000000004</v>
      </c>
      <c r="BN4" s="2">
        <v>0.45450000000000002</v>
      </c>
      <c r="BO4" s="4">
        <v>76.710999999999999</v>
      </c>
      <c r="BP4" s="2">
        <v>0.62860000000000005</v>
      </c>
      <c r="BQ4" s="2">
        <v>0.22059999999999999</v>
      </c>
      <c r="BR4" s="2">
        <v>0.13719999999999999</v>
      </c>
      <c r="BS4" s="2">
        <v>125</v>
      </c>
      <c r="BT4" s="2">
        <v>86.4</v>
      </c>
      <c r="BU4" s="2">
        <v>15</v>
      </c>
      <c r="BV4" s="2">
        <v>19</v>
      </c>
      <c r="BW4" s="2">
        <v>10</v>
      </c>
      <c r="BX4" s="2">
        <v>21</v>
      </c>
      <c r="BY4" s="2">
        <v>27</v>
      </c>
      <c r="BZ4" s="2">
        <v>21</v>
      </c>
      <c r="CA4" s="2">
        <v>26</v>
      </c>
      <c r="CB4" s="2">
        <v>20</v>
      </c>
      <c r="CC4" s="2">
        <v>34</v>
      </c>
      <c r="CD4" s="2">
        <v>31</v>
      </c>
      <c r="CE4" s="2">
        <v>48</v>
      </c>
      <c r="CF4" s="2">
        <v>46</v>
      </c>
      <c r="CG4" s="2">
        <v>3.1</v>
      </c>
      <c r="CH4" s="2">
        <v>1.38</v>
      </c>
      <c r="CI4" s="2">
        <v>6.5</v>
      </c>
      <c r="CJ4" s="2">
        <v>-6.5</v>
      </c>
      <c r="CK4" s="2">
        <v>158.5</v>
      </c>
      <c r="CL4" s="2" t="s">
        <v>350</v>
      </c>
      <c r="CM4" s="4" t="str">
        <f>VLOOKUP(portel[[#This Row],[Away_team]],all[[Full name]:[Abbr]],3,FALSE)</f>
        <v>BUR</v>
      </c>
      <c r="CN4" s="4">
        <f>IF(OR(portel[[#This Row],[Result]]="w",portel[[#This Row],[Result]]="dw"),portel[[#This Row],[win]]-1,-1)</f>
        <v>-1</v>
      </c>
      <c r="CO4" s="4">
        <f>IF(OR(portel[[#This Row],[Result]]="L",portel[[#This Row],[Result]]="dl"),portel[[#This Row],[lose]]-1,-1)</f>
        <v>0.37999999999999989</v>
      </c>
      <c r="CP4" s="4">
        <f>IF(OR((portel[[#This Row],[Home_scored]]+portel[[#This Row],[Away_scored]])&gt;portel[[#This Row],[total]],OR(portel[[#This Row],[Result]]="dw",portel[[#This Row],[Result]]="dl")),1,0)</f>
        <v>1</v>
      </c>
      <c r="CQ4" s="4">
        <f>ABS((portel[[#This Row],[Home_scored]]+portel[[#This Row],[Away_scored]])-portel[[#This Row],[total]])+0.5</f>
        <v>1</v>
      </c>
    </row>
    <row r="5" spans="1:95" x14ac:dyDescent="0.25">
      <c r="A5" s="2" t="s">
        <v>349</v>
      </c>
      <c r="B5" s="2" t="s">
        <v>320</v>
      </c>
      <c r="C5" s="3" t="s">
        <v>73</v>
      </c>
      <c r="D5" s="3">
        <v>45563</v>
      </c>
      <c r="E5" s="2" t="s">
        <v>140</v>
      </c>
      <c r="F5" s="2" t="s">
        <v>336</v>
      </c>
      <c r="G5" s="2" t="s">
        <v>139</v>
      </c>
      <c r="H5" s="11">
        <v>65</v>
      </c>
      <c r="I5" s="11">
        <v>74</v>
      </c>
      <c r="J5" s="11">
        <v>21</v>
      </c>
      <c r="K5" s="11">
        <v>52</v>
      </c>
      <c r="L5" s="12">
        <v>0.40379999999999999</v>
      </c>
      <c r="M5" s="11">
        <v>13</v>
      </c>
      <c r="N5" s="11">
        <v>26</v>
      </c>
      <c r="O5" s="12">
        <v>0.5</v>
      </c>
      <c r="P5" s="11">
        <v>8</v>
      </c>
      <c r="Q5" s="11">
        <v>26</v>
      </c>
      <c r="R5" s="12">
        <v>0.30769999999999997</v>
      </c>
      <c r="S5" s="11">
        <v>15</v>
      </c>
      <c r="T5" s="11">
        <v>20</v>
      </c>
      <c r="U5" s="12">
        <v>0.75</v>
      </c>
      <c r="V5" s="11">
        <v>7</v>
      </c>
      <c r="W5" s="11">
        <v>27</v>
      </c>
      <c r="X5" s="11">
        <v>34</v>
      </c>
      <c r="Y5" s="11">
        <v>18</v>
      </c>
      <c r="Z5" s="11">
        <v>5</v>
      </c>
      <c r="AA5" s="11">
        <v>2</v>
      </c>
      <c r="AB5" s="11">
        <v>17</v>
      </c>
      <c r="AC5" s="11">
        <v>12</v>
      </c>
      <c r="AD5" s="11">
        <v>34</v>
      </c>
      <c r="AE5" s="11">
        <v>74</v>
      </c>
      <c r="AF5" s="12">
        <v>0.45950000000000002</v>
      </c>
      <c r="AG5" s="11">
        <v>30</v>
      </c>
      <c r="AH5" s="11">
        <v>59</v>
      </c>
      <c r="AI5" s="12">
        <v>0.50849999999999995</v>
      </c>
      <c r="AJ5" s="11">
        <v>4</v>
      </c>
      <c r="AK5" s="11">
        <v>15</v>
      </c>
      <c r="AL5" s="12">
        <v>0.26669999999999999</v>
      </c>
      <c r="AM5" s="11">
        <v>2</v>
      </c>
      <c r="AN5" s="11">
        <v>7</v>
      </c>
      <c r="AO5" s="12">
        <v>0.28570000000000001</v>
      </c>
      <c r="AP5" s="11">
        <v>16</v>
      </c>
      <c r="AQ5" s="11">
        <v>23</v>
      </c>
      <c r="AR5" s="11">
        <v>39</v>
      </c>
      <c r="AS5" s="11">
        <v>17</v>
      </c>
      <c r="AT5" s="11">
        <v>13</v>
      </c>
      <c r="AU5" s="11">
        <v>3</v>
      </c>
      <c r="AV5" s="11">
        <v>11</v>
      </c>
      <c r="AW5" s="11">
        <v>18</v>
      </c>
      <c r="AX5" s="12">
        <v>0.53449999999999998</v>
      </c>
      <c r="AY5" s="12">
        <v>0.48080000000000001</v>
      </c>
      <c r="AZ5" s="12">
        <v>0.23330000000000001</v>
      </c>
      <c r="BA5" s="12">
        <v>0.62790000000000001</v>
      </c>
      <c r="BB5" s="12">
        <v>0.46579999999999999</v>
      </c>
      <c r="BC5" s="4">
        <v>70.171000000000006</v>
      </c>
      <c r="BD5" s="12">
        <v>0.85709999999999997</v>
      </c>
      <c r="BE5" s="12">
        <v>0.28849999999999998</v>
      </c>
      <c r="BF5" s="12">
        <v>0.2185</v>
      </c>
      <c r="BG5" s="4">
        <v>92.6</v>
      </c>
      <c r="BH5" s="4">
        <v>105.4</v>
      </c>
      <c r="BI5" s="4">
        <v>70.206000000000003</v>
      </c>
      <c r="BJ5" s="12">
        <v>0.48</v>
      </c>
      <c r="BK5" s="12">
        <v>0.48649999999999999</v>
      </c>
      <c r="BL5" s="12">
        <v>0.37209999999999999</v>
      </c>
      <c r="BM5" s="12">
        <v>0.76670000000000005</v>
      </c>
      <c r="BN5" s="12">
        <v>0.53420000000000001</v>
      </c>
      <c r="BO5" s="4">
        <v>70.241</v>
      </c>
      <c r="BP5" s="12">
        <v>0.5</v>
      </c>
      <c r="BQ5" s="12">
        <v>2.7E-2</v>
      </c>
      <c r="BR5" s="12">
        <v>0.1249</v>
      </c>
      <c r="BS5" s="4">
        <v>105.4</v>
      </c>
      <c r="BT5" s="4">
        <v>92.6</v>
      </c>
      <c r="BU5" s="11">
        <v>19</v>
      </c>
      <c r="BV5" s="11">
        <v>21</v>
      </c>
      <c r="BW5" s="11">
        <v>12</v>
      </c>
      <c r="BX5" s="11">
        <v>13</v>
      </c>
      <c r="BY5" s="11">
        <v>19</v>
      </c>
      <c r="BZ5" s="11">
        <v>24</v>
      </c>
      <c r="CA5" s="11">
        <v>16</v>
      </c>
      <c r="CB5" s="11">
        <v>15</v>
      </c>
      <c r="CC5" s="11">
        <v>40</v>
      </c>
      <c r="CD5" s="11">
        <v>25</v>
      </c>
      <c r="CE5" s="11">
        <v>43</v>
      </c>
      <c r="CF5" s="11">
        <v>31</v>
      </c>
      <c r="CG5" s="4">
        <v>3.1</v>
      </c>
      <c r="CH5" s="13">
        <v>1.38</v>
      </c>
      <c r="CI5" s="4">
        <v>6.5</v>
      </c>
      <c r="CJ5" s="4">
        <v>-6.5</v>
      </c>
      <c r="CK5" s="4">
        <v>159.5</v>
      </c>
      <c r="CL5" s="2" t="s">
        <v>403</v>
      </c>
      <c r="CM5" s="4" t="str">
        <f>VLOOKUP(portel[[#This Row],[Away_team]],all[[Full name]:[Abbr]],3,FALSE)</f>
        <v>NAN</v>
      </c>
      <c r="CN5" s="4">
        <f>IF(OR(portel[[#This Row],[Result]]="w",portel[[#This Row],[Result]]="dw"),portel[[#This Row],[win]]-1,-1)</f>
        <v>-1</v>
      </c>
      <c r="CO5" s="4">
        <f>IF(OR(portel[[#This Row],[Result]]="L",portel[[#This Row],[Result]]="dl"),portel[[#This Row],[lose]]-1,-1)</f>
        <v>0.37999999999999989</v>
      </c>
      <c r="CP5" s="4">
        <f>IF(OR((portel[[#This Row],[Home_scored]]+portel[[#This Row],[Away_scored]])&gt;portel[[#This Row],[total]],OR(portel[[#This Row],[Result]]="dw",portel[[#This Row],[Result]]="dl")),1,0)</f>
        <v>0</v>
      </c>
      <c r="CQ5" s="4">
        <f>ABS((portel[[#This Row],[Home_scored]]+portel[[#This Row],[Away_scored]])-portel[[#This Row],[total]])+0.5</f>
        <v>21</v>
      </c>
    </row>
    <row r="6" spans="1:95" x14ac:dyDescent="0.25">
      <c r="A6" s="2" t="s">
        <v>349</v>
      </c>
      <c r="B6" s="2" t="s">
        <v>320</v>
      </c>
      <c r="C6" s="3" t="s">
        <v>73</v>
      </c>
      <c r="D6" s="3">
        <v>45570</v>
      </c>
      <c r="E6" s="2" t="s">
        <v>74</v>
      </c>
      <c r="F6" s="2" t="s">
        <v>305</v>
      </c>
      <c r="G6" s="2" t="s">
        <v>75</v>
      </c>
      <c r="H6" s="11">
        <v>87</v>
      </c>
      <c r="I6" s="11">
        <v>81</v>
      </c>
      <c r="J6" s="11">
        <v>31</v>
      </c>
      <c r="K6" s="11">
        <v>61</v>
      </c>
      <c r="L6" s="12">
        <v>0.50819999999999999</v>
      </c>
      <c r="M6" s="11">
        <v>23</v>
      </c>
      <c r="N6" s="11">
        <v>41</v>
      </c>
      <c r="O6" s="12">
        <v>0.56100000000000005</v>
      </c>
      <c r="P6" s="11">
        <v>8</v>
      </c>
      <c r="Q6" s="11">
        <v>20</v>
      </c>
      <c r="R6" s="12">
        <v>0.4</v>
      </c>
      <c r="S6" s="11">
        <v>17</v>
      </c>
      <c r="T6" s="11">
        <v>19</v>
      </c>
      <c r="U6" s="12">
        <v>0.89470000000000005</v>
      </c>
      <c r="V6" s="11">
        <v>8</v>
      </c>
      <c r="W6" s="11">
        <v>23</v>
      </c>
      <c r="X6" s="11">
        <v>31</v>
      </c>
      <c r="Y6" s="11">
        <v>19</v>
      </c>
      <c r="Z6" s="11">
        <v>5</v>
      </c>
      <c r="AA6" s="11">
        <v>3</v>
      </c>
      <c r="AB6" s="11">
        <v>11</v>
      </c>
      <c r="AC6" s="11">
        <v>17</v>
      </c>
      <c r="AD6" s="11">
        <v>32</v>
      </c>
      <c r="AE6" s="11">
        <v>64</v>
      </c>
      <c r="AF6" s="12">
        <v>0.5</v>
      </c>
      <c r="AG6" s="11">
        <v>23</v>
      </c>
      <c r="AH6" s="11">
        <v>38</v>
      </c>
      <c r="AI6" s="12">
        <v>0.60529999999999995</v>
      </c>
      <c r="AJ6" s="11">
        <v>9</v>
      </c>
      <c r="AK6" s="11">
        <v>26</v>
      </c>
      <c r="AL6" s="12">
        <v>0.34620000000000001</v>
      </c>
      <c r="AM6" s="11">
        <v>8</v>
      </c>
      <c r="AN6" s="11">
        <v>10</v>
      </c>
      <c r="AO6" s="12">
        <v>0.8</v>
      </c>
      <c r="AP6" s="11">
        <v>9</v>
      </c>
      <c r="AQ6" s="11">
        <v>21</v>
      </c>
      <c r="AR6" s="11">
        <v>30</v>
      </c>
      <c r="AS6" s="11">
        <v>19</v>
      </c>
      <c r="AT6" s="11">
        <v>6</v>
      </c>
      <c r="AU6" s="11">
        <v>2</v>
      </c>
      <c r="AV6" s="11">
        <v>11</v>
      </c>
      <c r="AW6" s="11">
        <v>17</v>
      </c>
      <c r="AX6" s="12">
        <v>0.62719999999999998</v>
      </c>
      <c r="AY6" s="12">
        <v>0.57379999999999998</v>
      </c>
      <c r="AZ6" s="12">
        <v>0.27589999999999998</v>
      </c>
      <c r="BA6" s="12">
        <v>0.71879999999999999</v>
      </c>
      <c r="BB6" s="12">
        <v>0.50819999999999999</v>
      </c>
      <c r="BC6" s="4">
        <v>71.316000000000003</v>
      </c>
      <c r="BD6" s="12">
        <v>0.6129</v>
      </c>
      <c r="BE6" s="12">
        <v>0.2787</v>
      </c>
      <c r="BF6" s="12">
        <v>0.13689999999999999</v>
      </c>
      <c r="BG6" s="4">
        <v>124.2</v>
      </c>
      <c r="BH6" s="4">
        <v>115.7</v>
      </c>
      <c r="BI6" s="4">
        <v>70.022000000000006</v>
      </c>
      <c r="BJ6" s="12">
        <v>0.59209999999999996</v>
      </c>
      <c r="BK6" s="12">
        <v>0.57030000000000003</v>
      </c>
      <c r="BL6" s="12">
        <v>0.28129999999999999</v>
      </c>
      <c r="BM6" s="12">
        <v>0.72409999999999997</v>
      </c>
      <c r="BN6" s="12">
        <v>0.49180000000000001</v>
      </c>
      <c r="BO6" s="4">
        <v>68.727999999999994</v>
      </c>
      <c r="BP6" s="12">
        <v>0.59379999999999999</v>
      </c>
      <c r="BQ6" s="12">
        <v>0.125</v>
      </c>
      <c r="BR6" s="12">
        <v>0.13850000000000001</v>
      </c>
      <c r="BS6" s="4">
        <v>115.7</v>
      </c>
      <c r="BT6" s="4">
        <v>124.2</v>
      </c>
      <c r="BU6" s="11">
        <v>26</v>
      </c>
      <c r="BV6" s="11">
        <v>20</v>
      </c>
      <c r="BW6" s="11">
        <v>19</v>
      </c>
      <c r="BX6" s="11">
        <v>22</v>
      </c>
      <c r="BY6" s="11">
        <v>23</v>
      </c>
      <c r="BZ6" s="11">
        <v>21</v>
      </c>
      <c r="CA6" s="11">
        <v>20</v>
      </c>
      <c r="CB6" s="11">
        <v>17</v>
      </c>
      <c r="CC6" s="11">
        <v>46</v>
      </c>
      <c r="CD6" s="11">
        <v>41</v>
      </c>
      <c r="CE6" s="11">
        <v>44</v>
      </c>
      <c r="CF6" s="11">
        <v>37</v>
      </c>
      <c r="CG6" s="4">
        <v>1.65</v>
      </c>
      <c r="CH6" s="13">
        <v>2.2999999999999998</v>
      </c>
      <c r="CI6" s="4">
        <v>-3</v>
      </c>
      <c r="CJ6" s="4">
        <v>-3</v>
      </c>
      <c r="CK6" s="4">
        <v>156.5</v>
      </c>
      <c r="CL6" s="2" t="s">
        <v>363</v>
      </c>
      <c r="CM6" s="4" t="str">
        <f>VLOOKUP(portel[[#This Row],[Away_team]],all[[Full name]:[Abbr]],3,FALSE)</f>
        <v>CHA</v>
      </c>
      <c r="CN6" s="4">
        <f>IF(OR(portel[[#This Row],[Result]]="w",portel[[#This Row],[Result]]="dw"),portel[[#This Row],[win]]-1,-1)</f>
        <v>0.64999999999999991</v>
      </c>
      <c r="CO6" s="4">
        <f>IF(OR(portel[[#This Row],[Result]]="L",portel[[#This Row],[Result]]="dl"),portel[[#This Row],[lose]]-1,-1)</f>
        <v>-1</v>
      </c>
      <c r="CP6" s="4">
        <f>IF(OR((portel[[#This Row],[Home_scored]]+portel[[#This Row],[Away_scored]])&gt;portel[[#This Row],[total]],OR(portel[[#This Row],[Result]]="dw",portel[[#This Row],[Result]]="dl")),1,0)</f>
        <v>1</v>
      </c>
      <c r="CQ6" s="4">
        <f>ABS((portel[[#This Row],[Home_scored]]+portel[[#This Row],[Away_scored]])-portel[[#This Row],[total]])+0.5</f>
        <v>12</v>
      </c>
    </row>
    <row r="7" spans="1:95" x14ac:dyDescent="0.25">
      <c r="A7" s="2" t="s">
        <v>349</v>
      </c>
      <c r="B7" s="2" t="s">
        <v>320</v>
      </c>
      <c r="C7" s="3" t="s">
        <v>73</v>
      </c>
      <c r="D7" s="3">
        <v>45578</v>
      </c>
      <c r="E7" s="2" t="s">
        <v>140</v>
      </c>
      <c r="F7" s="2" t="s">
        <v>327</v>
      </c>
      <c r="G7" s="2" t="s">
        <v>139</v>
      </c>
      <c r="H7" s="11">
        <v>67</v>
      </c>
      <c r="I7" s="11">
        <v>88</v>
      </c>
      <c r="J7" s="11">
        <v>23</v>
      </c>
      <c r="K7" s="11">
        <v>56</v>
      </c>
      <c r="L7" s="12">
        <v>0.41070000000000001</v>
      </c>
      <c r="M7" s="11">
        <v>18</v>
      </c>
      <c r="N7" s="11">
        <v>31</v>
      </c>
      <c r="O7" s="12">
        <v>0.5806</v>
      </c>
      <c r="P7" s="11">
        <v>5</v>
      </c>
      <c r="Q7" s="11">
        <v>25</v>
      </c>
      <c r="R7" s="12">
        <v>0.2</v>
      </c>
      <c r="S7" s="11">
        <v>16</v>
      </c>
      <c r="T7" s="11">
        <v>25</v>
      </c>
      <c r="U7" s="12">
        <v>0.64</v>
      </c>
      <c r="V7" s="11">
        <v>10</v>
      </c>
      <c r="W7" s="11">
        <v>20</v>
      </c>
      <c r="X7" s="11">
        <v>30</v>
      </c>
      <c r="Y7" s="11">
        <v>18</v>
      </c>
      <c r="Z7" s="11">
        <v>7</v>
      </c>
      <c r="AA7" s="11">
        <v>1</v>
      </c>
      <c r="AB7" s="11">
        <v>13</v>
      </c>
      <c r="AC7" s="11">
        <v>25</v>
      </c>
      <c r="AD7" s="11">
        <v>31</v>
      </c>
      <c r="AE7" s="11">
        <v>54</v>
      </c>
      <c r="AF7" s="12">
        <v>0.57410000000000005</v>
      </c>
      <c r="AG7" s="11">
        <v>22</v>
      </c>
      <c r="AH7" s="11">
        <v>35</v>
      </c>
      <c r="AI7" s="12">
        <v>0.62860000000000005</v>
      </c>
      <c r="AJ7" s="11">
        <v>9</v>
      </c>
      <c r="AK7" s="11">
        <v>19</v>
      </c>
      <c r="AL7" s="12">
        <v>0.47370000000000001</v>
      </c>
      <c r="AM7" s="11">
        <v>17</v>
      </c>
      <c r="AN7" s="11">
        <v>21</v>
      </c>
      <c r="AO7" s="12">
        <v>0.8095</v>
      </c>
      <c r="AP7" s="11">
        <v>4</v>
      </c>
      <c r="AQ7" s="11">
        <v>26</v>
      </c>
      <c r="AR7" s="11">
        <v>30</v>
      </c>
      <c r="AS7" s="11">
        <v>22</v>
      </c>
      <c r="AT7" s="11">
        <v>5</v>
      </c>
      <c r="AU7" s="11">
        <v>1</v>
      </c>
      <c r="AV7" s="11">
        <v>16</v>
      </c>
      <c r="AW7" s="11">
        <v>22</v>
      </c>
      <c r="AX7" s="12">
        <v>0.5</v>
      </c>
      <c r="AY7" s="12">
        <v>0.45540000000000003</v>
      </c>
      <c r="AZ7" s="12">
        <v>0.27779999999999999</v>
      </c>
      <c r="BA7" s="12">
        <v>0.83330000000000004</v>
      </c>
      <c r="BB7" s="12">
        <v>0.5</v>
      </c>
      <c r="BC7" s="4">
        <v>67.23</v>
      </c>
      <c r="BD7" s="12">
        <v>0.78259999999999996</v>
      </c>
      <c r="BE7" s="12">
        <v>0.28570000000000001</v>
      </c>
      <c r="BF7" s="12">
        <v>0.16250000000000001</v>
      </c>
      <c r="BG7" s="4">
        <v>94.1</v>
      </c>
      <c r="BH7" s="4">
        <v>123.6</v>
      </c>
      <c r="BI7" s="4">
        <v>71.174499999999995</v>
      </c>
      <c r="BJ7" s="12">
        <v>0.69579999999999997</v>
      </c>
      <c r="BK7" s="12">
        <v>0.65739999999999998</v>
      </c>
      <c r="BL7" s="12">
        <v>0.16669999999999999</v>
      </c>
      <c r="BM7" s="12">
        <v>0.72219999999999995</v>
      </c>
      <c r="BN7" s="12">
        <v>0.5</v>
      </c>
      <c r="BO7" s="4">
        <v>75.119</v>
      </c>
      <c r="BP7" s="12">
        <v>0.7097</v>
      </c>
      <c r="BQ7" s="12">
        <v>0.31480000000000002</v>
      </c>
      <c r="BR7" s="12">
        <v>0.2019</v>
      </c>
      <c r="BS7" s="4">
        <v>123.6</v>
      </c>
      <c r="BT7" s="4">
        <v>94.1</v>
      </c>
      <c r="BU7" s="11">
        <v>18</v>
      </c>
      <c r="BV7" s="11">
        <v>22</v>
      </c>
      <c r="BW7" s="11">
        <v>12</v>
      </c>
      <c r="BX7" s="11">
        <v>15</v>
      </c>
      <c r="BY7" s="11">
        <v>24</v>
      </c>
      <c r="BZ7" s="11">
        <v>22</v>
      </c>
      <c r="CA7" s="11">
        <v>29</v>
      </c>
      <c r="CB7" s="11">
        <v>13</v>
      </c>
      <c r="CC7" s="11">
        <v>40</v>
      </c>
      <c r="CD7" s="11">
        <v>27</v>
      </c>
      <c r="CE7" s="11">
        <v>46</v>
      </c>
      <c r="CF7" s="11">
        <v>42</v>
      </c>
      <c r="CG7" s="4">
        <v>9.5</v>
      </c>
      <c r="CH7" s="13">
        <v>1.07</v>
      </c>
      <c r="CI7" s="4">
        <v>14.5</v>
      </c>
      <c r="CJ7" s="4">
        <v>-14.5</v>
      </c>
      <c r="CK7" s="4">
        <v>160.5</v>
      </c>
      <c r="CL7" s="2" t="s">
        <v>404</v>
      </c>
      <c r="CM7" s="4" t="str">
        <f>VLOOKUP(portel[[#This Row],[Away_team]],all[[Full name]:[Abbr]],3,FALSE)</f>
        <v>LYO</v>
      </c>
      <c r="CN7" s="4">
        <f>IF(OR(portel[[#This Row],[Result]]="w",portel[[#This Row],[Result]]="dw"),portel[[#This Row],[win]]-1,-1)</f>
        <v>-1</v>
      </c>
      <c r="CO7" s="4">
        <f>IF(OR(portel[[#This Row],[Result]]="L",portel[[#This Row],[Result]]="dl"),portel[[#This Row],[lose]]-1,-1)</f>
        <v>7.0000000000000062E-2</v>
      </c>
      <c r="CP7" s="4">
        <f>IF(OR((portel[[#This Row],[Home_scored]]+portel[[#This Row],[Away_scored]])&gt;portel[[#This Row],[total]],OR(portel[[#This Row],[Result]]="dw",portel[[#This Row],[Result]]="dl")),1,0)</f>
        <v>0</v>
      </c>
      <c r="CQ7" s="4">
        <f>ABS((portel[[#This Row],[Home_scored]]+portel[[#This Row],[Away_scored]])-portel[[#This Row],[total]])+0.5</f>
        <v>6</v>
      </c>
    </row>
    <row r="8" spans="1:95" x14ac:dyDescent="0.25">
      <c r="A8" s="2" t="s">
        <v>349</v>
      </c>
      <c r="B8" s="2" t="s">
        <v>320</v>
      </c>
      <c r="C8" s="3" t="s">
        <v>73</v>
      </c>
      <c r="D8" s="3">
        <v>45583</v>
      </c>
      <c r="E8" s="2" t="s">
        <v>74</v>
      </c>
      <c r="F8" s="2" t="s">
        <v>314</v>
      </c>
      <c r="G8" s="2" t="s">
        <v>139</v>
      </c>
      <c r="H8" s="11">
        <v>69</v>
      </c>
      <c r="I8" s="11">
        <v>82</v>
      </c>
      <c r="J8" s="11">
        <v>25</v>
      </c>
      <c r="K8" s="11">
        <v>56</v>
      </c>
      <c r="L8" s="12">
        <v>0.44640000000000002</v>
      </c>
      <c r="M8" s="11">
        <v>19</v>
      </c>
      <c r="N8" s="11">
        <v>36</v>
      </c>
      <c r="O8" s="12">
        <v>0.52780000000000005</v>
      </c>
      <c r="P8" s="11">
        <v>6</v>
      </c>
      <c r="Q8" s="11">
        <v>20</v>
      </c>
      <c r="R8" s="12">
        <v>0.3</v>
      </c>
      <c r="S8" s="11">
        <v>13</v>
      </c>
      <c r="T8" s="11">
        <v>14</v>
      </c>
      <c r="U8" s="12">
        <v>0.92859999999999998</v>
      </c>
      <c r="V8" s="11">
        <v>11</v>
      </c>
      <c r="W8" s="11">
        <v>16</v>
      </c>
      <c r="X8" s="11">
        <v>27</v>
      </c>
      <c r="Y8" s="11">
        <v>9</v>
      </c>
      <c r="Z8" s="11">
        <v>4</v>
      </c>
      <c r="AA8" s="11">
        <v>4</v>
      </c>
      <c r="AB8" s="11">
        <v>14</v>
      </c>
      <c r="AC8" s="11">
        <v>26</v>
      </c>
      <c r="AD8" s="11">
        <v>28</v>
      </c>
      <c r="AE8" s="11">
        <v>52</v>
      </c>
      <c r="AF8" s="12">
        <v>0.53849999999999998</v>
      </c>
      <c r="AG8" s="11">
        <v>23</v>
      </c>
      <c r="AH8" s="11">
        <v>38</v>
      </c>
      <c r="AI8" s="12">
        <v>0.60529999999999995</v>
      </c>
      <c r="AJ8" s="11">
        <v>5</v>
      </c>
      <c r="AK8" s="11">
        <v>14</v>
      </c>
      <c r="AL8" s="12">
        <v>0.35709999999999997</v>
      </c>
      <c r="AM8" s="11">
        <v>21</v>
      </c>
      <c r="AN8" s="11">
        <v>28</v>
      </c>
      <c r="AO8" s="12">
        <v>0.75</v>
      </c>
      <c r="AP8" s="11">
        <v>8</v>
      </c>
      <c r="AQ8" s="11">
        <v>20</v>
      </c>
      <c r="AR8" s="11">
        <v>28</v>
      </c>
      <c r="AS8" s="11">
        <v>17</v>
      </c>
      <c r="AT8" s="11">
        <v>10</v>
      </c>
      <c r="AU8" s="11">
        <v>3</v>
      </c>
      <c r="AV8" s="11">
        <v>9</v>
      </c>
      <c r="AW8" s="11">
        <v>17</v>
      </c>
      <c r="AX8" s="12">
        <v>0.55500000000000005</v>
      </c>
      <c r="AY8" s="12">
        <v>0.5</v>
      </c>
      <c r="AZ8" s="12">
        <v>0.3548</v>
      </c>
      <c r="BA8" s="12">
        <v>0.66669999999999996</v>
      </c>
      <c r="BB8" s="12">
        <v>0.4909</v>
      </c>
      <c r="BC8" s="4">
        <v>62.085999999999999</v>
      </c>
      <c r="BD8" s="12">
        <v>0.36</v>
      </c>
      <c r="BE8" s="12">
        <v>0.2321</v>
      </c>
      <c r="BF8" s="12">
        <v>0.18379999999999999</v>
      </c>
      <c r="BG8" s="4">
        <v>108.7</v>
      </c>
      <c r="BH8" s="4">
        <v>129.19999999999999</v>
      </c>
      <c r="BI8" s="4">
        <v>63.474499999999999</v>
      </c>
      <c r="BJ8" s="12">
        <v>0.63739999999999997</v>
      </c>
      <c r="BK8" s="12">
        <v>0.58650000000000002</v>
      </c>
      <c r="BL8" s="12">
        <v>0.33329999999999999</v>
      </c>
      <c r="BM8" s="12">
        <v>0.6452</v>
      </c>
      <c r="BN8" s="12">
        <v>0.5091</v>
      </c>
      <c r="BO8" s="4">
        <v>64.863</v>
      </c>
      <c r="BP8" s="12">
        <v>0.60709999999999997</v>
      </c>
      <c r="BQ8" s="12">
        <v>0.40379999999999999</v>
      </c>
      <c r="BR8" s="12">
        <v>0.1227</v>
      </c>
      <c r="BS8" s="4">
        <v>129.19999999999999</v>
      </c>
      <c r="BT8" s="4">
        <v>108.7</v>
      </c>
      <c r="BU8" s="11">
        <v>16</v>
      </c>
      <c r="BV8" s="11">
        <v>23</v>
      </c>
      <c r="BW8" s="11">
        <v>16</v>
      </c>
      <c r="BX8" s="11">
        <v>14</v>
      </c>
      <c r="BY8" s="11">
        <v>22</v>
      </c>
      <c r="BZ8" s="11">
        <v>26</v>
      </c>
      <c r="CA8" s="11">
        <v>12</v>
      </c>
      <c r="CB8" s="11">
        <v>22</v>
      </c>
      <c r="CC8" s="11">
        <v>39</v>
      </c>
      <c r="CD8" s="11">
        <v>30</v>
      </c>
      <c r="CE8" s="11">
        <v>48</v>
      </c>
      <c r="CF8" s="11">
        <v>34</v>
      </c>
      <c r="CG8" s="4">
        <v>1.8</v>
      </c>
      <c r="CH8" s="13">
        <v>2.0499999999999998</v>
      </c>
      <c r="CI8" s="4">
        <v>-1.5</v>
      </c>
      <c r="CJ8" s="4">
        <v>1.5</v>
      </c>
      <c r="CK8" s="4">
        <v>155.5</v>
      </c>
      <c r="CL8" s="2" t="s">
        <v>388</v>
      </c>
      <c r="CM8" s="4" t="str">
        <f>VLOOKUP(portel[[#This Row],[Away_team]],all[[Full name]:[Abbr]],3,FALSE)</f>
        <v>DUN</v>
      </c>
      <c r="CN8" s="4">
        <f>IF(OR(portel[[#This Row],[Result]]="w",portel[[#This Row],[Result]]="dw"),portel[[#This Row],[win]]-1,-1)</f>
        <v>-1</v>
      </c>
      <c r="CO8" s="4">
        <f>IF(OR(portel[[#This Row],[Result]]="L",portel[[#This Row],[Result]]="dl"),portel[[#This Row],[lose]]-1,-1)</f>
        <v>1.0499999999999998</v>
      </c>
      <c r="CP8" s="4">
        <f>IF(OR((portel[[#This Row],[Home_scored]]+portel[[#This Row],[Away_scored]])&gt;portel[[#This Row],[total]],OR(portel[[#This Row],[Result]]="dw",portel[[#This Row],[Result]]="dl")),1,0)</f>
        <v>0</v>
      </c>
      <c r="CQ8" s="4">
        <f>ABS((portel[[#This Row],[Home_scored]]+portel[[#This Row],[Away_scored]])-portel[[#This Row],[total]])+0.5</f>
        <v>5</v>
      </c>
    </row>
    <row r="9" spans="1:95" x14ac:dyDescent="0.25">
      <c r="A9" s="2" t="s">
        <v>349</v>
      </c>
      <c r="B9" s="2" t="s">
        <v>320</v>
      </c>
      <c r="C9" s="3" t="s">
        <v>73</v>
      </c>
      <c r="D9" s="3">
        <v>45591</v>
      </c>
      <c r="E9" s="2" t="s">
        <v>140</v>
      </c>
      <c r="F9" s="2" t="s">
        <v>317</v>
      </c>
      <c r="G9" s="2" t="s">
        <v>139</v>
      </c>
      <c r="H9" s="11">
        <v>74</v>
      </c>
      <c r="I9" s="11">
        <v>77</v>
      </c>
      <c r="J9" s="11">
        <v>24</v>
      </c>
      <c r="K9" s="11">
        <v>52</v>
      </c>
      <c r="L9" s="12">
        <v>0.46150000000000002</v>
      </c>
      <c r="M9" s="11">
        <v>14</v>
      </c>
      <c r="N9" s="11">
        <v>26</v>
      </c>
      <c r="O9" s="12">
        <v>0.53849999999999998</v>
      </c>
      <c r="P9" s="11">
        <v>10</v>
      </c>
      <c r="Q9" s="11">
        <v>26</v>
      </c>
      <c r="R9" s="12">
        <v>0.3846</v>
      </c>
      <c r="S9" s="11">
        <v>16</v>
      </c>
      <c r="T9" s="11">
        <v>19</v>
      </c>
      <c r="U9" s="12">
        <v>0.84209999999999996</v>
      </c>
      <c r="V9" s="11">
        <v>5</v>
      </c>
      <c r="W9" s="11">
        <v>27</v>
      </c>
      <c r="X9" s="11">
        <v>32</v>
      </c>
      <c r="Y9" s="11">
        <v>12</v>
      </c>
      <c r="Z9" s="11">
        <v>3</v>
      </c>
      <c r="AA9" s="11">
        <v>6</v>
      </c>
      <c r="AB9" s="11">
        <v>15</v>
      </c>
      <c r="AC9" s="11">
        <v>17</v>
      </c>
      <c r="AD9" s="11">
        <v>26</v>
      </c>
      <c r="AE9" s="11">
        <v>70</v>
      </c>
      <c r="AF9" s="12">
        <v>0.37140000000000001</v>
      </c>
      <c r="AG9" s="11">
        <v>16</v>
      </c>
      <c r="AH9" s="11">
        <v>43</v>
      </c>
      <c r="AI9" s="12">
        <v>0.37209999999999999</v>
      </c>
      <c r="AJ9" s="11">
        <v>10</v>
      </c>
      <c r="AK9" s="11">
        <v>27</v>
      </c>
      <c r="AL9" s="12">
        <v>0.37040000000000001</v>
      </c>
      <c r="AM9" s="11">
        <v>15</v>
      </c>
      <c r="AN9" s="11">
        <v>19</v>
      </c>
      <c r="AO9" s="12">
        <v>0.78949999999999998</v>
      </c>
      <c r="AP9" s="11">
        <v>17</v>
      </c>
      <c r="AQ9" s="11">
        <v>24</v>
      </c>
      <c r="AR9" s="11">
        <v>41</v>
      </c>
      <c r="AS9" s="11">
        <v>14</v>
      </c>
      <c r="AT9" s="11">
        <v>10</v>
      </c>
      <c r="AU9" s="11">
        <v>4</v>
      </c>
      <c r="AV9" s="11">
        <v>6</v>
      </c>
      <c r="AW9" s="11">
        <v>19</v>
      </c>
      <c r="AX9" s="12">
        <v>0.61299999999999999</v>
      </c>
      <c r="AY9" s="12">
        <v>0.55769999999999997</v>
      </c>
      <c r="AZ9" s="12">
        <v>0.1724</v>
      </c>
      <c r="BA9" s="12">
        <v>0.61360000000000003</v>
      </c>
      <c r="BB9" s="12">
        <v>0.43840000000000001</v>
      </c>
      <c r="BC9" s="4">
        <v>69.918999999999997</v>
      </c>
      <c r="BD9" s="12">
        <v>0.5</v>
      </c>
      <c r="BE9" s="12">
        <v>0.30769999999999997</v>
      </c>
      <c r="BF9" s="12">
        <v>0.19900000000000001</v>
      </c>
      <c r="BG9" s="4">
        <v>110.4</v>
      </c>
      <c r="BH9" s="4">
        <v>114.9</v>
      </c>
      <c r="BI9" s="4">
        <v>66.998999999999995</v>
      </c>
      <c r="BJ9" s="12">
        <v>0.49130000000000001</v>
      </c>
      <c r="BK9" s="12">
        <v>0.44290000000000002</v>
      </c>
      <c r="BL9" s="12">
        <v>0.38640000000000002</v>
      </c>
      <c r="BM9" s="12">
        <v>0.8276</v>
      </c>
      <c r="BN9" s="12">
        <v>0.56159999999999999</v>
      </c>
      <c r="BO9" s="4">
        <v>64.078999999999994</v>
      </c>
      <c r="BP9" s="12">
        <v>0.53849999999999998</v>
      </c>
      <c r="BQ9" s="12">
        <v>0.21429999999999999</v>
      </c>
      <c r="BR9" s="12">
        <v>7.1099999999999997E-2</v>
      </c>
      <c r="BS9" s="4">
        <v>114.9</v>
      </c>
      <c r="BT9" s="4">
        <v>110.4</v>
      </c>
      <c r="BU9" s="11">
        <v>20</v>
      </c>
      <c r="BV9" s="11">
        <v>16</v>
      </c>
      <c r="BW9" s="11">
        <v>10</v>
      </c>
      <c r="BX9" s="11">
        <v>28</v>
      </c>
      <c r="BY9" s="11">
        <v>22</v>
      </c>
      <c r="BZ9" s="11">
        <v>18</v>
      </c>
      <c r="CA9" s="11">
        <v>18</v>
      </c>
      <c r="CB9" s="11">
        <v>19</v>
      </c>
      <c r="CC9" s="11">
        <v>36</v>
      </c>
      <c r="CD9" s="11">
        <v>38</v>
      </c>
      <c r="CE9" s="11">
        <v>40</v>
      </c>
      <c r="CF9" s="11">
        <v>37</v>
      </c>
      <c r="CG9" s="4">
        <v>3.3</v>
      </c>
      <c r="CH9" s="13">
        <v>1.36</v>
      </c>
      <c r="CI9" s="4">
        <v>-7</v>
      </c>
      <c r="CJ9" s="4">
        <v>-7</v>
      </c>
      <c r="CK9" s="4">
        <v>160.5</v>
      </c>
      <c r="CL9" s="2" t="s">
        <v>399</v>
      </c>
      <c r="CM9" s="4" t="str">
        <f>VLOOKUP(portel[[#This Row],[Away_team]],all[[Full name]:[Abbr]],3,FALSE)</f>
        <v>LEM</v>
      </c>
      <c r="CN9" s="4">
        <f>IF(OR(portel[[#This Row],[Result]]="w",portel[[#This Row],[Result]]="dw"),portel[[#This Row],[win]]-1,-1)</f>
        <v>-1</v>
      </c>
      <c r="CO9" s="4">
        <f>IF(OR(portel[[#This Row],[Result]]="L",portel[[#This Row],[Result]]="dl"),portel[[#This Row],[lose]]-1,-1)</f>
        <v>0.3600000000000001</v>
      </c>
      <c r="CP9" s="4">
        <f>IF(OR((portel[[#This Row],[Home_scored]]+portel[[#This Row],[Away_scored]])&gt;portel[[#This Row],[total]],OR(portel[[#This Row],[Result]]="dw",portel[[#This Row],[Result]]="dl")),1,0)</f>
        <v>0</v>
      </c>
      <c r="CQ9" s="4">
        <f>ABS((portel[[#This Row],[Home_scored]]+portel[[#This Row],[Away_scored]])-portel[[#This Row],[total]])+0.5</f>
        <v>10</v>
      </c>
    </row>
    <row r="10" spans="1:95" x14ac:dyDescent="0.25">
      <c r="A10" s="2" t="s">
        <v>349</v>
      </c>
      <c r="B10" s="2" t="s">
        <v>320</v>
      </c>
      <c r="C10" s="3" t="s">
        <v>73</v>
      </c>
      <c r="D10" s="3">
        <v>45597</v>
      </c>
      <c r="E10" s="2" t="s">
        <v>74</v>
      </c>
      <c r="F10" s="2" t="s">
        <v>323</v>
      </c>
      <c r="G10" s="2" t="s">
        <v>75</v>
      </c>
      <c r="H10" s="11">
        <v>83</v>
      </c>
      <c r="I10" s="11">
        <v>62</v>
      </c>
      <c r="J10" s="11">
        <v>30</v>
      </c>
      <c r="K10" s="11">
        <v>60</v>
      </c>
      <c r="L10" s="12">
        <v>0.5</v>
      </c>
      <c r="M10" s="11">
        <v>18</v>
      </c>
      <c r="N10" s="11">
        <v>31</v>
      </c>
      <c r="O10" s="12">
        <v>0.5806</v>
      </c>
      <c r="P10" s="11">
        <v>12</v>
      </c>
      <c r="Q10" s="11">
        <v>29</v>
      </c>
      <c r="R10" s="12">
        <v>0.4138</v>
      </c>
      <c r="S10" s="11">
        <v>11</v>
      </c>
      <c r="T10" s="11">
        <v>12</v>
      </c>
      <c r="U10" s="12">
        <v>0.91669999999999996</v>
      </c>
      <c r="V10" s="11">
        <v>5</v>
      </c>
      <c r="W10" s="11">
        <v>25</v>
      </c>
      <c r="X10" s="11">
        <v>30</v>
      </c>
      <c r="Y10" s="11">
        <v>17</v>
      </c>
      <c r="Z10" s="11">
        <v>11</v>
      </c>
      <c r="AA10" s="11">
        <v>2</v>
      </c>
      <c r="AB10" s="11">
        <v>13</v>
      </c>
      <c r="AC10" s="11">
        <v>21</v>
      </c>
      <c r="AD10" s="11">
        <v>20</v>
      </c>
      <c r="AE10" s="11">
        <v>50</v>
      </c>
      <c r="AF10" s="12">
        <v>0.4</v>
      </c>
      <c r="AG10" s="11">
        <v>18</v>
      </c>
      <c r="AH10" s="11">
        <v>31</v>
      </c>
      <c r="AI10" s="12">
        <v>0.5806</v>
      </c>
      <c r="AJ10" s="11">
        <v>2</v>
      </c>
      <c r="AK10" s="11">
        <v>19</v>
      </c>
      <c r="AL10" s="12">
        <v>0.1053</v>
      </c>
      <c r="AM10" s="11">
        <v>20</v>
      </c>
      <c r="AN10" s="11">
        <v>25</v>
      </c>
      <c r="AO10" s="12">
        <v>0.8</v>
      </c>
      <c r="AP10" s="11">
        <v>7</v>
      </c>
      <c r="AQ10" s="11">
        <v>24</v>
      </c>
      <c r="AR10" s="11">
        <v>31</v>
      </c>
      <c r="AS10" s="11">
        <v>12</v>
      </c>
      <c r="AT10" s="11">
        <v>10</v>
      </c>
      <c r="AU10" s="11">
        <v>0</v>
      </c>
      <c r="AV10" s="11">
        <v>19</v>
      </c>
      <c r="AW10" s="11">
        <v>17</v>
      </c>
      <c r="AX10" s="12">
        <v>0.63570000000000004</v>
      </c>
      <c r="AY10" s="12">
        <v>0.6</v>
      </c>
      <c r="AZ10" s="12">
        <v>0.1724</v>
      </c>
      <c r="BA10" s="12">
        <v>0.78129999999999999</v>
      </c>
      <c r="BB10" s="12">
        <v>0.49180000000000001</v>
      </c>
      <c r="BC10" s="4">
        <v>72.45</v>
      </c>
      <c r="BD10" s="12">
        <v>0.56669999999999998</v>
      </c>
      <c r="BE10" s="12">
        <v>0.18329999999999999</v>
      </c>
      <c r="BF10" s="12">
        <v>0.1661</v>
      </c>
      <c r="BG10" s="4">
        <v>115.1</v>
      </c>
      <c r="BH10" s="4">
        <v>86</v>
      </c>
      <c r="BI10" s="4">
        <v>72.100999999999999</v>
      </c>
      <c r="BJ10" s="12">
        <v>0.50819999999999999</v>
      </c>
      <c r="BK10" s="12">
        <v>0.42</v>
      </c>
      <c r="BL10" s="12">
        <v>0.21879999999999999</v>
      </c>
      <c r="BM10" s="12">
        <v>0.8276</v>
      </c>
      <c r="BN10" s="12">
        <v>0.50819999999999999</v>
      </c>
      <c r="BO10" s="4">
        <v>71.751999999999995</v>
      </c>
      <c r="BP10" s="12">
        <v>0.6</v>
      </c>
      <c r="BQ10" s="12">
        <v>0.4</v>
      </c>
      <c r="BR10" s="12">
        <v>0.23749999999999999</v>
      </c>
      <c r="BS10" s="4">
        <v>86</v>
      </c>
      <c r="BT10" s="4">
        <v>115.1</v>
      </c>
      <c r="BU10" s="11">
        <v>23</v>
      </c>
      <c r="BV10" s="11">
        <v>21</v>
      </c>
      <c r="BW10" s="11">
        <v>17</v>
      </c>
      <c r="BX10" s="11">
        <v>22</v>
      </c>
      <c r="BY10" s="11">
        <v>16</v>
      </c>
      <c r="BZ10" s="11">
        <v>17</v>
      </c>
      <c r="CA10" s="11">
        <v>16</v>
      </c>
      <c r="CB10" s="11">
        <v>13</v>
      </c>
      <c r="CC10" s="11">
        <v>44</v>
      </c>
      <c r="CD10" s="11">
        <v>39</v>
      </c>
      <c r="CE10" s="11">
        <v>33</v>
      </c>
      <c r="CF10" s="11">
        <v>29</v>
      </c>
      <c r="CG10" s="4">
        <v>1.38</v>
      </c>
      <c r="CH10" s="13">
        <v>3.1</v>
      </c>
      <c r="CI10" s="4">
        <v>-6.5</v>
      </c>
      <c r="CJ10" s="4">
        <v>6.5</v>
      </c>
      <c r="CK10" s="4">
        <v>152.5</v>
      </c>
      <c r="CL10" s="2" t="s">
        <v>405</v>
      </c>
      <c r="CM10" s="4" t="e">
        <f>VLOOKUP(portel[[#This Row],[Away_team]],all[[Full name]:[Abbr]],3,FALSE)</f>
        <v>#N/A</v>
      </c>
      <c r="CN10" s="4">
        <f>IF(OR(portel[[#This Row],[Result]]="w",portel[[#This Row],[Result]]="dw"),portel[[#This Row],[win]]-1,-1)</f>
        <v>0.37999999999999989</v>
      </c>
      <c r="CO10" s="4">
        <f>IF(OR(portel[[#This Row],[Result]]="L",portel[[#This Row],[Result]]="dl"),portel[[#This Row],[lose]]-1,-1)</f>
        <v>-1</v>
      </c>
      <c r="CP10" s="4">
        <f>IF(OR((portel[[#This Row],[Home_scored]]+portel[[#This Row],[Away_scored]])&gt;portel[[#This Row],[total]],OR(portel[[#This Row],[Result]]="dw",portel[[#This Row],[Result]]="dl")),1,0)</f>
        <v>0</v>
      </c>
      <c r="CQ10" s="4">
        <f>ABS((portel[[#This Row],[Home_scored]]+portel[[#This Row],[Away_scored]])-portel[[#This Row],[total]])+0.5</f>
        <v>8</v>
      </c>
    </row>
    <row r="11" spans="1:95" x14ac:dyDescent="0.25">
      <c r="A11" s="2" t="s">
        <v>349</v>
      </c>
      <c r="B11" s="2" t="s">
        <v>320</v>
      </c>
      <c r="C11" s="3" t="s">
        <v>73</v>
      </c>
      <c r="D11" s="3">
        <v>45604</v>
      </c>
      <c r="E11" s="2" t="s">
        <v>140</v>
      </c>
      <c r="F11" s="2" t="s">
        <v>345</v>
      </c>
      <c r="G11" s="2" t="s">
        <v>146</v>
      </c>
      <c r="H11" s="11">
        <v>72</v>
      </c>
      <c r="I11" s="11">
        <v>72</v>
      </c>
      <c r="J11" s="11">
        <v>25</v>
      </c>
      <c r="K11" s="11">
        <v>57</v>
      </c>
      <c r="L11" s="12">
        <v>0.43859999999999999</v>
      </c>
      <c r="M11" s="11">
        <v>13</v>
      </c>
      <c r="N11" s="11">
        <v>30</v>
      </c>
      <c r="O11" s="12">
        <v>0.43330000000000002</v>
      </c>
      <c r="P11" s="11">
        <v>12</v>
      </c>
      <c r="Q11" s="11">
        <v>27</v>
      </c>
      <c r="R11" s="12">
        <v>0.44440000000000002</v>
      </c>
      <c r="S11" s="11">
        <v>10</v>
      </c>
      <c r="T11" s="11">
        <v>12</v>
      </c>
      <c r="U11" s="12">
        <v>0.83330000000000004</v>
      </c>
      <c r="V11" s="11">
        <v>7</v>
      </c>
      <c r="W11" s="11">
        <v>20</v>
      </c>
      <c r="X11" s="11">
        <v>27</v>
      </c>
      <c r="Y11" s="11">
        <v>14</v>
      </c>
      <c r="Z11" s="11">
        <v>7</v>
      </c>
      <c r="AA11" s="11">
        <v>1</v>
      </c>
      <c r="AB11" s="11">
        <v>14</v>
      </c>
      <c r="AC11" s="11">
        <v>17</v>
      </c>
      <c r="AD11" s="11">
        <v>26</v>
      </c>
      <c r="AE11" s="11">
        <v>54</v>
      </c>
      <c r="AF11" s="12">
        <v>0.48149999999999998</v>
      </c>
      <c r="AG11" s="11">
        <v>16</v>
      </c>
      <c r="AH11" s="11">
        <v>28</v>
      </c>
      <c r="AI11" s="12">
        <v>0.57140000000000002</v>
      </c>
      <c r="AJ11" s="11">
        <v>10</v>
      </c>
      <c r="AK11" s="11">
        <v>26</v>
      </c>
      <c r="AL11" s="12">
        <v>0.3846</v>
      </c>
      <c r="AM11" s="11">
        <v>10</v>
      </c>
      <c r="AN11" s="11">
        <v>13</v>
      </c>
      <c r="AO11" s="12">
        <v>0.76919999999999999</v>
      </c>
      <c r="AP11" s="11">
        <v>10</v>
      </c>
      <c r="AQ11" s="11">
        <v>25</v>
      </c>
      <c r="AR11" s="11">
        <v>35</v>
      </c>
      <c r="AS11" s="11">
        <v>18</v>
      </c>
      <c r="AT11" s="11">
        <v>3</v>
      </c>
      <c r="AU11" s="11">
        <v>5</v>
      </c>
      <c r="AV11" s="11">
        <v>18</v>
      </c>
      <c r="AW11" s="11">
        <v>16</v>
      </c>
      <c r="AX11" s="12">
        <v>0.57799999999999996</v>
      </c>
      <c r="AY11" s="12">
        <v>0.54390000000000005</v>
      </c>
      <c r="AZ11" s="12">
        <v>0.21879999999999999</v>
      </c>
      <c r="BA11" s="12">
        <v>0.66669999999999996</v>
      </c>
      <c r="BB11" s="12">
        <v>0.4355</v>
      </c>
      <c r="BC11" s="4">
        <v>66.923000000000002</v>
      </c>
      <c r="BD11" s="12">
        <v>0.56000000000000005</v>
      </c>
      <c r="BE11" s="12">
        <v>0.1754</v>
      </c>
      <c r="BF11" s="12">
        <v>0.1835</v>
      </c>
      <c r="BG11" s="4">
        <v>106.2</v>
      </c>
      <c r="BH11" s="4">
        <v>106.2</v>
      </c>
      <c r="BI11" s="4">
        <v>67.781499999999994</v>
      </c>
      <c r="BJ11" s="12">
        <v>0.6028</v>
      </c>
      <c r="BK11" s="12">
        <v>0.57410000000000005</v>
      </c>
      <c r="BL11" s="12">
        <v>0.33329999999999999</v>
      </c>
      <c r="BM11" s="12">
        <v>0.78129999999999999</v>
      </c>
      <c r="BN11" s="12">
        <v>0.5645</v>
      </c>
      <c r="BO11" s="4">
        <v>68.64</v>
      </c>
      <c r="BP11" s="12">
        <v>0.69230000000000003</v>
      </c>
      <c r="BQ11" s="12">
        <v>0.1852</v>
      </c>
      <c r="BR11" s="12">
        <v>0.2316</v>
      </c>
      <c r="BS11" s="4">
        <v>106.2</v>
      </c>
      <c r="BT11" s="4">
        <v>106.2</v>
      </c>
      <c r="BU11" s="11">
        <v>15</v>
      </c>
      <c r="BV11" s="11">
        <v>18</v>
      </c>
      <c r="BW11" s="11">
        <v>18</v>
      </c>
      <c r="BX11" s="11">
        <v>21</v>
      </c>
      <c r="BY11" s="11">
        <v>13</v>
      </c>
      <c r="BZ11" s="11">
        <v>26</v>
      </c>
      <c r="CA11" s="11">
        <v>15</v>
      </c>
      <c r="CB11" s="11">
        <v>18</v>
      </c>
      <c r="CC11" s="11">
        <v>33</v>
      </c>
      <c r="CD11" s="11">
        <v>39</v>
      </c>
      <c r="CE11" s="11">
        <v>39</v>
      </c>
      <c r="CF11" s="11">
        <v>33</v>
      </c>
      <c r="CG11" s="4">
        <v>3.7</v>
      </c>
      <c r="CH11" s="13">
        <v>1.29</v>
      </c>
      <c r="CI11" s="4">
        <v>-8</v>
      </c>
      <c r="CJ11" s="4">
        <v>-8</v>
      </c>
      <c r="CK11" s="4">
        <v>160.5</v>
      </c>
      <c r="CL11" s="2" t="s">
        <v>406</v>
      </c>
      <c r="CM11" s="4" t="str">
        <f>VLOOKUP(portel[[#This Row],[Away_team]],all[[Full name]:[Abbr]],3,FALSE)</f>
        <v>STR</v>
      </c>
      <c r="CN11" s="4">
        <f>IF(OR(portel[[#This Row],[Result]]="w",portel[[#This Row],[Result]]="dw"),portel[[#This Row],[win]]-1,-1)</f>
        <v>2.7</v>
      </c>
      <c r="CO11" s="4">
        <f>IF(OR(portel[[#This Row],[Result]]="L",portel[[#This Row],[Result]]="dl"),portel[[#This Row],[lose]]-1,-1)</f>
        <v>-1</v>
      </c>
      <c r="CP11" s="4">
        <f>IF(OR((portel[[#This Row],[Home_scored]]+portel[[#This Row],[Away_scored]])&gt;portel[[#This Row],[total]],OR(portel[[#This Row],[Result]]="dw",portel[[#This Row],[Result]]="dl")),1,0)</f>
        <v>1</v>
      </c>
      <c r="CQ11" s="4">
        <f>ABS((portel[[#This Row],[Home_scored]]+portel[[#This Row],[Away_scored]])-portel[[#This Row],[total]])+0.5</f>
        <v>17</v>
      </c>
    </row>
    <row r="12" spans="1:95" x14ac:dyDescent="0.25">
      <c r="A12" s="2" t="s">
        <v>349</v>
      </c>
      <c r="B12" s="2" t="s">
        <v>320</v>
      </c>
      <c r="C12" s="3" t="s">
        <v>73</v>
      </c>
      <c r="D12" s="3">
        <v>45612</v>
      </c>
      <c r="E12" s="2" t="s">
        <v>140</v>
      </c>
      <c r="F12" s="2" t="s">
        <v>308</v>
      </c>
      <c r="G12" s="2" t="s">
        <v>139</v>
      </c>
      <c r="H12" s="11">
        <v>65</v>
      </c>
      <c r="I12" s="11">
        <v>80</v>
      </c>
      <c r="J12" s="11">
        <v>23</v>
      </c>
      <c r="K12" s="11">
        <v>59</v>
      </c>
      <c r="L12" s="12">
        <v>0.38979999999999998</v>
      </c>
      <c r="M12" s="11">
        <v>13</v>
      </c>
      <c r="N12" s="11">
        <v>31</v>
      </c>
      <c r="O12" s="12">
        <v>0.4194</v>
      </c>
      <c r="P12" s="11">
        <v>10</v>
      </c>
      <c r="Q12" s="11">
        <v>28</v>
      </c>
      <c r="R12" s="12">
        <v>0.35709999999999997</v>
      </c>
      <c r="S12" s="11">
        <v>9</v>
      </c>
      <c r="T12" s="11">
        <v>12</v>
      </c>
      <c r="U12" s="12">
        <v>0.75</v>
      </c>
      <c r="V12" s="11">
        <v>9</v>
      </c>
      <c r="W12" s="11">
        <v>24</v>
      </c>
      <c r="X12" s="11">
        <v>33</v>
      </c>
      <c r="Y12" s="11">
        <v>14</v>
      </c>
      <c r="Z12" s="11">
        <v>13</v>
      </c>
      <c r="AA12" s="11">
        <v>3</v>
      </c>
      <c r="AB12" s="11">
        <v>17</v>
      </c>
      <c r="AC12" s="11">
        <v>17</v>
      </c>
      <c r="AD12" s="11">
        <v>32</v>
      </c>
      <c r="AE12" s="11">
        <v>68</v>
      </c>
      <c r="AF12" s="12">
        <v>0.47060000000000002</v>
      </c>
      <c r="AG12" s="11">
        <v>26</v>
      </c>
      <c r="AH12" s="11">
        <v>49</v>
      </c>
      <c r="AI12" s="12">
        <v>0.53059999999999996</v>
      </c>
      <c r="AJ12" s="11">
        <v>6</v>
      </c>
      <c r="AK12" s="11">
        <v>19</v>
      </c>
      <c r="AL12" s="12">
        <v>0.31580000000000003</v>
      </c>
      <c r="AM12" s="11">
        <v>10</v>
      </c>
      <c r="AN12" s="11">
        <v>16</v>
      </c>
      <c r="AO12" s="12">
        <v>0.625</v>
      </c>
      <c r="AP12" s="11">
        <v>15</v>
      </c>
      <c r="AQ12" s="11">
        <v>29</v>
      </c>
      <c r="AR12" s="11">
        <v>44</v>
      </c>
      <c r="AS12" s="11">
        <v>24</v>
      </c>
      <c r="AT12" s="11">
        <v>8</v>
      </c>
      <c r="AU12" s="11">
        <v>1</v>
      </c>
      <c r="AV12" s="11">
        <v>13</v>
      </c>
      <c r="AW12" s="11">
        <v>17</v>
      </c>
      <c r="AX12" s="12">
        <v>0.50560000000000005</v>
      </c>
      <c r="AY12" s="12">
        <v>0.47460000000000002</v>
      </c>
      <c r="AZ12" s="12">
        <v>0.23680000000000001</v>
      </c>
      <c r="BA12" s="12">
        <v>0.61539999999999995</v>
      </c>
      <c r="BB12" s="12">
        <v>0.42859999999999998</v>
      </c>
      <c r="BC12" s="4">
        <v>70.295000000000002</v>
      </c>
      <c r="BD12" s="12">
        <v>0.60870000000000002</v>
      </c>
      <c r="BE12" s="12">
        <v>0.1525</v>
      </c>
      <c r="BF12" s="12">
        <v>0.2092</v>
      </c>
      <c r="BG12" s="4">
        <v>89.9</v>
      </c>
      <c r="BH12" s="4">
        <v>110.7</v>
      </c>
      <c r="BI12" s="4">
        <v>72.281499999999994</v>
      </c>
      <c r="BJ12" s="12">
        <v>0.53300000000000003</v>
      </c>
      <c r="BK12" s="12">
        <v>0.51470000000000005</v>
      </c>
      <c r="BL12" s="12">
        <v>0.3846</v>
      </c>
      <c r="BM12" s="12">
        <v>0.76319999999999999</v>
      </c>
      <c r="BN12" s="12">
        <v>0.57140000000000002</v>
      </c>
      <c r="BO12" s="4">
        <v>74.268000000000001</v>
      </c>
      <c r="BP12" s="12">
        <v>0.75</v>
      </c>
      <c r="BQ12" s="12">
        <v>0.14710000000000001</v>
      </c>
      <c r="BR12" s="12">
        <v>0.1477</v>
      </c>
      <c r="BS12" s="4">
        <v>110.7</v>
      </c>
      <c r="BT12" s="4">
        <v>89.9</v>
      </c>
      <c r="BU12" s="11">
        <v>20</v>
      </c>
      <c r="BV12" s="11">
        <v>14</v>
      </c>
      <c r="BW12" s="11">
        <v>18</v>
      </c>
      <c r="BX12" s="11">
        <v>13</v>
      </c>
      <c r="BY12" s="11">
        <v>30</v>
      </c>
      <c r="BZ12" s="11">
        <v>18</v>
      </c>
      <c r="CA12" s="11">
        <v>15</v>
      </c>
      <c r="CB12" s="11">
        <v>17</v>
      </c>
      <c r="CC12" s="11">
        <v>34</v>
      </c>
      <c r="CD12" s="11">
        <v>31</v>
      </c>
      <c r="CE12" s="11">
        <v>48</v>
      </c>
      <c r="CF12" s="11">
        <v>32</v>
      </c>
      <c r="CG12" s="4">
        <v>4.25</v>
      </c>
      <c r="CH12" s="13">
        <v>1.24</v>
      </c>
      <c r="CI12" s="4">
        <v>-9</v>
      </c>
      <c r="CJ12" s="4">
        <v>-9</v>
      </c>
      <c r="CK12" s="4">
        <v>156.5</v>
      </c>
      <c r="CL12" s="2" t="s">
        <v>464</v>
      </c>
      <c r="CM12" s="4" t="str">
        <f>VLOOKUP(portel[[#This Row],[Away_team]],all[[Full name]:[Abbr]],3,FALSE)</f>
        <v>CHO</v>
      </c>
      <c r="CN12" s="4">
        <f>IF(OR(portel[[#This Row],[Result]]="w",portel[[#This Row],[Result]]="dw"),portel[[#This Row],[win]]-1,-1)</f>
        <v>-1</v>
      </c>
      <c r="CO12" s="4">
        <f>IF(OR(portel[[#This Row],[Result]]="L",portel[[#This Row],[Result]]="dl"),portel[[#This Row],[lose]]-1,-1)</f>
        <v>0.24</v>
      </c>
      <c r="CP12" s="4">
        <f>IF(OR((portel[[#This Row],[Home_scored]]+portel[[#This Row],[Away_scored]])&gt;portel[[#This Row],[total]],OR(portel[[#This Row],[Result]]="dw",portel[[#This Row],[Result]]="dl")),1,0)</f>
        <v>0</v>
      </c>
      <c r="CQ12" s="4">
        <f>ABS((portel[[#This Row],[Home_scored]]+portel[[#This Row],[Away_scored]])-portel[[#This Row],[total]])+0.5</f>
        <v>12</v>
      </c>
    </row>
    <row r="13" spans="1:95" x14ac:dyDescent="0.25">
      <c r="A13" s="2" t="s">
        <v>349</v>
      </c>
      <c r="B13" s="2" t="s">
        <v>320</v>
      </c>
      <c r="C13" s="3" t="s">
        <v>73</v>
      </c>
      <c r="D13" s="3">
        <v>45626</v>
      </c>
      <c r="E13" s="2" t="s">
        <v>74</v>
      </c>
      <c r="F13" s="2" t="s">
        <v>339</v>
      </c>
      <c r="G13" s="2" t="s">
        <v>139</v>
      </c>
      <c r="H13" s="11">
        <v>78</v>
      </c>
      <c r="I13" s="11">
        <v>87</v>
      </c>
      <c r="J13" s="11">
        <v>25</v>
      </c>
      <c r="K13" s="11">
        <v>58</v>
      </c>
      <c r="L13" s="12">
        <v>0.43099999999999999</v>
      </c>
      <c r="M13" s="11">
        <v>19</v>
      </c>
      <c r="N13" s="11">
        <v>41</v>
      </c>
      <c r="O13" s="12">
        <v>0.46339999999999998</v>
      </c>
      <c r="P13" s="11">
        <v>6</v>
      </c>
      <c r="Q13" s="11">
        <v>17</v>
      </c>
      <c r="R13" s="12">
        <v>0.35289999999999999</v>
      </c>
      <c r="S13" s="11">
        <v>22</v>
      </c>
      <c r="T13" s="11">
        <v>31</v>
      </c>
      <c r="U13" s="12">
        <v>0.7097</v>
      </c>
      <c r="V13" s="11">
        <v>8</v>
      </c>
      <c r="W13" s="11">
        <v>23</v>
      </c>
      <c r="X13" s="11">
        <v>31</v>
      </c>
      <c r="Y13" s="11">
        <v>15</v>
      </c>
      <c r="Z13" s="11">
        <v>6</v>
      </c>
      <c r="AA13" s="11">
        <v>3</v>
      </c>
      <c r="AB13" s="11">
        <v>12</v>
      </c>
      <c r="AC13" s="11">
        <v>20</v>
      </c>
      <c r="AD13" s="11">
        <v>32</v>
      </c>
      <c r="AE13" s="11">
        <v>72</v>
      </c>
      <c r="AF13" s="12">
        <v>0.44440000000000002</v>
      </c>
      <c r="AG13" s="11">
        <v>24</v>
      </c>
      <c r="AH13" s="11">
        <v>45</v>
      </c>
      <c r="AI13" s="12">
        <v>0.5333</v>
      </c>
      <c r="AJ13" s="11">
        <v>8</v>
      </c>
      <c r="AK13" s="11">
        <v>27</v>
      </c>
      <c r="AL13" s="12">
        <v>0.29630000000000001</v>
      </c>
      <c r="AM13" s="11">
        <v>15</v>
      </c>
      <c r="AN13" s="11">
        <v>20</v>
      </c>
      <c r="AO13" s="12">
        <v>0.75</v>
      </c>
      <c r="AP13" s="11">
        <v>18</v>
      </c>
      <c r="AQ13" s="11">
        <v>27</v>
      </c>
      <c r="AR13" s="11">
        <v>45</v>
      </c>
      <c r="AS13" s="11">
        <v>10</v>
      </c>
      <c r="AT13" s="11">
        <v>8</v>
      </c>
      <c r="AU13" s="11">
        <v>2</v>
      </c>
      <c r="AV13" s="11">
        <v>12</v>
      </c>
      <c r="AW13" s="11">
        <v>25</v>
      </c>
      <c r="AX13" s="12">
        <v>0.5444</v>
      </c>
      <c r="AY13" s="12">
        <v>0.48280000000000001</v>
      </c>
      <c r="AZ13" s="12">
        <v>0.2286</v>
      </c>
      <c r="BA13" s="12">
        <v>0.56100000000000005</v>
      </c>
      <c r="BB13" s="12">
        <v>0.40789999999999998</v>
      </c>
      <c r="BC13" s="4">
        <v>73.287999999999997</v>
      </c>
      <c r="BD13" s="12">
        <v>0.6</v>
      </c>
      <c r="BE13" s="12">
        <v>0.37930000000000003</v>
      </c>
      <c r="BF13" s="12">
        <v>0.14349999999999999</v>
      </c>
      <c r="BG13" s="4">
        <v>105.3</v>
      </c>
      <c r="BH13" s="4">
        <v>117.4</v>
      </c>
      <c r="BI13" s="4">
        <v>74.084000000000003</v>
      </c>
      <c r="BJ13" s="12">
        <v>0.53839999999999999</v>
      </c>
      <c r="BK13" s="12">
        <v>0.5</v>
      </c>
      <c r="BL13" s="12">
        <v>0.439</v>
      </c>
      <c r="BM13" s="12">
        <v>0.77139999999999997</v>
      </c>
      <c r="BN13" s="12">
        <v>0.59209999999999996</v>
      </c>
      <c r="BO13" s="4">
        <v>74.88</v>
      </c>
      <c r="BP13" s="12">
        <v>0.3125</v>
      </c>
      <c r="BQ13" s="12">
        <v>0.20830000000000001</v>
      </c>
      <c r="BR13" s="12">
        <v>0.1293</v>
      </c>
      <c r="BS13" s="4">
        <v>117.4</v>
      </c>
      <c r="BT13" s="4">
        <v>105.3</v>
      </c>
      <c r="BU13" s="11">
        <v>33</v>
      </c>
      <c r="BV13" s="11">
        <v>12</v>
      </c>
      <c r="BW13" s="11">
        <v>16</v>
      </c>
      <c r="BX13" s="11">
        <v>17</v>
      </c>
      <c r="BY13" s="11">
        <v>24</v>
      </c>
      <c r="BZ13" s="11">
        <v>15</v>
      </c>
      <c r="CA13" s="11">
        <v>30</v>
      </c>
      <c r="CB13" s="11">
        <v>18</v>
      </c>
      <c r="CC13" s="11">
        <v>45</v>
      </c>
      <c r="CD13" s="11">
        <v>33</v>
      </c>
      <c r="CE13" s="11">
        <v>39</v>
      </c>
      <c r="CF13" s="11">
        <v>48</v>
      </c>
      <c r="CG13" s="4">
        <v>4</v>
      </c>
      <c r="CH13" s="13">
        <v>1.26</v>
      </c>
      <c r="CI13" s="4">
        <v>8.5</v>
      </c>
      <c r="CJ13" s="4">
        <v>-8.5</v>
      </c>
      <c r="CK13" s="4">
        <v>169.5</v>
      </c>
      <c r="CL13" s="2" t="s">
        <v>407</v>
      </c>
      <c r="CM13" s="4" t="str">
        <f>VLOOKUP(portel[[#This Row],[Away_team]],all[[Full name]:[Abbr]],3,FALSE)</f>
        <v>PAR</v>
      </c>
      <c r="CN13" s="4">
        <f>IF(OR(portel[[#This Row],[Result]]="w",portel[[#This Row],[Result]]="dw"),portel[[#This Row],[win]]-1,-1)</f>
        <v>-1</v>
      </c>
      <c r="CO13" s="4">
        <f>IF(OR(portel[[#This Row],[Result]]="L",portel[[#This Row],[Result]]="dl"),portel[[#This Row],[lose]]-1,-1)</f>
        <v>0.26</v>
      </c>
      <c r="CP13" s="4">
        <f>IF(OR((portel[[#This Row],[Home_scored]]+portel[[#This Row],[Away_scored]])&gt;portel[[#This Row],[total]],OR(portel[[#This Row],[Result]]="dw",portel[[#This Row],[Result]]="dl")),1,0)</f>
        <v>0</v>
      </c>
      <c r="CQ13" s="4">
        <f>ABS((portel[[#This Row],[Home_scored]]+portel[[#This Row],[Away_scored]])-portel[[#This Row],[total]])+0.5</f>
        <v>5</v>
      </c>
    </row>
    <row r="14" spans="1:95" x14ac:dyDescent="0.25">
      <c r="A14" s="2" t="s">
        <v>349</v>
      </c>
      <c r="B14" s="2" t="s">
        <v>320</v>
      </c>
      <c r="C14" s="3" t="s">
        <v>73</v>
      </c>
      <c r="D14" s="3">
        <v>45633</v>
      </c>
      <c r="E14" s="2" t="s">
        <v>74</v>
      </c>
      <c r="F14" s="2" t="s">
        <v>311</v>
      </c>
      <c r="G14" s="2" t="s">
        <v>139</v>
      </c>
      <c r="H14" s="11">
        <v>74</v>
      </c>
      <c r="I14" s="11">
        <v>86</v>
      </c>
      <c r="J14" s="11">
        <v>26</v>
      </c>
      <c r="K14" s="11">
        <v>56</v>
      </c>
      <c r="L14" s="12">
        <v>0.46429999999999999</v>
      </c>
      <c r="M14" s="11">
        <v>21</v>
      </c>
      <c r="N14" s="11">
        <v>36</v>
      </c>
      <c r="O14" s="12">
        <v>0.58330000000000004</v>
      </c>
      <c r="P14" s="11">
        <v>5</v>
      </c>
      <c r="Q14" s="11">
        <v>20</v>
      </c>
      <c r="R14" s="12">
        <v>0.25</v>
      </c>
      <c r="S14" s="11">
        <v>17</v>
      </c>
      <c r="T14" s="11">
        <v>18</v>
      </c>
      <c r="U14" s="12">
        <v>0.94440000000000002</v>
      </c>
      <c r="V14" s="11">
        <v>7</v>
      </c>
      <c r="W14" s="11">
        <v>20</v>
      </c>
      <c r="X14" s="11">
        <v>27</v>
      </c>
      <c r="Y14" s="11">
        <v>12</v>
      </c>
      <c r="Z14" s="11">
        <v>7</v>
      </c>
      <c r="AA14" s="11">
        <v>4</v>
      </c>
      <c r="AB14" s="11">
        <v>9</v>
      </c>
      <c r="AC14" s="11">
        <v>19</v>
      </c>
      <c r="AD14" s="11">
        <v>30</v>
      </c>
      <c r="AE14" s="11">
        <v>59</v>
      </c>
      <c r="AF14" s="12">
        <v>0.50849999999999995</v>
      </c>
      <c r="AG14" s="11">
        <v>19</v>
      </c>
      <c r="AH14" s="11">
        <v>33</v>
      </c>
      <c r="AI14" s="12">
        <v>0.57579999999999998</v>
      </c>
      <c r="AJ14" s="11">
        <v>11</v>
      </c>
      <c r="AK14" s="11">
        <v>26</v>
      </c>
      <c r="AL14" s="12">
        <v>0.42309999999999998</v>
      </c>
      <c r="AM14" s="11">
        <v>15</v>
      </c>
      <c r="AN14" s="11">
        <v>21</v>
      </c>
      <c r="AO14" s="12">
        <v>0.71430000000000005</v>
      </c>
      <c r="AP14" s="11">
        <v>11</v>
      </c>
      <c r="AQ14" s="11">
        <v>23</v>
      </c>
      <c r="AR14" s="11">
        <v>34</v>
      </c>
      <c r="AS14" s="11">
        <v>14</v>
      </c>
      <c r="AT14" s="11">
        <v>4</v>
      </c>
      <c r="AU14" s="11">
        <v>0</v>
      </c>
      <c r="AV14" s="11">
        <v>10</v>
      </c>
      <c r="AW14" s="11">
        <v>20</v>
      </c>
      <c r="AX14" s="12">
        <v>0.57879999999999998</v>
      </c>
      <c r="AY14" s="12">
        <v>0.50890000000000002</v>
      </c>
      <c r="AZ14" s="12">
        <v>0.23330000000000001</v>
      </c>
      <c r="BA14" s="12">
        <v>0.6452</v>
      </c>
      <c r="BB14" s="12">
        <v>0.44259999999999999</v>
      </c>
      <c r="BC14" s="4">
        <v>63.878</v>
      </c>
      <c r="BD14" s="12">
        <v>0.46150000000000002</v>
      </c>
      <c r="BE14" s="12">
        <v>0.30359999999999998</v>
      </c>
      <c r="BF14" s="12">
        <v>0.1234</v>
      </c>
      <c r="BG14" s="4">
        <v>112.8</v>
      </c>
      <c r="BH14" s="4">
        <v>131.1</v>
      </c>
      <c r="BI14" s="4">
        <v>65.619500000000002</v>
      </c>
      <c r="BJ14" s="12">
        <v>0.63009999999999999</v>
      </c>
      <c r="BK14" s="12">
        <v>0.60170000000000001</v>
      </c>
      <c r="BL14" s="12">
        <v>0.3548</v>
      </c>
      <c r="BM14" s="12">
        <v>0.76670000000000005</v>
      </c>
      <c r="BN14" s="12">
        <v>0.55740000000000001</v>
      </c>
      <c r="BO14" s="4">
        <v>67.361000000000004</v>
      </c>
      <c r="BP14" s="12">
        <v>0.4667</v>
      </c>
      <c r="BQ14" s="12">
        <v>0.25419999999999998</v>
      </c>
      <c r="BR14" s="12">
        <v>0.1278</v>
      </c>
      <c r="BS14" s="4">
        <v>131.1</v>
      </c>
      <c r="BT14" s="4">
        <v>112.8</v>
      </c>
      <c r="BU14" s="11">
        <v>13</v>
      </c>
      <c r="BV14" s="11">
        <v>19</v>
      </c>
      <c r="BW14" s="11">
        <v>18</v>
      </c>
      <c r="BX14" s="11">
        <v>24</v>
      </c>
      <c r="BY14" s="11">
        <v>31</v>
      </c>
      <c r="BZ14" s="11">
        <v>16</v>
      </c>
      <c r="CA14" s="11">
        <v>19</v>
      </c>
      <c r="CB14" s="11">
        <v>20</v>
      </c>
      <c r="CC14" s="11">
        <v>32</v>
      </c>
      <c r="CD14" s="11">
        <v>42</v>
      </c>
      <c r="CE14" s="11">
        <v>47</v>
      </c>
      <c r="CF14" s="11">
        <v>39</v>
      </c>
      <c r="CG14" s="4">
        <v>2.15</v>
      </c>
      <c r="CH14" s="13">
        <v>1.74</v>
      </c>
      <c r="CI14" s="4">
        <v>2</v>
      </c>
      <c r="CJ14" s="4">
        <v>-2</v>
      </c>
      <c r="CK14" s="4">
        <v>159.5</v>
      </c>
      <c r="CL14" s="2" t="s">
        <v>436</v>
      </c>
      <c r="CM14" s="4" t="str">
        <f>VLOOKUP(portel[[#This Row],[Away_team]],all[[Full name]:[Abbr]],3,FALSE)</f>
        <v>DIJ</v>
      </c>
      <c r="CN14" s="4">
        <f>IF(OR(portel[[#This Row],[Result]]="w",portel[[#This Row],[Result]]="dw"),portel[[#This Row],[win]]-1,-1)</f>
        <v>-1</v>
      </c>
      <c r="CO14" s="4">
        <f>IF(OR(portel[[#This Row],[Result]]="L",portel[[#This Row],[Result]]="dl"),portel[[#This Row],[lose]]-1,-1)</f>
        <v>0.74</v>
      </c>
      <c r="CP14" s="4">
        <f>IF(OR((portel[[#This Row],[Home_scored]]+portel[[#This Row],[Away_scored]])&gt;portel[[#This Row],[total]],OR(portel[[#This Row],[Result]]="dw",portel[[#This Row],[Result]]="dl")),1,0)</f>
        <v>1</v>
      </c>
      <c r="CQ14" s="4">
        <f>ABS((portel[[#This Row],[Home_scored]]+portel[[#This Row],[Away_scored]])-portel[[#This Row],[total]])+0.5</f>
        <v>1</v>
      </c>
    </row>
    <row r="15" spans="1:95" x14ac:dyDescent="0.25">
      <c r="A15" s="2" t="s">
        <v>349</v>
      </c>
      <c r="B15" s="2" t="s">
        <v>320</v>
      </c>
      <c r="C15" s="3" t="s">
        <v>73</v>
      </c>
      <c r="D15" s="3">
        <v>45640</v>
      </c>
      <c r="E15" s="2" t="s">
        <v>140</v>
      </c>
      <c r="F15" s="2" t="s">
        <v>330</v>
      </c>
      <c r="G15" s="2" t="s">
        <v>139</v>
      </c>
      <c r="H15" s="11">
        <v>56</v>
      </c>
      <c r="I15" s="11">
        <v>78</v>
      </c>
      <c r="J15" s="11">
        <v>18</v>
      </c>
      <c r="K15" s="11">
        <v>55</v>
      </c>
      <c r="L15" s="12">
        <v>0.32729999999999998</v>
      </c>
      <c r="M15" s="11">
        <v>15</v>
      </c>
      <c r="N15" s="11">
        <v>39</v>
      </c>
      <c r="O15" s="12">
        <v>0.3846</v>
      </c>
      <c r="P15" s="11">
        <v>3</v>
      </c>
      <c r="Q15" s="11">
        <v>16</v>
      </c>
      <c r="R15" s="12">
        <v>0.1875</v>
      </c>
      <c r="S15" s="11">
        <v>17</v>
      </c>
      <c r="T15" s="11">
        <v>19</v>
      </c>
      <c r="U15" s="12">
        <v>0.89470000000000005</v>
      </c>
      <c r="V15" s="11">
        <v>8</v>
      </c>
      <c r="W15" s="11">
        <v>21</v>
      </c>
      <c r="X15" s="11">
        <v>29</v>
      </c>
      <c r="Y15" s="11">
        <v>11</v>
      </c>
      <c r="Z15" s="11">
        <v>6</v>
      </c>
      <c r="AA15" s="11">
        <v>0</v>
      </c>
      <c r="AB15" s="11">
        <v>15</v>
      </c>
      <c r="AC15" s="11">
        <v>25</v>
      </c>
      <c r="AD15" s="11">
        <v>25</v>
      </c>
      <c r="AE15" s="11">
        <v>61</v>
      </c>
      <c r="AF15" s="12">
        <v>0.4098</v>
      </c>
      <c r="AG15" s="11">
        <v>19</v>
      </c>
      <c r="AH15" s="11">
        <v>40</v>
      </c>
      <c r="AI15" s="12">
        <v>0.47499999999999998</v>
      </c>
      <c r="AJ15" s="11">
        <v>6</v>
      </c>
      <c r="AK15" s="11">
        <v>21</v>
      </c>
      <c r="AL15" s="12">
        <v>0.28570000000000001</v>
      </c>
      <c r="AM15" s="11">
        <v>22</v>
      </c>
      <c r="AN15" s="11">
        <v>33</v>
      </c>
      <c r="AO15" s="12">
        <v>0.66669999999999996</v>
      </c>
      <c r="AP15" s="11">
        <v>17</v>
      </c>
      <c r="AQ15" s="11">
        <v>29</v>
      </c>
      <c r="AR15" s="11">
        <v>46</v>
      </c>
      <c r="AS15" s="11">
        <v>17</v>
      </c>
      <c r="AT15" s="11">
        <v>9</v>
      </c>
      <c r="AU15" s="11">
        <v>4</v>
      </c>
      <c r="AV15" s="11">
        <v>10</v>
      </c>
      <c r="AW15" s="11">
        <v>21</v>
      </c>
      <c r="AX15" s="12">
        <v>0.44190000000000002</v>
      </c>
      <c r="AY15" s="12">
        <v>0.35449999999999998</v>
      </c>
      <c r="AZ15" s="12">
        <v>0.2162</v>
      </c>
      <c r="BA15" s="12">
        <v>0.55259999999999998</v>
      </c>
      <c r="BB15" s="12">
        <v>0.38669999999999999</v>
      </c>
      <c r="BC15" s="4">
        <v>66.679000000000002</v>
      </c>
      <c r="BD15" s="12">
        <v>0.61109999999999998</v>
      </c>
      <c r="BE15" s="12">
        <v>0.30909999999999999</v>
      </c>
      <c r="BF15" s="12">
        <v>0.19139999999999999</v>
      </c>
      <c r="BG15" s="4">
        <v>82</v>
      </c>
      <c r="BH15" s="4">
        <v>114.2</v>
      </c>
      <c r="BI15" s="4">
        <v>68.3215</v>
      </c>
      <c r="BJ15" s="12">
        <v>0.51639999999999997</v>
      </c>
      <c r="BK15" s="12">
        <v>0.45900000000000002</v>
      </c>
      <c r="BL15" s="12">
        <v>0.44740000000000002</v>
      </c>
      <c r="BM15" s="12">
        <v>0.78380000000000005</v>
      </c>
      <c r="BN15" s="12">
        <v>0.61329999999999996</v>
      </c>
      <c r="BO15" s="4">
        <v>69.963999999999999</v>
      </c>
      <c r="BP15" s="12">
        <v>0.68</v>
      </c>
      <c r="BQ15" s="12">
        <v>0.36070000000000002</v>
      </c>
      <c r="BR15" s="12">
        <v>0.1169</v>
      </c>
      <c r="BS15" s="4">
        <v>114.2</v>
      </c>
      <c r="BT15" s="4">
        <v>82</v>
      </c>
      <c r="BU15" s="11">
        <v>15</v>
      </c>
      <c r="BV15" s="11">
        <v>12</v>
      </c>
      <c r="BW15" s="11">
        <v>21</v>
      </c>
      <c r="BX15" s="11">
        <v>8</v>
      </c>
      <c r="BY15" s="11">
        <v>24</v>
      </c>
      <c r="BZ15" s="11">
        <v>19</v>
      </c>
      <c r="CA15" s="11">
        <v>14</v>
      </c>
      <c r="CB15" s="11">
        <v>21</v>
      </c>
      <c r="CC15" s="11">
        <v>27</v>
      </c>
      <c r="CD15" s="11">
        <v>29</v>
      </c>
      <c r="CE15" s="11">
        <v>43</v>
      </c>
      <c r="CF15" s="11">
        <v>35</v>
      </c>
      <c r="CG15" s="4">
        <v>9.5</v>
      </c>
      <c r="CH15" s="13">
        <v>1.07</v>
      </c>
      <c r="CI15" s="4">
        <v>14.5</v>
      </c>
      <c r="CJ15" s="4">
        <v>-14.5</v>
      </c>
      <c r="CK15" s="4">
        <v>159.5</v>
      </c>
      <c r="CL15" s="2" t="s">
        <v>445</v>
      </c>
      <c r="CM15" s="4" t="str">
        <f>VLOOKUP(portel[[#This Row],[Away_team]],all[[Full name]:[Abbr]],3,FALSE)</f>
        <v>MON</v>
      </c>
      <c r="CN15" s="4">
        <f>IF(OR(portel[[#This Row],[Result]]="w",portel[[#This Row],[Result]]="dw"),portel[[#This Row],[win]]-1,-1)</f>
        <v>-1</v>
      </c>
      <c r="CO15" s="4">
        <f>IF(OR(portel[[#This Row],[Result]]="L",portel[[#This Row],[Result]]="dl"),portel[[#This Row],[lose]]-1,-1)</f>
        <v>7.0000000000000062E-2</v>
      </c>
      <c r="CP15" s="4">
        <f>IF(OR((portel[[#This Row],[Home_scored]]+portel[[#This Row],[Away_scored]])&gt;portel[[#This Row],[total]],OR(portel[[#This Row],[Result]]="dw",portel[[#This Row],[Result]]="dl")),1,0)</f>
        <v>0</v>
      </c>
      <c r="CQ15" s="4">
        <f>ABS((portel[[#This Row],[Home_scored]]+portel[[#This Row],[Away_scored]])-portel[[#This Row],[total]])+0.5</f>
        <v>26</v>
      </c>
    </row>
    <row r="16" spans="1:95" x14ac:dyDescent="0.25">
      <c r="A16" s="2" t="s">
        <v>349</v>
      </c>
      <c r="B16" s="2" t="s">
        <v>320</v>
      </c>
      <c r="C16" s="3" t="s">
        <v>73</v>
      </c>
      <c r="D16" s="3">
        <v>45647</v>
      </c>
      <c r="E16" s="2" t="s">
        <v>140</v>
      </c>
      <c r="F16" s="2" t="s">
        <v>342</v>
      </c>
      <c r="G16" s="2" t="s">
        <v>139</v>
      </c>
      <c r="H16" s="11">
        <v>54</v>
      </c>
      <c r="I16" s="11">
        <v>71</v>
      </c>
      <c r="J16" s="11">
        <v>18</v>
      </c>
      <c r="K16" s="11">
        <v>51</v>
      </c>
      <c r="L16" s="12">
        <v>0.35289999999999999</v>
      </c>
      <c r="M16" s="11">
        <v>14</v>
      </c>
      <c r="N16" s="11">
        <v>32</v>
      </c>
      <c r="O16" s="12">
        <v>0.4375</v>
      </c>
      <c r="P16" s="11">
        <v>4</v>
      </c>
      <c r="Q16" s="11">
        <v>19</v>
      </c>
      <c r="R16" s="12">
        <v>0.21049999999999999</v>
      </c>
      <c r="S16" s="11">
        <v>14</v>
      </c>
      <c r="T16" s="11">
        <v>20</v>
      </c>
      <c r="U16" s="12">
        <v>0.7</v>
      </c>
      <c r="V16" s="11">
        <v>10</v>
      </c>
      <c r="W16" s="11">
        <v>23</v>
      </c>
      <c r="X16" s="11">
        <v>33</v>
      </c>
      <c r="Y16" s="11">
        <v>12</v>
      </c>
      <c r="Z16" s="11">
        <v>3</v>
      </c>
      <c r="AA16" s="11">
        <v>3</v>
      </c>
      <c r="AB16" s="11">
        <v>15</v>
      </c>
      <c r="AC16" s="11">
        <v>16</v>
      </c>
      <c r="AD16" s="11">
        <v>28</v>
      </c>
      <c r="AE16" s="11">
        <v>65</v>
      </c>
      <c r="AF16" s="12">
        <v>0.43080000000000002</v>
      </c>
      <c r="AG16" s="11">
        <v>20</v>
      </c>
      <c r="AH16" s="11">
        <v>38</v>
      </c>
      <c r="AI16" s="12">
        <v>0.52629999999999999</v>
      </c>
      <c r="AJ16" s="11">
        <v>8</v>
      </c>
      <c r="AK16" s="11">
        <v>27</v>
      </c>
      <c r="AL16" s="12">
        <v>0.29630000000000001</v>
      </c>
      <c r="AM16" s="11">
        <v>7</v>
      </c>
      <c r="AN16" s="11">
        <v>10</v>
      </c>
      <c r="AO16" s="12">
        <v>0.7</v>
      </c>
      <c r="AP16" s="11">
        <v>12</v>
      </c>
      <c r="AQ16" s="11">
        <v>23</v>
      </c>
      <c r="AR16" s="11">
        <v>35</v>
      </c>
      <c r="AS16" s="11">
        <v>19</v>
      </c>
      <c r="AT16" s="11">
        <v>5</v>
      </c>
      <c r="AU16" s="11">
        <v>3</v>
      </c>
      <c r="AV16" s="11">
        <v>10</v>
      </c>
      <c r="AW16" s="11">
        <v>21</v>
      </c>
      <c r="AX16" s="12">
        <v>0.45150000000000001</v>
      </c>
      <c r="AY16" s="12">
        <v>0.39219999999999999</v>
      </c>
      <c r="AZ16" s="12">
        <v>0.30299999999999999</v>
      </c>
      <c r="BA16" s="12">
        <v>0.65710000000000002</v>
      </c>
      <c r="BB16" s="12">
        <v>0.48530000000000001</v>
      </c>
      <c r="BC16" s="4">
        <v>63.3</v>
      </c>
      <c r="BD16" s="12">
        <v>0.66669999999999996</v>
      </c>
      <c r="BE16" s="12">
        <v>0.27450000000000002</v>
      </c>
      <c r="BF16" s="12">
        <v>0.20050000000000001</v>
      </c>
      <c r="BG16" s="4">
        <v>83.9</v>
      </c>
      <c r="BH16" s="4">
        <v>110.3</v>
      </c>
      <c r="BI16" s="4">
        <v>64.363</v>
      </c>
      <c r="BJ16" s="12">
        <v>0.51149999999999995</v>
      </c>
      <c r="BK16" s="12">
        <v>0.49230000000000002</v>
      </c>
      <c r="BL16" s="12">
        <v>0.34289999999999998</v>
      </c>
      <c r="BM16" s="12">
        <v>0.69699999999999995</v>
      </c>
      <c r="BN16" s="12">
        <v>0.51470000000000005</v>
      </c>
      <c r="BO16" s="4">
        <v>65.426000000000002</v>
      </c>
      <c r="BP16" s="12">
        <v>0.67859999999999998</v>
      </c>
      <c r="BQ16" s="12">
        <v>0.1077</v>
      </c>
      <c r="BR16" s="12">
        <v>0.12590000000000001</v>
      </c>
      <c r="BS16" s="4">
        <v>110.3</v>
      </c>
      <c r="BT16" s="4">
        <v>83.9</v>
      </c>
      <c r="BU16" s="11">
        <v>15</v>
      </c>
      <c r="BV16" s="11">
        <v>11</v>
      </c>
      <c r="BW16" s="11">
        <v>13</v>
      </c>
      <c r="BX16" s="11">
        <v>15</v>
      </c>
      <c r="BY16" s="11">
        <v>11</v>
      </c>
      <c r="BZ16" s="11">
        <v>19</v>
      </c>
      <c r="CA16" s="11">
        <v>24</v>
      </c>
      <c r="CB16" s="11">
        <v>17</v>
      </c>
      <c r="CC16" s="11">
        <v>26</v>
      </c>
      <c r="CD16" s="11">
        <v>28</v>
      </c>
      <c r="CE16" s="11">
        <v>30</v>
      </c>
      <c r="CF16" s="11">
        <v>41</v>
      </c>
      <c r="CG16" s="4">
        <v>3.5</v>
      </c>
      <c r="CH16" s="13">
        <v>1.32</v>
      </c>
      <c r="CI16" s="4">
        <v>7.5</v>
      </c>
      <c r="CJ16" s="4">
        <v>-7.5</v>
      </c>
      <c r="CK16" s="4">
        <v>155.5</v>
      </c>
      <c r="CL16" s="2" t="s">
        <v>452</v>
      </c>
      <c r="CM16" s="4" t="str">
        <f>VLOOKUP(portel[[#This Row],[Away_team]],all[[Full name]:[Abbr]],3,FALSE)</f>
        <v>SQU</v>
      </c>
      <c r="CN16" s="4">
        <f>IF(OR(portel[[#This Row],[Result]]="w",portel[[#This Row],[Result]]="dw"),portel[[#This Row],[win]]-1,-1)</f>
        <v>-1</v>
      </c>
      <c r="CO16" s="4">
        <f>IF(OR(portel[[#This Row],[Result]]="L",portel[[#This Row],[Result]]="dl"),portel[[#This Row],[lose]]-1,-1)</f>
        <v>0.32000000000000006</v>
      </c>
      <c r="CP16" s="4">
        <f>IF(OR((portel[[#This Row],[Home_scored]]+portel[[#This Row],[Away_scored]])&gt;portel[[#This Row],[total]],OR(portel[[#This Row],[Result]]="dw",portel[[#This Row],[Result]]="dl")),1,0)</f>
        <v>0</v>
      </c>
      <c r="CQ16" s="4">
        <f>ABS((portel[[#This Row],[Home_scored]]+portel[[#This Row],[Away_scored]])-portel[[#This Row],[total]])+0.5</f>
        <v>31</v>
      </c>
    </row>
    <row r="17" spans="1:95" x14ac:dyDescent="0.25">
      <c r="A17" s="2" t="s">
        <v>349</v>
      </c>
      <c r="B17" s="2" t="s">
        <v>320</v>
      </c>
      <c r="C17" s="3" t="s">
        <v>73</v>
      </c>
      <c r="D17" s="3">
        <v>45653</v>
      </c>
      <c r="E17" s="2" t="s">
        <v>74</v>
      </c>
      <c r="F17" s="2" t="s">
        <v>333</v>
      </c>
      <c r="G17" s="2" t="s">
        <v>139</v>
      </c>
      <c r="H17" s="11">
        <v>76</v>
      </c>
      <c r="I17" s="11">
        <v>85</v>
      </c>
      <c r="J17" s="11">
        <v>28</v>
      </c>
      <c r="K17" s="11">
        <v>68</v>
      </c>
      <c r="L17" s="12">
        <v>0.4118</v>
      </c>
      <c r="M17" s="11">
        <v>16</v>
      </c>
      <c r="N17" s="11">
        <v>40</v>
      </c>
      <c r="O17" s="12">
        <v>0.4</v>
      </c>
      <c r="P17" s="11">
        <v>12</v>
      </c>
      <c r="Q17" s="11">
        <v>28</v>
      </c>
      <c r="R17" s="12">
        <v>0.42859999999999998</v>
      </c>
      <c r="S17" s="11">
        <v>8</v>
      </c>
      <c r="T17" s="11">
        <v>13</v>
      </c>
      <c r="U17" s="12">
        <v>0.61539999999999995</v>
      </c>
      <c r="V17" s="11">
        <v>12</v>
      </c>
      <c r="W17" s="11">
        <v>22</v>
      </c>
      <c r="X17" s="11">
        <v>34</v>
      </c>
      <c r="Y17" s="11">
        <v>18</v>
      </c>
      <c r="Z17" s="11">
        <v>18</v>
      </c>
      <c r="AA17" s="11">
        <v>2</v>
      </c>
      <c r="AB17" s="11">
        <v>8</v>
      </c>
      <c r="AC17" s="11">
        <v>19</v>
      </c>
      <c r="AD17" s="11">
        <v>31</v>
      </c>
      <c r="AE17" s="11">
        <v>68</v>
      </c>
      <c r="AF17" s="12">
        <v>0.45590000000000003</v>
      </c>
      <c r="AG17" s="11">
        <v>27</v>
      </c>
      <c r="AH17" s="11">
        <v>41</v>
      </c>
      <c r="AI17" s="12">
        <v>0.65849999999999997</v>
      </c>
      <c r="AJ17" s="11">
        <v>4</v>
      </c>
      <c r="AK17" s="11">
        <v>27</v>
      </c>
      <c r="AL17" s="12">
        <v>0.14810000000000001</v>
      </c>
      <c r="AM17" s="11">
        <v>19</v>
      </c>
      <c r="AN17" s="11">
        <v>23</v>
      </c>
      <c r="AO17" s="12">
        <v>0.82609999999999995</v>
      </c>
      <c r="AP17" s="11">
        <v>16</v>
      </c>
      <c r="AQ17" s="11">
        <v>32</v>
      </c>
      <c r="AR17" s="11">
        <v>48</v>
      </c>
      <c r="AS17" s="11">
        <v>17</v>
      </c>
      <c r="AT17" s="11">
        <v>17</v>
      </c>
      <c r="AU17" s="11">
        <v>1</v>
      </c>
      <c r="AV17" s="11">
        <v>2</v>
      </c>
      <c r="AW17" s="11">
        <v>16</v>
      </c>
      <c r="AX17" s="12">
        <v>0.51549999999999996</v>
      </c>
      <c r="AY17" s="12">
        <v>0.5</v>
      </c>
      <c r="AZ17" s="12">
        <v>0.2727</v>
      </c>
      <c r="BA17" s="12">
        <v>0.57889999999999997</v>
      </c>
      <c r="BB17" s="12">
        <v>0.41460000000000002</v>
      </c>
      <c r="BC17" s="4">
        <v>66.093999999999994</v>
      </c>
      <c r="BD17" s="12">
        <v>0.64290000000000003</v>
      </c>
      <c r="BE17" s="12">
        <v>0.1176</v>
      </c>
      <c r="BF17" s="12">
        <v>9.7900000000000001E-2</v>
      </c>
      <c r="BG17" s="4">
        <v>115.1</v>
      </c>
      <c r="BH17" s="4">
        <v>128.69999999999999</v>
      </c>
      <c r="BI17" s="4">
        <v>66.048500000000004</v>
      </c>
      <c r="BJ17" s="12">
        <v>0.54400000000000004</v>
      </c>
      <c r="BK17" s="12">
        <v>0.48530000000000001</v>
      </c>
      <c r="BL17" s="12">
        <v>0.42109999999999997</v>
      </c>
      <c r="BM17" s="12">
        <v>0.72729999999999995</v>
      </c>
      <c r="BN17" s="12">
        <v>0.58540000000000003</v>
      </c>
      <c r="BO17" s="4">
        <v>66.003</v>
      </c>
      <c r="BP17" s="12">
        <v>0.5484</v>
      </c>
      <c r="BQ17" s="12">
        <v>0.27939999999999998</v>
      </c>
      <c r="BR17" s="12">
        <v>2.5000000000000001E-2</v>
      </c>
      <c r="BS17" s="4">
        <v>128.69999999999999</v>
      </c>
      <c r="BT17" s="4">
        <v>115.1</v>
      </c>
      <c r="BU17" s="11">
        <v>19</v>
      </c>
      <c r="BV17" s="11">
        <v>25</v>
      </c>
      <c r="BW17" s="11">
        <v>16</v>
      </c>
      <c r="BX17" s="11">
        <v>16</v>
      </c>
      <c r="BY17" s="11">
        <v>27</v>
      </c>
      <c r="BZ17" s="11">
        <v>14</v>
      </c>
      <c r="CA17" s="11">
        <v>16</v>
      </c>
      <c r="CB17" s="11">
        <v>28</v>
      </c>
      <c r="CC17" s="11">
        <v>44</v>
      </c>
      <c r="CD17" s="11">
        <v>32</v>
      </c>
      <c r="CE17" s="11">
        <v>41</v>
      </c>
      <c r="CF17" s="11">
        <v>44</v>
      </c>
      <c r="CG17" s="4">
        <v>1.8</v>
      </c>
      <c r="CH17" s="13">
        <v>2.0499999999999998</v>
      </c>
      <c r="CI17" s="4">
        <v>-1.5</v>
      </c>
      <c r="CJ17" s="4">
        <v>1.5</v>
      </c>
      <c r="CK17" s="4">
        <v>160.5</v>
      </c>
      <c r="CL17" s="2" t="s">
        <v>461</v>
      </c>
      <c r="CM17" s="4" t="str">
        <f>VLOOKUP(portel[[#This Row],[Away_team]],all[[Full name]:[Abbr]],3,FALSE)</f>
        <v>NCY</v>
      </c>
      <c r="CN17" s="4">
        <f>IF(OR(portel[[#This Row],[Result]]="w",portel[[#This Row],[Result]]="dw"),portel[[#This Row],[win]]-1,-1)</f>
        <v>-1</v>
      </c>
      <c r="CO17" s="4">
        <f>IF(OR(portel[[#This Row],[Result]]="L",portel[[#This Row],[Result]]="dl"),portel[[#This Row],[lose]]-1,-1)</f>
        <v>1.0499999999999998</v>
      </c>
      <c r="CP17" s="4">
        <f>IF(OR((portel[[#This Row],[Home_scored]]+portel[[#This Row],[Away_scored]])&gt;portel[[#This Row],[total]],OR(portel[[#This Row],[Result]]="dw",portel[[#This Row],[Result]]="dl")),1,0)</f>
        <v>1</v>
      </c>
      <c r="CQ17" s="4">
        <f>ABS((portel[[#This Row],[Home_scored]]+portel[[#This Row],[Away_scored]])-portel[[#This Row],[total]])+0.5</f>
        <v>1</v>
      </c>
    </row>
    <row r="18" spans="1:95" x14ac:dyDescent="0.25">
      <c r="A18" s="2" t="s">
        <v>349</v>
      </c>
      <c r="B18" s="2" t="s">
        <v>320</v>
      </c>
      <c r="C18" s="3" t="s">
        <v>73</v>
      </c>
      <c r="D18" s="3">
        <v>45669</v>
      </c>
      <c r="E18" s="2" t="s">
        <v>140</v>
      </c>
      <c r="F18" s="2" t="s">
        <v>324</v>
      </c>
      <c r="G18" s="2" t="s">
        <v>75</v>
      </c>
      <c r="H18" s="11">
        <v>98</v>
      </c>
      <c r="I18" s="11">
        <v>77</v>
      </c>
      <c r="J18" s="11">
        <v>36</v>
      </c>
      <c r="K18" s="11">
        <v>65</v>
      </c>
      <c r="L18" s="12">
        <v>0.55379999999999996</v>
      </c>
      <c r="M18" s="11">
        <v>26</v>
      </c>
      <c r="N18" s="11">
        <v>44</v>
      </c>
      <c r="O18" s="12">
        <v>0.59089999999999998</v>
      </c>
      <c r="P18" s="11">
        <v>10</v>
      </c>
      <c r="Q18" s="11">
        <v>21</v>
      </c>
      <c r="R18" s="12">
        <v>0.47620000000000001</v>
      </c>
      <c r="S18" s="11">
        <v>16</v>
      </c>
      <c r="T18" s="11">
        <v>20</v>
      </c>
      <c r="U18" s="12">
        <v>0.8</v>
      </c>
      <c r="V18" s="11">
        <v>5</v>
      </c>
      <c r="W18" s="11">
        <v>26</v>
      </c>
      <c r="X18" s="11">
        <v>31</v>
      </c>
      <c r="Y18" s="11">
        <v>30</v>
      </c>
      <c r="Z18" s="11">
        <v>8</v>
      </c>
      <c r="AA18" s="11">
        <v>2</v>
      </c>
      <c r="AB18" s="11">
        <v>6</v>
      </c>
      <c r="AC18" s="11">
        <v>22</v>
      </c>
      <c r="AD18" s="11">
        <v>29</v>
      </c>
      <c r="AE18" s="11">
        <v>67</v>
      </c>
      <c r="AF18" s="12">
        <v>0.43280000000000002</v>
      </c>
      <c r="AG18" s="11">
        <v>24</v>
      </c>
      <c r="AH18" s="11">
        <v>45</v>
      </c>
      <c r="AI18" s="12">
        <v>0.5333</v>
      </c>
      <c r="AJ18" s="11">
        <v>5</v>
      </c>
      <c r="AK18" s="11">
        <v>22</v>
      </c>
      <c r="AL18" s="12">
        <v>0.2273</v>
      </c>
      <c r="AM18" s="11">
        <v>14</v>
      </c>
      <c r="AN18" s="11">
        <v>20</v>
      </c>
      <c r="AO18" s="12">
        <v>0.7</v>
      </c>
      <c r="AP18" s="11">
        <v>16</v>
      </c>
      <c r="AQ18" s="11">
        <v>24</v>
      </c>
      <c r="AR18" s="11">
        <v>40</v>
      </c>
      <c r="AS18" s="11">
        <v>24</v>
      </c>
      <c r="AT18" s="11">
        <v>3</v>
      </c>
      <c r="AU18" s="11">
        <v>0</v>
      </c>
      <c r="AV18" s="11">
        <v>16</v>
      </c>
      <c r="AW18" s="11">
        <v>19</v>
      </c>
      <c r="AX18" s="12">
        <v>0.66400000000000003</v>
      </c>
      <c r="AY18" s="12">
        <v>0.63080000000000003</v>
      </c>
      <c r="AZ18" s="12">
        <v>0.1724</v>
      </c>
      <c r="BA18" s="12">
        <v>0.61899999999999999</v>
      </c>
      <c r="BB18" s="12">
        <v>0.43659999999999999</v>
      </c>
      <c r="BC18" s="4">
        <v>73.995000000000005</v>
      </c>
      <c r="BD18" s="12">
        <v>0.83330000000000004</v>
      </c>
      <c r="BE18" s="12">
        <v>0.2462</v>
      </c>
      <c r="BF18" s="12">
        <v>7.5200000000000003E-2</v>
      </c>
      <c r="BG18" s="4">
        <v>131.80000000000001</v>
      </c>
      <c r="BH18" s="4">
        <v>103.5</v>
      </c>
      <c r="BI18" s="4">
        <v>74.365499999999997</v>
      </c>
      <c r="BJ18" s="12">
        <v>0.50790000000000002</v>
      </c>
      <c r="BK18" s="12">
        <v>0.47010000000000002</v>
      </c>
      <c r="BL18" s="12">
        <v>0.38100000000000001</v>
      </c>
      <c r="BM18" s="12">
        <v>0.8276</v>
      </c>
      <c r="BN18" s="12">
        <v>0.56340000000000001</v>
      </c>
      <c r="BO18" s="4">
        <v>74.736000000000004</v>
      </c>
      <c r="BP18" s="12">
        <v>0.8276</v>
      </c>
      <c r="BQ18" s="12">
        <v>0.20899999999999999</v>
      </c>
      <c r="BR18" s="12">
        <v>0.17430000000000001</v>
      </c>
      <c r="BS18" s="4">
        <v>103.5</v>
      </c>
      <c r="BT18" s="4">
        <v>131.80000000000001</v>
      </c>
      <c r="BU18" s="11">
        <v>18</v>
      </c>
      <c r="BV18" s="11">
        <v>32</v>
      </c>
      <c r="BW18" s="11">
        <v>24</v>
      </c>
      <c r="BX18" s="11">
        <v>24</v>
      </c>
      <c r="BY18" s="11">
        <v>15</v>
      </c>
      <c r="BZ18" s="11">
        <v>25</v>
      </c>
      <c r="CA18" s="11">
        <v>23</v>
      </c>
      <c r="CB18" s="11">
        <v>14</v>
      </c>
      <c r="CC18" s="11">
        <v>50</v>
      </c>
      <c r="CD18" s="11">
        <v>48</v>
      </c>
      <c r="CE18" s="11">
        <v>40</v>
      </c>
      <c r="CF18" s="11">
        <v>37</v>
      </c>
      <c r="CG18" s="4">
        <v>3.55</v>
      </c>
      <c r="CH18" s="13">
        <v>1.32</v>
      </c>
      <c r="CI18" s="4">
        <v>7.5</v>
      </c>
      <c r="CJ18" s="4">
        <v>-7.5</v>
      </c>
      <c r="CK18" s="4">
        <v>153.5</v>
      </c>
      <c r="CL18" s="2" t="s">
        <v>473</v>
      </c>
      <c r="CM18" s="4" t="str">
        <f>VLOOKUP(portel[[#This Row],[Away_team]],all[[Full name]:[Abbr]],3,FALSE)</f>
        <v>LIM</v>
      </c>
      <c r="CN18" s="4">
        <f>IF(OR(portel[[#This Row],[Result]]="w",portel[[#This Row],[Result]]="dw"),portel[[#This Row],[win]]-1,-1)</f>
        <v>2.5499999999999998</v>
      </c>
      <c r="CO18" s="4">
        <f>IF(OR(portel[[#This Row],[Result]]="L",portel[[#This Row],[Result]]="dl"),portel[[#This Row],[lose]]-1,-1)</f>
        <v>-1</v>
      </c>
      <c r="CP18" s="4">
        <f>IF(OR((portel[[#This Row],[Home_scored]]+portel[[#This Row],[Away_scored]])&gt;portel[[#This Row],[total]],OR(portel[[#This Row],[Result]]="dw",portel[[#This Row],[Result]]="dl")),1,0)</f>
        <v>1</v>
      </c>
      <c r="CQ18" s="4">
        <f>ABS((portel[[#This Row],[Home_scored]]+portel[[#This Row],[Away_scored]])-portel[[#This Row],[total]])+0.5</f>
        <v>22</v>
      </c>
    </row>
    <row r="19" spans="1:95" x14ac:dyDescent="0.25">
      <c r="A19" s="2" t="s">
        <v>349</v>
      </c>
      <c r="B19" s="2" t="s">
        <v>320</v>
      </c>
      <c r="C19" s="3" t="s">
        <v>73</v>
      </c>
      <c r="D19" s="3">
        <v>45675</v>
      </c>
      <c r="E19" s="2" t="s">
        <v>140</v>
      </c>
      <c r="F19" s="2" t="s">
        <v>311</v>
      </c>
      <c r="G19" s="2" t="s">
        <v>139</v>
      </c>
      <c r="H19" s="11">
        <v>82</v>
      </c>
      <c r="I19" s="11">
        <v>90</v>
      </c>
      <c r="J19" s="11">
        <v>28</v>
      </c>
      <c r="K19" s="11">
        <v>65</v>
      </c>
      <c r="L19" s="12">
        <v>0.43080000000000002</v>
      </c>
      <c r="M19" s="11">
        <v>21</v>
      </c>
      <c r="N19" s="11">
        <v>39</v>
      </c>
      <c r="O19" s="12">
        <v>0.53849999999999998</v>
      </c>
      <c r="P19" s="11">
        <v>7</v>
      </c>
      <c r="Q19" s="11">
        <v>26</v>
      </c>
      <c r="R19" s="12">
        <v>0.26919999999999999</v>
      </c>
      <c r="S19" s="11">
        <v>19</v>
      </c>
      <c r="T19" s="11">
        <v>20</v>
      </c>
      <c r="U19" s="12">
        <v>0.95</v>
      </c>
      <c r="V19" s="11">
        <v>8</v>
      </c>
      <c r="W19" s="11">
        <v>20</v>
      </c>
      <c r="X19" s="11">
        <v>28</v>
      </c>
      <c r="Y19" s="11">
        <v>14</v>
      </c>
      <c r="Z19" s="11">
        <v>4</v>
      </c>
      <c r="AA19" s="11">
        <v>0</v>
      </c>
      <c r="AB19" s="11">
        <v>3</v>
      </c>
      <c r="AC19" s="11">
        <v>21</v>
      </c>
      <c r="AD19" s="11">
        <v>31</v>
      </c>
      <c r="AE19" s="11">
        <v>57</v>
      </c>
      <c r="AF19" s="12">
        <v>0.54390000000000005</v>
      </c>
      <c r="AG19" s="11">
        <v>24</v>
      </c>
      <c r="AH19" s="11">
        <v>36</v>
      </c>
      <c r="AI19" s="12">
        <v>0.66669999999999996</v>
      </c>
      <c r="AJ19" s="11">
        <v>7</v>
      </c>
      <c r="AK19" s="11">
        <v>21</v>
      </c>
      <c r="AL19" s="12">
        <v>0.33329999999999999</v>
      </c>
      <c r="AM19" s="11">
        <v>21</v>
      </c>
      <c r="AN19" s="11">
        <v>23</v>
      </c>
      <c r="AO19" s="12">
        <v>0.91300000000000003</v>
      </c>
      <c r="AP19" s="11">
        <v>7</v>
      </c>
      <c r="AQ19" s="11">
        <v>30</v>
      </c>
      <c r="AR19" s="11">
        <v>37</v>
      </c>
      <c r="AS19" s="11">
        <v>22</v>
      </c>
      <c r="AT19" s="11">
        <v>2</v>
      </c>
      <c r="AU19" s="11">
        <v>1</v>
      </c>
      <c r="AV19" s="11">
        <v>9</v>
      </c>
      <c r="AW19" s="11">
        <v>20</v>
      </c>
      <c r="AX19" s="12">
        <v>0.55559999999999998</v>
      </c>
      <c r="AY19" s="12">
        <v>0.48459999999999998</v>
      </c>
      <c r="AZ19" s="12">
        <v>0.21049999999999999</v>
      </c>
      <c r="BA19" s="12">
        <v>0.74070000000000003</v>
      </c>
      <c r="BB19" s="12">
        <v>0.43080000000000002</v>
      </c>
      <c r="BC19" s="4">
        <v>64.688999999999993</v>
      </c>
      <c r="BD19" s="12">
        <v>0.5</v>
      </c>
      <c r="BE19" s="12">
        <v>0.2923</v>
      </c>
      <c r="BF19" s="12">
        <v>3.9100000000000003E-2</v>
      </c>
      <c r="BG19" s="4">
        <v>121.8</v>
      </c>
      <c r="BH19" s="4">
        <v>133.69999999999999</v>
      </c>
      <c r="BI19" s="4">
        <v>67.313000000000002</v>
      </c>
      <c r="BJ19" s="12">
        <v>0.6704</v>
      </c>
      <c r="BK19" s="12">
        <v>0.60529999999999995</v>
      </c>
      <c r="BL19" s="12">
        <v>0.25929999999999997</v>
      </c>
      <c r="BM19" s="12">
        <v>0.78949999999999998</v>
      </c>
      <c r="BN19" s="12">
        <v>0.56920000000000004</v>
      </c>
      <c r="BO19" s="4">
        <v>69.936999999999998</v>
      </c>
      <c r="BP19" s="12">
        <v>0.7097</v>
      </c>
      <c r="BQ19" s="12">
        <v>0.36840000000000001</v>
      </c>
      <c r="BR19" s="12">
        <v>0.1182</v>
      </c>
      <c r="BS19" s="4">
        <v>133.69999999999999</v>
      </c>
      <c r="BT19" s="4">
        <v>121.8</v>
      </c>
      <c r="BU19" s="11">
        <v>22</v>
      </c>
      <c r="BV19" s="11">
        <v>26</v>
      </c>
      <c r="BW19" s="11">
        <v>17</v>
      </c>
      <c r="BX19" s="11">
        <v>17</v>
      </c>
      <c r="BY19" s="11">
        <v>31</v>
      </c>
      <c r="BZ19" s="11">
        <v>22</v>
      </c>
      <c r="CA19" s="11">
        <v>16</v>
      </c>
      <c r="CB19" s="11">
        <v>21</v>
      </c>
      <c r="CC19" s="11">
        <v>48</v>
      </c>
      <c r="CD19" s="11">
        <v>34</v>
      </c>
      <c r="CE19" s="11">
        <v>53</v>
      </c>
      <c r="CF19" s="11">
        <v>37</v>
      </c>
      <c r="CG19" s="4">
        <v>4</v>
      </c>
      <c r="CH19" s="13">
        <v>1.26</v>
      </c>
      <c r="CI19" s="4">
        <v>8.5</v>
      </c>
      <c r="CJ19" s="4">
        <v>-8.5</v>
      </c>
      <c r="CK19" s="4">
        <v>164.5</v>
      </c>
      <c r="CL19" s="2" t="s">
        <v>478</v>
      </c>
      <c r="CM19" s="4" t="str">
        <f>VLOOKUP(portel[[#This Row],[Away_team]],all[[Full name]:[Abbr]],3,FALSE)</f>
        <v>DIJ</v>
      </c>
      <c r="CN19" s="4">
        <f>IF(OR(portel[[#This Row],[Result]]="w",portel[[#This Row],[Result]]="dw"),portel[[#This Row],[win]]-1,-1)</f>
        <v>-1</v>
      </c>
      <c r="CO19" s="4">
        <f>IF(OR(portel[[#This Row],[Result]]="L",portel[[#This Row],[Result]]="dl"),portel[[#This Row],[lose]]-1,-1)</f>
        <v>0.26</v>
      </c>
      <c r="CP19" s="4">
        <f>IF(OR((portel[[#This Row],[Home_scored]]+portel[[#This Row],[Away_scored]])&gt;portel[[#This Row],[total]],OR(portel[[#This Row],[Result]]="dw",portel[[#This Row],[Result]]="dl")),1,0)</f>
        <v>1</v>
      </c>
      <c r="CQ19" s="4">
        <f>ABS((portel[[#This Row],[Home_scored]]+portel[[#This Row],[Away_scored]])-portel[[#This Row],[total]])+0.5</f>
        <v>8</v>
      </c>
    </row>
    <row r="20" spans="1:95" x14ac:dyDescent="0.25">
      <c r="A20" s="2" t="s">
        <v>349</v>
      </c>
      <c r="B20" s="2" t="s">
        <v>320</v>
      </c>
      <c r="C20" s="3" t="s">
        <v>73</v>
      </c>
      <c r="D20" s="3">
        <v>45682</v>
      </c>
      <c r="E20" s="2" t="s">
        <v>74</v>
      </c>
      <c r="F20" s="2" t="s">
        <v>342</v>
      </c>
      <c r="G20" s="2" t="s">
        <v>139</v>
      </c>
      <c r="H20" s="11">
        <v>56</v>
      </c>
      <c r="I20" s="11">
        <v>58</v>
      </c>
      <c r="J20" s="11">
        <v>19</v>
      </c>
      <c r="K20" s="11">
        <v>57</v>
      </c>
      <c r="L20" s="12">
        <v>0.33329999999999999</v>
      </c>
      <c r="M20" s="11">
        <v>12</v>
      </c>
      <c r="N20" s="11">
        <v>28</v>
      </c>
      <c r="O20" s="12">
        <v>0.42859999999999998</v>
      </c>
      <c r="P20" s="11">
        <v>7</v>
      </c>
      <c r="Q20" s="11">
        <v>29</v>
      </c>
      <c r="R20" s="12">
        <v>0.2414</v>
      </c>
      <c r="S20" s="11">
        <v>11</v>
      </c>
      <c r="T20" s="11">
        <v>16</v>
      </c>
      <c r="U20" s="12">
        <v>0.6875</v>
      </c>
      <c r="V20" s="11">
        <v>7</v>
      </c>
      <c r="W20" s="11">
        <v>26</v>
      </c>
      <c r="X20" s="11">
        <v>33</v>
      </c>
      <c r="Y20" s="11">
        <v>12</v>
      </c>
      <c r="Z20" s="11">
        <v>8</v>
      </c>
      <c r="AA20" s="11">
        <v>3</v>
      </c>
      <c r="AB20" s="11">
        <v>9</v>
      </c>
      <c r="AC20" s="11">
        <v>19</v>
      </c>
      <c r="AD20" s="11">
        <v>19</v>
      </c>
      <c r="AE20" s="11">
        <v>58</v>
      </c>
      <c r="AF20" s="12">
        <v>0.3276</v>
      </c>
      <c r="AG20" s="11">
        <v>12</v>
      </c>
      <c r="AH20" s="11">
        <v>35</v>
      </c>
      <c r="AI20" s="12">
        <v>0.34289999999999998</v>
      </c>
      <c r="AJ20" s="11">
        <v>7</v>
      </c>
      <c r="AK20" s="11">
        <v>23</v>
      </c>
      <c r="AL20" s="12">
        <v>0.30430000000000001</v>
      </c>
      <c r="AM20" s="11">
        <v>13</v>
      </c>
      <c r="AN20" s="11">
        <v>17</v>
      </c>
      <c r="AO20" s="12">
        <v>0.76470000000000005</v>
      </c>
      <c r="AP20" s="11">
        <v>14</v>
      </c>
      <c r="AQ20" s="11">
        <v>31</v>
      </c>
      <c r="AR20" s="11">
        <v>45</v>
      </c>
      <c r="AS20" s="11">
        <v>12</v>
      </c>
      <c r="AT20" s="11">
        <v>5</v>
      </c>
      <c r="AU20" s="11">
        <v>4</v>
      </c>
      <c r="AV20" s="11">
        <v>14</v>
      </c>
      <c r="AW20" s="11">
        <v>19</v>
      </c>
      <c r="AX20" s="12">
        <v>0.43719999999999998</v>
      </c>
      <c r="AY20" s="12">
        <v>0.3947</v>
      </c>
      <c r="AZ20" s="12">
        <v>0.1842</v>
      </c>
      <c r="BA20" s="12">
        <v>0.65</v>
      </c>
      <c r="BB20" s="12">
        <v>0.42309999999999998</v>
      </c>
      <c r="BC20" s="4">
        <v>63.774999999999999</v>
      </c>
      <c r="BD20" s="12">
        <v>0.63160000000000005</v>
      </c>
      <c r="BE20" s="12">
        <v>0.193</v>
      </c>
      <c r="BF20" s="12">
        <v>0.1232</v>
      </c>
      <c r="BG20" s="4">
        <v>86.4</v>
      </c>
      <c r="BH20" s="4">
        <v>89.5</v>
      </c>
      <c r="BI20" s="4">
        <v>64.796000000000006</v>
      </c>
      <c r="BJ20" s="12">
        <v>0.44290000000000002</v>
      </c>
      <c r="BK20" s="12">
        <v>0.38790000000000002</v>
      </c>
      <c r="BL20" s="12">
        <v>0.35</v>
      </c>
      <c r="BM20" s="12">
        <v>0.81579999999999997</v>
      </c>
      <c r="BN20" s="12">
        <v>0.57689999999999997</v>
      </c>
      <c r="BO20" s="4">
        <v>65.816999999999993</v>
      </c>
      <c r="BP20" s="12">
        <v>0.63160000000000005</v>
      </c>
      <c r="BQ20" s="12">
        <v>0.22409999999999999</v>
      </c>
      <c r="BR20" s="12">
        <v>0.17610000000000001</v>
      </c>
      <c r="BS20" s="4">
        <v>89.5</v>
      </c>
      <c r="BT20" s="4">
        <v>86.4</v>
      </c>
      <c r="BU20" s="11">
        <v>16</v>
      </c>
      <c r="BV20" s="11">
        <v>17</v>
      </c>
      <c r="BW20" s="11">
        <v>10</v>
      </c>
      <c r="BX20" s="11">
        <v>13</v>
      </c>
      <c r="BY20" s="11">
        <v>16</v>
      </c>
      <c r="BZ20" s="11">
        <v>10</v>
      </c>
      <c r="CA20" s="11">
        <v>24</v>
      </c>
      <c r="CB20" s="11">
        <v>8</v>
      </c>
      <c r="CC20" s="11">
        <v>33</v>
      </c>
      <c r="CD20" s="11">
        <v>23</v>
      </c>
      <c r="CE20" s="11">
        <v>26</v>
      </c>
      <c r="CF20" s="11">
        <v>32</v>
      </c>
      <c r="CG20" s="4">
        <v>2.2000000000000002</v>
      </c>
      <c r="CH20" s="13">
        <v>1.71</v>
      </c>
      <c r="CI20" s="4">
        <v>2.5</v>
      </c>
      <c r="CJ20" s="4">
        <v>-2.5</v>
      </c>
      <c r="CK20" s="4">
        <v>157.5</v>
      </c>
      <c r="CL20" s="2" t="s">
        <v>485</v>
      </c>
      <c r="CM20" s="4" t="str">
        <f>VLOOKUP(portel[[#This Row],[Away_team]],all[[Full name]:[Abbr]],3,FALSE)</f>
        <v>SQU</v>
      </c>
      <c r="CN20" s="4">
        <f>IF(OR(portel[[#This Row],[Result]]="w",portel[[#This Row],[Result]]="dw"),portel[[#This Row],[win]]-1,-1)</f>
        <v>-1</v>
      </c>
      <c r="CO20" s="4">
        <f>IF(OR(portel[[#This Row],[Result]]="L",portel[[#This Row],[Result]]="dl"),portel[[#This Row],[lose]]-1,-1)</f>
        <v>0.71</v>
      </c>
      <c r="CP20" s="4">
        <f>IF(OR((portel[[#This Row],[Home_scored]]+portel[[#This Row],[Away_scored]])&gt;portel[[#This Row],[total]],OR(portel[[#This Row],[Result]]="dw",portel[[#This Row],[Result]]="dl")),1,0)</f>
        <v>0</v>
      </c>
      <c r="CQ20" s="4">
        <f>ABS((portel[[#This Row],[Home_scored]]+portel[[#This Row],[Away_scored]])-portel[[#This Row],[total]])+0.5</f>
        <v>44</v>
      </c>
    </row>
    <row r="21" spans="1:95" x14ac:dyDescent="0.25">
      <c r="A21" s="2" t="s">
        <v>349</v>
      </c>
      <c r="B21" s="2" t="s">
        <v>320</v>
      </c>
      <c r="C21" s="3" t="s">
        <v>73</v>
      </c>
      <c r="D21" s="3">
        <v>45688</v>
      </c>
      <c r="E21" s="2" t="s">
        <v>74</v>
      </c>
      <c r="F21" s="2" t="s">
        <v>317</v>
      </c>
      <c r="G21" s="2" t="s">
        <v>75</v>
      </c>
      <c r="H21" s="11">
        <v>92</v>
      </c>
      <c r="I21" s="11">
        <v>75</v>
      </c>
      <c r="J21" s="11">
        <v>31</v>
      </c>
      <c r="K21" s="11">
        <v>51</v>
      </c>
      <c r="L21" s="12">
        <v>0.60780000000000001</v>
      </c>
      <c r="M21" s="11">
        <v>19</v>
      </c>
      <c r="N21" s="11">
        <v>33</v>
      </c>
      <c r="O21" s="12">
        <v>0.57579999999999998</v>
      </c>
      <c r="P21" s="11">
        <v>12</v>
      </c>
      <c r="Q21" s="11">
        <v>18</v>
      </c>
      <c r="R21" s="12">
        <v>0.66669999999999996</v>
      </c>
      <c r="S21" s="11">
        <v>18</v>
      </c>
      <c r="T21" s="11">
        <v>21</v>
      </c>
      <c r="U21" s="12">
        <v>0.85709999999999997</v>
      </c>
      <c r="V21" s="11">
        <v>3</v>
      </c>
      <c r="W21" s="11">
        <v>23</v>
      </c>
      <c r="X21" s="11">
        <v>26</v>
      </c>
      <c r="Y21" s="11">
        <v>20</v>
      </c>
      <c r="Z21" s="11">
        <v>6</v>
      </c>
      <c r="AA21" s="11">
        <v>3</v>
      </c>
      <c r="AB21" s="11">
        <v>12</v>
      </c>
      <c r="AC21" s="11">
        <v>24</v>
      </c>
      <c r="AD21" s="11">
        <v>27</v>
      </c>
      <c r="AE21" s="11">
        <v>63</v>
      </c>
      <c r="AF21" s="12">
        <v>0.42859999999999998</v>
      </c>
      <c r="AG21" s="11">
        <v>23</v>
      </c>
      <c r="AH21" s="11">
        <v>43</v>
      </c>
      <c r="AI21" s="12">
        <v>0.53490000000000004</v>
      </c>
      <c r="AJ21" s="11">
        <v>4</v>
      </c>
      <c r="AK21" s="11">
        <v>20</v>
      </c>
      <c r="AL21" s="12">
        <v>0.2</v>
      </c>
      <c r="AM21" s="11">
        <v>17</v>
      </c>
      <c r="AN21" s="11">
        <v>23</v>
      </c>
      <c r="AO21" s="12">
        <v>0.73909999999999998</v>
      </c>
      <c r="AP21" s="11">
        <v>17</v>
      </c>
      <c r="AQ21" s="11">
        <v>18</v>
      </c>
      <c r="AR21" s="11">
        <v>35</v>
      </c>
      <c r="AS21" s="11">
        <v>14</v>
      </c>
      <c r="AT21" s="11">
        <v>5</v>
      </c>
      <c r="AU21" s="11">
        <v>0</v>
      </c>
      <c r="AV21" s="11">
        <v>11</v>
      </c>
      <c r="AW21" s="11">
        <v>20</v>
      </c>
      <c r="AX21" s="12">
        <v>0.76359999999999995</v>
      </c>
      <c r="AY21" s="12">
        <v>0.72550000000000003</v>
      </c>
      <c r="AZ21" s="12">
        <v>0.1429</v>
      </c>
      <c r="BA21" s="12">
        <v>0.57499999999999996</v>
      </c>
      <c r="BB21" s="12">
        <v>0.42620000000000002</v>
      </c>
      <c r="BC21" s="4">
        <v>68.930999999999997</v>
      </c>
      <c r="BD21" s="12">
        <v>0.6452</v>
      </c>
      <c r="BE21" s="12">
        <v>0.35289999999999999</v>
      </c>
      <c r="BF21" s="12">
        <v>0.1661</v>
      </c>
      <c r="BG21" s="4">
        <v>137.9</v>
      </c>
      <c r="BH21" s="4">
        <v>112.4</v>
      </c>
      <c r="BI21" s="4">
        <v>66.710499999999996</v>
      </c>
      <c r="BJ21" s="12">
        <v>0.51290000000000002</v>
      </c>
      <c r="BK21" s="12">
        <v>0.46029999999999999</v>
      </c>
      <c r="BL21" s="12">
        <v>0.42499999999999999</v>
      </c>
      <c r="BM21" s="12">
        <v>0.85709999999999997</v>
      </c>
      <c r="BN21" s="12">
        <v>0.57379999999999998</v>
      </c>
      <c r="BO21" s="4">
        <v>64.489999999999995</v>
      </c>
      <c r="BP21" s="12">
        <v>0.51849999999999996</v>
      </c>
      <c r="BQ21" s="12">
        <v>0.26979999999999998</v>
      </c>
      <c r="BR21" s="12">
        <v>0.1308</v>
      </c>
      <c r="BS21" s="4">
        <v>112.4</v>
      </c>
      <c r="BT21" s="4">
        <v>137.9</v>
      </c>
      <c r="BU21" s="11">
        <v>20</v>
      </c>
      <c r="BV21" s="11">
        <v>25</v>
      </c>
      <c r="BW21" s="11">
        <v>26</v>
      </c>
      <c r="BX21" s="11">
        <v>21</v>
      </c>
      <c r="BY21" s="11">
        <v>17</v>
      </c>
      <c r="BZ21" s="11">
        <v>20</v>
      </c>
      <c r="CA21" s="11">
        <v>11</v>
      </c>
      <c r="CB21" s="11">
        <v>27</v>
      </c>
      <c r="CC21" s="11">
        <v>45</v>
      </c>
      <c r="CD21" s="11">
        <v>47</v>
      </c>
      <c r="CE21" s="11">
        <v>37</v>
      </c>
      <c r="CF21" s="11">
        <v>38</v>
      </c>
      <c r="CG21" s="4">
        <v>2.4</v>
      </c>
      <c r="CH21" s="13">
        <v>1.61</v>
      </c>
      <c r="CI21" s="4">
        <v>3.5</v>
      </c>
      <c r="CJ21" s="4">
        <v>-3.5</v>
      </c>
      <c r="CK21" s="4">
        <v>158.5</v>
      </c>
      <c r="CL21" s="2" t="s">
        <v>491</v>
      </c>
      <c r="CM21" s="4" t="str">
        <f>VLOOKUP(portel[[#This Row],[Away_team]],all[[Full name]:[Abbr]],3,FALSE)</f>
        <v>LEM</v>
      </c>
      <c r="CN21" s="4">
        <f>IF(OR(portel[[#This Row],[Result]]="w",portel[[#This Row],[Result]]="dw"),portel[[#This Row],[win]]-1,-1)</f>
        <v>1.4</v>
      </c>
      <c r="CO21" s="4">
        <f>IF(OR(portel[[#This Row],[Result]]="L",portel[[#This Row],[Result]]="dl"),portel[[#This Row],[lose]]-1,-1)</f>
        <v>-1</v>
      </c>
      <c r="CP21" s="4">
        <f>IF(OR((portel[[#This Row],[Home_scored]]+portel[[#This Row],[Away_scored]])&gt;portel[[#This Row],[total]],OR(portel[[#This Row],[Result]]="dw",portel[[#This Row],[Result]]="dl")),1,0)</f>
        <v>1</v>
      </c>
      <c r="CQ21" s="4">
        <f>ABS((portel[[#This Row],[Home_scored]]+portel[[#This Row],[Away_scored]])-portel[[#This Row],[total]])+0.5</f>
        <v>9</v>
      </c>
    </row>
    <row r="22" spans="1:95" x14ac:dyDescent="0.25">
      <c r="A22" s="2" t="s">
        <v>349</v>
      </c>
      <c r="B22" s="2" t="s">
        <v>320</v>
      </c>
      <c r="C22" s="3" t="s">
        <v>73</v>
      </c>
      <c r="D22" s="3">
        <v>45696</v>
      </c>
      <c r="E22" s="2" t="s">
        <v>140</v>
      </c>
      <c r="F22" s="2" t="s">
        <v>323</v>
      </c>
      <c r="G22" s="2" t="s">
        <v>139</v>
      </c>
      <c r="H22" s="11">
        <v>73</v>
      </c>
      <c r="I22" s="11">
        <v>96</v>
      </c>
      <c r="J22" s="11">
        <v>26</v>
      </c>
      <c r="K22" s="11">
        <v>58</v>
      </c>
      <c r="L22" s="12">
        <v>0.44829999999999998</v>
      </c>
      <c r="M22" s="11">
        <v>18</v>
      </c>
      <c r="N22" s="11">
        <v>37</v>
      </c>
      <c r="O22" s="12">
        <v>0.48649999999999999</v>
      </c>
      <c r="P22" s="11">
        <v>8</v>
      </c>
      <c r="Q22" s="11">
        <v>21</v>
      </c>
      <c r="R22" s="12">
        <v>0.38100000000000001</v>
      </c>
      <c r="S22" s="11">
        <v>13</v>
      </c>
      <c r="T22" s="11">
        <v>13</v>
      </c>
      <c r="U22" s="12">
        <v>1</v>
      </c>
      <c r="V22" s="11">
        <v>11</v>
      </c>
      <c r="W22" s="11">
        <v>18</v>
      </c>
      <c r="X22" s="11">
        <v>29</v>
      </c>
      <c r="Y22" s="11">
        <v>29</v>
      </c>
      <c r="Z22" s="11">
        <v>15</v>
      </c>
      <c r="AA22" s="11">
        <v>2</v>
      </c>
      <c r="AB22" s="11">
        <v>15</v>
      </c>
      <c r="AC22" s="11">
        <v>21</v>
      </c>
      <c r="AD22" s="11">
        <v>33</v>
      </c>
      <c r="AE22" s="11">
        <v>57</v>
      </c>
      <c r="AF22" s="12">
        <v>0.57889999999999997</v>
      </c>
      <c r="AG22" s="11">
        <v>23</v>
      </c>
      <c r="AH22" s="11">
        <v>35</v>
      </c>
      <c r="AI22" s="12">
        <v>0.65710000000000002</v>
      </c>
      <c r="AJ22" s="11">
        <v>10</v>
      </c>
      <c r="AK22" s="11">
        <v>22</v>
      </c>
      <c r="AL22" s="12">
        <v>0.45450000000000002</v>
      </c>
      <c r="AM22" s="11">
        <v>20</v>
      </c>
      <c r="AN22" s="11">
        <v>28</v>
      </c>
      <c r="AO22" s="12">
        <v>0.71430000000000005</v>
      </c>
      <c r="AP22" s="11">
        <v>9</v>
      </c>
      <c r="AQ22" s="11">
        <v>20</v>
      </c>
      <c r="AR22" s="11">
        <v>29</v>
      </c>
      <c r="AS22" s="11">
        <v>29</v>
      </c>
      <c r="AT22" s="11">
        <v>9</v>
      </c>
      <c r="AU22" s="11">
        <v>1</v>
      </c>
      <c r="AV22" s="11">
        <v>10</v>
      </c>
      <c r="AW22" s="11">
        <v>19</v>
      </c>
      <c r="AX22" s="12">
        <v>0.57279999999999998</v>
      </c>
      <c r="AY22" s="12">
        <v>0.51719999999999999</v>
      </c>
      <c r="AZ22" s="12">
        <v>0.3548</v>
      </c>
      <c r="BA22" s="12">
        <v>0.66669999999999996</v>
      </c>
      <c r="BB22" s="12">
        <v>0.5</v>
      </c>
      <c r="BC22" s="4">
        <v>65.212000000000003</v>
      </c>
      <c r="BD22" s="12">
        <v>1.1153999999999999</v>
      </c>
      <c r="BE22" s="12">
        <v>0.22409999999999999</v>
      </c>
      <c r="BF22" s="12">
        <v>0.1905</v>
      </c>
      <c r="BG22" s="4">
        <v>107.8</v>
      </c>
      <c r="BH22" s="4">
        <v>141.80000000000001</v>
      </c>
      <c r="BI22" s="4">
        <v>67.721000000000004</v>
      </c>
      <c r="BJ22" s="12">
        <v>0.69240000000000002</v>
      </c>
      <c r="BK22" s="12">
        <v>0.66669999999999996</v>
      </c>
      <c r="BL22" s="12">
        <v>0.33329999999999999</v>
      </c>
      <c r="BM22" s="12">
        <v>0.6452</v>
      </c>
      <c r="BN22" s="12">
        <v>0.5</v>
      </c>
      <c r="BO22" s="4">
        <v>70.23</v>
      </c>
      <c r="BP22" s="12">
        <v>0.87880000000000003</v>
      </c>
      <c r="BQ22" s="12">
        <v>0.35089999999999999</v>
      </c>
      <c r="BR22" s="12">
        <v>0.12609999999999999</v>
      </c>
      <c r="BS22" s="4">
        <v>141.80000000000001</v>
      </c>
      <c r="BT22" s="4">
        <v>107.8</v>
      </c>
      <c r="BU22" s="11">
        <v>16</v>
      </c>
      <c r="BV22" s="11">
        <v>19</v>
      </c>
      <c r="BW22" s="11">
        <v>18</v>
      </c>
      <c r="BX22" s="11">
        <v>20</v>
      </c>
      <c r="BY22" s="11">
        <v>26</v>
      </c>
      <c r="BZ22" s="11">
        <v>21</v>
      </c>
      <c r="CA22" s="11">
        <v>23</v>
      </c>
      <c r="CB22" s="11">
        <v>26</v>
      </c>
      <c r="CC22" s="11">
        <v>35</v>
      </c>
      <c r="CD22" s="11">
        <v>38</v>
      </c>
      <c r="CE22" s="11">
        <v>47</v>
      </c>
      <c r="CF22" s="11">
        <v>49</v>
      </c>
      <c r="CG22" s="4">
        <v>1.95</v>
      </c>
      <c r="CH22" s="13">
        <v>1.87</v>
      </c>
      <c r="CI22" s="4">
        <v>-1</v>
      </c>
      <c r="CJ22" s="4">
        <v>-1</v>
      </c>
      <c r="CK22" s="4">
        <v>155.5</v>
      </c>
      <c r="CL22" s="2" t="s">
        <v>500</v>
      </c>
      <c r="CM22" s="4" t="e">
        <f>VLOOKUP(portel[[#This Row],[Away_team]],all[[Full name]:[Abbr]],3,FALSE)</f>
        <v>#N/A</v>
      </c>
      <c r="CN22" s="4">
        <f>IF(OR(portel[[#This Row],[Result]]="w",portel[[#This Row],[Result]]="dw"),portel[[#This Row],[win]]-1,-1)</f>
        <v>-1</v>
      </c>
      <c r="CO22" s="4">
        <f>IF(OR(portel[[#This Row],[Result]]="L",portel[[#This Row],[Result]]="dl"),portel[[#This Row],[lose]]-1,-1)</f>
        <v>0.87000000000000011</v>
      </c>
      <c r="CP22" s="4">
        <f>IF(OR((portel[[#This Row],[Home_scored]]+portel[[#This Row],[Away_scored]])&gt;portel[[#This Row],[total]],OR(portel[[#This Row],[Result]]="dw",portel[[#This Row],[Result]]="dl")),1,0)</f>
        <v>1</v>
      </c>
      <c r="CQ22" s="4">
        <f>ABS((portel[[#This Row],[Home_scored]]+portel[[#This Row],[Away_scored]])-portel[[#This Row],[total]])+0.5</f>
        <v>14</v>
      </c>
    </row>
    <row r="23" spans="1:95" x14ac:dyDescent="0.25">
      <c r="A23" s="2" t="s">
        <v>349</v>
      </c>
      <c r="B23" s="2" t="s">
        <v>320</v>
      </c>
      <c r="C23" s="3" t="s">
        <v>73</v>
      </c>
      <c r="D23" s="3">
        <v>45716</v>
      </c>
      <c r="E23" s="2" t="s">
        <v>74</v>
      </c>
      <c r="F23" s="2" t="s">
        <v>345</v>
      </c>
      <c r="G23" s="2" t="s">
        <v>75</v>
      </c>
      <c r="H23" s="11">
        <v>67</v>
      </c>
      <c r="I23" s="11">
        <v>65</v>
      </c>
      <c r="J23" s="11">
        <v>25</v>
      </c>
      <c r="K23" s="11">
        <v>52</v>
      </c>
      <c r="L23" s="12">
        <v>0.48080000000000001</v>
      </c>
      <c r="M23" s="11">
        <v>18</v>
      </c>
      <c r="N23" s="11">
        <v>31</v>
      </c>
      <c r="O23" s="12">
        <v>0.5806</v>
      </c>
      <c r="P23" s="11">
        <v>7</v>
      </c>
      <c r="Q23" s="11">
        <v>21</v>
      </c>
      <c r="R23" s="12">
        <v>0.33329999999999999</v>
      </c>
      <c r="S23" s="11">
        <v>10</v>
      </c>
      <c r="T23" s="11">
        <v>15</v>
      </c>
      <c r="U23" s="12">
        <v>0.66669999999999996</v>
      </c>
      <c r="V23" s="11">
        <v>8</v>
      </c>
      <c r="W23" s="11">
        <v>22</v>
      </c>
      <c r="X23" s="11">
        <v>30</v>
      </c>
      <c r="Y23" s="11">
        <v>18</v>
      </c>
      <c r="Z23" s="11">
        <v>9</v>
      </c>
      <c r="AA23" s="11">
        <v>4</v>
      </c>
      <c r="AB23" s="11">
        <v>16</v>
      </c>
      <c r="AC23" s="11">
        <v>19</v>
      </c>
      <c r="AD23" s="11">
        <v>25</v>
      </c>
      <c r="AE23" s="11">
        <v>65</v>
      </c>
      <c r="AF23" s="12">
        <v>0.3846</v>
      </c>
      <c r="AG23" s="11">
        <v>19</v>
      </c>
      <c r="AH23" s="11">
        <v>40</v>
      </c>
      <c r="AI23" s="12">
        <v>0.47499999999999998</v>
      </c>
      <c r="AJ23" s="11">
        <v>6</v>
      </c>
      <c r="AK23" s="11">
        <v>25</v>
      </c>
      <c r="AL23" s="12">
        <v>0.24</v>
      </c>
      <c r="AM23" s="11">
        <v>9</v>
      </c>
      <c r="AN23" s="11">
        <v>11</v>
      </c>
      <c r="AO23" s="12">
        <v>0.81820000000000004</v>
      </c>
      <c r="AP23" s="11">
        <v>18</v>
      </c>
      <c r="AQ23" s="11">
        <v>21</v>
      </c>
      <c r="AR23" s="11">
        <v>39</v>
      </c>
      <c r="AS23" s="11">
        <v>21</v>
      </c>
      <c r="AT23" s="11">
        <v>6</v>
      </c>
      <c r="AU23" s="11">
        <v>1</v>
      </c>
      <c r="AV23" s="11">
        <v>14</v>
      </c>
      <c r="AW23" s="11">
        <v>18</v>
      </c>
      <c r="AX23" s="12">
        <v>0.57169999999999999</v>
      </c>
      <c r="AY23" s="12">
        <v>0.54810000000000003</v>
      </c>
      <c r="AZ23" s="12">
        <v>0.27589999999999998</v>
      </c>
      <c r="BA23" s="12">
        <v>0.55000000000000004</v>
      </c>
      <c r="BB23" s="12">
        <v>0.43480000000000002</v>
      </c>
      <c r="BC23" s="4">
        <v>66.296000000000006</v>
      </c>
      <c r="BD23" s="12">
        <v>0.72</v>
      </c>
      <c r="BE23" s="12">
        <v>0.1923</v>
      </c>
      <c r="BF23" s="12">
        <v>0.2145</v>
      </c>
      <c r="BG23" s="4">
        <v>103.1</v>
      </c>
      <c r="BH23" s="4">
        <v>100</v>
      </c>
      <c r="BI23" s="4">
        <v>64.971000000000004</v>
      </c>
      <c r="BJ23" s="12">
        <v>0.46529999999999999</v>
      </c>
      <c r="BK23" s="12">
        <v>0.43080000000000002</v>
      </c>
      <c r="BL23" s="12">
        <v>0.45</v>
      </c>
      <c r="BM23" s="12">
        <v>0.72409999999999997</v>
      </c>
      <c r="BN23" s="12">
        <v>0.56520000000000004</v>
      </c>
      <c r="BO23" s="4">
        <v>63.646000000000001</v>
      </c>
      <c r="BP23" s="12">
        <v>0.84</v>
      </c>
      <c r="BQ23" s="12">
        <v>0.13850000000000001</v>
      </c>
      <c r="BR23" s="12">
        <v>0.16700000000000001</v>
      </c>
      <c r="BS23" s="4">
        <v>100</v>
      </c>
      <c r="BT23" s="4">
        <v>103.1</v>
      </c>
      <c r="BU23" s="11">
        <v>14</v>
      </c>
      <c r="BV23" s="11">
        <v>19</v>
      </c>
      <c r="BW23" s="11">
        <v>13</v>
      </c>
      <c r="BX23" s="11">
        <v>21</v>
      </c>
      <c r="BY23" s="11">
        <v>22</v>
      </c>
      <c r="BZ23" s="11">
        <v>17</v>
      </c>
      <c r="CA23" s="11">
        <v>16</v>
      </c>
      <c r="CB23" s="11">
        <v>10</v>
      </c>
      <c r="CC23" s="11">
        <v>33</v>
      </c>
      <c r="CD23" s="11">
        <v>34</v>
      </c>
      <c r="CE23" s="11">
        <v>39</v>
      </c>
      <c r="CF23" s="11">
        <v>26</v>
      </c>
      <c r="CG23" s="4">
        <v>1.9</v>
      </c>
      <c r="CH23" s="13">
        <v>1.9</v>
      </c>
      <c r="CI23" s="4">
        <v>-1</v>
      </c>
      <c r="CJ23" s="4">
        <v>-1</v>
      </c>
      <c r="CK23" s="4">
        <v>160.5</v>
      </c>
      <c r="CL23" s="2" t="s">
        <v>507</v>
      </c>
      <c r="CM23" s="4" t="str">
        <f>VLOOKUP(portel[[#This Row],[Away_team]],all[[Full name]:[Abbr]],3,FALSE)</f>
        <v>STR</v>
      </c>
      <c r="CN23" s="4">
        <f>IF(OR(portel[[#This Row],[Result]]="w",portel[[#This Row],[Result]]="dw"),portel[[#This Row],[win]]-1,-1)</f>
        <v>0.89999999999999991</v>
      </c>
      <c r="CO23" s="4">
        <f>IF(OR(portel[[#This Row],[Result]]="L",portel[[#This Row],[Result]]="dl"),portel[[#This Row],[lose]]-1,-1)</f>
        <v>-1</v>
      </c>
      <c r="CP23" s="4">
        <f>IF(OR((portel[[#This Row],[Home_scored]]+portel[[#This Row],[Away_scored]])&gt;portel[[#This Row],[total]],OR(portel[[#This Row],[Result]]="dw",portel[[#This Row],[Result]]="dl")),1,0)</f>
        <v>0</v>
      </c>
      <c r="CQ23" s="4">
        <f>ABS((portel[[#This Row],[Home_scored]]+portel[[#This Row],[Away_scored]])-portel[[#This Row],[total]])+0.5</f>
        <v>29</v>
      </c>
    </row>
    <row r="24" spans="1:95" x14ac:dyDescent="0.25">
      <c r="A24" s="2" t="s">
        <v>349</v>
      </c>
      <c r="B24" s="2" t="s">
        <v>320</v>
      </c>
      <c r="C24" s="3" t="s">
        <v>73</v>
      </c>
      <c r="D24" s="3">
        <v>45724</v>
      </c>
      <c r="E24" s="2" t="s">
        <v>74</v>
      </c>
      <c r="F24" s="2" t="s">
        <v>324</v>
      </c>
      <c r="G24" s="2" t="s">
        <v>139</v>
      </c>
      <c r="H24" s="11">
        <v>79</v>
      </c>
      <c r="I24" s="11">
        <v>89</v>
      </c>
      <c r="J24" s="11">
        <v>27</v>
      </c>
      <c r="K24" s="11">
        <v>57</v>
      </c>
      <c r="L24" s="12">
        <v>0.47370000000000001</v>
      </c>
      <c r="M24" s="11">
        <v>22</v>
      </c>
      <c r="N24" s="11">
        <v>37</v>
      </c>
      <c r="O24" s="12">
        <v>0.59460000000000002</v>
      </c>
      <c r="P24" s="11">
        <v>5</v>
      </c>
      <c r="Q24" s="11">
        <v>20</v>
      </c>
      <c r="R24" s="12">
        <v>0.25</v>
      </c>
      <c r="S24" s="11">
        <v>20</v>
      </c>
      <c r="T24" s="11">
        <v>27</v>
      </c>
      <c r="U24" s="12">
        <v>0.74070000000000003</v>
      </c>
      <c r="V24" s="11">
        <v>12</v>
      </c>
      <c r="W24" s="11">
        <v>22</v>
      </c>
      <c r="X24" s="11">
        <v>34</v>
      </c>
      <c r="Y24" s="11">
        <v>15</v>
      </c>
      <c r="Z24" s="11">
        <v>3</v>
      </c>
      <c r="AA24" s="11">
        <v>3</v>
      </c>
      <c r="AB24" s="11">
        <v>15</v>
      </c>
      <c r="AC24" s="11">
        <v>23</v>
      </c>
      <c r="AD24" s="11">
        <v>31</v>
      </c>
      <c r="AE24" s="11">
        <v>57</v>
      </c>
      <c r="AF24" s="12">
        <v>0.54390000000000005</v>
      </c>
      <c r="AG24" s="11">
        <v>20</v>
      </c>
      <c r="AH24" s="11">
        <v>38</v>
      </c>
      <c r="AI24" s="12">
        <v>0.52629999999999999</v>
      </c>
      <c r="AJ24" s="11">
        <v>11</v>
      </c>
      <c r="AK24" s="11">
        <v>19</v>
      </c>
      <c r="AL24" s="12">
        <v>0.57889999999999997</v>
      </c>
      <c r="AM24" s="11">
        <v>16</v>
      </c>
      <c r="AN24" s="11">
        <v>22</v>
      </c>
      <c r="AO24" s="12">
        <v>0.72729999999999995</v>
      </c>
      <c r="AP24" s="11">
        <v>7</v>
      </c>
      <c r="AQ24" s="11">
        <v>20</v>
      </c>
      <c r="AR24" s="11">
        <v>27</v>
      </c>
      <c r="AS24" s="11">
        <v>16</v>
      </c>
      <c r="AT24" s="11">
        <v>8</v>
      </c>
      <c r="AU24" s="11">
        <v>1</v>
      </c>
      <c r="AV24" s="11">
        <v>10</v>
      </c>
      <c r="AW24" s="11">
        <v>22</v>
      </c>
      <c r="AX24" s="12">
        <v>0.57350000000000001</v>
      </c>
      <c r="AY24" s="12">
        <v>0.51749999999999996</v>
      </c>
      <c r="AZ24" s="12">
        <v>0.375</v>
      </c>
      <c r="BA24" s="12">
        <v>0.75860000000000005</v>
      </c>
      <c r="BB24" s="12">
        <v>0.55740000000000001</v>
      </c>
      <c r="BC24" s="4">
        <v>71.471000000000004</v>
      </c>
      <c r="BD24" s="12">
        <v>0.55559999999999998</v>
      </c>
      <c r="BE24" s="12">
        <v>0.35089999999999999</v>
      </c>
      <c r="BF24" s="12">
        <v>0.17879999999999999</v>
      </c>
      <c r="BG24" s="4">
        <v>112.8</v>
      </c>
      <c r="BH24" s="4">
        <v>127.1</v>
      </c>
      <c r="BI24" s="4">
        <v>70.028999999999996</v>
      </c>
      <c r="BJ24" s="12">
        <v>0.66739999999999999</v>
      </c>
      <c r="BK24" s="12">
        <v>0.64039999999999997</v>
      </c>
      <c r="BL24" s="12">
        <v>0.2414</v>
      </c>
      <c r="BM24" s="12">
        <v>0.625</v>
      </c>
      <c r="BN24" s="12">
        <v>0.44259999999999999</v>
      </c>
      <c r="BO24" s="4">
        <v>68.587000000000003</v>
      </c>
      <c r="BP24" s="12">
        <v>0.5161</v>
      </c>
      <c r="BQ24" s="12">
        <v>0.28070000000000001</v>
      </c>
      <c r="BR24" s="12">
        <v>0.13039999999999999</v>
      </c>
      <c r="BS24" s="4">
        <v>127.1</v>
      </c>
      <c r="BT24" s="4">
        <v>112.8</v>
      </c>
      <c r="BU24" s="11">
        <v>20</v>
      </c>
      <c r="BV24" s="11">
        <v>21</v>
      </c>
      <c r="BW24" s="11">
        <v>17</v>
      </c>
      <c r="BX24" s="11">
        <v>21</v>
      </c>
      <c r="BY24" s="11">
        <v>24</v>
      </c>
      <c r="BZ24" s="11">
        <v>24</v>
      </c>
      <c r="CA24" s="11">
        <v>26</v>
      </c>
      <c r="CB24" s="11">
        <v>15</v>
      </c>
      <c r="CC24" s="11">
        <v>41</v>
      </c>
      <c r="CD24" s="11">
        <v>38</v>
      </c>
      <c r="CE24" s="11">
        <v>48</v>
      </c>
      <c r="CF24" s="11">
        <v>41</v>
      </c>
      <c r="CG24" s="4">
        <v>1.71</v>
      </c>
      <c r="CH24" s="13">
        <v>2.2000000000000002</v>
      </c>
      <c r="CI24" s="4">
        <v>-2.5</v>
      </c>
      <c r="CJ24" s="4">
        <v>2.5</v>
      </c>
      <c r="CK24" s="4">
        <v>161.5</v>
      </c>
      <c r="CL24" s="2" t="s">
        <v>516</v>
      </c>
      <c r="CM24" s="4" t="str">
        <f>VLOOKUP(portel[[#This Row],[Away_team]],all[[Full name]:[Abbr]],3,FALSE)</f>
        <v>LIM</v>
      </c>
      <c r="CN24" s="4">
        <f>IF(OR(portel[[#This Row],[Result]]="w",portel[[#This Row],[Result]]="dw"),portel[[#This Row],[win]]-1,-1)</f>
        <v>-1</v>
      </c>
      <c r="CO24" s="4">
        <f>IF(OR(portel[[#This Row],[Result]]="L",portel[[#This Row],[Result]]="dl"),portel[[#This Row],[lose]]-1,-1)</f>
        <v>1.2000000000000002</v>
      </c>
      <c r="CP24" s="4">
        <f>IF(OR((portel[[#This Row],[Home_scored]]+portel[[#This Row],[Away_scored]])&gt;portel[[#This Row],[total]],OR(portel[[#This Row],[Result]]="dw",portel[[#This Row],[Result]]="dl")),1,0)</f>
        <v>1</v>
      </c>
      <c r="CQ24" s="4">
        <f>ABS((portel[[#This Row],[Home_scored]]+portel[[#This Row],[Away_scored]])-portel[[#This Row],[total]])+0.5</f>
        <v>7</v>
      </c>
    </row>
    <row r="25" spans="1:95" x14ac:dyDescent="0.25">
      <c r="A25" s="2" t="s">
        <v>349</v>
      </c>
      <c r="B25" s="2" t="s">
        <v>320</v>
      </c>
      <c r="C25" s="3" t="s">
        <v>73</v>
      </c>
      <c r="D25" s="3">
        <v>45738</v>
      </c>
      <c r="E25" s="2" t="s">
        <v>140</v>
      </c>
      <c r="F25" s="2" t="s">
        <v>305</v>
      </c>
      <c r="G25" s="2" t="s">
        <v>139</v>
      </c>
      <c r="H25" s="11">
        <v>76</v>
      </c>
      <c r="I25" s="11">
        <v>106</v>
      </c>
      <c r="J25" s="11">
        <v>25</v>
      </c>
      <c r="K25" s="11">
        <v>63</v>
      </c>
      <c r="L25" s="12">
        <v>0.39679999999999999</v>
      </c>
      <c r="M25" s="11">
        <v>18</v>
      </c>
      <c r="N25" s="11">
        <v>34</v>
      </c>
      <c r="O25" s="12">
        <v>0.52939999999999998</v>
      </c>
      <c r="P25" s="11">
        <v>7</v>
      </c>
      <c r="Q25" s="11">
        <v>29</v>
      </c>
      <c r="R25" s="12">
        <v>0.2414</v>
      </c>
      <c r="S25" s="11">
        <v>19</v>
      </c>
      <c r="T25" s="11">
        <v>28</v>
      </c>
      <c r="U25" s="12">
        <v>0.67859999999999998</v>
      </c>
      <c r="V25" s="11">
        <v>11</v>
      </c>
      <c r="W25" s="11">
        <v>22</v>
      </c>
      <c r="X25" s="11">
        <v>33</v>
      </c>
      <c r="Y25" s="11">
        <v>16</v>
      </c>
      <c r="Z25" s="11">
        <v>7</v>
      </c>
      <c r="AA25" s="11">
        <v>1</v>
      </c>
      <c r="AB25" s="11">
        <v>13</v>
      </c>
      <c r="AC25" s="11">
        <v>22</v>
      </c>
      <c r="AD25" s="11">
        <v>38</v>
      </c>
      <c r="AE25" s="11">
        <v>60</v>
      </c>
      <c r="AF25" s="12">
        <v>0.63329999999999997</v>
      </c>
      <c r="AG25" s="11">
        <v>23</v>
      </c>
      <c r="AH25" s="11">
        <v>32</v>
      </c>
      <c r="AI25" s="12">
        <v>0.71879999999999999</v>
      </c>
      <c r="AJ25" s="11">
        <v>15</v>
      </c>
      <c r="AK25" s="11">
        <v>28</v>
      </c>
      <c r="AL25" s="12">
        <v>0.53569999999999995</v>
      </c>
      <c r="AM25" s="11">
        <v>15</v>
      </c>
      <c r="AN25" s="11">
        <v>23</v>
      </c>
      <c r="AO25" s="12">
        <v>0.6522</v>
      </c>
      <c r="AP25" s="11">
        <v>5</v>
      </c>
      <c r="AQ25" s="11">
        <v>31</v>
      </c>
      <c r="AR25" s="11">
        <v>36</v>
      </c>
      <c r="AS25" s="11">
        <v>31</v>
      </c>
      <c r="AT25" s="11">
        <v>6</v>
      </c>
      <c r="AU25" s="11">
        <v>2</v>
      </c>
      <c r="AV25" s="11">
        <v>12</v>
      </c>
      <c r="AW25" s="11">
        <v>22</v>
      </c>
      <c r="AX25" s="12">
        <v>0.50449999999999995</v>
      </c>
      <c r="AY25" s="12">
        <v>0.45240000000000002</v>
      </c>
      <c r="AZ25" s="12">
        <v>0.26190000000000002</v>
      </c>
      <c r="BA25" s="12">
        <v>0.81479999999999997</v>
      </c>
      <c r="BB25" s="12">
        <v>0.4783</v>
      </c>
      <c r="BC25" s="4">
        <v>73.647000000000006</v>
      </c>
      <c r="BD25" s="12">
        <v>0.64</v>
      </c>
      <c r="BE25" s="12">
        <v>0.30159999999999998</v>
      </c>
      <c r="BF25" s="12">
        <v>0.1472</v>
      </c>
      <c r="BG25" s="4">
        <v>100.3</v>
      </c>
      <c r="BH25" s="4">
        <v>139.9</v>
      </c>
      <c r="BI25" s="4">
        <v>75.789000000000001</v>
      </c>
      <c r="BJ25" s="12">
        <v>0.75580000000000003</v>
      </c>
      <c r="BK25" s="12">
        <v>0.75829999999999997</v>
      </c>
      <c r="BL25" s="12">
        <v>0.1852</v>
      </c>
      <c r="BM25" s="12">
        <v>0.73809999999999998</v>
      </c>
      <c r="BN25" s="12">
        <v>0.52170000000000005</v>
      </c>
      <c r="BO25" s="4">
        <v>77.930999999999997</v>
      </c>
      <c r="BP25" s="12">
        <v>0.81579999999999997</v>
      </c>
      <c r="BQ25" s="12">
        <v>0.25</v>
      </c>
      <c r="BR25" s="12">
        <v>0.14610000000000001</v>
      </c>
      <c r="BS25" s="4">
        <v>139.9</v>
      </c>
      <c r="BT25" s="4">
        <v>100.3</v>
      </c>
      <c r="BU25" s="11">
        <v>20</v>
      </c>
      <c r="BV25" s="11">
        <v>24</v>
      </c>
      <c r="BW25" s="11">
        <v>14</v>
      </c>
      <c r="BX25" s="11">
        <v>18</v>
      </c>
      <c r="BY25" s="11">
        <v>24</v>
      </c>
      <c r="BZ25" s="11">
        <v>28</v>
      </c>
      <c r="CA25" s="11">
        <v>29</v>
      </c>
      <c r="CB25" s="11">
        <v>25</v>
      </c>
      <c r="CC25" s="11">
        <v>44</v>
      </c>
      <c r="CD25" s="11">
        <v>32</v>
      </c>
      <c r="CE25" s="11">
        <v>52</v>
      </c>
      <c r="CF25" s="11">
        <v>54</v>
      </c>
      <c r="CG25" s="4">
        <v>3.1</v>
      </c>
      <c r="CH25" s="13">
        <v>1.38</v>
      </c>
      <c r="CI25" s="4">
        <v>6.5</v>
      </c>
      <c r="CJ25" s="4">
        <v>-6.5</v>
      </c>
      <c r="CK25" s="4">
        <v>160.5</v>
      </c>
      <c r="CL25" s="2" t="s">
        <v>525</v>
      </c>
      <c r="CM25" s="4" t="str">
        <f>VLOOKUP(portel[[#This Row],[Away_team]],all[[Full name]:[Abbr]],3,FALSE)</f>
        <v>CHA</v>
      </c>
      <c r="CN25" s="4">
        <f>IF(OR(portel[[#This Row],[Result]]="w",portel[[#This Row],[Result]]="dw"),portel[[#This Row],[win]]-1,-1)</f>
        <v>-1</v>
      </c>
      <c r="CO25" s="4">
        <f>IF(OR(portel[[#This Row],[Result]]="L",portel[[#This Row],[Result]]="dl"),portel[[#This Row],[lose]]-1,-1)</f>
        <v>0.37999999999999989</v>
      </c>
      <c r="CP25" s="4">
        <f>IF(OR((portel[[#This Row],[Home_scored]]+portel[[#This Row],[Away_scored]])&gt;portel[[#This Row],[total]],OR(portel[[#This Row],[Result]]="dw",portel[[#This Row],[Result]]="dl")),1,0)</f>
        <v>1</v>
      </c>
      <c r="CQ25" s="4">
        <f>ABS((portel[[#This Row],[Home_scored]]+portel[[#This Row],[Away_scored]])-portel[[#This Row],[total]])+0.5</f>
        <v>22</v>
      </c>
    </row>
    <row r="26" spans="1:95" x14ac:dyDescent="0.25">
      <c r="A26" s="2" t="s">
        <v>349</v>
      </c>
      <c r="B26" s="2" t="s">
        <v>320</v>
      </c>
      <c r="C26" s="3" t="s">
        <v>73</v>
      </c>
      <c r="D26" s="3">
        <v>45746</v>
      </c>
      <c r="E26" s="2" t="s">
        <v>74</v>
      </c>
      <c r="F26" s="2" t="s">
        <v>330</v>
      </c>
      <c r="G26" s="2" t="s">
        <v>139</v>
      </c>
      <c r="H26" s="11">
        <v>67</v>
      </c>
      <c r="I26" s="11">
        <v>91</v>
      </c>
      <c r="J26" s="11">
        <v>23</v>
      </c>
      <c r="K26" s="11">
        <v>57</v>
      </c>
      <c r="L26" s="12">
        <v>0.40350000000000003</v>
      </c>
      <c r="M26" s="11">
        <v>18</v>
      </c>
      <c r="N26" s="11">
        <v>37</v>
      </c>
      <c r="O26" s="12">
        <v>0.48649999999999999</v>
      </c>
      <c r="P26" s="11">
        <v>5</v>
      </c>
      <c r="Q26" s="11">
        <v>20</v>
      </c>
      <c r="R26" s="12">
        <v>0.25</v>
      </c>
      <c r="S26" s="11">
        <v>16</v>
      </c>
      <c r="T26" s="11">
        <v>23</v>
      </c>
      <c r="U26" s="12">
        <v>0.69569999999999999</v>
      </c>
      <c r="V26" s="11">
        <v>10</v>
      </c>
      <c r="W26" s="11">
        <v>14</v>
      </c>
      <c r="X26" s="11">
        <v>24</v>
      </c>
      <c r="Y26" s="11">
        <v>12</v>
      </c>
      <c r="Z26" s="11">
        <v>7</v>
      </c>
      <c r="AA26" s="11">
        <v>2</v>
      </c>
      <c r="AB26" s="11">
        <v>14</v>
      </c>
      <c r="AC26" s="11">
        <v>18</v>
      </c>
      <c r="AD26" s="11">
        <v>34</v>
      </c>
      <c r="AE26" s="11">
        <v>57</v>
      </c>
      <c r="AF26" s="12">
        <v>0.59650000000000003</v>
      </c>
      <c r="AG26" s="11">
        <v>20</v>
      </c>
      <c r="AH26" s="11">
        <v>34</v>
      </c>
      <c r="AI26" s="12">
        <v>0.58819999999999995</v>
      </c>
      <c r="AJ26" s="11">
        <v>14</v>
      </c>
      <c r="AK26" s="11">
        <v>23</v>
      </c>
      <c r="AL26" s="12">
        <v>0.60870000000000002</v>
      </c>
      <c r="AM26" s="11">
        <v>9</v>
      </c>
      <c r="AN26" s="11">
        <v>15</v>
      </c>
      <c r="AO26" s="12">
        <v>0.6</v>
      </c>
      <c r="AP26" s="11">
        <v>10</v>
      </c>
      <c r="AQ26" s="11">
        <v>25</v>
      </c>
      <c r="AR26" s="11">
        <v>35</v>
      </c>
      <c r="AS26" s="11">
        <v>28</v>
      </c>
      <c r="AT26" s="11">
        <v>7</v>
      </c>
      <c r="AU26" s="11">
        <v>6</v>
      </c>
      <c r="AV26" s="11">
        <v>15</v>
      </c>
      <c r="AW26" s="11">
        <v>22</v>
      </c>
      <c r="AX26" s="12">
        <v>0.49909999999999999</v>
      </c>
      <c r="AY26" s="12">
        <v>0.44740000000000002</v>
      </c>
      <c r="AZ26" s="12">
        <v>0.28570000000000001</v>
      </c>
      <c r="BA26" s="12">
        <v>0.58330000000000004</v>
      </c>
      <c r="BB26" s="12">
        <v>0.40679999999999999</v>
      </c>
      <c r="BC26" s="4">
        <v>65.042000000000002</v>
      </c>
      <c r="BD26" s="12">
        <v>0.52170000000000005</v>
      </c>
      <c r="BE26" s="12">
        <v>0.28070000000000001</v>
      </c>
      <c r="BF26" s="12">
        <v>0.1726</v>
      </c>
      <c r="BG26" s="4">
        <v>98.5</v>
      </c>
      <c r="BH26" s="4">
        <v>133.80000000000001</v>
      </c>
      <c r="BI26" s="4">
        <v>68.005499999999998</v>
      </c>
      <c r="BJ26" s="12">
        <v>0.71540000000000004</v>
      </c>
      <c r="BK26" s="12">
        <v>0.71930000000000005</v>
      </c>
      <c r="BL26" s="12">
        <v>0.41670000000000001</v>
      </c>
      <c r="BM26" s="12">
        <v>0.71430000000000005</v>
      </c>
      <c r="BN26" s="12">
        <v>0.59319999999999995</v>
      </c>
      <c r="BO26" s="4">
        <v>70.968999999999994</v>
      </c>
      <c r="BP26" s="12">
        <v>0.82350000000000001</v>
      </c>
      <c r="BQ26" s="12">
        <v>0.15790000000000001</v>
      </c>
      <c r="BR26" s="12">
        <v>0.1908</v>
      </c>
      <c r="BS26" s="4">
        <v>133.80000000000001</v>
      </c>
      <c r="BT26" s="4">
        <v>98.5</v>
      </c>
      <c r="BU26" s="11">
        <v>11</v>
      </c>
      <c r="BV26" s="11">
        <v>26</v>
      </c>
      <c r="BW26" s="11">
        <v>15</v>
      </c>
      <c r="BX26" s="11">
        <v>15</v>
      </c>
      <c r="BY26" s="11">
        <v>25</v>
      </c>
      <c r="BZ26" s="11">
        <v>23</v>
      </c>
      <c r="CA26" s="11">
        <v>20</v>
      </c>
      <c r="CB26" s="11">
        <v>23</v>
      </c>
      <c r="CC26" s="11">
        <v>37</v>
      </c>
      <c r="CD26" s="11">
        <v>30</v>
      </c>
      <c r="CE26" s="11">
        <v>48</v>
      </c>
      <c r="CF26" s="11">
        <v>43</v>
      </c>
      <c r="CG26" s="4">
        <v>4.75</v>
      </c>
      <c r="CH26" s="13">
        <v>1.2</v>
      </c>
      <c r="CI26" s="4">
        <v>9.5</v>
      </c>
      <c r="CJ26" s="4">
        <v>-9.5</v>
      </c>
      <c r="CK26" s="4">
        <v>159.5</v>
      </c>
      <c r="CL26" s="2" t="s">
        <v>535</v>
      </c>
      <c r="CM26" s="4" t="str">
        <f>VLOOKUP(portel[[#This Row],[Away_team]],all[[Full name]:[Abbr]],3,FALSE)</f>
        <v>MON</v>
      </c>
      <c r="CN26" s="4">
        <f>IF(OR(portel[[#This Row],[Result]]="w",portel[[#This Row],[Result]]="dw"),portel[[#This Row],[win]]-1,-1)</f>
        <v>-1</v>
      </c>
      <c r="CO26" s="4">
        <f>IF(OR(portel[[#This Row],[Result]]="L",portel[[#This Row],[Result]]="dl"),portel[[#This Row],[lose]]-1,-1)</f>
        <v>0.19999999999999996</v>
      </c>
      <c r="CP26" s="4">
        <f>IF(OR((portel[[#This Row],[Home_scored]]+portel[[#This Row],[Away_scored]])&gt;portel[[#This Row],[total]],OR(portel[[#This Row],[Result]]="dw",portel[[#This Row],[Result]]="dl")),1,0)</f>
        <v>0</v>
      </c>
      <c r="CQ26" s="4">
        <f>ABS((portel[[#This Row],[Home_scored]]+portel[[#This Row],[Away_scored]])-portel[[#This Row],[total]])+0.5</f>
        <v>2</v>
      </c>
    </row>
    <row r="27" spans="1:95" x14ac:dyDescent="0.25">
      <c r="A27" s="2" t="s">
        <v>349</v>
      </c>
      <c r="B27" s="2" t="s">
        <v>320</v>
      </c>
      <c r="C27" s="3" t="s">
        <v>73</v>
      </c>
      <c r="D27" s="3">
        <v>45753</v>
      </c>
      <c r="E27" s="2" t="s">
        <v>140</v>
      </c>
      <c r="F27" s="2" t="s">
        <v>314</v>
      </c>
      <c r="G27" s="2" t="s">
        <v>139</v>
      </c>
      <c r="H27" s="11">
        <v>80</v>
      </c>
      <c r="I27" s="11">
        <v>104</v>
      </c>
      <c r="J27" s="11">
        <v>28</v>
      </c>
      <c r="K27" s="11">
        <v>56</v>
      </c>
      <c r="L27" s="12">
        <v>0.5</v>
      </c>
      <c r="M27" s="11">
        <v>16</v>
      </c>
      <c r="N27" s="11">
        <v>31</v>
      </c>
      <c r="O27" s="12">
        <v>0.5161</v>
      </c>
      <c r="P27" s="11">
        <v>12</v>
      </c>
      <c r="Q27" s="11">
        <v>25</v>
      </c>
      <c r="R27" s="12">
        <v>0.48</v>
      </c>
      <c r="S27" s="11">
        <v>12</v>
      </c>
      <c r="T27" s="11">
        <v>16</v>
      </c>
      <c r="U27" s="12">
        <v>0.75</v>
      </c>
      <c r="V27" s="11">
        <v>8</v>
      </c>
      <c r="W27" s="11">
        <v>20</v>
      </c>
      <c r="X27" s="11">
        <v>28</v>
      </c>
      <c r="Y27" s="11">
        <v>16</v>
      </c>
      <c r="Z27" s="11">
        <v>3</v>
      </c>
      <c r="AA27" s="11">
        <v>3</v>
      </c>
      <c r="AB27" s="11">
        <v>16</v>
      </c>
      <c r="AC27" s="11">
        <v>21</v>
      </c>
      <c r="AD27" s="11">
        <v>38</v>
      </c>
      <c r="AE27" s="11">
        <v>66</v>
      </c>
      <c r="AF27" s="12">
        <v>0.57579999999999998</v>
      </c>
      <c r="AG27" s="11">
        <v>22</v>
      </c>
      <c r="AH27" s="11">
        <v>35</v>
      </c>
      <c r="AI27" s="12">
        <v>0.62860000000000005</v>
      </c>
      <c r="AJ27" s="11">
        <v>16</v>
      </c>
      <c r="AK27" s="11">
        <v>31</v>
      </c>
      <c r="AL27" s="12">
        <v>0.5161</v>
      </c>
      <c r="AM27" s="11">
        <v>12</v>
      </c>
      <c r="AN27" s="11">
        <v>13</v>
      </c>
      <c r="AO27" s="12">
        <v>0.92310000000000003</v>
      </c>
      <c r="AP27" s="11">
        <v>7</v>
      </c>
      <c r="AQ27" s="11">
        <v>21</v>
      </c>
      <c r="AR27" s="11">
        <v>28</v>
      </c>
      <c r="AS27" s="11">
        <v>26</v>
      </c>
      <c r="AT27" s="11">
        <v>9</v>
      </c>
      <c r="AU27" s="11">
        <v>1</v>
      </c>
      <c r="AV27" s="11">
        <v>8</v>
      </c>
      <c r="AW27" s="11">
        <v>17</v>
      </c>
      <c r="AX27" s="12">
        <v>0.63449999999999995</v>
      </c>
      <c r="AY27" s="12">
        <v>0.60709999999999997</v>
      </c>
      <c r="AZ27" s="12">
        <v>0.27589999999999998</v>
      </c>
      <c r="BA27" s="12">
        <v>0.74070000000000003</v>
      </c>
      <c r="BB27" s="12">
        <v>0.5</v>
      </c>
      <c r="BC27" s="4">
        <v>69.84</v>
      </c>
      <c r="BD27" s="12">
        <v>0.57140000000000002</v>
      </c>
      <c r="BE27" s="12">
        <v>0.21429999999999999</v>
      </c>
      <c r="BF27" s="12">
        <v>0.2024</v>
      </c>
      <c r="BG27" s="4">
        <v>113</v>
      </c>
      <c r="BH27" s="4">
        <v>146.9</v>
      </c>
      <c r="BI27" s="4">
        <v>70.775000000000006</v>
      </c>
      <c r="BJ27" s="12">
        <v>0.72499999999999998</v>
      </c>
      <c r="BK27" s="12">
        <v>0.69699999999999995</v>
      </c>
      <c r="BL27" s="12">
        <v>0.25929999999999997</v>
      </c>
      <c r="BM27" s="12">
        <v>0.72409999999999997</v>
      </c>
      <c r="BN27" s="12">
        <v>0.5</v>
      </c>
      <c r="BO27" s="4">
        <v>71.709999999999994</v>
      </c>
      <c r="BP27" s="12">
        <v>0.68420000000000003</v>
      </c>
      <c r="BQ27" s="12">
        <v>0.18179999999999999</v>
      </c>
      <c r="BR27" s="12">
        <v>0.1004</v>
      </c>
      <c r="BS27" s="4">
        <v>146.9</v>
      </c>
      <c r="BT27" s="4">
        <v>113</v>
      </c>
      <c r="BU27" s="11">
        <v>16</v>
      </c>
      <c r="BV27" s="11">
        <v>23</v>
      </c>
      <c r="BW27" s="11">
        <v>17</v>
      </c>
      <c r="BX27" s="11">
        <v>24</v>
      </c>
      <c r="BY27" s="11">
        <v>22</v>
      </c>
      <c r="BZ27" s="11">
        <v>18</v>
      </c>
      <c r="CA27" s="11">
        <v>28</v>
      </c>
      <c r="CB27" s="11">
        <v>36</v>
      </c>
      <c r="CC27" s="11">
        <v>39</v>
      </c>
      <c r="CD27" s="11">
        <v>41</v>
      </c>
      <c r="CE27" s="11">
        <v>40</v>
      </c>
      <c r="CF27" s="11">
        <v>64</v>
      </c>
      <c r="CG27" s="4">
        <v>2.6</v>
      </c>
      <c r="CH27" s="13">
        <v>1.52</v>
      </c>
      <c r="CI27" s="4">
        <v>4.5</v>
      </c>
      <c r="CJ27" s="4">
        <v>-4.5</v>
      </c>
      <c r="CK27" s="4">
        <v>156.5</v>
      </c>
      <c r="CL27" s="2" t="s">
        <v>543</v>
      </c>
      <c r="CM27" s="4" t="str">
        <f>VLOOKUP(portel[[#This Row],[Away_team]],all[[Full name]:[Abbr]],3,FALSE)</f>
        <v>DUN</v>
      </c>
      <c r="CN27" s="4">
        <f>IF(OR(portel[[#This Row],[Result]]="w",portel[[#This Row],[Result]]="dw"),portel[[#This Row],[win]]-1,-1)</f>
        <v>-1</v>
      </c>
      <c r="CO27" s="4">
        <f>IF(OR(portel[[#This Row],[Result]]="L",portel[[#This Row],[Result]]="dl"),portel[[#This Row],[lose]]-1,-1)</f>
        <v>0.52</v>
      </c>
      <c r="CP27" s="4">
        <f>IF(OR((portel[[#This Row],[Home_scored]]+portel[[#This Row],[Away_scored]])&gt;portel[[#This Row],[total]],OR(portel[[#This Row],[Result]]="dw",portel[[#This Row],[Result]]="dl")),1,0)</f>
        <v>1</v>
      </c>
      <c r="CQ27" s="4">
        <f>ABS((portel[[#This Row],[Home_scored]]+portel[[#This Row],[Away_scored]])-portel[[#This Row],[total]])+0.5</f>
        <v>28</v>
      </c>
    </row>
    <row r="28" spans="1:95" x14ac:dyDescent="0.25">
      <c r="A28" s="2" t="s">
        <v>349</v>
      </c>
      <c r="B28" s="2" t="s">
        <v>320</v>
      </c>
      <c r="C28" s="3" t="s">
        <v>73</v>
      </c>
      <c r="D28" s="3">
        <v>45760</v>
      </c>
      <c r="E28" s="2" t="s">
        <v>74</v>
      </c>
      <c r="F28" s="2" t="s">
        <v>327</v>
      </c>
      <c r="G28" s="2" t="s">
        <v>139</v>
      </c>
      <c r="H28" s="11">
        <v>74</v>
      </c>
      <c r="I28" s="11">
        <v>77</v>
      </c>
      <c r="J28" s="11">
        <v>22</v>
      </c>
      <c r="K28" s="11">
        <v>50</v>
      </c>
      <c r="L28" s="12">
        <v>0.44</v>
      </c>
      <c r="M28" s="11">
        <v>15</v>
      </c>
      <c r="N28" s="11">
        <v>26</v>
      </c>
      <c r="O28" s="12">
        <v>0.57689999999999997</v>
      </c>
      <c r="P28" s="11">
        <v>7</v>
      </c>
      <c r="Q28" s="11">
        <v>24</v>
      </c>
      <c r="R28" s="12">
        <v>0.29170000000000001</v>
      </c>
      <c r="S28" s="11">
        <v>23</v>
      </c>
      <c r="T28" s="11">
        <v>28</v>
      </c>
      <c r="U28" s="12">
        <v>0.82140000000000002</v>
      </c>
      <c r="V28" s="11">
        <v>10</v>
      </c>
      <c r="W28" s="11">
        <v>21</v>
      </c>
      <c r="X28" s="11">
        <v>31</v>
      </c>
      <c r="Y28" s="11">
        <v>17</v>
      </c>
      <c r="Z28" s="11">
        <v>7</v>
      </c>
      <c r="AA28" s="11">
        <v>3</v>
      </c>
      <c r="AB28" s="11">
        <v>18</v>
      </c>
      <c r="AC28" s="11">
        <v>20</v>
      </c>
      <c r="AD28" s="11">
        <v>26</v>
      </c>
      <c r="AE28" s="11">
        <v>52</v>
      </c>
      <c r="AF28" s="12">
        <v>0.5</v>
      </c>
      <c r="AG28" s="11">
        <v>18</v>
      </c>
      <c r="AH28" s="11">
        <v>34</v>
      </c>
      <c r="AI28" s="12">
        <v>0.52939999999999998</v>
      </c>
      <c r="AJ28" s="11">
        <v>8</v>
      </c>
      <c r="AK28" s="11">
        <v>18</v>
      </c>
      <c r="AL28" s="12">
        <v>0.44440000000000002</v>
      </c>
      <c r="AM28" s="11">
        <v>17</v>
      </c>
      <c r="AN28" s="11">
        <v>25</v>
      </c>
      <c r="AO28" s="12">
        <v>0.68</v>
      </c>
      <c r="AP28" s="11">
        <v>7</v>
      </c>
      <c r="AQ28" s="11">
        <v>21</v>
      </c>
      <c r="AR28" s="11">
        <v>28</v>
      </c>
      <c r="AS28" s="11">
        <v>20</v>
      </c>
      <c r="AT28" s="11">
        <v>13</v>
      </c>
      <c r="AU28" s="11">
        <v>2</v>
      </c>
      <c r="AV28" s="11">
        <v>12</v>
      </c>
      <c r="AW28" s="11">
        <v>20</v>
      </c>
      <c r="AX28" s="12">
        <v>0.59370000000000001</v>
      </c>
      <c r="AY28" s="12">
        <v>0.51</v>
      </c>
      <c r="AZ28" s="12">
        <v>0.3226</v>
      </c>
      <c r="BA28" s="12">
        <v>0.75</v>
      </c>
      <c r="BB28" s="12">
        <v>0.52539999999999998</v>
      </c>
      <c r="BC28" s="4">
        <v>69.534999999999997</v>
      </c>
      <c r="BD28" s="12">
        <v>0.77270000000000005</v>
      </c>
      <c r="BE28" s="12">
        <v>0.46</v>
      </c>
      <c r="BF28" s="12">
        <v>0.22409999999999999</v>
      </c>
      <c r="BG28" s="4">
        <v>108.4</v>
      </c>
      <c r="BH28" s="4">
        <v>112.8</v>
      </c>
      <c r="BI28" s="4">
        <v>68.290000000000006</v>
      </c>
      <c r="BJ28" s="12">
        <v>0.61109999999999998</v>
      </c>
      <c r="BK28" s="12">
        <v>0.57689999999999997</v>
      </c>
      <c r="BL28" s="12">
        <v>0.25</v>
      </c>
      <c r="BM28" s="12">
        <v>0.6774</v>
      </c>
      <c r="BN28" s="12">
        <v>0.47460000000000002</v>
      </c>
      <c r="BO28" s="4">
        <v>67.045000000000002</v>
      </c>
      <c r="BP28" s="12">
        <v>0.76919999999999999</v>
      </c>
      <c r="BQ28" s="12">
        <v>0.32690000000000002</v>
      </c>
      <c r="BR28" s="12">
        <v>0.16</v>
      </c>
      <c r="BS28" s="4">
        <v>112.8</v>
      </c>
      <c r="BT28" s="4">
        <v>108.4</v>
      </c>
      <c r="BU28" s="11">
        <v>14</v>
      </c>
      <c r="BV28" s="11">
        <v>21</v>
      </c>
      <c r="BW28" s="11">
        <v>18</v>
      </c>
      <c r="BX28" s="11">
        <v>21</v>
      </c>
      <c r="BY28" s="11">
        <v>21</v>
      </c>
      <c r="BZ28" s="11">
        <v>21</v>
      </c>
      <c r="CA28" s="11">
        <v>19</v>
      </c>
      <c r="CB28" s="11">
        <v>16</v>
      </c>
      <c r="CC28" s="11">
        <v>35</v>
      </c>
      <c r="CD28" s="11">
        <v>39</v>
      </c>
      <c r="CE28" s="11">
        <v>42</v>
      </c>
      <c r="CF28" s="11">
        <v>35</v>
      </c>
      <c r="CG28" s="4">
        <v>4.5</v>
      </c>
      <c r="CH28" s="13">
        <v>1.22</v>
      </c>
      <c r="CI28" s="4">
        <v>9.5</v>
      </c>
      <c r="CJ28" s="4">
        <v>-9.5</v>
      </c>
      <c r="CK28" s="4">
        <v>163.5</v>
      </c>
      <c r="CL28" s="2" t="s">
        <v>553</v>
      </c>
      <c r="CM28" s="4" t="str">
        <f>VLOOKUP(portel[[#This Row],[Away_team]],all[[Full name]:[Abbr]],3,FALSE)</f>
        <v>LYO</v>
      </c>
      <c r="CN28" s="4">
        <f>IF(OR(portel[[#This Row],[Result]]="w",portel[[#This Row],[Result]]="dw"),portel[[#This Row],[win]]-1,-1)</f>
        <v>-1</v>
      </c>
      <c r="CO28" s="4">
        <f>IF(OR(portel[[#This Row],[Result]]="L",portel[[#This Row],[Result]]="dl"),portel[[#This Row],[lose]]-1,-1)</f>
        <v>0.21999999999999997</v>
      </c>
      <c r="CP28" s="4">
        <f>IF(OR((portel[[#This Row],[Home_scored]]+portel[[#This Row],[Away_scored]])&gt;portel[[#This Row],[total]],OR(portel[[#This Row],[Result]]="dw",portel[[#This Row],[Result]]="dl")),1,0)</f>
        <v>0</v>
      </c>
      <c r="CQ28" s="4">
        <f>ABS((portel[[#This Row],[Home_scored]]+portel[[#This Row],[Away_scored]])-portel[[#This Row],[total]])+0.5</f>
        <v>13</v>
      </c>
    </row>
    <row r="29" spans="1:95" x14ac:dyDescent="0.25">
      <c r="A29" s="2" t="s">
        <v>349</v>
      </c>
      <c r="B29" s="2" t="s">
        <v>320</v>
      </c>
      <c r="C29" s="3" t="s">
        <v>73</v>
      </c>
      <c r="D29" s="3">
        <v>45766</v>
      </c>
      <c r="E29" s="2" t="s">
        <v>140</v>
      </c>
      <c r="F29" s="2" t="s">
        <v>333</v>
      </c>
      <c r="G29" s="2" t="s">
        <v>139</v>
      </c>
      <c r="H29" s="11">
        <v>78</v>
      </c>
      <c r="I29" s="11">
        <v>85</v>
      </c>
      <c r="J29" s="11">
        <v>25</v>
      </c>
      <c r="K29" s="11">
        <v>58</v>
      </c>
      <c r="L29" s="12">
        <v>0.43099999999999999</v>
      </c>
      <c r="M29" s="11">
        <v>15</v>
      </c>
      <c r="N29" s="11">
        <v>29</v>
      </c>
      <c r="O29" s="12">
        <v>0.51719999999999999</v>
      </c>
      <c r="P29" s="11">
        <v>10</v>
      </c>
      <c r="Q29" s="11">
        <v>29</v>
      </c>
      <c r="R29" s="12">
        <v>0.3448</v>
      </c>
      <c r="S29" s="11">
        <v>18</v>
      </c>
      <c r="T29" s="11">
        <v>24</v>
      </c>
      <c r="U29" s="12">
        <v>0.75</v>
      </c>
      <c r="V29" s="11">
        <v>12</v>
      </c>
      <c r="W29" s="11">
        <v>19</v>
      </c>
      <c r="X29" s="11">
        <v>31</v>
      </c>
      <c r="Y29" s="11">
        <v>19</v>
      </c>
      <c r="Z29" s="11">
        <v>7</v>
      </c>
      <c r="AA29" s="11">
        <v>4</v>
      </c>
      <c r="AB29" s="11">
        <v>19</v>
      </c>
      <c r="AC29" s="11">
        <v>26</v>
      </c>
      <c r="AD29" s="11">
        <v>29</v>
      </c>
      <c r="AE29" s="11">
        <v>58</v>
      </c>
      <c r="AF29" s="12">
        <v>0.5</v>
      </c>
      <c r="AG29" s="11">
        <v>23</v>
      </c>
      <c r="AH29" s="11">
        <v>37</v>
      </c>
      <c r="AI29" s="12">
        <v>0.62160000000000004</v>
      </c>
      <c r="AJ29" s="11">
        <v>6</v>
      </c>
      <c r="AK29" s="11">
        <v>21</v>
      </c>
      <c r="AL29" s="12">
        <v>0.28570000000000001</v>
      </c>
      <c r="AM29" s="11">
        <v>21</v>
      </c>
      <c r="AN29" s="11">
        <v>25</v>
      </c>
      <c r="AO29" s="12">
        <v>0.84</v>
      </c>
      <c r="AP29" s="11">
        <v>10</v>
      </c>
      <c r="AQ29" s="11">
        <v>24</v>
      </c>
      <c r="AR29" s="11">
        <v>34</v>
      </c>
      <c r="AS29" s="11">
        <v>16</v>
      </c>
      <c r="AT29" s="11">
        <v>7</v>
      </c>
      <c r="AU29" s="11">
        <v>3</v>
      </c>
      <c r="AV29" s="11">
        <v>14</v>
      </c>
      <c r="AW29" s="11">
        <v>18</v>
      </c>
      <c r="AX29" s="12">
        <v>0.56879999999999997</v>
      </c>
      <c r="AY29" s="12">
        <v>0.51719999999999999</v>
      </c>
      <c r="AZ29" s="12">
        <v>0.33329999999999999</v>
      </c>
      <c r="BA29" s="12">
        <v>0.6552</v>
      </c>
      <c r="BB29" s="12">
        <v>0.47689999999999999</v>
      </c>
      <c r="BC29" s="4">
        <v>72.932000000000002</v>
      </c>
      <c r="BD29" s="12">
        <v>0.76</v>
      </c>
      <c r="BE29" s="12">
        <v>0.31030000000000002</v>
      </c>
      <c r="BF29" s="12">
        <v>0.217</v>
      </c>
      <c r="BG29" s="4">
        <v>107</v>
      </c>
      <c r="BH29" s="4">
        <v>116.6</v>
      </c>
      <c r="BI29" s="4">
        <v>72.903000000000006</v>
      </c>
      <c r="BJ29" s="12">
        <v>0.6159</v>
      </c>
      <c r="BK29" s="12">
        <v>0.55169999999999997</v>
      </c>
      <c r="BL29" s="12">
        <v>0.3448</v>
      </c>
      <c r="BM29" s="12">
        <v>0.66669999999999996</v>
      </c>
      <c r="BN29" s="12">
        <v>0.52310000000000001</v>
      </c>
      <c r="BO29" s="4">
        <v>72.873999999999995</v>
      </c>
      <c r="BP29" s="12">
        <v>0.55169999999999997</v>
      </c>
      <c r="BQ29" s="12">
        <v>0.36209999999999998</v>
      </c>
      <c r="BR29" s="12">
        <v>0.16869999999999999</v>
      </c>
      <c r="BS29" s="4">
        <v>116.6</v>
      </c>
      <c r="BT29" s="4">
        <v>107</v>
      </c>
      <c r="BU29" s="11">
        <v>16</v>
      </c>
      <c r="BV29" s="11">
        <v>21</v>
      </c>
      <c r="BW29" s="11">
        <v>18</v>
      </c>
      <c r="BX29" s="11">
        <v>23</v>
      </c>
      <c r="BY29" s="11">
        <v>21</v>
      </c>
      <c r="BZ29" s="11">
        <v>19</v>
      </c>
      <c r="CA29" s="11">
        <v>24</v>
      </c>
      <c r="CB29" s="11">
        <v>21</v>
      </c>
      <c r="CC29" s="11">
        <v>37</v>
      </c>
      <c r="CD29" s="11">
        <v>41</v>
      </c>
      <c r="CE29" s="11">
        <v>40</v>
      </c>
      <c r="CF29" s="11">
        <v>45</v>
      </c>
      <c r="CG29" s="4">
        <v>4</v>
      </c>
      <c r="CH29" s="13">
        <v>1.26</v>
      </c>
      <c r="CI29" s="4">
        <v>8.5</v>
      </c>
      <c r="CJ29" s="4">
        <v>-8.5</v>
      </c>
      <c r="CK29" s="4">
        <v>163.5</v>
      </c>
      <c r="CL29" s="2" t="s">
        <v>557</v>
      </c>
      <c r="CM29" s="4" t="str">
        <f>VLOOKUP(portel[[#This Row],[Away_team]],all[[Full name]:[Abbr]],3,FALSE)</f>
        <v>NCY</v>
      </c>
      <c r="CN29" s="4">
        <f>IF(OR(portel[[#This Row],[Result]]="w",portel[[#This Row],[Result]]="dw"),portel[[#This Row],[win]]-1,-1)</f>
        <v>-1</v>
      </c>
      <c r="CO29" s="4">
        <f>IF(OR(portel[[#This Row],[Result]]="L",portel[[#This Row],[Result]]="dl"),portel[[#This Row],[lose]]-1,-1)</f>
        <v>0.26</v>
      </c>
      <c r="CP29" s="4">
        <f>IF(OR((portel[[#This Row],[Home_scored]]+portel[[#This Row],[Away_scored]])&gt;portel[[#This Row],[total]],OR(portel[[#This Row],[Result]]="dw",portel[[#This Row],[Result]]="dl")),1,0)</f>
        <v>0</v>
      </c>
      <c r="CQ29" s="4">
        <f>ABS((portel[[#This Row],[Home_scored]]+portel[[#This Row],[Away_scored]])-portel[[#This Row],[total]])+0.5</f>
        <v>1</v>
      </c>
    </row>
    <row r="30" spans="1:95" x14ac:dyDescent="0.25">
      <c r="A30" s="2" t="s">
        <v>349</v>
      </c>
      <c r="B30" s="2" t="s">
        <v>320</v>
      </c>
      <c r="C30" s="3" t="s">
        <v>73</v>
      </c>
      <c r="D30" s="3">
        <v>45774</v>
      </c>
      <c r="E30" s="2" t="s">
        <v>74</v>
      </c>
      <c r="F30" s="2" t="s">
        <v>308</v>
      </c>
      <c r="G30" s="2" t="s">
        <v>75</v>
      </c>
      <c r="H30" s="11">
        <v>87</v>
      </c>
      <c r="I30" s="11">
        <v>80</v>
      </c>
      <c r="J30" s="11">
        <v>23</v>
      </c>
      <c r="K30" s="11">
        <v>54</v>
      </c>
      <c r="L30" s="12">
        <v>0.4259</v>
      </c>
      <c r="M30" s="11">
        <v>19</v>
      </c>
      <c r="N30" s="11">
        <v>36</v>
      </c>
      <c r="O30" s="12">
        <v>0.52780000000000005</v>
      </c>
      <c r="P30" s="11">
        <v>4</v>
      </c>
      <c r="Q30" s="11">
        <v>18</v>
      </c>
      <c r="R30" s="12">
        <v>0.22220000000000001</v>
      </c>
      <c r="S30" s="11">
        <v>37</v>
      </c>
      <c r="T30" s="11">
        <v>42</v>
      </c>
      <c r="U30" s="12">
        <v>0.88100000000000001</v>
      </c>
      <c r="V30" s="11">
        <v>12</v>
      </c>
      <c r="W30" s="11">
        <v>24</v>
      </c>
      <c r="X30" s="11">
        <v>36</v>
      </c>
      <c r="Y30" s="11">
        <v>19</v>
      </c>
      <c r="Z30" s="11">
        <v>10</v>
      </c>
      <c r="AA30" s="11">
        <v>7</v>
      </c>
      <c r="AB30" s="11">
        <v>12</v>
      </c>
      <c r="AC30" s="11">
        <v>28</v>
      </c>
      <c r="AD30" s="11">
        <v>22</v>
      </c>
      <c r="AE30" s="11">
        <v>66</v>
      </c>
      <c r="AF30" s="12">
        <v>0.33329999999999999</v>
      </c>
      <c r="AG30" s="11">
        <v>16</v>
      </c>
      <c r="AH30" s="11">
        <v>38</v>
      </c>
      <c r="AI30" s="12">
        <v>0.42109999999999997</v>
      </c>
      <c r="AJ30" s="11">
        <v>6</v>
      </c>
      <c r="AK30" s="11">
        <v>28</v>
      </c>
      <c r="AL30" s="12">
        <v>0.21429999999999999</v>
      </c>
      <c r="AM30" s="11">
        <v>30</v>
      </c>
      <c r="AN30" s="11">
        <v>34</v>
      </c>
      <c r="AO30" s="12">
        <v>0.88239999999999996</v>
      </c>
      <c r="AP30" s="11">
        <v>21</v>
      </c>
      <c r="AQ30" s="11">
        <v>23</v>
      </c>
      <c r="AR30" s="11">
        <v>44</v>
      </c>
      <c r="AS30" s="11">
        <v>17</v>
      </c>
      <c r="AT30" s="11">
        <v>4</v>
      </c>
      <c r="AU30" s="11">
        <v>1</v>
      </c>
      <c r="AV30" s="11">
        <v>15</v>
      </c>
      <c r="AW30" s="11">
        <v>30</v>
      </c>
      <c r="AX30" s="12">
        <v>0.60019999999999996</v>
      </c>
      <c r="AY30" s="12">
        <v>0.46300000000000002</v>
      </c>
      <c r="AZ30" s="12">
        <v>0.34289999999999998</v>
      </c>
      <c r="BA30" s="12">
        <v>0.5333</v>
      </c>
      <c r="BB30" s="12">
        <v>0.45</v>
      </c>
      <c r="BC30" s="4">
        <v>71.742999999999995</v>
      </c>
      <c r="BD30" s="12">
        <v>0.82609999999999995</v>
      </c>
      <c r="BE30" s="12">
        <v>0.68520000000000003</v>
      </c>
      <c r="BF30" s="12">
        <v>0.14199999999999999</v>
      </c>
      <c r="BG30" s="4">
        <v>120.9</v>
      </c>
      <c r="BH30" s="4">
        <v>111.2</v>
      </c>
      <c r="BI30" s="4">
        <v>71.936499999999995</v>
      </c>
      <c r="BJ30" s="12">
        <v>0.49409999999999998</v>
      </c>
      <c r="BK30" s="12">
        <v>0.37880000000000003</v>
      </c>
      <c r="BL30" s="12">
        <v>0.4667</v>
      </c>
      <c r="BM30" s="12">
        <v>0.65710000000000002</v>
      </c>
      <c r="BN30" s="12">
        <v>0.55000000000000004</v>
      </c>
      <c r="BO30" s="4">
        <v>72.13</v>
      </c>
      <c r="BP30" s="12">
        <v>0.77270000000000005</v>
      </c>
      <c r="BQ30" s="12">
        <v>0.45450000000000002</v>
      </c>
      <c r="BR30" s="12">
        <v>0.15629999999999999</v>
      </c>
      <c r="BS30" s="4">
        <v>111.2</v>
      </c>
      <c r="BT30" s="4">
        <v>120.9</v>
      </c>
      <c r="BU30" s="11">
        <v>20</v>
      </c>
      <c r="BV30" s="11">
        <v>19</v>
      </c>
      <c r="BW30" s="11">
        <v>23</v>
      </c>
      <c r="BX30" s="11">
        <v>25</v>
      </c>
      <c r="BY30" s="11">
        <v>23</v>
      </c>
      <c r="BZ30" s="11">
        <v>22</v>
      </c>
      <c r="CA30" s="11">
        <v>15</v>
      </c>
      <c r="CB30" s="11">
        <v>20</v>
      </c>
      <c r="CC30" s="11">
        <v>39</v>
      </c>
      <c r="CD30" s="11">
        <v>48</v>
      </c>
      <c r="CE30" s="11">
        <v>45</v>
      </c>
      <c r="CF30" s="11">
        <v>35</v>
      </c>
      <c r="CG30" s="4">
        <v>2.85</v>
      </c>
      <c r="CH30" s="13">
        <v>1.44</v>
      </c>
      <c r="CI30" s="4">
        <v>5.5</v>
      </c>
      <c r="CJ30" s="4">
        <v>-5.5</v>
      </c>
      <c r="CK30" s="4">
        <v>157.5</v>
      </c>
      <c r="CL30" s="2" t="s">
        <v>567</v>
      </c>
      <c r="CM30" s="4" t="str">
        <f>VLOOKUP(portel[[#This Row],[Away_team]],all[[Full name]:[Abbr]],3,FALSE)</f>
        <v>CHO</v>
      </c>
      <c r="CN30" s="4">
        <f>IF(OR(portel[[#This Row],[Result]]="w",portel[[#This Row],[Result]]="dw"),portel[[#This Row],[win]]-1,-1)</f>
        <v>1.85</v>
      </c>
      <c r="CO30" s="4">
        <f>IF(OR(portel[[#This Row],[Result]]="L",portel[[#This Row],[Result]]="dl"),portel[[#This Row],[lose]]-1,-1)</f>
        <v>-1</v>
      </c>
      <c r="CP30" s="4">
        <f>IF(OR((portel[[#This Row],[Home_scored]]+portel[[#This Row],[Away_scored]])&gt;portel[[#This Row],[total]],OR(portel[[#This Row],[Result]]="dw",portel[[#This Row],[Result]]="dl")),1,0)</f>
        <v>1</v>
      </c>
      <c r="CQ30" s="4">
        <f>ABS((portel[[#This Row],[Home_scored]]+portel[[#This Row],[Away_scored]])-portel[[#This Row],[total]])+0.5</f>
        <v>10</v>
      </c>
    </row>
    <row r="31" spans="1:95" x14ac:dyDescent="0.25">
      <c r="A31" s="2" t="s">
        <v>349</v>
      </c>
      <c r="B31" s="2" t="s">
        <v>320</v>
      </c>
      <c r="C31" s="3" t="s">
        <v>73</v>
      </c>
      <c r="D31" s="3">
        <v>45780</v>
      </c>
      <c r="E31" s="2" t="s">
        <v>140</v>
      </c>
      <c r="F31" s="2" t="s">
        <v>302</v>
      </c>
      <c r="G31" s="2" t="s">
        <v>139</v>
      </c>
      <c r="H31" s="11">
        <v>69</v>
      </c>
      <c r="I31" s="11">
        <v>98</v>
      </c>
      <c r="J31" s="11">
        <v>25</v>
      </c>
      <c r="K31" s="11">
        <v>55</v>
      </c>
      <c r="L31" s="12">
        <v>0.45450000000000002</v>
      </c>
      <c r="M31" s="11">
        <v>20</v>
      </c>
      <c r="N31" s="11">
        <v>36</v>
      </c>
      <c r="O31" s="12">
        <v>0.55559999999999998</v>
      </c>
      <c r="P31" s="11">
        <v>5</v>
      </c>
      <c r="Q31" s="11">
        <v>19</v>
      </c>
      <c r="R31" s="12">
        <v>0.26319999999999999</v>
      </c>
      <c r="S31" s="11">
        <v>14</v>
      </c>
      <c r="T31" s="11">
        <v>20</v>
      </c>
      <c r="U31" s="12">
        <v>0.7</v>
      </c>
      <c r="V31" s="11">
        <v>7</v>
      </c>
      <c r="W31" s="11">
        <v>22</v>
      </c>
      <c r="X31" s="11">
        <v>29</v>
      </c>
      <c r="Y31" s="11">
        <v>10</v>
      </c>
      <c r="Z31" s="11">
        <v>6</v>
      </c>
      <c r="AA31" s="11">
        <v>0</v>
      </c>
      <c r="AB31" s="11">
        <v>19</v>
      </c>
      <c r="AC31" s="11">
        <v>22</v>
      </c>
      <c r="AD31" s="11">
        <v>37</v>
      </c>
      <c r="AE31" s="11">
        <v>66</v>
      </c>
      <c r="AF31" s="12">
        <v>0.56059999999999999</v>
      </c>
      <c r="AG31" s="11">
        <v>29</v>
      </c>
      <c r="AH31" s="11">
        <v>45</v>
      </c>
      <c r="AI31" s="12">
        <v>0.64439999999999997</v>
      </c>
      <c r="AJ31" s="11">
        <v>8</v>
      </c>
      <c r="AK31" s="11">
        <v>21</v>
      </c>
      <c r="AL31" s="12">
        <v>0.38100000000000001</v>
      </c>
      <c r="AM31" s="11">
        <v>16</v>
      </c>
      <c r="AN31" s="11">
        <v>22</v>
      </c>
      <c r="AO31" s="12">
        <v>0.72729999999999995</v>
      </c>
      <c r="AP31" s="11">
        <v>10</v>
      </c>
      <c r="AQ31" s="11">
        <v>25</v>
      </c>
      <c r="AR31" s="11">
        <v>35</v>
      </c>
      <c r="AS31" s="11">
        <v>27</v>
      </c>
      <c r="AT31" s="11">
        <v>12</v>
      </c>
      <c r="AU31" s="11">
        <v>2</v>
      </c>
      <c r="AV31" s="11">
        <v>10</v>
      </c>
      <c r="AW31" s="11">
        <v>19</v>
      </c>
      <c r="AX31" s="12">
        <v>0.54079999999999995</v>
      </c>
      <c r="AY31" s="12">
        <v>0.5</v>
      </c>
      <c r="AZ31" s="12">
        <v>0.21879999999999999</v>
      </c>
      <c r="BA31" s="12">
        <v>0.6875</v>
      </c>
      <c r="BB31" s="12">
        <v>0.4531</v>
      </c>
      <c r="BC31" s="4">
        <v>74.251999999999995</v>
      </c>
      <c r="BD31" s="12">
        <v>0.4</v>
      </c>
      <c r="BE31" s="12">
        <v>0.2545</v>
      </c>
      <c r="BF31" s="12">
        <v>0.22950000000000001</v>
      </c>
      <c r="BG31" s="4">
        <v>91.9</v>
      </c>
      <c r="BH31" s="4">
        <v>130.5</v>
      </c>
      <c r="BI31" s="4">
        <v>75.093000000000004</v>
      </c>
      <c r="BJ31" s="12">
        <v>0.64749999999999996</v>
      </c>
      <c r="BK31" s="12">
        <v>0.62119999999999997</v>
      </c>
      <c r="BL31" s="12">
        <v>0.3125</v>
      </c>
      <c r="BM31" s="12">
        <v>0.78129999999999999</v>
      </c>
      <c r="BN31" s="12">
        <v>0.54690000000000005</v>
      </c>
      <c r="BO31" s="4">
        <v>75.933999999999997</v>
      </c>
      <c r="BP31" s="12">
        <v>0.72970000000000002</v>
      </c>
      <c r="BQ31" s="12">
        <v>0.2424</v>
      </c>
      <c r="BR31" s="12">
        <v>0.1167</v>
      </c>
      <c r="BS31" s="4">
        <v>130.5</v>
      </c>
      <c r="BT31" s="4">
        <v>91.9</v>
      </c>
      <c r="BU31" s="11">
        <v>19</v>
      </c>
      <c r="BV31" s="11">
        <v>12</v>
      </c>
      <c r="BW31" s="11">
        <v>20</v>
      </c>
      <c r="BX31" s="11">
        <v>18</v>
      </c>
      <c r="BY31" s="11">
        <v>25</v>
      </c>
      <c r="BZ31" s="11">
        <v>24</v>
      </c>
      <c r="CA31" s="11">
        <v>25</v>
      </c>
      <c r="CB31" s="11">
        <v>24</v>
      </c>
      <c r="CC31" s="11">
        <v>31</v>
      </c>
      <c r="CD31" s="11">
        <v>38</v>
      </c>
      <c r="CE31" s="11">
        <v>49</v>
      </c>
      <c r="CF31" s="11">
        <v>49</v>
      </c>
      <c r="CG31" s="4">
        <v>6</v>
      </c>
      <c r="CH31" s="13">
        <v>1.1399999999999999</v>
      </c>
      <c r="CI31" s="4">
        <v>11.5</v>
      </c>
      <c r="CJ31" s="4">
        <v>-11.5</v>
      </c>
      <c r="CK31" s="4">
        <v>164.5</v>
      </c>
      <c r="CL31" s="2" t="s">
        <v>573</v>
      </c>
      <c r="CM31" s="4" t="str">
        <f>VLOOKUP(portel[[#This Row],[Away_team]],all[[Full name]:[Abbr]],3,FALSE)</f>
        <v>BUR</v>
      </c>
      <c r="CN31" s="4">
        <f>IF(OR(portel[[#This Row],[Result]]="w",portel[[#This Row],[Result]]="dw"),portel[[#This Row],[win]]-1,-1)</f>
        <v>-1</v>
      </c>
      <c r="CO31" s="4">
        <f>IF(OR(portel[[#This Row],[Result]]="L",portel[[#This Row],[Result]]="dl"),portel[[#This Row],[lose]]-1,-1)</f>
        <v>0.1399999999999999</v>
      </c>
      <c r="CP31" s="4">
        <f>IF(OR((portel[[#This Row],[Home_scored]]+portel[[#This Row],[Away_scored]])&gt;portel[[#This Row],[total]],OR(portel[[#This Row],[Result]]="dw",portel[[#This Row],[Result]]="dl")),1,0)</f>
        <v>1</v>
      </c>
      <c r="CQ31" s="4">
        <f>ABS((portel[[#This Row],[Home_scored]]+portel[[#This Row],[Away_scored]])-portel[[#This Row],[total]])+0.5</f>
        <v>3</v>
      </c>
    </row>
    <row r="32" spans="1:95" x14ac:dyDescent="0.25">
      <c r="A32" s="2" t="s">
        <v>349</v>
      </c>
      <c r="B32" s="2" t="s">
        <v>320</v>
      </c>
      <c r="C32" s="28" t="s">
        <v>73</v>
      </c>
      <c r="D32" s="28">
        <v>45787</v>
      </c>
      <c r="E32" s="2" t="s">
        <v>140</v>
      </c>
      <c r="F32" s="2" t="s">
        <v>339</v>
      </c>
      <c r="G32" s="2" t="s">
        <v>139</v>
      </c>
      <c r="H32" s="11">
        <v>65</v>
      </c>
      <c r="I32" s="11">
        <v>109</v>
      </c>
      <c r="J32" s="11">
        <v>24</v>
      </c>
      <c r="K32" s="11">
        <v>57</v>
      </c>
      <c r="L32" s="12">
        <v>0.42109999999999997</v>
      </c>
      <c r="M32" s="11">
        <v>20</v>
      </c>
      <c r="N32" s="11">
        <v>40</v>
      </c>
      <c r="O32" s="12">
        <v>0.5</v>
      </c>
      <c r="P32" s="11">
        <v>4</v>
      </c>
      <c r="Q32" s="11">
        <v>17</v>
      </c>
      <c r="R32" s="12">
        <v>0.23530000000000001</v>
      </c>
      <c r="S32" s="11">
        <v>13</v>
      </c>
      <c r="T32" s="11">
        <v>19</v>
      </c>
      <c r="U32" s="12">
        <v>0.68420000000000003</v>
      </c>
      <c r="V32" s="11">
        <v>5</v>
      </c>
      <c r="W32" s="11">
        <v>17</v>
      </c>
      <c r="X32" s="11">
        <v>22</v>
      </c>
      <c r="Y32" s="11">
        <v>15</v>
      </c>
      <c r="Z32" s="11">
        <v>5</v>
      </c>
      <c r="AA32" s="11">
        <v>4</v>
      </c>
      <c r="AB32" s="11">
        <v>14</v>
      </c>
      <c r="AC32" s="11">
        <v>12</v>
      </c>
      <c r="AD32" s="11">
        <v>39</v>
      </c>
      <c r="AE32" s="11">
        <v>65</v>
      </c>
      <c r="AF32" s="12">
        <v>0.6</v>
      </c>
      <c r="AG32" s="11">
        <v>24</v>
      </c>
      <c r="AH32" s="11">
        <v>36</v>
      </c>
      <c r="AI32" s="12">
        <v>0.66669999999999996</v>
      </c>
      <c r="AJ32" s="11">
        <v>15</v>
      </c>
      <c r="AK32" s="11">
        <v>29</v>
      </c>
      <c r="AL32" s="12">
        <v>0.51719999999999999</v>
      </c>
      <c r="AM32" s="11">
        <v>16</v>
      </c>
      <c r="AN32" s="11">
        <v>16</v>
      </c>
      <c r="AO32" s="12">
        <v>1</v>
      </c>
      <c r="AP32" s="11">
        <v>9</v>
      </c>
      <c r="AQ32" s="11">
        <v>32</v>
      </c>
      <c r="AR32" s="11">
        <v>41</v>
      </c>
      <c r="AS32" s="11">
        <v>24</v>
      </c>
      <c r="AT32" s="11">
        <v>6</v>
      </c>
      <c r="AU32" s="11">
        <v>5</v>
      </c>
      <c r="AV32" s="11">
        <v>12</v>
      </c>
      <c r="AW32" s="11">
        <v>22</v>
      </c>
      <c r="AX32" s="12">
        <v>0.49719999999999998</v>
      </c>
      <c r="AY32" s="12">
        <v>0.45610000000000001</v>
      </c>
      <c r="AZ32" s="12">
        <v>0.1351</v>
      </c>
      <c r="BA32" s="12">
        <v>0.65380000000000005</v>
      </c>
      <c r="BB32" s="12">
        <v>0.34920000000000001</v>
      </c>
      <c r="BC32" s="4">
        <v>70.575000000000003</v>
      </c>
      <c r="BD32" s="12">
        <v>0.625</v>
      </c>
      <c r="BE32" s="12">
        <v>0.2281</v>
      </c>
      <c r="BF32" s="12">
        <v>0.1764</v>
      </c>
      <c r="BG32" s="4">
        <v>87.9</v>
      </c>
      <c r="BH32" s="4">
        <v>147.4</v>
      </c>
      <c r="BI32" s="4">
        <v>73.933999999999997</v>
      </c>
      <c r="BJ32" s="12">
        <v>0.75649999999999995</v>
      </c>
      <c r="BK32" s="12">
        <v>0.71540000000000004</v>
      </c>
      <c r="BL32" s="12">
        <v>0.34620000000000001</v>
      </c>
      <c r="BM32" s="12">
        <v>0.8649</v>
      </c>
      <c r="BN32" s="12">
        <v>0.65080000000000005</v>
      </c>
      <c r="BO32" s="4">
        <v>77.293000000000006</v>
      </c>
      <c r="BP32" s="12">
        <v>0.61539999999999995</v>
      </c>
      <c r="BQ32" s="12">
        <v>0.2462</v>
      </c>
      <c r="BR32" s="12">
        <v>0.14280000000000001</v>
      </c>
      <c r="BS32" s="4">
        <v>147.4</v>
      </c>
      <c r="BT32" s="4">
        <v>87.9</v>
      </c>
      <c r="BU32" s="11">
        <v>10</v>
      </c>
      <c r="BV32" s="11">
        <v>22</v>
      </c>
      <c r="BW32" s="11">
        <v>14</v>
      </c>
      <c r="BX32" s="11">
        <v>19</v>
      </c>
      <c r="BY32" s="11">
        <v>29</v>
      </c>
      <c r="BZ32" s="11">
        <v>22</v>
      </c>
      <c r="CA32" s="11">
        <v>35</v>
      </c>
      <c r="CB32" s="11">
        <v>23</v>
      </c>
      <c r="CC32" s="11">
        <v>32</v>
      </c>
      <c r="CD32" s="11">
        <v>33</v>
      </c>
      <c r="CE32" s="11">
        <v>51</v>
      </c>
      <c r="CF32" s="11">
        <v>58</v>
      </c>
      <c r="CG32" s="4">
        <v>12</v>
      </c>
      <c r="CH32" s="13">
        <v>1.04</v>
      </c>
      <c r="CI32" s="4">
        <v>16.5</v>
      </c>
      <c r="CJ32" s="4">
        <v>-16.5</v>
      </c>
      <c r="CK32" s="4">
        <v>168.5</v>
      </c>
      <c r="CL32" s="2" t="s">
        <v>580</v>
      </c>
      <c r="CM32" s="4" t="str">
        <f>VLOOKUP(portel[[#This Row],[Away_team]],all[[Full name]:[Abbr]],3,FALSE)</f>
        <v>PAR</v>
      </c>
      <c r="CN32" s="4">
        <f>IF(OR(portel[[#This Row],[Result]]="w",portel[[#This Row],[Result]]="dw"),portel[[#This Row],[win]]-1,-1)</f>
        <v>-1</v>
      </c>
      <c r="CO32" s="4">
        <f>IF(OR(portel[[#This Row],[Result]]="L",portel[[#This Row],[Result]]="dl"),portel[[#This Row],[lose]]-1,-1)</f>
        <v>4.0000000000000036E-2</v>
      </c>
      <c r="CP32" s="4">
        <f>IF(OR((portel[[#This Row],[Home_scored]]+portel[[#This Row],[Away_scored]])&gt;portel[[#This Row],[total]],OR(portel[[#This Row],[Result]]="dw",portel[[#This Row],[Result]]="dl")),1,0)</f>
        <v>1</v>
      </c>
      <c r="CQ32" s="4">
        <f>ABS((portel[[#This Row],[Home_scored]]+portel[[#This Row],[Away_scored]])-portel[[#This Row],[total]])+0.5</f>
        <v>6</v>
      </c>
    </row>
    <row r="33" spans="1:95" x14ac:dyDescent="0.25">
      <c r="A33" s="2" t="s">
        <v>349</v>
      </c>
      <c r="B33" s="2" t="s">
        <v>320</v>
      </c>
      <c r="C33" s="28" t="s">
        <v>73</v>
      </c>
      <c r="D33" s="28">
        <v>45794</v>
      </c>
      <c r="E33" s="2" t="s">
        <v>74</v>
      </c>
      <c r="F33" s="2" t="s">
        <v>336</v>
      </c>
      <c r="G33" s="2" t="s">
        <v>75</v>
      </c>
      <c r="H33" s="11">
        <v>90</v>
      </c>
      <c r="I33" s="11">
        <v>70</v>
      </c>
      <c r="J33" s="11">
        <v>30</v>
      </c>
      <c r="K33" s="11">
        <v>61</v>
      </c>
      <c r="L33" s="12">
        <v>0.49180000000000001</v>
      </c>
      <c r="M33" s="11">
        <v>21</v>
      </c>
      <c r="N33" s="11">
        <v>35</v>
      </c>
      <c r="O33" s="12">
        <v>0.6</v>
      </c>
      <c r="P33" s="11">
        <v>9</v>
      </c>
      <c r="Q33" s="11">
        <v>26</v>
      </c>
      <c r="R33" s="12">
        <v>0.34620000000000001</v>
      </c>
      <c r="S33" s="11">
        <v>21</v>
      </c>
      <c r="T33" s="11">
        <v>24</v>
      </c>
      <c r="U33" s="12">
        <v>0.875</v>
      </c>
      <c r="V33" s="11">
        <v>12</v>
      </c>
      <c r="W33" s="11">
        <v>23</v>
      </c>
      <c r="X33" s="11">
        <v>35</v>
      </c>
      <c r="Y33" s="11">
        <v>22</v>
      </c>
      <c r="Z33" s="11">
        <v>10</v>
      </c>
      <c r="AA33" s="11">
        <v>2</v>
      </c>
      <c r="AB33" s="11">
        <v>9</v>
      </c>
      <c r="AC33" s="11">
        <v>22</v>
      </c>
      <c r="AD33" s="11">
        <v>23</v>
      </c>
      <c r="AE33" s="11">
        <v>52</v>
      </c>
      <c r="AF33" s="12">
        <v>0.44230000000000003</v>
      </c>
      <c r="AG33" s="11">
        <v>18</v>
      </c>
      <c r="AH33" s="11">
        <v>33</v>
      </c>
      <c r="AI33" s="12">
        <v>0.54549999999999998</v>
      </c>
      <c r="AJ33" s="11">
        <v>5</v>
      </c>
      <c r="AK33" s="11">
        <v>19</v>
      </c>
      <c r="AL33" s="12">
        <v>0.26319999999999999</v>
      </c>
      <c r="AM33" s="11">
        <v>19</v>
      </c>
      <c r="AN33" s="11">
        <v>23</v>
      </c>
      <c r="AO33" s="12">
        <v>0.82609999999999995</v>
      </c>
      <c r="AP33" s="11">
        <v>7</v>
      </c>
      <c r="AQ33" s="11">
        <v>19</v>
      </c>
      <c r="AR33" s="11">
        <v>26</v>
      </c>
      <c r="AS33" s="11">
        <v>15</v>
      </c>
      <c r="AT33" s="11">
        <v>6</v>
      </c>
      <c r="AU33" s="11">
        <v>2</v>
      </c>
      <c r="AV33" s="11">
        <v>15</v>
      </c>
      <c r="AW33" s="11">
        <v>19</v>
      </c>
      <c r="AX33" s="12">
        <v>0.62880000000000003</v>
      </c>
      <c r="AY33" s="12">
        <v>0.56559999999999999</v>
      </c>
      <c r="AZ33" s="12">
        <v>0.3871</v>
      </c>
      <c r="BA33" s="12">
        <v>0.76670000000000005</v>
      </c>
      <c r="BB33" s="12">
        <v>0.57379999999999998</v>
      </c>
      <c r="BC33" s="4">
        <v>68.227000000000004</v>
      </c>
      <c r="BD33" s="12">
        <v>0.73329999999999995</v>
      </c>
      <c r="BE33" s="12">
        <v>0.34429999999999999</v>
      </c>
      <c r="BF33" s="12">
        <v>0.11169999999999999</v>
      </c>
      <c r="BG33" s="4">
        <v>132.30000000000001</v>
      </c>
      <c r="BH33" s="4">
        <v>102.9</v>
      </c>
      <c r="BI33" s="4">
        <v>68.036500000000004</v>
      </c>
      <c r="BJ33" s="12">
        <v>0.56340000000000001</v>
      </c>
      <c r="BK33" s="12">
        <v>0.4904</v>
      </c>
      <c r="BL33" s="12">
        <v>0.23330000000000001</v>
      </c>
      <c r="BM33" s="12">
        <v>0.6129</v>
      </c>
      <c r="BN33" s="12">
        <v>0.42620000000000002</v>
      </c>
      <c r="BO33" s="4">
        <v>67.846000000000004</v>
      </c>
      <c r="BP33" s="12">
        <v>0.6522</v>
      </c>
      <c r="BQ33" s="12">
        <v>0.3654</v>
      </c>
      <c r="BR33" s="12">
        <v>0.19450000000000001</v>
      </c>
      <c r="BS33" s="4">
        <v>102.9</v>
      </c>
      <c r="BT33" s="4">
        <v>132.30000000000001</v>
      </c>
      <c r="BU33" s="11">
        <v>25</v>
      </c>
      <c r="BV33" s="11">
        <v>27</v>
      </c>
      <c r="BW33" s="11">
        <v>18</v>
      </c>
      <c r="BX33" s="11">
        <v>20</v>
      </c>
      <c r="BY33" s="11">
        <v>26</v>
      </c>
      <c r="BZ33" s="11">
        <v>11</v>
      </c>
      <c r="CA33" s="11">
        <v>13</v>
      </c>
      <c r="CB33" s="11">
        <v>20</v>
      </c>
      <c r="CC33" s="11">
        <v>52</v>
      </c>
      <c r="CD33" s="11">
        <v>38</v>
      </c>
      <c r="CE33" s="11">
        <v>37</v>
      </c>
      <c r="CF33" s="11">
        <v>33</v>
      </c>
      <c r="CG33" s="4">
        <v>2.0499999999999998</v>
      </c>
      <c r="CH33" s="13">
        <v>1.8</v>
      </c>
      <c r="CI33" s="4">
        <v>1.5</v>
      </c>
      <c r="CJ33" s="4">
        <v>-1.5</v>
      </c>
      <c r="CK33" s="4">
        <v>162.5</v>
      </c>
      <c r="CL33" s="2" t="s">
        <v>589</v>
      </c>
      <c r="CM33" s="4" t="str">
        <f>VLOOKUP(portel[[#This Row],[Away_team]],all[[Full name]:[Abbr]],3,FALSE)</f>
        <v>NAN</v>
      </c>
      <c r="CN33" s="4">
        <f>IF(OR(portel[[#This Row],[Result]]="w",portel[[#This Row],[Result]]="dw"),portel[[#This Row],[win]]-1,-1)</f>
        <v>1.0499999999999998</v>
      </c>
      <c r="CO33" s="4">
        <f>IF(OR(portel[[#This Row],[Result]]="L",portel[[#This Row],[Result]]="dl"),portel[[#This Row],[lose]]-1,-1)</f>
        <v>-1</v>
      </c>
      <c r="CP33" s="4">
        <f>IF(OR((portel[[#This Row],[Home_scored]]+portel[[#This Row],[Away_scored]])&gt;portel[[#This Row],[total]],OR(portel[[#This Row],[Result]]="dw",portel[[#This Row],[Result]]="dl")),1,0)</f>
        <v>0</v>
      </c>
      <c r="CQ33" s="4">
        <f>ABS((portel[[#This Row],[Home_scored]]+portel[[#This Row],[Away_scored]])-portel[[#This Row],[total]])+0.5</f>
        <v>3</v>
      </c>
    </row>
  </sheetData>
  <conditionalFormatting sqref="A4:A33">
    <cfRule type="expression" dxfId="373" priority="1">
      <formula>SUMPRODUCT(--ISERROR(B4:CL4))&gt;0</formula>
    </cfRule>
  </conditionalFormatting>
  <conditionalFormatting sqref="B4:B33">
    <cfRule type="uniqueValues" dxfId="372" priority="470"/>
  </conditionalFormatting>
  <conditionalFormatting sqref="D4:D33">
    <cfRule type="duplicateValues" dxfId="371" priority="471"/>
  </conditionalFormatting>
  <conditionalFormatting sqref="H4:H33">
    <cfRule type="expression" dxfId="370" priority="3">
      <formula>H4=BU4+BV4+BW4+BX4</formula>
    </cfRule>
  </conditionalFormatting>
  <conditionalFormatting sqref="I4:I33">
    <cfRule type="expression" dxfId="369" priority="2">
      <formula>I4=BY4+BZ4+CA4+CB4</formula>
    </cfRule>
  </conditionalFormatting>
  <hyperlinks>
    <hyperlink ref="A1" location="all_data!A1" display="ratings" xr:uid="{4C7A67A2-DC73-442A-9D06-03D60146F329}"/>
  </hyperlink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DE51D-6607-40FA-A5C6-2B57B28752DA}">
  <sheetPr codeName="Sheet11"/>
  <dimension ref="A1:CQ33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349</v>
      </c>
      <c r="B4" s="2" t="s">
        <v>323</v>
      </c>
      <c r="C4" s="3" t="s">
        <v>73</v>
      </c>
      <c r="D4" s="3">
        <v>45556</v>
      </c>
      <c r="E4" s="2" t="s">
        <v>140</v>
      </c>
      <c r="F4" s="2" t="s">
        <v>333</v>
      </c>
      <c r="G4" s="2" t="s">
        <v>139</v>
      </c>
      <c r="H4" s="2">
        <v>56</v>
      </c>
      <c r="I4" s="2">
        <v>64</v>
      </c>
      <c r="J4" s="2">
        <v>23</v>
      </c>
      <c r="K4" s="2">
        <v>60</v>
      </c>
      <c r="L4" s="2">
        <v>0.38329999999999997</v>
      </c>
      <c r="M4" s="2">
        <v>19</v>
      </c>
      <c r="N4" s="2">
        <v>41</v>
      </c>
      <c r="O4" s="2">
        <v>0.46339999999999998</v>
      </c>
      <c r="P4" s="2">
        <v>4</v>
      </c>
      <c r="Q4" s="2">
        <v>19</v>
      </c>
      <c r="R4" s="2">
        <v>0.21049999999999999</v>
      </c>
      <c r="S4" s="2">
        <v>6</v>
      </c>
      <c r="T4" s="2">
        <v>9</v>
      </c>
      <c r="U4" s="2">
        <v>0.66669999999999996</v>
      </c>
      <c r="V4" s="2">
        <v>6</v>
      </c>
      <c r="W4" s="2">
        <v>31</v>
      </c>
      <c r="X4" s="2">
        <v>37</v>
      </c>
      <c r="Y4" s="2">
        <v>16</v>
      </c>
      <c r="Z4" s="2">
        <v>4</v>
      </c>
      <c r="AA4" s="2">
        <v>4</v>
      </c>
      <c r="AB4" s="2">
        <v>16</v>
      </c>
      <c r="AC4" s="2">
        <v>12</v>
      </c>
      <c r="AD4" s="2">
        <v>27</v>
      </c>
      <c r="AE4" s="2">
        <v>69</v>
      </c>
      <c r="AF4" s="2">
        <v>0.39129999999999998</v>
      </c>
      <c r="AG4" s="2">
        <v>24</v>
      </c>
      <c r="AH4" s="2">
        <v>41</v>
      </c>
      <c r="AI4" s="2">
        <v>0.58540000000000003</v>
      </c>
      <c r="AJ4" s="2">
        <v>3</v>
      </c>
      <c r="AK4" s="2">
        <v>28</v>
      </c>
      <c r="AL4" s="2">
        <v>0.1071</v>
      </c>
      <c r="AM4" s="2">
        <v>7</v>
      </c>
      <c r="AN4" s="2">
        <v>13</v>
      </c>
      <c r="AO4" s="2">
        <v>0.53849999999999998</v>
      </c>
      <c r="AP4" s="2">
        <v>13</v>
      </c>
      <c r="AQ4" s="2">
        <v>32</v>
      </c>
      <c r="AR4" s="2">
        <v>45</v>
      </c>
      <c r="AS4" s="2">
        <v>15</v>
      </c>
      <c r="AT4" s="2">
        <v>9</v>
      </c>
      <c r="AU4" s="2">
        <v>4</v>
      </c>
      <c r="AV4" s="2">
        <v>13</v>
      </c>
      <c r="AW4" s="2">
        <v>13</v>
      </c>
      <c r="AX4" s="2">
        <v>0.43780000000000002</v>
      </c>
      <c r="AY4" s="2">
        <v>0.41670000000000001</v>
      </c>
      <c r="AZ4" s="2">
        <v>0.15790000000000001</v>
      </c>
      <c r="BA4" s="2">
        <v>0.70450000000000002</v>
      </c>
      <c r="BB4" s="2">
        <v>0.45119999999999999</v>
      </c>
      <c r="BC4" s="4">
        <v>73.180000000000007</v>
      </c>
      <c r="BD4" s="2">
        <v>0.69569999999999999</v>
      </c>
      <c r="BE4" s="2">
        <v>0.1</v>
      </c>
      <c r="BF4" s="2">
        <v>0.2001</v>
      </c>
      <c r="BG4" s="2">
        <v>76</v>
      </c>
      <c r="BH4" s="2">
        <v>86.8</v>
      </c>
      <c r="BI4" s="2">
        <v>73.698499999999996</v>
      </c>
      <c r="BJ4" s="2">
        <v>0.42830000000000001</v>
      </c>
      <c r="BK4" s="2">
        <v>0.41299999999999998</v>
      </c>
      <c r="BL4" s="2">
        <v>0.29549999999999998</v>
      </c>
      <c r="BM4" s="2">
        <v>0.84209999999999996</v>
      </c>
      <c r="BN4" s="2">
        <v>0.54879999999999995</v>
      </c>
      <c r="BO4" s="4">
        <v>74.216999999999999</v>
      </c>
      <c r="BP4" s="2">
        <v>0.55559999999999998</v>
      </c>
      <c r="BQ4" s="2">
        <v>0.1014</v>
      </c>
      <c r="BR4" s="2">
        <v>0.1482</v>
      </c>
      <c r="BS4" s="2">
        <v>86.8</v>
      </c>
      <c r="BT4" s="2">
        <v>76</v>
      </c>
      <c r="BU4" s="2">
        <v>18</v>
      </c>
      <c r="BV4" s="2">
        <v>10</v>
      </c>
      <c r="BW4" s="2">
        <v>18</v>
      </c>
      <c r="BX4" s="2">
        <v>10</v>
      </c>
      <c r="BY4" s="2">
        <v>16</v>
      </c>
      <c r="BZ4" s="2">
        <v>17</v>
      </c>
      <c r="CA4" s="2">
        <v>14</v>
      </c>
      <c r="CB4" s="2">
        <v>17</v>
      </c>
      <c r="CC4" s="2">
        <v>28</v>
      </c>
      <c r="CD4" s="2">
        <v>28</v>
      </c>
      <c r="CE4" s="2">
        <v>33</v>
      </c>
      <c r="CF4" s="2">
        <v>31</v>
      </c>
      <c r="CG4" s="2">
        <v>4.5</v>
      </c>
      <c r="CH4" s="2">
        <v>1.22</v>
      </c>
      <c r="CI4" s="2">
        <v>9.5</v>
      </c>
      <c r="CJ4" s="2">
        <v>-9.5</v>
      </c>
      <c r="CK4" s="2">
        <v>155.5</v>
      </c>
      <c r="CL4" s="2" t="s">
        <v>408</v>
      </c>
      <c r="CM4" s="4" t="str">
        <f>VLOOKUP(boulazac[[#This Row],[Away_team]],all[[Full name]:[Abbr]],3,FALSE)</f>
        <v>NCY</v>
      </c>
      <c r="CN4" s="4">
        <f>IF(OR(boulazac[[#This Row],[Result]]="w",boulazac[[#This Row],[Result]]="dw"),boulazac[[#This Row],[win]]-1,-1)</f>
        <v>-1</v>
      </c>
      <c r="CO4" s="4">
        <f>IF(OR(boulazac[[#This Row],[Result]]="L",boulazac[[#This Row],[Result]]="dl"),boulazac[[#This Row],[lose]]-1,-1)</f>
        <v>0.21999999999999997</v>
      </c>
      <c r="CP4" s="4">
        <f>IF(OR((boulazac[[#This Row],[Home_scored]]+boulazac[[#This Row],[Away_scored]])&gt;boulazac[[#This Row],[total]],OR(boulazac[[#This Row],[Result]]="dw",boulazac[[#This Row],[Result]]="dl")),1,0)</f>
        <v>0</v>
      </c>
      <c r="CQ4" s="4">
        <f>ABS((boulazac[[#This Row],[Home_scored]]+boulazac[[#This Row],[Away_scored]])-boulazac[[#This Row],[total]])+0.5</f>
        <v>36</v>
      </c>
    </row>
    <row r="5" spans="1:95" x14ac:dyDescent="0.25">
      <c r="A5" s="2" t="s">
        <v>349</v>
      </c>
      <c r="B5" s="2" t="s">
        <v>323</v>
      </c>
      <c r="C5" s="3" t="s">
        <v>73</v>
      </c>
      <c r="D5" s="3">
        <v>45562</v>
      </c>
      <c r="E5" s="2" t="s">
        <v>74</v>
      </c>
      <c r="F5" s="2" t="s">
        <v>308</v>
      </c>
      <c r="G5" s="2" t="s">
        <v>139</v>
      </c>
      <c r="H5" s="11">
        <v>64</v>
      </c>
      <c r="I5" s="11">
        <v>78</v>
      </c>
      <c r="J5" s="11">
        <v>21</v>
      </c>
      <c r="K5" s="11">
        <v>55</v>
      </c>
      <c r="L5" s="12">
        <v>0.38179999999999997</v>
      </c>
      <c r="M5" s="11">
        <v>18</v>
      </c>
      <c r="N5" s="11">
        <v>31</v>
      </c>
      <c r="O5" s="12">
        <v>0.5806</v>
      </c>
      <c r="P5" s="11">
        <v>3</v>
      </c>
      <c r="Q5" s="11">
        <v>24</v>
      </c>
      <c r="R5" s="12">
        <v>0.125</v>
      </c>
      <c r="S5" s="11">
        <v>19</v>
      </c>
      <c r="T5" s="11">
        <v>24</v>
      </c>
      <c r="U5" s="12">
        <v>0.79169999999999996</v>
      </c>
      <c r="V5" s="11">
        <v>8</v>
      </c>
      <c r="W5" s="11">
        <v>25</v>
      </c>
      <c r="X5" s="11">
        <v>33</v>
      </c>
      <c r="Y5" s="11">
        <v>19</v>
      </c>
      <c r="Z5" s="11">
        <v>7</v>
      </c>
      <c r="AA5" s="11">
        <v>2</v>
      </c>
      <c r="AB5" s="11">
        <v>14</v>
      </c>
      <c r="AC5" s="11">
        <v>18</v>
      </c>
      <c r="AD5" s="11">
        <v>28</v>
      </c>
      <c r="AE5" s="11">
        <v>60</v>
      </c>
      <c r="AF5" s="12">
        <v>0.4667</v>
      </c>
      <c r="AG5" s="11">
        <v>20</v>
      </c>
      <c r="AH5" s="11">
        <v>39</v>
      </c>
      <c r="AI5" s="12">
        <v>0.51280000000000003</v>
      </c>
      <c r="AJ5" s="11">
        <v>8</v>
      </c>
      <c r="AK5" s="11">
        <v>21</v>
      </c>
      <c r="AL5" s="12">
        <v>0.38100000000000001</v>
      </c>
      <c r="AM5" s="11">
        <v>14</v>
      </c>
      <c r="AN5" s="11">
        <v>16</v>
      </c>
      <c r="AO5" s="12">
        <v>0.875</v>
      </c>
      <c r="AP5" s="11">
        <v>7</v>
      </c>
      <c r="AQ5" s="11">
        <v>28</v>
      </c>
      <c r="AR5" s="11">
        <v>35</v>
      </c>
      <c r="AS5" s="11">
        <v>20</v>
      </c>
      <c r="AT5" s="11">
        <v>8</v>
      </c>
      <c r="AU5" s="11">
        <v>1</v>
      </c>
      <c r="AV5" s="11">
        <v>10</v>
      </c>
      <c r="AW5" s="11">
        <v>22</v>
      </c>
      <c r="AX5" s="12">
        <v>0.48809999999999998</v>
      </c>
      <c r="AY5" s="12">
        <v>0.40910000000000002</v>
      </c>
      <c r="AZ5" s="12">
        <v>0.22220000000000001</v>
      </c>
      <c r="BA5" s="12">
        <v>0.78129999999999999</v>
      </c>
      <c r="BB5" s="12">
        <v>0.48530000000000001</v>
      </c>
      <c r="BC5" s="4">
        <v>69.781000000000006</v>
      </c>
      <c r="BD5" s="12">
        <v>0.90480000000000005</v>
      </c>
      <c r="BE5" s="12">
        <v>0.34549999999999997</v>
      </c>
      <c r="BF5" s="12">
        <v>0.17599999999999999</v>
      </c>
      <c r="BG5" s="4">
        <v>91.9</v>
      </c>
      <c r="BH5" s="4">
        <v>112</v>
      </c>
      <c r="BI5" s="4">
        <v>69.666499999999999</v>
      </c>
      <c r="BJ5" s="12">
        <v>0.58169999999999999</v>
      </c>
      <c r="BK5" s="12">
        <v>0.5333</v>
      </c>
      <c r="BL5" s="12">
        <v>0.21879999999999999</v>
      </c>
      <c r="BM5" s="12">
        <v>0.77780000000000005</v>
      </c>
      <c r="BN5" s="12">
        <v>0.51470000000000005</v>
      </c>
      <c r="BO5" s="4">
        <v>69.552000000000007</v>
      </c>
      <c r="BP5" s="12">
        <v>0.71430000000000005</v>
      </c>
      <c r="BQ5" s="12">
        <v>0.23330000000000001</v>
      </c>
      <c r="BR5" s="12">
        <v>0.1298</v>
      </c>
      <c r="BS5" s="4">
        <v>112</v>
      </c>
      <c r="BT5" s="4">
        <v>91.9</v>
      </c>
      <c r="BU5" s="11">
        <v>9</v>
      </c>
      <c r="BV5" s="11">
        <v>18</v>
      </c>
      <c r="BW5" s="11">
        <v>20</v>
      </c>
      <c r="BX5" s="11">
        <v>17</v>
      </c>
      <c r="BY5" s="11">
        <v>17</v>
      </c>
      <c r="BZ5" s="11">
        <v>20</v>
      </c>
      <c r="CA5" s="11">
        <v>24</v>
      </c>
      <c r="CB5" s="11">
        <v>17</v>
      </c>
      <c r="CC5" s="11">
        <v>27</v>
      </c>
      <c r="CD5" s="11">
        <v>37</v>
      </c>
      <c r="CE5" s="11">
        <v>37</v>
      </c>
      <c r="CF5" s="11">
        <v>41</v>
      </c>
      <c r="CG5" s="4">
        <v>2.6</v>
      </c>
      <c r="CH5" s="13">
        <v>1.53</v>
      </c>
      <c r="CI5" s="4">
        <v>4.5</v>
      </c>
      <c r="CJ5" s="4">
        <v>-4.5</v>
      </c>
      <c r="CK5" s="4">
        <v>148.5</v>
      </c>
      <c r="CL5" s="2" t="s">
        <v>370</v>
      </c>
      <c r="CM5" s="4" t="str">
        <f>VLOOKUP(boulazac[[#This Row],[Away_team]],all[[Full name]:[Abbr]],3,FALSE)</f>
        <v>CHO</v>
      </c>
      <c r="CN5" s="4">
        <f>IF(OR(boulazac[[#This Row],[Result]]="w",boulazac[[#This Row],[Result]]="dw"),boulazac[[#This Row],[win]]-1,-1)</f>
        <v>-1</v>
      </c>
      <c r="CO5" s="4">
        <f>IF(OR(boulazac[[#This Row],[Result]]="L",boulazac[[#This Row],[Result]]="dl"),boulazac[[#This Row],[lose]]-1,-1)</f>
        <v>0.53</v>
      </c>
      <c r="CP5" s="4">
        <f>IF(OR((boulazac[[#This Row],[Home_scored]]+boulazac[[#This Row],[Away_scored]])&gt;boulazac[[#This Row],[total]],OR(boulazac[[#This Row],[Result]]="dw",boulazac[[#This Row],[Result]]="dl")),1,0)</f>
        <v>0</v>
      </c>
      <c r="CQ5" s="4">
        <f>ABS((boulazac[[#This Row],[Home_scored]]+boulazac[[#This Row],[Away_scored]])-boulazac[[#This Row],[total]])+0.5</f>
        <v>7</v>
      </c>
    </row>
    <row r="6" spans="1:95" x14ac:dyDescent="0.25">
      <c r="A6" s="2" t="s">
        <v>349</v>
      </c>
      <c r="B6" s="2" t="s">
        <v>323</v>
      </c>
      <c r="C6" s="3" t="s">
        <v>73</v>
      </c>
      <c r="D6" s="3">
        <v>45571</v>
      </c>
      <c r="E6" s="2" t="s">
        <v>140</v>
      </c>
      <c r="F6" s="2" t="s">
        <v>339</v>
      </c>
      <c r="G6" s="2" t="s">
        <v>139</v>
      </c>
      <c r="H6" s="11">
        <v>75</v>
      </c>
      <c r="I6" s="11">
        <v>84</v>
      </c>
      <c r="J6" s="11">
        <v>28</v>
      </c>
      <c r="K6" s="11">
        <v>56</v>
      </c>
      <c r="L6" s="12">
        <v>0.5</v>
      </c>
      <c r="M6" s="11">
        <v>20</v>
      </c>
      <c r="N6" s="11">
        <v>33</v>
      </c>
      <c r="O6" s="12">
        <v>0.60609999999999997</v>
      </c>
      <c r="P6" s="11">
        <v>8</v>
      </c>
      <c r="Q6" s="11">
        <v>23</v>
      </c>
      <c r="R6" s="12">
        <v>0.3478</v>
      </c>
      <c r="S6" s="11">
        <v>11</v>
      </c>
      <c r="T6" s="11">
        <v>12</v>
      </c>
      <c r="U6" s="12">
        <v>0.91669999999999996</v>
      </c>
      <c r="V6" s="11">
        <v>5</v>
      </c>
      <c r="W6" s="11">
        <v>22</v>
      </c>
      <c r="X6" s="11">
        <v>27</v>
      </c>
      <c r="Y6" s="11">
        <v>15</v>
      </c>
      <c r="Z6" s="11">
        <v>6</v>
      </c>
      <c r="AA6" s="11">
        <v>1</v>
      </c>
      <c r="AB6" s="11">
        <v>13</v>
      </c>
      <c r="AC6" s="11">
        <v>17</v>
      </c>
      <c r="AD6" s="11">
        <v>30</v>
      </c>
      <c r="AE6" s="11">
        <v>68</v>
      </c>
      <c r="AF6" s="12">
        <v>0.44119999999999998</v>
      </c>
      <c r="AG6" s="11">
        <v>16</v>
      </c>
      <c r="AH6" s="11">
        <v>26</v>
      </c>
      <c r="AI6" s="12">
        <v>0.61539999999999995</v>
      </c>
      <c r="AJ6" s="11">
        <v>14</v>
      </c>
      <c r="AK6" s="11">
        <v>42</v>
      </c>
      <c r="AL6" s="12">
        <v>0.33329999999999999</v>
      </c>
      <c r="AM6" s="11">
        <v>10</v>
      </c>
      <c r="AN6" s="11">
        <v>16</v>
      </c>
      <c r="AO6" s="12">
        <v>0.625</v>
      </c>
      <c r="AP6" s="11">
        <v>16</v>
      </c>
      <c r="AQ6" s="11">
        <v>23</v>
      </c>
      <c r="AR6" s="11">
        <v>39</v>
      </c>
      <c r="AS6" s="11">
        <v>19</v>
      </c>
      <c r="AT6" s="11">
        <v>4</v>
      </c>
      <c r="AU6" s="11">
        <v>4</v>
      </c>
      <c r="AV6" s="11">
        <v>11</v>
      </c>
      <c r="AW6" s="11">
        <v>15</v>
      </c>
      <c r="AX6" s="12">
        <v>0.6119</v>
      </c>
      <c r="AY6" s="12">
        <v>0.57140000000000002</v>
      </c>
      <c r="AZ6" s="12">
        <v>0.17860000000000001</v>
      </c>
      <c r="BA6" s="12">
        <v>0.57889999999999997</v>
      </c>
      <c r="BB6" s="12">
        <v>0.40910000000000002</v>
      </c>
      <c r="BC6" s="4">
        <v>68.251999999999995</v>
      </c>
      <c r="BD6" s="12">
        <v>0.53569999999999995</v>
      </c>
      <c r="BE6" s="12">
        <v>0.19639999999999999</v>
      </c>
      <c r="BF6" s="12">
        <v>0.17499999999999999</v>
      </c>
      <c r="BG6" s="4">
        <v>109.5</v>
      </c>
      <c r="BH6" s="4">
        <v>122.7</v>
      </c>
      <c r="BI6" s="4">
        <v>68.485500000000002</v>
      </c>
      <c r="BJ6" s="12">
        <v>0.55969999999999998</v>
      </c>
      <c r="BK6" s="12">
        <v>0.54410000000000003</v>
      </c>
      <c r="BL6" s="12">
        <v>0.42109999999999997</v>
      </c>
      <c r="BM6" s="12">
        <v>0.82140000000000002</v>
      </c>
      <c r="BN6" s="12">
        <v>0.59089999999999998</v>
      </c>
      <c r="BO6" s="4">
        <v>68.718999999999994</v>
      </c>
      <c r="BP6" s="12">
        <v>0.63329999999999997</v>
      </c>
      <c r="BQ6" s="12">
        <v>0.14710000000000001</v>
      </c>
      <c r="BR6" s="12">
        <v>0.1278</v>
      </c>
      <c r="BS6" s="4">
        <v>122.7</v>
      </c>
      <c r="BT6" s="4">
        <v>109.5</v>
      </c>
      <c r="BU6" s="11">
        <v>21</v>
      </c>
      <c r="BV6" s="11">
        <v>20</v>
      </c>
      <c r="BW6" s="11">
        <v>14</v>
      </c>
      <c r="BX6" s="11">
        <v>20</v>
      </c>
      <c r="BY6" s="11">
        <v>23</v>
      </c>
      <c r="BZ6" s="11">
        <v>23</v>
      </c>
      <c r="CA6" s="11">
        <v>17</v>
      </c>
      <c r="CB6" s="11">
        <v>21</v>
      </c>
      <c r="CC6" s="11">
        <v>41</v>
      </c>
      <c r="CD6" s="11">
        <v>34</v>
      </c>
      <c r="CE6" s="11">
        <v>46</v>
      </c>
      <c r="CF6" s="11">
        <v>38</v>
      </c>
      <c r="CG6" s="4">
        <v>16</v>
      </c>
      <c r="CH6" s="13">
        <v>1.03</v>
      </c>
      <c r="CI6" s="4">
        <v>-18</v>
      </c>
      <c r="CJ6" s="4">
        <v>-18</v>
      </c>
      <c r="CK6" s="4">
        <v>156.5</v>
      </c>
      <c r="CL6" s="2" t="s">
        <v>409</v>
      </c>
      <c r="CM6" s="4" t="str">
        <f>VLOOKUP(boulazac[[#This Row],[Away_team]],all[[Full name]:[Abbr]],3,FALSE)</f>
        <v>PAR</v>
      </c>
      <c r="CN6" s="4">
        <f>IF(OR(boulazac[[#This Row],[Result]]="w",boulazac[[#This Row],[Result]]="dw"),boulazac[[#This Row],[win]]-1,-1)</f>
        <v>-1</v>
      </c>
      <c r="CO6" s="4">
        <f>IF(OR(boulazac[[#This Row],[Result]]="L",boulazac[[#This Row],[Result]]="dl"),boulazac[[#This Row],[lose]]-1,-1)</f>
        <v>3.0000000000000027E-2</v>
      </c>
      <c r="CP6" s="4">
        <f>IF(OR((boulazac[[#This Row],[Home_scored]]+boulazac[[#This Row],[Away_scored]])&gt;boulazac[[#This Row],[total]],OR(boulazac[[#This Row],[Result]]="dw",boulazac[[#This Row],[Result]]="dl")),1,0)</f>
        <v>1</v>
      </c>
      <c r="CQ6" s="4">
        <f>ABS((boulazac[[#This Row],[Home_scored]]+boulazac[[#This Row],[Away_scored]])-boulazac[[#This Row],[total]])+0.5</f>
        <v>3</v>
      </c>
    </row>
    <row r="7" spans="1:95" x14ac:dyDescent="0.25">
      <c r="A7" s="2" t="s">
        <v>349</v>
      </c>
      <c r="B7" s="2" t="s">
        <v>323</v>
      </c>
      <c r="C7" s="3" t="s">
        <v>73</v>
      </c>
      <c r="D7" s="3">
        <v>45577</v>
      </c>
      <c r="E7" s="2" t="s">
        <v>140</v>
      </c>
      <c r="F7" s="2" t="s">
        <v>330</v>
      </c>
      <c r="G7" s="2" t="s">
        <v>139</v>
      </c>
      <c r="H7" s="11">
        <v>62</v>
      </c>
      <c r="I7" s="11">
        <v>82</v>
      </c>
      <c r="J7" s="11">
        <v>24</v>
      </c>
      <c r="K7" s="11">
        <v>60</v>
      </c>
      <c r="L7" s="12">
        <v>0.4</v>
      </c>
      <c r="M7" s="11">
        <v>19</v>
      </c>
      <c r="N7" s="11">
        <v>38</v>
      </c>
      <c r="O7" s="12">
        <v>0.5</v>
      </c>
      <c r="P7" s="11">
        <v>5</v>
      </c>
      <c r="Q7" s="11">
        <v>22</v>
      </c>
      <c r="R7" s="12">
        <v>0.2273</v>
      </c>
      <c r="S7" s="11">
        <v>9</v>
      </c>
      <c r="T7" s="11">
        <v>15</v>
      </c>
      <c r="U7" s="12">
        <v>0.6</v>
      </c>
      <c r="V7" s="11">
        <v>9</v>
      </c>
      <c r="W7" s="11">
        <v>18</v>
      </c>
      <c r="X7" s="11">
        <v>27</v>
      </c>
      <c r="Y7" s="11">
        <v>7</v>
      </c>
      <c r="Z7" s="11">
        <v>15</v>
      </c>
      <c r="AA7" s="11">
        <v>2</v>
      </c>
      <c r="AB7" s="11">
        <v>12</v>
      </c>
      <c r="AC7" s="11">
        <v>22</v>
      </c>
      <c r="AD7" s="11">
        <v>28</v>
      </c>
      <c r="AE7" s="11">
        <v>54</v>
      </c>
      <c r="AF7" s="12">
        <v>0.51849999999999996</v>
      </c>
      <c r="AG7" s="11">
        <v>18</v>
      </c>
      <c r="AH7" s="11">
        <v>33</v>
      </c>
      <c r="AI7" s="12">
        <v>0.54549999999999998</v>
      </c>
      <c r="AJ7" s="11">
        <v>10</v>
      </c>
      <c r="AK7" s="11">
        <v>21</v>
      </c>
      <c r="AL7" s="12">
        <v>0.47620000000000001</v>
      </c>
      <c r="AM7" s="11">
        <v>16</v>
      </c>
      <c r="AN7" s="11">
        <v>23</v>
      </c>
      <c r="AO7" s="12">
        <v>0.69569999999999999</v>
      </c>
      <c r="AP7" s="11">
        <v>11</v>
      </c>
      <c r="AQ7" s="11">
        <v>31</v>
      </c>
      <c r="AR7" s="11">
        <v>42</v>
      </c>
      <c r="AS7" s="11">
        <v>22</v>
      </c>
      <c r="AT7" s="11">
        <v>9</v>
      </c>
      <c r="AU7" s="11">
        <v>4</v>
      </c>
      <c r="AV7" s="11">
        <v>16</v>
      </c>
      <c r="AW7" s="11">
        <v>16</v>
      </c>
      <c r="AX7" s="12">
        <v>0.46550000000000002</v>
      </c>
      <c r="AY7" s="12">
        <v>0.44169999999999998</v>
      </c>
      <c r="AZ7" s="12">
        <v>0.22500000000000001</v>
      </c>
      <c r="BA7" s="12">
        <v>0.62070000000000003</v>
      </c>
      <c r="BB7" s="12">
        <v>0.39129999999999998</v>
      </c>
      <c r="BC7" s="4">
        <v>65.16</v>
      </c>
      <c r="BD7" s="12">
        <v>0.29170000000000001</v>
      </c>
      <c r="BE7" s="12">
        <v>0.15</v>
      </c>
      <c r="BF7" s="12">
        <v>0.1527</v>
      </c>
      <c r="BG7" s="4">
        <v>90.5</v>
      </c>
      <c r="BH7" s="4">
        <v>119.6</v>
      </c>
      <c r="BI7" s="4">
        <v>68.537000000000006</v>
      </c>
      <c r="BJ7" s="12">
        <v>0.63939999999999997</v>
      </c>
      <c r="BK7" s="12">
        <v>0.61109999999999998</v>
      </c>
      <c r="BL7" s="12">
        <v>0.37930000000000003</v>
      </c>
      <c r="BM7" s="12">
        <v>0.77500000000000002</v>
      </c>
      <c r="BN7" s="12">
        <v>0.60870000000000002</v>
      </c>
      <c r="BO7" s="4">
        <v>71.914000000000001</v>
      </c>
      <c r="BP7" s="12">
        <v>0.78569999999999995</v>
      </c>
      <c r="BQ7" s="12">
        <v>0.29630000000000001</v>
      </c>
      <c r="BR7" s="12">
        <v>0.19969999999999999</v>
      </c>
      <c r="BS7" s="4">
        <v>119.6</v>
      </c>
      <c r="BT7" s="4">
        <v>90.5</v>
      </c>
      <c r="BU7" s="11">
        <v>11</v>
      </c>
      <c r="BV7" s="11">
        <v>14</v>
      </c>
      <c r="BW7" s="11">
        <v>23</v>
      </c>
      <c r="BX7" s="11">
        <v>14</v>
      </c>
      <c r="BY7" s="11">
        <v>20</v>
      </c>
      <c r="BZ7" s="11">
        <v>22</v>
      </c>
      <c r="CA7" s="11">
        <v>15</v>
      </c>
      <c r="CB7" s="11">
        <v>25</v>
      </c>
      <c r="CC7" s="11">
        <v>25</v>
      </c>
      <c r="CD7" s="11">
        <v>37</v>
      </c>
      <c r="CE7" s="11">
        <v>42</v>
      </c>
      <c r="CF7" s="11">
        <v>40</v>
      </c>
      <c r="CG7" s="4">
        <v>14</v>
      </c>
      <c r="CH7" s="13">
        <v>1.04</v>
      </c>
      <c r="CI7" s="4">
        <v>17.5</v>
      </c>
      <c r="CJ7" s="4">
        <v>-17.5</v>
      </c>
      <c r="CK7" s="4">
        <v>156.5</v>
      </c>
      <c r="CL7" s="2" t="s">
        <v>410</v>
      </c>
      <c r="CM7" s="4" t="str">
        <f>VLOOKUP(boulazac[[#This Row],[Away_team]],all[[Full name]:[Abbr]],3,FALSE)</f>
        <v>MON</v>
      </c>
      <c r="CN7" s="4">
        <f>IF(OR(boulazac[[#This Row],[Result]]="w",boulazac[[#This Row],[Result]]="dw"),boulazac[[#This Row],[win]]-1,-1)</f>
        <v>-1</v>
      </c>
      <c r="CO7" s="4">
        <f>IF(OR(boulazac[[#This Row],[Result]]="L",boulazac[[#This Row],[Result]]="dl"),boulazac[[#This Row],[lose]]-1,-1)</f>
        <v>4.0000000000000036E-2</v>
      </c>
      <c r="CP7" s="4">
        <f>IF(OR((boulazac[[#This Row],[Home_scored]]+boulazac[[#This Row],[Away_scored]])&gt;boulazac[[#This Row],[total]],OR(boulazac[[#This Row],[Result]]="dw",boulazac[[#This Row],[Result]]="dl")),1,0)</f>
        <v>0</v>
      </c>
      <c r="CQ7" s="4">
        <f>ABS((boulazac[[#This Row],[Home_scored]]+boulazac[[#This Row],[Away_scored]])-boulazac[[#This Row],[total]])+0.5</f>
        <v>13</v>
      </c>
    </row>
    <row r="8" spans="1:95" x14ac:dyDescent="0.25">
      <c r="A8" s="2" t="s">
        <v>349</v>
      </c>
      <c r="B8" s="2" t="s">
        <v>323</v>
      </c>
      <c r="C8" s="3" t="s">
        <v>73</v>
      </c>
      <c r="D8" s="3">
        <v>45584</v>
      </c>
      <c r="E8" s="2" t="s">
        <v>74</v>
      </c>
      <c r="F8" s="2" t="s">
        <v>342</v>
      </c>
      <c r="G8" s="2" t="s">
        <v>139</v>
      </c>
      <c r="H8" s="11">
        <v>57</v>
      </c>
      <c r="I8" s="11">
        <v>94</v>
      </c>
      <c r="J8" s="11">
        <v>20</v>
      </c>
      <c r="K8" s="11">
        <v>61</v>
      </c>
      <c r="L8" s="12">
        <v>0.32790000000000002</v>
      </c>
      <c r="M8" s="11">
        <v>18</v>
      </c>
      <c r="N8" s="11">
        <v>36</v>
      </c>
      <c r="O8" s="12">
        <v>0.5</v>
      </c>
      <c r="P8" s="11">
        <v>2</v>
      </c>
      <c r="Q8" s="11">
        <v>25</v>
      </c>
      <c r="R8" s="12">
        <v>0.08</v>
      </c>
      <c r="S8" s="11">
        <v>15</v>
      </c>
      <c r="T8" s="11">
        <v>22</v>
      </c>
      <c r="U8" s="12">
        <v>0.68179999999999996</v>
      </c>
      <c r="V8" s="11">
        <v>3</v>
      </c>
      <c r="W8" s="11">
        <v>12</v>
      </c>
      <c r="X8" s="11">
        <v>15</v>
      </c>
      <c r="Y8" s="11">
        <v>21</v>
      </c>
      <c r="Z8" s="11">
        <v>9</v>
      </c>
      <c r="AA8" s="11">
        <v>0</v>
      </c>
      <c r="AB8" s="11">
        <v>10</v>
      </c>
      <c r="AC8" s="11">
        <v>19</v>
      </c>
      <c r="AD8" s="11">
        <v>32</v>
      </c>
      <c r="AE8" s="11">
        <v>55</v>
      </c>
      <c r="AF8" s="12">
        <v>0.58179999999999998</v>
      </c>
      <c r="AG8" s="11">
        <v>18</v>
      </c>
      <c r="AH8" s="11">
        <v>31</v>
      </c>
      <c r="AI8" s="12">
        <v>0.5806</v>
      </c>
      <c r="AJ8" s="11">
        <v>14</v>
      </c>
      <c r="AK8" s="11">
        <v>24</v>
      </c>
      <c r="AL8" s="12">
        <v>0.58330000000000004</v>
      </c>
      <c r="AM8" s="11">
        <v>16</v>
      </c>
      <c r="AN8" s="11">
        <v>21</v>
      </c>
      <c r="AO8" s="12">
        <v>0.76190000000000002</v>
      </c>
      <c r="AP8" s="11">
        <v>11</v>
      </c>
      <c r="AQ8" s="11">
        <v>40</v>
      </c>
      <c r="AR8" s="11">
        <v>51</v>
      </c>
      <c r="AS8" s="11">
        <v>17</v>
      </c>
      <c r="AT8" s="11">
        <v>1</v>
      </c>
      <c r="AU8" s="11">
        <v>1</v>
      </c>
      <c r="AV8" s="11">
        <v>23</v>
      </c>
      <c r="AW8" s="11">
        <v>23</v>
      </c>
      <c r="AX8" s="12">
        <v>0.4032</v>
      </c>
      <c r="AY8" s="12">
        <v>0.34429999999999999</v>
      </c>
      <c r="AZ8" s="12">
        <v>6.9800000000000001E-2</v>
      </c>
      <c r="BA8" s="12">
        <v>0.52170000000000005</v>
      </c>
      <c r="BB8" s="12">
        <v>0.2273</v>
      </c>
      <c r="BC8" s="4">
        <v>71.025999999999996</v>
      </c>
      <c r="BD8" s="12">
        <v>1.05</v>
      </c>
      <c r="BE8" s="12">
        <v>0.24590000000000001</v>
      </c>
      <c r="BF8" s="12">
        <v>0.1239</v>
      </c>
      <c r="BG8" s="4">
        <v>74.900000000000006</v>
      </c>
      <c r="BH8" s="4">
        <v>123.6</v>
      </c>
      <c r="BI8" s="4">
        <v>76.058999999999997</v>
      </c>
      <c r="BJ8" s="12">
        <v>0.73160000000000003</v>
      </c>
      <c r="BK8" s="12">
        <v>0.70909999999999995</v>
      </c>
      <c r="BL8" s="12">
        <v>0.4783</v>
      </c>
      <c r="BM8" s="12">
        <v>0.93020000000000003</v>
      </c>
      <c r="BN8" s="12">
        <v>0.77270000000000005</v>
      </c>
      <c r="BO8" s="4">
        <v>81.091999999999999</v>
      </c>
      <c r="BP8" s="12">
        <v>0.53129999999999999</v>
      </c>
      <c r="BQ8" s="12">
        <v>0.29089999999999999</v>
      </c>
      <c r="BR8" s="12">
        <v>0.2636</v>
      </c>
      <c r="BS8" s="4">
        <v>123.6</v>
      </c>
      <c r="BT8" s="4">
        <v>74.900000000000006</v>
      </c>
      <c r="BU8" s="11">
        <v>10</v>
      </c>
      <c r="BV8" s="11">
        <v>15</v>
      </c>
      <c r="BW8" s="11">
        <v>16</v>
      </c>
      <c r="BX8" s="11">
        <v>16</v>
      </c>
      <c r="BY8" s="11">
        <v>28</v>
      </c>
      <c r="BZ8" s="11">
        <v>23</v>
      </c>
      <c r="CA8" s="11">
        <v>16</v>
      </c>
      <c r="CB8" s="11">
        <v>27</v>
      </c>
      <c r="CC8" s="11">
        <v>25</v>
      </c>
      <c r="CD8" s="11">
        <v>32</v>
      </c>
      <c r="CE8" s="11">
        <v>51</v>
      </c>
      <c r="CF8" s="11">
        <v>43</v>
      </c>
      <c r="CG8" s="4">
        <v>3.1</v>
      </c>
      <c r="CH8" s="13">
        <v>1.38</v>
      </c>
      <c r="CI8" s="4">
        <v>6.5</v>
      </c>
      <c r="CJ8" s="4">
        <v>-6.5</v>
      </c>
      <c r="CK8" s="4">
        <v>149.5</v>
      </c>
      <c r="CL8" s="2" t="s">
        <v>411</v>
      </c>
      <c r="CM8" s="4" t="str">
        <f>VLOOKUP(boulazac[[#This Row],[Away_team]],all[[Full name]:[Abbr]],3,FALSE)</f>
        <v>SQU</v>
      </c>
      <c r="CN8" s="4">
        <f>IF(OR(boulazac[[#This Row],[Result]]="w",boulazac[[#This Row],[Result]]="dw"),boulazac[[#This Row],[win]]-1,-1)</f>
        <v>-1</v>
      </c>
      <c r="CO8" s="4">
        <f>IF(OR(boulazac[[#This Row],[Result]]="L",boulazac[[#This Row],[Result]]="dl"),boulazac[[#This Row],[lose]]-1,-1)</f>
        <v>0.37999999999999989</v>
      </c>
      <c r="CP8" s="4">
        <f>IF(OR((boulazac[[#This Row],[Home_scored]]+boulazac[[#This Row],[Away_scored]])&gt;boulazac[[#This Row],[total]],OR(boulazac[[#This Row],[Result]]="dw",boulazac[[#This Row],[Result]]="dl")),1,0)</f>
        <v>1</v>
      </c>
      <c r="CQ8" s="4">
        <f>ABS((boulazac[[#This Row],[Home_scored]]+boulazac[[#This Row],[Away_scored]])-boulazac[[#This Row],[total]])+0.5</f>
        <v>2</v>
      </c>
    </row>
    <row r="9" spans="1:95" x14ac:dyDescent="0.25">
      <c r="A9" s="2" t="s">
        <v>349</v>
      </c>
      <c r="B9" s="2" t="s">
        <v>323</v>
      </c>
      <c r="C9" s="3" t="s">
        <v>73</v>
      </c>
      <c r="D9" s="3">
        <v>45591</v>
      </c>
      <c r="E9" s="2" t="s">
        <v>140</v>
      </c>
      <c r="F9" s="2" t="s">
        <v>311</v>
      </c>
      <c r="G9" s="2" t="s">
        <v>75</v>
      </c>
      <c r="H9" s="11">
        <v>95</v>
      </c>
      <c r="I9" s="11">
        <v>88</v>
      </c>
      <c r="J9" s="11">
        <v>30</v>
      </c>
      <c r="K9" s="11">
        <v>56</v>
      </c>
      <c r="L9" s="12">
        <v>0.53569999999999995</v>
      </c>
      <c r="M9" s="11">
        <v>21</v>
      </c>
      <c r="N9" s="11">
        <v>31</v>
      </c>
      <c r="O9" s="12">
        <v>0.6774</v>
      </c>
      <c r="P9" s="11">
        <v>9</v>
      </c>
      <c r="Q9" s="11">
        <v>25</v>
      </c>
      <c r="R9" s="12">
        <v>0.36</v>
      </c>
      <c r="S9" s="11">
        <v>26</v>
      </c>
      <c r="T9" s="11">
        <v>32</v>
      </c>
      <c r="U9" s="12">
        <v>0.8125</v>
      </c>
      <c r="V9" s="11">
        <v>7</v>
      </c>
      <c r="W9" s="11">
        <v>31</v>
      </c>
      <c r="X9" s="11">
        <v>38</v>
      </c>
      <c r="Y9" s="11">
        <v>17</v>
      </c>
      <c r="Z9" s="11">
        <v>6</v>
      </c>
      <c r="AA9" s="11">
        <v>3</v>
      </c>
      <c r="AB9" s="11">
        <v>10</v>
      </c>
      <c r="AC9" s="11">
        <v>17</v>
      </c>
      <c r="AD9" s="11">
        <v>31</v>
      </c>
      <c r="AE9" s="11">
        <v>74</v>
      </c>
      <c r="AF9" s="12">
        <v>0.41889999999999999</v>
      </c>
      <c r="AG9" s="11">
        <v>18</v>
      </c>
      <c r="AH9" s="11">
        <v>43</v>
      </c>
      <c r="AI9" s="12">
        <v>0.41860000000000003</v>
      </c>
      <c r="AJ9" s="11">
        <v>13</v>
      </c>
      <c r="AK9" s="11">
        <v>31</v>
      </c>
      <c r="AL9" s="12">
        <v>0.4194</v>
      </c>
      <c r="AM9" s="11">
        <v>13</v>
      </c>
      <c r="AN9" s="11">
        <v>17</v>
      </c>
      <c r="AO9" s="12">
        <v>0.76470000000000005</v>
      </c>
      <c r="AP9" s="11">
        <v>14</v>
      </c>
      <c r="AQ9" s="11">
        <v>20</v>
      </c>
      <c r="AR9" s="11">
        <v>34</v>
      </c>
      <c r="AS9" s="11">
        <v>16</v>
      </c>
      <c r="AT9" s="11">
        <v>3</v>
      </c>
      <c r="AU9" s="11">
        <v>0</v>
      </c>
      <c r="AV9" s="11">
        <v>3</v>
      </c>
      <c r="AW9" s="11">
        <v>27</v>
      </c>
      <c r="AX9" s="12">
        <v>0.67779999999999996</v>
      </c>
      <c r="AY9" s="12">
        <v>0.61609999999999998</v>
      </c>
      <c r="AZ9" s="12">
        <v>0.25929999999999997</v>
      </c>
      <c r="BA9" s="12">
        <v>0.68889999999999996</v>
      </c>
      <c r="BB9" s="12">
        <v>0.52780000000000005</v>
      </c>
      <c r="BC9" s="4">
        <v>73.674999999999997</v>
      </c>
      <c r="BD9" s="12">
        <v>0.56669999999999998</v>
      </c>
      <c r="BE9" s="12">
        <v>0.46429999999999999</v>
      </c>
      <c r="BF9" s="12">
        <v>0.1249</v>
      </c>
      <c r="BG9" s="4">
        <v>137.19999999999999</v>
      </c>
      <c r="BH9" s="4">
        <v>127</v>
      </c>
      <c r="BI9" s="4">
        <v>69.265000000000001</v>
      </c>
      <c r="BJ9" s="12">
        <v>0.54</v>
      </c>
      <c r="BK9" s="12">
        <v>0.50680000000000003</v>
      </c>
      <c r="BL9" s="12">
        <v>0.31109999999999999</v>
      </c>
      <c r="BM9" s="12">
        <v>0.74070000000000003</v>
      </c>
      <c r="BN9" s="12">
        <v>0.47220000000000001</v>
      </c>
      <c r="BO9" s="4">
        <v>64.855000000000004</v>
      </c>
      <c r="BP9" s="12">
        <v>0.5161</v>
      </c>
      <c r="BQ9" s="12">
        <v>0.1757</v>
      </c>
      <c r="BR9" s="12">
        <v>3.5499999999999997E-2</v>
      </c>
      <c r="BS9" s="4">
        <v>127</v>
      </c>
      <c r="BT9" s="4">
        <v>137.19999999999999</v>
      </c>
      <c r="BU9" s="11">
        <v>32</v>
      </c>
      <c r="BV9" s="11">
        <v>19</v>
      </c>
      <c r="BW9" s="11">
        <v>21</v>
      </c>
      <c r="BX9" s="11">
        <v>23</v>
      </c>
      <c r="BY9" s="11">
        <v>26</v>
      </c>
      <c r="BZ9" s="11">
        <v>19</v>
      </c>
      <c r="CA9" s="11">
        <v>25</v>
      </c>
      <c r="CB9" s="11">
        <v>18</v>
      </c>
      <c r="CC9" s="11">
        <v>51</v>
      </c>
      <c r="CD9" s="11">
        <v>44</v>
      </c>
      <c r="CE9" s="11">
        <v>45</v>
      </c>
      <c r="CF9" s="11">
        <v>43</v>
      </c>
      <c r="CG9" s="4">
        <v>9.5</v>
      </c>
      <c r="CH9" s="13">
        <v>1.07</v>
      </c>
      <c r="CI9" s="4">
        <v>14.5</v>
      </c>
      <c r="CJ9" s="4">
        <v>-14.5</v>
      </c>
      <c r="CK9" s="4">
        <v>151.5</v>
      </c>
      <c r="CL9" s="2" t="s">
        <v>380</v>
      </c>
      <c r="CM9" s="4" t="str">
        <f>VLOOKUP(boulazac[[#This Row],[Away_team]],all[[Full name]:[Abbr]],3,FALSE)</f>
        <v>DIJ</v>
      </c>
      <c r="CN9" s="4">
        <f>IF(OR(boulazac[[#This Row],[Result]]="w",boulazac[[#This Row],[Result]]="dw"),boulazac[[#This Row],[win]]-1,-1)</f>
        <v>8.5</v>
      </c>
      <c r="CO9" s="4">
        <f>IF(OR(boulazac[[#This Row],[Result]]="L",boulazac[[#This Row],[Result]]="dl"),boulazac[[#This Row],[lose]]-1,-1)</f>
        <v>-1</v>
      </c>
      <c r="CP9" s="4">
        <f>IF(OR((boulazac[[#This Row],[Home_scored]]+boulazac[[#This Row],[Away_scored]])&gt;boulazac[[#This Row],[total]],OR(boulazac[[#This Row],[Result]]="dw",boulazac[[#This Row],[Result]]="dl")),1,0)</f>
        <v>1</v>
      </c>
      <c r="CQ9" s="4">
        <f>ABS((boulazac[[#This Row],[Home_scored]]+boulazac[[#This Row],[Away_scored]])-boulazac[[#This Row],[total]])+0.5</f>
        <v>32</v>
      </c>
    </row>
    <row r="10" spans="1:95" x14ac:dyDescent="0.25">
      <c r="A10" s="2" t="s">
        <v>349</v>
      </c>
      <c r="B10" s="2" t="s">
        <v>323</v>
      </c>
      <c r="C10" s="3" t="s">
        <v>73</v>
      </c>
      <c r="D10" s="3">
        <v>45597</v>
      </c>
      <c r="E10" s="2" t="s">
        <v>140</v>
      </c>
      <c r="F10" s="2" t="s">
        <v>320</v>
      </c>
      <c r="G10" s="2" t="s">
        <v>139</v>
      </c>
      <c r="H10" s="11">
        <v>62</v>
      </c>
      <c r="I10" s="11">
        <v>83</v>
      </c>
      <c r="J10" s="11">
        <v>20</v>
      </c>
      <c r="K10" s="11">
        <v>50</v>
      </c>
      <c r="L10" s="12">
        <v>0.4</v>
      </c>
      <c r="M10" s="11">
        <v>18</v>
      </c>
      <c r="N10" s="11">
        <v>31</v>
      </c>
      <c r="O10" s="12">
        <v>0.5806</v>
      </c>
      <c r="P10" s="11">
        <v>2</v>
      </c>
      <c r="Q10" s="11">
        <v>19</v>
      </c>
      <c r="R10" s="12">
        <v>0.1053</v>
      </c>
      <c r="S10" s="11">
        <v>20</v>
      </c>
      <c r="T10" s="11">
        <v>25</v>
      </c>
      <c r="U10" s="12">
        <v>0.8</v>
      </c>
      <c r="V10" s="11">
        <v>7</v>
      </c>
      <c r="W10" s="11">
        <v>24</v>
      </c>
      <c r="X10" s="11">
        <v>31</v>
      </c>
      <c r="Y10" s="11">
        <v>12</v>
      </c>
      <c r="Z10" s="11">
        <v>10</v>
      </c>
      <c r="AA10" s="11">
        <v>0</v>
      </c>
      <c r="AB10" s="11">
        <v>19</v>
      </c>
      <c r="AC10" s="11">
        <v>17</v>
      </c>
      <c r="AD10" s="11">
        <v>30</v>
      </c>
      <c r="AE10" s="11">
        <v>60</v>
      </c>
      <c r="AF10" s="12">
        <v>0.5</v>
      </c>
      <c r="AG10" s="11">
        <v>18</v>
      </c>
      <c r="AH10" s="11">
        <v>31</v>
      </c>
      <c r="AI10" s="12">
        <v>0.5806</v>
      </c>
      <c r="AJ10" s="11">
        <v>12</v>
      </c>
      <c r="AK10" s="11">
        <v>29</v>
      </c>
      <c r="AL10" s="12">
        <v>0.4138</v>
      </c>
      <c r="AM10" s="11">
        <v>11</v>
      </c>
      <c r="AN10" s="11">
        <v>12</v>
      </c>
      <c r="AO10" s="12">
        <v>0.91669999999999996</v>
      </c>
      <c r="AP10" s="11">
        <v>5</v>
      </c>
      <c r="AQ10" s="11">
        <v>25</v>
      </c>
      <c r="AR10" s="11">
        <v>30</v>
      </c>
      <c r="AS10" s="11">
        <v>17</v>
      </c>
      <c r="AT10" s="11">
        <v>11</v>
      </c>
      <c r="AU10" s="11">
        <v>2</v>
      </c>
      <c r="AV10" s="11">
        <v>13</v>
      </c>
      <c r="AW10" s="11">
        <v>21</v>
      </c>
      <c r="AX10" s="12">
        <v>0.50819999999999999</v>
      </c>
      <c r="AY10" s="12">
        <v>0.42</v>
      </c>
      <c r="AZ10" s="12">
        <v>0.21879999999999999</v>
      </c>
      <c r="BA10" s="12">
        <v>0.8276</v>
      </c>
      <c r="BB10" s="12">
        <v>0.50819999999999999</v>
      </c>
      <c r="BC10" s="4">
        <v>71.751999999999995</v>
      </c>
      <c r="BD10" s="12">
        <v>0.6</v>
      </c>
      <c r="BE10" s="12">
        <v>0.4</v>
      </c>
      <c r="BF10" s="12">
        <v>0.23749999999999999</v>
      </c>
      <c r="BG10" s="4">
        <v>86</v>
      </c>
      <c r="BH10" s="4">
        <v>115.1</v>
      </c>
      <c r="BI10" s="4">
        <v>72.100999999999999</v>
      </c>
      <c r="BJ10" s="12">
        <v>0.63570000000000004</v>
      </c>
      <c r="BK10" s="12">
        <v>0.6</v>
      </c>
      <c r="BL10" s="12">
        <v>0.1724</v>
      </c>
      <c r="BM10" s="12">
        <v>0.78129999999999999</v>
      </c>
      <c r="BN10" s="12">
        <v>0.49180000000000001</v>
      </c>
      <c r="BO10" s="4">
        <v>72.45</v>
      </c>
      <c r="BP10" s="12">
        <v>0.56669999999999998</v>
      </c>
      <c r="BQ10" s="12">
        <v>0.18329999999999999</v>
      </c>
      <c r="BR10" s="12">
        <v>0.1661</v>
      </c>
      <c r="BS10" s="4">
        <v>115.1</v>
      </c>
      <c r="BT10" s="4">
        <v>86</v>
      </c>
      <c r="BU10" s="11">
        <v>16</v>
      </c>
      <c r="BV10" s="11">
        <v>17</v>
      </c>
      <c r="BW10" s="11">
        <v>16</v>
      </c>
      <c r="BX10" s="11">
        <v>13</v>
      </c>
      <c r="BY10" s="11">
        <v>23</v>
      </c>
      <c r="BZ10" s="11">
        <v>21</v>
      </c>
      <c r="CA10" s="11">
        <v>17</v>
      </c>
      <c r="CB10" s="11">
        <v>22</v>
      </c>
      <c r="CC10" s="11">
        <v>33</v>
      </c>
      <c r="CD10" s="11">
        <v>29</v>
      </c>
      <c r="CE10" s="11">
        <v>44</v>
      </c>
      <c r="CF10" s="11">
        <v>39</v>
      </c>
      <c r="CG10" s="4">
        <v>3.1</v>
      </c>
      <c r="CH10" s="13">
        <v>1.38</v>
      </c>
      <c r="CI10" s="4">
        <v>6.5</v>
      </c>
      <c r="CJ10" s="4">
        <v>-6.5</v>
      </c>
      <c r="CK10" s="4">
        <v>152.5</v>
      </c>
      <c r="CL10" s="2" t="s">
        <v>405</v>
      </c>
      <c r="CM10" s="4" t="str">
        <f>VLOOKUP(boulazac[[#This Row],[Away_team]],all[[Full name]:[Abbr]],3,FALSE)</f>
        <v>POR</v>
      </c>
      <c r="CN10" s="4">
        <f>IF(OR(boulazac[[#This Row],[Result]]="w",boulazac[[#This Row],[Result]]="dw"),boulazac[[#This Row],[win]]-1,-1)</f>
        <v>-1</v>
      </c>
      <c r="CO10" s="4">
        <f>IF(OR(boulazac[[#This Row],[Result]]="L",boulazac[[#This Row],[Result]]="dl"),boulazac[[#This Row],[lose]]-1,-1)</f>
        <v>0.37999999999999989</v>
      </c>
      <c r="CP10" s="4">
        <f>IF(OR((boulazac[[#This Row],[Home_scored]]+boulazac[[#This Row],[Away_scored]])&gt;boulazac[[#This Row],[total]],OR(boulazac[[#This Row],[Result]]="dw",boulazac[[#This Row],[Result]]="dl")),1,0)</f>
        <v>0</v>
      </c>
      <c r="CQ10" s="4">
        <f>ABS((boulazac[[#This Row],[Home_scored]]+boulazac[[#This Row],[Away_scored]])-boulazac[[#This Row],[total]])+0.5</f>
        <v>8</v>
      </c>
    </row>
    <row r="11" spans="1:95" x14ac:dyDescent="0.25">
      <c r="A11" s="2" t="s">
        <v>349</v>
      </c>
      <c r="B11" s="2" t="s">
        <v>323</v>
      </c>
      <c r="C11" s="3" t="s">
        <v>73</v>
      </c>
      <c r="D11" s="3">
        <v>45605</v>
      </c>
      <c r="E11" s="2" t="s">
        <v>74</v>
      </c>
      <c r="F11" s="2" t="s">
        <v>302</v>
      </c>
      <c r="G11" s="2" t="s">
        <v>139</v>
      </c>
      <c r="H11" s="11">
        <v>78</v>
      </c>
      <c r="I11" s="11">
        <v>86</v>
      </c>
      <c r="J11" s="11">
        <v>28</v>
      </c>
      <c r="K11" s="11">
        <v>56</v>
      </c>
      <c r="L11" s="12">
        <v>0.5</v>
      </c>
      <c r="M11" s="11">
        <v>23</v>
      </c>
      <c r="N11" s="11">
        <v>39</v>
      </c>
      <c r="O11" s="12">
        <v>0.5897</v>
      </c>
      <c r="P11" s="11">
        <v>5</v>
      </c>
      <c r="Q11" s="11">
        <v>17</v>
      </c>
      <c r="R11" s="12">
        <v>0.29409999999999997</v>
      </c>
      <c r="S11" s="11">
        <v>17</v>
      </c>
      <c r="T11" s="11">
        <v>24</v>
      </c>
      <c r="U11" s="12">
        <v>0.70830000000000004</v>
      </c>
      <c r="V11" s="11">
        <v>4</v>
      </c>
      <c r="W11" s="11">
        <v>21</v>
      </c>
      <c r="X11" s="11">
        <v>25</v>
      </c>
      <c r="Y11" s="11">
        <v>24</v>
      </c>
      <c r="Z11" s="11">
        <v>10</v>
      </c>
      <c r="AA11" s="11">
        <v>4</v>
      </c>
      <c r="AB11" s="11">
        <v>12</v>
      </c>
      <c r="AC11" s="11">
        <v>25</v>
      </c>
      <c r="AD11" s="11">
        <v>29</v>
      </c>
      <c r="AE11" s="11">
        <v>60</v>
      </c>
      <c r="AF11" s="12">
        <v>0.48330000000000001</v>
      </c>
      <c r="AG11" s="11">
        <v>22</v>
      </c>
      <c r="AH11" s="11">
        <v>40</v>
      </c>
      <c r="AI11" s="12">
        <v>0.55000000000000004</v>
      </c>
      <c r="AJ11" s="11">
        <v>7</v>
      </c>
      <c r="AK11" s="11">
        <v>20</v>
      </c>
      <c r="AL11" s="12">
        <v>0.35</v>
      </c>
      <c r="AM11" s="11">
        <v>21</v>
      </c>
      <c r="AN11" s="11">
        <v>25</v>
      </c>
      <c r="AO11" s="12">
        <v>0.84</v>
      </c>
      <c r="AP11" s="11">
        <v>11</v>
      </c>
      <c r="AQ11" s="11">
        <v>27</v>
      </c>
      <c r="AR11" s="11">
        <v>38</v>
      </c>
      <c r="AS11" s="11">
        <v>20</v>
      </c>
      <c r="AT11" s="11">
        <v>9</v>
      </c>
      <c r="AU11" s="11">
        <v>1</v>
      </c>
      <c r="AV11" s="11">
        <v>15</v>
      </c>
      <c r="AW11" s="11">
        <v>22</v>
      </c>
      <c r="AX11" s="12">
        <v>0.58589999999999998</v>
      </c>
      <c r="AY11" s="12">
        <v>0.54459999999999997</v>
      </c>
      <c r="AZ11" s="12">
        <v>0.129</v>
      </c>
      <c r="BA11" s="12">
        <v>0.65629999999999999</v>
      </c>
      <c r="BB11" s="12">
        <v>0.39679999999999999</v>
      </c>
      <c r="BC11" s="4">
        <v>72.805999999999997</v>
      </c>
      <c r="BD11" s="12">
        <v>0.85709999999999997</v>
      </c>
      <c r="BE11" s="12">
        <v>0.30359999999999998</v>
      </c>
      <c r="BF11" s="12">
        <v>0.1527</v>
      </c>
      <c r="BG11" s="4">
        <v>105.3</v>
      </c>
      <c r="BH11" s="4">
        <v>116.1</v>
      </c>
      <c r="BI11" s="4">
        <v>74.102000000000004</v>
      </c>
      <c r="BJ11" s="12">
        <v>0.60560000000000003</v>
      </c>
      <c r="BK11" s="12">
        <v>0.54169999999999996</v>
      </c>
      <c r="BL11" s="12">
        <v>0.34379999999999999</v>
      </c>
      <c r="BM11" s="12">
        <v>0.871</v>
      </c>
      <c r="BN11" s="12">
        <v>0.60319999999999996</v>
      </c>
      <c r="BO11" s="4">
        <v>75.397999999999996</v>
      </c>
      <c r="BP11" s="12">
        <v>0.68969999999999998</v>
      </c>
      <c r="BQ11" s="12">
        <v>0.35</v>
      </c>
      <c r="BR11" s="12">
        <v>0.1744</v>
      </c>
      <c r="BS11" s="4">
        <v>116.1</v>
      </c>
      <c r="BT11" s="4">
        <v>105.3</v>
      </c>
      <c r="BU11" s="11">
        <v>20</v>
      </c>
      <c r="BV11" s="11">
        <v>20</v>
      </c>
      <c r="BW11" s="11">
        <v>17</v>
      </c>
      <c r="BX11" s="11">
        <v>21</v>
      </c>
      <c r="BY11" s="11">
        <v>22</v>
      </c>
      <c r="BZ11" s="11">
        <v>30</v>
      </c>
      <c r="CA11" s="11">
        <v>19</v>
      </c>
      <c r="CB11" s="11">
        <v>15</v>
      </c>
      <c r="CC11" s="11">
        <v>40</v>
      </c>
      <c r="CD11" s="11">
        <v>38</v>
      </c>
      <c r="CE11" s="11">
        <v>52</v>
      </c>
      <c r="CF11" s="11">
        <v>34</v>
      </c>
      <c r="CG11" s="4">
        <v>3.5</v>
      </c>
      <c r="CH11" s="13">
        <v>1.32</v>
      </c>
      <c r="CI11" s="4">
        <v>7.5</v>
      </c>
      <c r="CJ11" s="4">
        <v>-7.5</v>
      </c>
      <c r="CK11" s="4">
        <v>151.5</v>
      </c>
      <c r="CL11" s="2" t="s">
        <v>357</v>
      </c>
      <c r="CM11" s="4" t="str">
        <f>VLOOKUP(boulazac[[#This Row],[Away_team]],all[[Full name]:[Abbr]],3,FALSE)</f>
        <v>BUR</v>
      </c>
      <c r="CN11" s="4">
        <f>IF(OR(boulazac[[#This Row],[Result]]="w",boulazac[[#This Row],[Result]]="dw"),boulazac[[#This Row],[win]]-1,-1)</f>
        <v>-1</v>
      </c>
      <c r="CO11" s="4">
        <f>IF(OR(boulazac[[#This Row],[Result]]="L",boulazac[[#This Row],[Result]]="dl"),boulazac[[#This Row],[lose]]-1,-1)</f>
        <v>0.32000000000000006</v>
      </c>
      <c r="CP11" s="4">
        <f>IF(OR((boulazac[[#This Row],[Home_scored]]+boulazac[[#This Row],[Away_scored]])&gt;boulazac[[#This Row],[total]],OR(boulazac[[#This Row],[Result]]="dw",boulazac[[#This Row],[Result]]="dl")),1,0)</f>
        <v>1</v>
      </c>
      <c r="CQ11" s="4">
        <f>ABS((boulazac[[#This Row],[Home_scored]]+boulazac[[#This Row],[Away_scored]])-boulazac[[#This Row],[total]])+0.5</f>
        <v>13</v>
      </c>
    </row>
    <row r="12" spans="1:95" x14ac:dyDescent="0.25">
      <c r="A12" s="2" t="s">
        <v>349</v>
      </c>
      <c r="B12" s="2" t="s">
        <v>323</v>
      </c>
      <c r="C12" s="3" t="s">
        <v>73</v>
      </c>
      <c r="D12" s="3">
        <v>45611</v>
      </c>
      <c r="E12" s="2" t="s">
        <v>74</v>
      </c>
      <c r="F12" s="2" t="s">
        <v>336</v>
      </c>
      <c r="G12" s="2" t="s">
        <v>139</v>
      </c>
      <c r="H12" s="11">
        <v>77</v>
      </c>
      <c r="I12" s="11">
        <v>98</v>
      </c>
      <c r="J12" s="11">
        <v>24</v>
      </c>
      <c r="K12" s="11">
        <v>48</v>
      </c>
      <c r="L12" s="12">
        <v>0.5</v>
      </c>
      <c r="M12" s="11">
        <v>15</v>
      </c>
      <c r="N12" s="11">
        <v>24</v>
      </c>
      <c r="O12" s="12">
        <v>0.625</v>
      </c>
      <c r="P12" s="11">
        <v>9</v>
      </c>
      <c r="Q12" s="11">
        <v>24</v>
      </c>
      <c r="R12" s="12">
        <v>0.375</v>
      </c>
      <c r="S12" s="11">
        <v>20</v>
      </c>
      <c r="T12" s="11">
        <v>24</v>
      </c>
      <c r="U12" s="12">
        <v>0.83330000000000004</v>
      </c>
      <c r="V12" s="11">
        <v>6</v>
      </c>
      <c r="W12" s="11">
        <v>21</v>
      </c>
      <c r="X12" s="11">
        <v>27</v>
      </c>
      <c r="Y12" s="11">
        <v>22</v>
      </c>
      <c r="Z12" s="11">
        <v>6</v>
      </c>
      <c r="AA12" s="11">
        <v>0</v>
      </c>
      <c r="AB12" s="11">
        <v>21</v>
      </c>
      <c r="AC12" s="11">
        <v>22</v>
      </c>
      <c r="AD12" s="11">
        <v>32</v>
      </c>
      <c r="AE12" s="11">
        <v>65</v>
      </c>
      <c r="AF12" s="12">
        <v>0.49230000000000002</v>
      </c>
      <c r="AG12" s="11">
        <v>18</v>
      </c>
      <c r="AH12" s="11">
        <v>36</v>
      </c>
      <c r="AI12" s="12">
        <v>0.5</v>
      </c>
      <c r="AJ12" s="11">
        <v>14</v>
      </c>
      <c r="AK12" s="11">
        <v>29</v>
      </c>
      <c r="AL12" s="12">
        <v>0.48280000000000001</v>
      </c>
      <c r="AM12" s="11">
        <v>20</v>
      </c>
      <c r="AN12" s="11">
        <v>22</v>
      </c>
      <c r="AO12" s="12">
        <v>0.90910000000000002</v>
      </c>
      <c r="AP12" s="11">
        <v>11</v>
      </c>
      <c r="AQ12" s="11">
        <v>19</v>
      </c>
      <c r="AR12" s="11">
        <v>30</v>
      </c>
      <c r="AS12" s="11">
        <v>21</v>
      </c>
      <c r="AT12" s="11">
        <v>8</v>
      </c>
      <c r="AU12" s="11">
        <v>3</v>
      </c>
      <c r="AV12" s="11">
        <v>10</v>
      </c>
      <c r="AW12" s="11">
        <v>26</v>
      </c>
      <c r="AX12" s="12">
        <v>0.65739999999999998</v>
      </c>
      <c r="AY12" s="12">
        <v>0.59379999999999999</v>
      </c>
      <c r="AZ12" s="12">
        <v>0.24</v>
      </c>
      <c r="BA12" s="12">
        <v>0.65629999999999999</v>
      </c>
      <c r="BB12" s="12">
        <v>0.47370000000000001</v>
      </c>
      <c r="BC12" s="4">
        <v>72.893000000000001</v>
      </c>
      <c r="BD12" s="12">
        <v>0.91669999999999996</v>
      </c>
      <c r="BE12" s="12">
        <v>0.41670000000000001</v>
      </c>
      <c r="BF12" s="12">
        <v>0.26400000000000001</v>
      </c>
      <c r="BG12" s="4">
        <v>107.1</v>
      </c>
      <c r="BH12" s="4">
        <v>136.4</v>
      </c>
      <c r="BI12" s="4">
        <v>71.873000000000005</v>
      </c>
      <c r="BJ12" s="12">
        <v>0.65610000000000002</v>
      </c>
      <c r="BK12" s="12">
        <v>0.6</v>
      </c>
      <c r="BL12" s="12">
        <v>0.34379999999999999</v>
      </c>
      <c r="BM12" s="12">
        <v>0.76</v>
      </c>
      <c r="BN12" s="12">
        <v>0.52629999999999999</v>
      </c>
      <c r="BO12" s="4">
        <v>70.852999999999994</v>
      </c>
      <c r="BP12" s="12">
        <v>0.65629999999999999</v>
      </c>
      <c r="BQ12" s="12">
        <v>0.30769999999999997</v>
      </c>
      <c r="BR12" s="12">
        <v>0.1181</v>
      </c>
      <c r="BS12" s="4">
        <v>136.4</v>
      </c>
      <c r="BT12" s="4">
        <v>107.1</v>
      </c>
      <c r="BU12" s="11">
        <v>17</v>
      </c>
      <c r="BV12" s="11">
        <v>25</v>
      </c>
      <c r="BW12" s="11">
        <v>20</v>
      </c>
      <c r="BX12" s="11">
        <v>15</v>
      </c>
      <c r="BY12" s="11">
        <v>22</v>
      </c>
      <c r="BZ12" s="11">
        <v>19</v>
      </c>
      <c r="CA12" s="11">
        <v>29</v>
      </c>
      <c r="CB12" s="11">
        <v>28</v>
      </c>
      <c r="CC12" s="11">
        <v>42</v>
      </c>
      <c r="CD12" s="11">
        <v>35</v>
      </c>
      <c r="CE12" s="11">
        <v>41</v>
      </c>
      <c r="CF12" s="11">
        <v>57</v>
      </c>
      <c r="CG12" s="4">
        <v>2.8</v>
      </c>
      <c r="CH12" s="13">
        <v>1.45</v>
      </c>
      <c r="CI12" s="4">
        <v>5.5</v>
      </c>
      <c r="CJ12" s="4">
        <v>-5.5</v>
      </c>
      <c r="CK12" s="4">
        <v>158.5</v>
      </c>
      <c r="CL12" s="2" t="s">
        <v>412</v>
      </c>
      <c r="CM12" s="4" t="str">
        <f>VLOOKUP(boulazac[[#This Row],[Away_team]],all[[Full name]:[Abbr]],3,FALSE)</f>
        <v>NAN</v>
      </c>
      <c r="CN12" s="4">
        <f>IF(OR(boulazac[[#This Row],[Result]]="w",boulazac[[#This Row],[Result]]="dw"),boulazac[[#This Row],[win]]-1,-1)</f>
        <v>-1</v>
      </c>
      <c r="CO12" s="4">
        <f>IF(OR(boulazac[[#This Row],[Result]]="L",boulazac[[#This Row],[Result]]="dl"),boulazac[[#This Row],[lose]]-1,-1)</f>
        <v>0.44999999999999996</v>
      </c>
      <c r="CP12" s="4">
        <f>IF(OR((boulazac[[#This Row],[Home_scored]]+boulazac[[#This Row],[Away_scored]])&gt;boulazac[[#This Row],[total]],OR(boulazac[[#This Row],[Result]]="dw",boulazac[[#This Row],[Result]]="dl")),1,0)</f>
        <v>1</v>
      </c>
      <c r="CQ12" s="4">
        <f>ABS((boulazac[[#This Row],[Home_scored]]+boulazac[[#This Row],[Away_scored]])-boulazac[[#This Row],[total]])+0.5</f>
        <v>17</v>
      </c>
    </row>
    <row r="13" spans="1:95" x14ac:dyDescent="0.25">
      <c r="A13" s="2" t="s">
        <v>349</v>
      </c>
      <c r="B13" s="2" t="s">
        <v>323</v>
      </c>
      <c r="C13" s="3" t="s">
        <v>73</v>
      </c>
      <c r="D13" s="3">
        <v>45626</v>
      </c>
      <c r="E13" s="2" t="s">
        <v>140</v>
      </c>
      <c r="F13" s="2" t="s">
        <v>324</v>
      </c>
      <c r="G13" s="2" t="s">
        <v>139</v>
      </c>
      <c r="H13" s="11">
        <v>62</v>
      </c>
      <c r="I13" s="11">
        <v>83</v>
      </c>
      <c r="J13" s="11">
        <v>20</v>
      </c>
      <c r="K13" s="11">
        <v>55</v>
      </c>
      <c r="L13" s="12">
        <v>0.36359999999999998</v>
      </c>
      <c r="M13" s="11">
        <v>16</v>
      </c>
      <c r="N13" s="11">
        <v>32</v>
      </c>
      <c r="O13" s="12">
        <v>0.5</v>
      </c>
      <c r="P13" s="11">
        <v>4</v>
      </c>
      <c r="Q13" s="11">
        <v>23</v>
      </c>
      <c r="R13" s="12">
        <v>0.1739</v>
      </c>
      <c r="S13" s="11">
        <v>18</v>
      </c>
      <c r="T13" s="11">
        <v>23</v>
      </c>
      <c r="U13" s="12">
        <v>0.78259999999999996</v>
      </c>
      <c r="V13" s="11">
        <v>5</v>
      </c>
      <c r="W13" s="11">
        <v>26</v>
      </c>
      <c r="X13" s="11">
        <v>31</v>
      </c>
      <c r="Y13" s="11">
        <v>20</v>
      </c>
      <c r="Z13" s="11">
        <v>6</v>
      </c>
      <c r="AA13" s="11">
        <v>2</v>
      </c>
      <c r="AB13" s="11">
        <v>9</v>
      </c>
      <c r="AC13" s="11">
        <v>21</v>
      </c>
      <c r="AD13" s="11">
        <v>26</v>
      </c>
      <c r="AE13" s="11">
        <v>61</v>
      </c>
      <c r="AF13" s="12">
        <v>0.42620000000000002</v>
      </c>
      <c r="AG13" s="11">
        <v>12</v>
      </c>
      <c r="AH13" s="11">
        <v>32</v>
      </c>
      <c r="AI13" s="12">
        <v>0.375</v>
      </c>
      <c r="AJ13" s="11">
        <v>14</v>
      </c>
      <c r="AK13" s="11">
        <v>29</v>
      </c>
      <c r="AL13" s="12">
        <v>0.48280000000000001</v>
      </c>
      <c r="AM13" s="11">
        <v>17</v>
      </c>
      <c r="AN13" s="11">
        <v>21</v>
      </c>
      <c r="AO13" s="12">
        <v>0.8095</v>
      </c>
      <c r="AP13" s="11">
        <v>9</v>
      </c>
      <c r="AQ13" s="11">
        <v>33</v>
      </c>
      <c r="AR13" s="11">
        <v>42</v>
      </c>
      <c r="AS13" s="11">
        <v>23</v>
      </c>
      <c r="AT13" s="11">
        <v>4</v>
      </c>
      <c r="AU13" s="11">
        <v>3</v>
      </c>
      <c r="AV13" s="11">
        <v>9</v>
      </c>
      <c r="AW13" s="11">
        <v>18</v>
      </c>
      <c r="AX13" s="12">
        <v>0.47599999999999998</v>
      </c>
      <c r="AY13" s="12">
        <v>0.4</v>
      </c>
      <c r="AZ13" s="12">
        <v>0.13159999999999999</v>
      </c>
      <c r="BA13" s="12">
        <v>0.7429</v>
      </c>
      <c r="BB13" s="12">
        <v>0.42470000000000002</v>
      </c>
      <c r="BC13" s="4">
        <v>67.16</v>
      </c>
      <c r="BD13" s="12">
        <v>1</v>
      </c>
      <c r="BE13" s="12">
        <v>0.32729999999999998</v>
      </c>
      <c r="BF13" s="12">
        <v>0.12139999999999999</v>
      </c>
      <c r="BG13" s="4">
        <v>90.2</v>
      </c>
      <c r="BH13" s="4">
        <v>120.7</v>
      </c>
      <c r="BI13" s="4">
        <v>68.767499999999998</v>
      </c>
      <c r="BJ13" s="12">
        <v>0.59079999999999999</v>
      </c>
      <c r="BK13" s="12">
        <v>0.54100000000000004</v>
      </c>
      <c r="BL13" s="12">
        <v>0.2571</v>
      </c>
      <c r="BM13" s="12">
        <v>0.86839999999999995</v>
      </c>
      <c r="BN13" s="12">
        <v>0.57530000000000003</v>
      </c>
      <c r="BO13" s="4">
        <v>70.375</v>
      </c>
      <c r="BP13" s="12">
        <v>0.88460000000000005</v>
      </c>
      <c r="BQ13" s="12">
        <v>0.2787</v>
      </c>
      <c r="BR13" s="12">
        <v>0.11360000000000001</v>
      </c>
      <c r="BS13" s="4">
        <v>120.7</v>
      </c>
      <c r="BT13" s="4">
        <v>90.2</v>
      </c>
      <c r="BU13" s="11">
        <v>16</v>
      </c>
      <c r="BV13" s="11">
        <v>19</v>
      </c>
      <c r="BW13" s="11">
        <v>18</v>
      </c>
      <c r="BX13" s="11">
        <v>9</v>
      </c>
      <c r="BY13" s="11">
        <v>25</v>
      </c>
      <c r="BZ13" s="11">
        <v>19</v>
      </c>
      <c r="CA13" s="11">
        <v>18</v>
      </c>
      <c r="CB13" s="11">
        <v>21</v>
      </c>
      <c r="CC13" s="11">
        <v>35</v>
      </c>
      <c r="CD13" s="11">
        <v>27</v>
      </c>
      <c r="CE13" s="11">
        <v>44</v>
      </c>
      <c r="CF13" s="11">
        <v>39</v>
      </c>
      <c r="CG13" s="4">
        <v>4.5</v>
      </c>
      <c r="CH13" s="13">
        <v>1.22</v>
      </c>
      <c r="CI13" s="4">
        <v>9.5</v>
      </c>
      <c r="CJ13" s="4">
        <v>-9.5</v>
      </c>
      <c r="CK13" s="4">
        <v>153.5</v>
      </c>
      <c r="CL13" s="2" t="s">
        <v>413</v>
      </c>
      <c r="CM13" s="4" t="str">
        <f>VLOOKUP(boulazac[[#This Row],[Away_team]],all[[Full name]:[Abbr]],3,FALSE)</f>
        <v>LIM</v>
      </c>
      <c r="CN13" s="4">
        <f>IF(OR(boulazac[[#This Row],[Result]]="w",boulazac[[#This Row],[Result]]="dw"),boulazac[[#This Row],[win]]-1,-1)</f>
        <v>-1</v>
      </c>
      <c r="CO13" s="4">
        <f>IF(OR(boulazac[[#This Row],[Result]]="L",boulazac[[#This Row],[Result]]="dl"),boulazac[[#This Row],[lose]]-1,-1)</f>
        <v>0.21999999999999997</v>
      </c>
      <c r="CP13" s="4">
        <f>IF(OR((boulazac[[#This Row],[Home_scored]]+boulazac[[#This Row],[Away_scored]])&gt;boulazac[[#This Row],[total]],OR(boulazac[[#This Row],[Result]]="dw",boulazac[[#This Row],[Result]]="dl")),1,0)</f>
        <v>0</v>
      </c>
      <c r="CQ13" s="4">
        <f>ABS((boulazac[[#This Row],[Home_scored]]+boulazac[[#This Row],[Away_scored]])-boulazac[[#This Row],[total]])+0.5</f>
        <v>9</v>
      </c>
    </row>
    <row r="14" spans="1:95" x14ac:dyDescent="0.25">
      <c r="A14" s="2" t="s">
        <v>349</v>
      </c>
      <c r="B14" s="2" t="s">
        <v>323</v>
      </c>
      <c r="C14" s="3" t="s">
        <v>73</v>
      </c>
      <c r="D14" s="3">
        <v>45634</v>
      </c>
      <c r="E14" s="2" t="s">
        <v>74</v>
      </c>
      <c r="F14" s="2" t="s">
        <v>314</v>
      </c>
      <c r="G14" s="2" t="s">
        <v>139</v>
      </c>
      <c r="H14" s="11">
        <v>76</v>
      </c>
      <c r="I14" s="11">
        <v>88</v>
      </c>
      <c r="J14" s="11">
        <v>31</v>
      </c>
      <c r="K14" s="11">
        <v>66</v>
      </c>
      <c r="L14" s="12">
        <v>0.46970000000000001</v>
      </c>
      <c r="M14" s="11">
        <v>22</v>
      </c>
      <c r="N14" s="11">
        <v>38</v>
      </c>
      <c r="O14" s="12">
        <v>0.57889999999999997</v>
      </c>
      <c r="P14" s="11">
        <v>9</v>
      </c>
      <c r="Q14" s="11">
        <v>28</v>
      </c>
      <c r="R14" s="12">
        <v>0.32140000000000002</v>
      </c>
      <c r="S14" s="11">
        <v>5</v>
      </c>
      <c r="T14" s="11">
        <v>10</v>
      </c>
      <c r="U14" s="12">
        <v>0.5</v>
      </c>
      <c r="V14" s="11">
        <v>7</v>
      </c>
      <c r="W14" s="11">
        <v>25</v>
      </c>
      <c r="X14" s="11">
        <v>32</v>
      </c>
      <c r="Y14" s="11">
        <v>25</v>
      </c>
      <c r="Z14" s="11">
        <v>4</v>
      </c>
      <c r="AA14" s="11">
        <v>0</v>
      </c>
      <c r="AB14" s="11">
        <v>9</v>
      </c>
      <c r="AC14" s="11">
        <v>23</v>
      </c>
      <c r="AD14" s="11">
        <v>28</v>
      </c>
      <c r="AE14" s="11">
        <v>60</v>
      </c>
      <c r="AF14" s="12">
        <v>0.4667</v>
      </c>
      <c r="AG14" s="11">
        <v>15</v>
      </c>
      <c r="AH14" s="11">
        <v>31</v>
      </c>
      <c r="AI14" s="12">
        <v>0.4839</v>
      </c>
      <c r="AJ14" s="11">
        <v>13</v>
      </c>
      <c r="AK14" s="11">
        <v>29</v>
      </c>
      <c r="AL14" s="12">
        <v>0.44829999999999998</v>
      </c>
      <c r="AM14" s="11">
        <v>19</v>
      </c>
      <c r="AN14" s="11">
        <v>22</v>
      </c>
      <c r="AO14" s="12">
        <v>0.86360000000000003</v>
      </c>
      <c r="AP14" s="11">
        <v>9</v>
      </c>
      <c r="AQ14" s="11">
        <v>27</v>
      </c>
      <c r="AR14" s="11">
        <v>36</v>
      </c>
      <c r="AS14" s="11">
        <v>14</v>
      </c>
      <c r="AT14" s="11">
        <v>3</v>
      </c>
      <c r="AU14" s="11">
        <v>1</v>
      </c>
      <c r="AV14" s="11">
        <v>13</v>
      </c>
      <c r="AW14" s="11">
        <v>21</v>
      </c>
      <c r="AX14" s="12">
        <v>0.53979999999999995</v>
      </c>
      <c r="AY14" s="12">
        <v>0.53790000000000004</v>
      </c>
      <c r="AZ14" s="12">
        <v>0.2059</v>
      </c>
      <c r="BA14" s="12">
        <v>0.73529999999999995</v>
      </c>
      <c r="BB14" s="12">
        <v>0.47060000000000002</v>
      </c>
      <c r="BC14" s="4">
        <v>70.808000000000007</v>
      </c>
      <c r="BD14" s="12">
        <v>0.80649999999999999</v>
      </c>
      <c r="BE14" s="12">
        <v>7.5800000000000006E-2</v>
      </c>
      <c r="BF14" s="12">
        <v>0.1134</v>
      </c>
      <c r="BG14" s="4">
        <v>105.5</v>
      </c>
      <c r="BH14" s="4">
        <v>122.2</v>
      </c>
      <c r="BI14" s="4">
        <v>72.024000000000001</v>
      </c>
      <c r="BJ14" s="12">
        <v>0.63149999999999995</v>
      </c>
      <c r="BK14" s="12">
        <v>0.57499999999999996</v>
      </c>
      <c r="BL14" s="12">
        <v>0.26469999999999999</v>
      </c>
      <c r="BM14" s="12">
        <v>0.79410000000000003</v>
      </c>
      <c r="BN14" s="12">
        <v>0.52939999999999998</v>
      </c>
      <c r="BO14" s="4">
        <v>73.239999999999995</v>
      </c>
      <c r="BP14" s="12">
        <v>0.5</v>
      </c>
      <c r="BQ14" s="12">
        <v>0.31669999999999998</v>
      </c>
      <c r="BR14" s="12">
        <v>0.15720000000000001</v>
      </c>
      <c r="BS14" s="4">
        <v>122.2</v>
      </c>
      <c r="BT14" s="4">
        <v>105.5</v>
      </c>
      <c r="BU14" s="11">
        <v>16</v>
      </c>
      <c r="BV14" s="11">
        <v>24</v>
      </c>
      <c r="BW14" s="11">
        <v>13</v>
      </c>
      <c r="BX14" s="11">
        <v>23</v>
      </c>
      <c r="BY14" s="11">
        <v>31</v>
      </c>
      <c r="BZ14" s="11">
        <v>19</v>
      </c>
      <c r="CA14" s="11">
        <v>18</v>
      </c>
      <c r="CB14" s="11">
        <v>20</v>
      </c>
      <c r="CC14" s="11">
        <v>40</v>
      </c>
      <c r="CD14" s="11">
        <v>36</v>
      </c>
      <c r="CE14" s="11">
        <v>50</v>
      </c>
      <c r="CF14" s="11">
        <v>38</v>
      </c>
      <c r="CG14" s="4">
        <v>3.1</v>
      </c>
      <c r="CH14" s="13">
        <v>1.38</v>
      </c>
      <c r="CI14" s="4">
        <v>6.5</v>
      </c>
      <c r="CJ14" s="4">
        <v>-6.5</v>
      </c>
      <c r="CK14" s="4">
        <v>154.5</v>
      </c>
      <c r="CL14" s="2" t="s">
        <v>438</v>
      </c>
      <c r="CM14" s="4" t="str">
        <f>VLOOKUP(boulazac[[#This Row],[Away_team]],all[[Full name]:[Abbr]],3,FALSE)</f>
        <v>DUN</v>
      </c>
      <c r="CN14" s="4">
        <f>IF(OR(boulazac[[#This Row],[Result]]="w",boulazac[[#This Row],[Result]]="dw"),boulazac[[#This Row],[win]]-1,-1)</f>
        <v>-1</v>
      </c>
      <c r="CO14" s="4">
        <f>IF(OR(boulazac[[#This Row],[Result]]="L",boulazac[[#This Row],[Result]]="dl"),boulazac[[#This Row],[lose]]-1,-1)</f>
        <v>0.37999999999999989</v>
      </c>
      <c r="CP14" s="4">
        <f>IF(OR((boulazac[[#This Row],[Home_scored]]+boulazac[[#This Row],[Away_scored]])&gt;boulazac[[#This Row],[total]],OR(boulazac[[#This Row],[Result]]="dw",boulazac[[#This Row],[Result]]="dl")),1,0)</f>
        <v>1</v>
      </c>
      <c r="CQ14" s="4">
        <f>ABS((boulazac[[#This Row],[Home_scored]]+boulazac[[#This Row],[Away_scored]])-boulazac[[#This Row],[total]])+0.5</f>
        <v>10</v>
      </c>
    </row>
    <row r="15" spans="1:95" x14ac:dyDescent="0.25">
      <c r="A15" s="2" t="s">
        <v>349</v>
      </c>
      <c r="B15" s="2" t="s">
        <v>323</v>
      </c>
      <c r="C15" s="3" t="s">
        <v>73</v>
      </c>
      <c r="D15" s="3">
        <v>45639</v>
      </c>
      <c r="E15" s="2" t="s">
        <v>74</v>
      </c>
      <c r="F15" s="2" t="s">
        <v>345</v>
      </c>
      <c r="G15" s="2" t="s">
        <v>139</v>
      </c>
      <c r="H15" s="11">
        <v>71</v>
      </c>
      <c r="I15" s="11">
        <v>78</v>
      </c>
      <c r="J15" s="11">
        <v>27</v>
      </c>
      <c r="K15" s="11">
        <v>57</v>
      </c>
      <c r="L15" s="12">
        <v>0.47370000000000001</v>
      </c>
      <c r="M15" s="11">
        <v>20</v>
      </c>
      <c r="N15" s="11">
        <v>37</v>
      </c>
      <c r="O15" s="12">
        <v>0.54049999999999998</v>
      </c>
      <c r="P15" s="11">
        <v>7</v>
      </c>
      <c r="Q15" s="11">
        <v>20</v>
      </c>
      <c r="R15" s="12">
        <v>0.35</v>
      </c>
      <c r="S15" s="11">
        <v>10</v>
      </c>
      <c r="T15" s="11">
        <v>16</v>
      </c>
      <c r="U15" s="12">
        <v>0.625</v>
      </c>
      <c r="V15" s="11">
        <v>6</v>
      </c>
      <c r="W15" s="11">
        <v>26</v>
      </c>
      <c r="X15" s="11">
        <v>32</v>
      </c>
      <c r="Y15" s="11">
        <v>21</v>
      </c>
      <c r="Z15" s="11">
        <v>5</v>
      </c>
      <c r="AA15" s="11">
        <v>4</v>
      </c>
      <c r="AB15" s="11">
        <v>15</v>
      </c>
      <c r="AC15" s="11">
        <v>24</v>
      </c>
      <c r="AD15" s="11">
        <v>25</v>
      </c>
      <c r="AE15" s="11">
        <v>61</v>
      </c>
      <c r="AF15" s="12">
        <v>0.4098</v>
      </c>
      <c r="AG15" s="11">
        <v>15</v>
      </c>
      <c r="AH15" s="11">
        <v>34</v>
      </c>
      <c r="AI15" s="12">
        <v>0.44119999999999998</v>
      </c>
      <c r="AJ15" s="11">
        <v>10</v>
      </c>
      <c r="AK15" s="11">
        <v>27</v>
      </c>
      <c r="AL15" s="12">
        <v>0.37040000000000001</v>
      </c>
      <c r="AM15" s="11">
        <v>18</v>
      </c>
      <c r="AN15" s="11">
        <v>23</v>
      </c>
      <c r="AO15" s="12">
        <v>0.78259999999999996</v>
      </c>
      <c r="AP15" s="11">
        <v>11</v>
      </c>
      <c r="AQ15" s="11">
        <v>26</v>
      </c>
      <c r="AR15" s="11">
        <v>37</v>
      </c>
      <c r="AS15" s="11">
        <v>21</v>
      </c>
      <c r="AT15" s="11">
        <v>8</v>
      </c>
      <c r="AU15" s="11">
        <v>3</v>
      </c>
      <c r="AV15" s="11">
        <v>11</v>
      </c>
      <c r="AW15" s="11">
        <v>23</v>
      </c>
      <c r="AX15" s="12">
        <v>0.55430000000000001</v>
      </c>
      <c r="AY15" s="12">
        <v>0.53510000000000002</v>
      </c>
      <c r="AZ15" s="12">
        <v>0.1875</v>
      </c>
      <c r="BA15" s="12">
        <v>0.70269999999999999</v>
      </c>
      <c r="BB15" s="12">
        <v>0.46379999999999999</v>
      </c>
      <c r="BC15" s="4">
        <v>72.381</v>
      </c>
      <c r="BD15" s="12">
        <v>0.77780000000000005</v>
      </c>
      <c r="BE15" s="12">
        <v>0.1754</v>
      </c>
      <c r="BF15" s="12">
        <v>0.1898</v>
      </c>
      <c r="BG15" s="4">
        <v>99.9</v>
      </c>
      <c r="BH15" s="4">
        <v>109.8</v>
      </c>
      <c r="BI15" s="4">
        <v>71.064499999999995</v>
      </c>
      <c r="BJ15" s="12">
        <v>0.5484</v>
      </c>
      <c r="BK15" s="12">
        <v>0.49180000000000001</v>
      </c>
      <c r="BL15" s="12">
        <v>0.29730000000000001</v>
      </c>
      <c r="BM15" s="12">
        <v>0.8125</v>
      </c>
      <c r="BN15" s="12">
        <v>0.53620000000000001</v>
      </c>
      <c r="BO15" s="4">
        <v>69.748000000000005</v>
      </c>
      <c r="BP15" s="12">
        <v>0.84</v>
      </c>
      <c r="BQ15" s="12">
        <v>0.29509999999999997</v>
      </c>
      <c r="BR15" s="12">
        <v>0.13400000000000001</v>
      </c>
      <c r="BS15" s="4">
        <v>109.8</v>
      </c>
      <c r="BT15" s="4">
        <v>99.9</v>
      </c>
      <c r="BU15" s="11">
        <v>20</v>
      </c>
      <c r="BV15" s="11">
        <v>16</v>
      </c>
      <c r="BW15" s="11">
        <v>17</v>
      </c>
      <c r="BX15" s="11">
        <v>18</v>
      </c>
      <c r="BY15" s="11">
        <v>17</v>
      </c>
      <c r="BZ15" s="11">
        <v>26</v>
      </c>
      <c r="CA15" s="11">
        <v>11</v>
      </c>
      <c r="CB15" s="11">
        <v>24</v>
      </c>
      <c r="CC15" s="11">
        <v>36</v>
      </c>
      <c r="CD15" s="11">
        <v>35</v>
      </c>
      <c r="CE15" s="11">
        <v>43</v>
      </c>
      <c r="CF15" s="11">
        <v>35</v>
      </c>
      <c r="CG15" s="4">
        <v>2.95</v>
      </c>
      <c r="CH15" s="13">
        <v>1.42</v>
      </c>
      <c r="CI15" s="4">
        <v>6</v>
      </c>
      <c r="CJ15" s="4">
        <v>-6</v>
      </c>
      <c r="CK15" s="4">
        <v>158.5</v>
      </c>
      <c r="CL15" s="2" t="s">
        <v>441</v>
      </c>
      <c r="CM15" s="4" t="str">
        <f>VLOOKUP(boulazac[[#This Row],[Away_team]],all[[Full name]:[Abbr]],3,FALSE)</f>
        <v>STR</v>
      </c>
      <c r="CN15" s="4">
        <f>IF(OR(boulazac[[#This Row],[Result]]="w",boulazac[[#This Row],[Result]]="dw"),boulazac[[#This Row],[win]]-1,-1)</f>
        <v>-1</v>
      </c>
      <c r="CO15" s="4">
        <f>IF(OR(boulazac[[#This Row],[Result]]="L",boulazac[[#This Row],[Result]]="dl"),boulazac[[#This Row],[lose]]-1,-1)</f>
        <v>0.41999999999999993</v>
      </c>
      <c r="CP15" s="4">
        <f>IF(OR((boulazac[[#This Row],[Home_scored]]+boulazac[[#This Row],[Away_scored]])&gt;boulazac[[#This Row],[total]],OR(boulazac[[#This Row],[Result]]="dw",boulazac[[#This Row],[Result]]="dl")),1,0)</f>
        <v>0</v>
      </c>
      <c r="CQ15" s="4">
        <f>ABS((boulazac[[#This Row],[Home_scored]]+boulazac[[#This Row],[Away_scored]])-boulazac[[#This Row],[total]])+0.5</f>
        <v>10</v>
      </c>
    </row>
    <row r="16" spans="1:95" x14ac:dyDescent="0.25">
      <c r="A16" s="2" t="s">
        <v>349</v>
      </c>
      <c r="B16" s="2" t="s">
        <v>323</v>
      </c>
      <c r="C16" s="3" t="s">
        <v>73</v>
      </c>
      <c r="D16" s="3">
        <v>45647</v>
      </c>
      <c r="E16" s="2" t="s">
        <v>140</v>
      </c>
      <c r="F16" s="2" t="s">
        <v>317</v>
      </c>
      <c r="G16" s="2" t="s">
        <v>139</v>
      </c>
      <c r="H16" s="11">
        <v>71</v>
      </c>
      <c r="I16" s="11">
        <v>81</v>
      </c>
      <c r="J16" s="11">
        <v>24</v>
      </c>
      <c r="K16" s="11">
        <v>54</v>
      </c>
      <c r="L16" s="12">
        <v>0.44440000000000002</v>
      </c>
      <c r="M16" s="11">
        <v>17</v>
      </c>
      <c r="N16" s="11">
        <v>32</v>
      </c>
      <c r="O16" s="12">
        <v>0.53129999999999999</v>
      </c>
      <c r="P16" s="11">
        <v>7</v>
      </c>
      <c r="Q16" s="11">
        <v>22</v>
      </c>
      <c r="R16" s="12">
        <v>0.31819999999999998</v>
      </c>
      <c r="S16" s="11">
        <v>16</v>
      </c>
      <c r="T16" s="11">
        <v>20</v>
      </c>
      <c r="U16" s="12">
        <v>0.8</v>
      </c>
      <c r="V16" s="11">
        <v>4</v>
      </c>
      <c r="W16" s="11">
        <v>29</v>
      </c>
      <c r="X16" s="11">
        <v>33</v>
      </c>
      <c r="Y16" s="11">
        <v>20</v>
      </c>
      <c r="Z16" s="11">
        <v>9</v>
      </c>
      <c r="AA16" s="11">
        <v>0</v>
      </c>
      <c r="AB16" s="11">
        <v>17</v>
      </c>
      <c r="AC16" s="11">
        <v>19</v>
      </c>
      <c r="AD16" s="11">
        <v>29</v>
      </c>
      <c r="AE16" s="11">
        <v>63</v>
      </c>
      <c r="AF16" s="12">
        <v>0.46029999999999999</v>
      </c>
      <c r="AG16" s="11">
        <v>21</v>
      </c>
      <c r="AH16" s="11">
        <v>34</v>
      </c>
      <c r="AI16" s="12">
        <v>0.61760000000000004</v>
      </c>
      <c r="AJ16" s="11">
        <v>8</v>
      </c>
      <c r="AK16" s="11">
        <v>29</v>
      </c>
      <c r="AL16" s="12">
        <v>0.27589999999999998</v>
      </c>
      <c r="AM16" s="11">
        <v>15</v>
      </c>
      <c r="AN16" s="11">
        <v>18</v>
      </c>
      <c r="AO16" s="12">
        <v>0.83330000000000004</v>
      </c>
      <c r="AP16" s="11">
        <v>6</v>
      </c>
      <c r="AQ16" s="11">
        <v>28</v>
      </c>
      <c r="AR16" s="11">
        <v>34</v>
      </c>
      <c r="AS16" s="11">
        <v>18</v>
      </c>
      <c r="AT16" s="11">
        <v>7</v>
      </c>
      <c r="AU16" s="11">
        <v>3</v>
      </c>
      <c r="AV16" s="11">
        <v>13</v>
      </c>
      <c r="AW16" s="11">
        <v>21</v>
      </c>
      <c r="AX16" s="12">
        <v>0.56530000000000002</v>
      </c>
      <c r="AY16" s="12">
        <v>0.50929999999999997</v>
      </c>
      <c r="AZ16" s="12">
        <v>0.125</v>
      </c>
      <c r="BA16" s="12">
        <v>0.8286</v>
      </c>
      <c r="BB16" s="12">
        <v>0.49249999999999999</v>
      </c>
      <c r="BC16" s="4">
        <v>75.108999999999995</v>
      </c>
      <c r="BD16" s="12">
        <v>0.83330000000000004</v>
      </c>
      <c r="BE16" s="12">
        <v>0.29630000000000001</v>
      </c>
      <c r="BF16" s="12">
        <v>0.21299999999999999</v>
      </c>
      <c r="BG16" s="4">
        <v>93.5</v>
      </c>
      <c r="BH16" s="4">
        <v>106.7</v>
      </c>
      <c r="BI16" s="4">
        <v>75.944500000000005</v>
      </c>
      <c r="BJ16" s="12">
        <v>0.57110000000000005</v>
      </c>
      <c r="BK16" s="12">
        <v>0.52380000000000004</v>
      </c>
      <c r="BL16" s="12">
        <v>0.1714</v>
      </c>
      <c r="BM16" s="12">
        <v>0.875</v>
      </c>
      <c r="BN16" s="12">
        <v>0.50749999999999995</v>
      </c>
      <c r="BO16" s="4">
        <v>76.78</v>
      </c>
      <c r="BP16" s="12">
        <v>0.62070000000000003</v>
      </c>
      <c r="BQ16" s="12">
        <v>0.23810000000000001</v>
      </c>
      <c r="BR16" s="12">
        <v>0.15490000000000001</v>
      </c>
      <c r="BS16" s="4">
        <v>106.7</v>
      </c>
      <c r="BT16" s="4">
        <v>93.5</v>
      </c>
      <c r="BU16" s="11">
        <v>23</v>
      </c>
      <c r="BV16" s="11">
        <v>9</v>
      </c>
      <c r="BW16" s="11">
        <v>15</v>
      </c>
      <c r="BX16" s="11">
        <v>24</v>
      </c>
      <c r="BY16" s="11">
        <v>13</v>
      </c>
      <c r="BZ16" s="11">
        <v>29</v>
      </c>
      <c r="CA16" s="11">
        <v>16</v>
      </c>
      <c r="CB16" s="11">
        <v>23</v>
      </c>
      <c r="CC16" s="11">
        <v>32</v>
      </c>
      <c r="CD16" s="11">
        <v>39</v>
      </c>
      <c r="CE16" s="11">
        <v>42</v>
      </c>
      <c r="CF16" s="11">
        <v>39</v>
      </c>
      <c r="CG16" s="4">
        <v>6</v>
      </c>
      <c r="CH16" s="13">
        <v>1.1399999999999999</v>
      </c>
      <c r="CI16" s="4">
        <v>11.5</v>
      </c>
      <c r="CJ16" s="4">
        <v>-11.5</v>
      </c>
      <c r="CK16" s="4">
        <v>158.5</v>
      </c>
      <c r="CL16" s="2" t="s">
        <v>453</v>
      </c>
      <c r="CM16" s="4" t="str">
        <f>VLOOKUP(boulazac[[#This Row],[Away_team]],all[[Full name]:[Abbr]],3,FALSE)</f>
        <v>LEM</v>
      </c>
      <c r="CN16" s="4">
        <f>IF(OR(boulazac[[#This Row],[Result]]="w",boulazac[[#This Row],[Result]]="dw"),boulazac[[#This Row],[win]]-1,-1)</f>
        <v>-1</v>
      </c>
      <c r="CO16" s="4">
        <f>IF(OR(boulazac[[#This Row],[Result]]="L",boulazac[[#This Row],[Result]]="dl"),boulazac[[#This Row],[lose]]-1,-1)</f>
        <v>0.1399999999999999</v>
      </c>
      <c r="CP16" s="4">
        <f>IF(OR((boulazac[[#This Row],[Home_scored]]+boulazac[[#This Row],[Away_scored]])&gt;boulazac[[#This Row],[total]],OR(boulazac[[#This Row],[Result]]="dw",boulazac[[#This Row],[Result]]="dl")),1,0)</f>
        <v>0</v>
      </c>
      <c r="CQ16" s="4">
        <f>ABS((boulazac[[#This Row],[Home_scored]]+boulazac[[#This Row],[Away_scored]])-boulazac[[#This Row],[total]])+0.5</f>
        <v>7</v>
      </c>
    </row>
    <row r="17" spans="1:95" x14ac:dyDescent="0.25">
      <c r="A17" s="2" t="s">
        <v>349</v>
      </c>
      <c r="B17" s="2" t="s">
        <v>323</v>
      </c>
      <c r="C17" s="3" t="s">
        <v>73</v>
      </c>
      <c r="D17" s="3">
        <v>45662</v>
      </c>
      <c r="E17" s="2" t="s">
        <v>74</v>
      </c>
      <c r="F17" s="2" t="s">
        <v>327</v>
      </c>
      <c r="G17" s="2" t="s">
        <v>139</v>
      </c>
      <c r="H17" s="11">
        <v>75</v>
      </c>
      <c r="I17" s="11">
        <v>79</v>
      </c>
      <c r="J17" s="11">
        <v>28</v>
      </c>
      <c r="K17" s="11">
        <v>72</v>
      </c>
      <c r="L17" s="12">
        <v>0.38890000000000002</v>
      </c>
      <c r="M17" s="11">
        <v>17</v>
      </c>
      <c r="N17" s="11">
        <v>46</v>
      </c>
      <c r="O17" s="12">
        <v>0.36959999999999998</v>
      </c>
      <c r="P17" s="11">
        <v>11</v>
      </c>
      <c r="Q17" s="11">
        <v>26</v>
      </c>
      <c r="R17" s="12">
        <v>0.42309999999999998</v>
      </c>
      <c r="S17" s="11">
        <v>8</v>
      </c>
      <c r="T17" s="11">
        <v>10</v>
      </c>
      <c r="U17" s="12">
        <v>0.8</v>
      </c>
      <c r="V17" s="11">
        <v>14</v>
      </c>
      <c r="W17" s="11">
        <v>28</v>
      </c>
      <c r="X17" s="11">
        <v>42</v>
      </c>
      <c r="Y17" s="11">
        <v>27</v>
      </c>
      <c r="Z17" s="11">
        <v>5</v>
      </c>
      <c r="AA17" s="11">
        <v>6</v>
      </c>
      <c r="AB17" s="11">
        <v>13</v>
      </c>
      <c r="AC17" s="11">
        <v>25</v>
      </c>
      <c r="AD17" s="11">
        <v>25</v>
      </c>
      <c r="AE17" s="11">
        <v>63</v>
      </c>
      <c r="AF17" s="12">
        <v>0.39679999999999999</v>
      </c>
      <c r="AG17" s="11">
        <v>14</v>
      </c>
      <c r="AH17" s="11">
        <v>33</v>
      </c>
      <c r="AI17" s="12">
        <v>0.42420000000000002</v>
      </c>
      <c r="AJ17" s="11">
        <v>11</v>
      </c>
      <c r="AK17" s="11">
        <v>30</v>
      </c>
      <c r="AL17" s="12">
        <v>0.36670000000000003</v>
      </c>
      <c r="AM17" s="11">
        <v>18</v>
      </c>
      <c r="AN17" s="11">
        <v>27</v>
      </c>
      <c r="AO17" s="12">
        <v>0.66669999999999996</v>
      </c>
      <c r="AP17" s="11">
        <v>14</v>
      </c>
      <c r="AQ17" s="11">
        <v>30</v>
      </c>
      <c r="AR17" s="11">
        <v>44</v>
      </c>
      <c r="AS17" s="11">
        <v>17</v>
      </c>
      <c r="AT17" s="11">
        <v>8</v>
      </c>
      <c r="AU17" s="11">
        <v>6</v>
      </c>
      <c r="AV17" s="11">
        <v>7</v>
      </c>
      <c r="AW17" s="11">
        <v>14</v>
      </c>
      <c r="AX17" s="12">
        <v>0.49080000000000001</v>
      </c>
      <c r="AY17" s="12">
        <v>0.46529999999999999</v>
      </c>
      <c r="AZ17" s="12">
        <v>0.31819999999999998</v>
      </c>
      <c r="BA17" s="12">
        <v>0.66669999999999996</v>
      </c>
      <c r="BB17" s="12">
        <v>0.4884</v>
      </c>
      <c r="BC17" s="4">
        <v>73.307000000000002</v>
      </c>
      <c r="BD17" s="12">
        <v>0.96430000000000005</v>
      </c>
      <c r="BE17" s="12">
        <v>0.1111</v>
      </c>
      <c r="BF17" s="12">
        <v>0.1454</v>
      </c>
      <c r="BG17" s="4">
        <v>106.3</v>
      </c>
      <c r="BH17" s="4">
        <v>111.9</v>
      </c>
      <c r="BI17" s="4">
        <v>70.584999999999994</v>
      </c>
      <c r="BJ17" s="12">
        <v>0.52749999999999997</v>
      </c>
      <c r="BK17" s="12">
        <v>0.48409999999999997</v>
      </c>
      <c r="BL17" s="12">
        <v>0.33329999999999999</v>
      </c>
      <c r="BM17" s="12">
        <v>0.68179999999999996</v>
      </c>
      <c r="BN17" s="12">
        <v>0.51160000000000005</v>
      </c>
      <c r="BO17" s="4">
        <v>67.863</v>
      </c>
      <c r="BP17" s="12">
        <v>0.68</v>
      </c>
      <c r="BQ17" s="12">
        <v>0.28570000000000001</v>
      </c>
      <c r="BR17" s="12">
        <v>8.5500000000000007E-2</v>
      </c>
      <c r="BS17" s="4">
        <v>111.9</v>
      </c>
      <c r="BT17" s="4">
        <v>106.3</v>
      </c>
      <c r="BU17" s="11">
        <v>18</v>
      </c>
      <c r="BV17" s="11">
        <v>17</v>
      </c>
      <c r="BW17" s="11">
        <v>14</v>
      </c>
      <c r="BX17" s="11">
        <v>26</v>
      </c>
      <c r="BY17" s="11">
        <v>18</v>
      </c>
      <c r="BZ17" s="11">
        <v>10</v>
      </c>
      <c r="CA17" s="11">
        <v>31</v>
      </c>
      <c r="CB17" s="11">
        <v>20</v>
      </c>
      <c r="CC17" s="11">
        <v>35</v>
      </c>
      <c r="CD17" s="11">
        <v>40</v>
      </c>
      <c r="CE17" s="11">
        <v>28</v>
      </c>
      <c r="CF17" s="11">
        <v>51</v>
      </c>
      <c r="CG17" s="4">
        <v>6</v>
      </c>
      <c r="CH17" s="13">
        <v>1.1399999999999999</v>
      </c>
      <c r="CI17" s="4">
        <v>11.5</v>
      </c>
      <c r="CJ17" s="4">
        <v>-11.5</v>
      </c>
      <c r="CK17" s="4">
        <v>158.5</v>
      </c>
      <c r="CL17" s="2" t="s">
        <v>465</v>
      </c>
      <c r="CM17" s="4" t="str">
        <f>VLOOKUP(boulazac[[#This Row],[Away_team]],all[[Full name]:[Abbr]],3,FALSE)</f>
        <v>LYO</v>
      </c>
      <c r="CN17" s="4">
        <f>IF(OR(boulazac[[#This Row],[Result]]="w",boulazac[[#This Row],[Result]]="dw"),boulazac[[#This Row],[win]]-1,-1)</f>
        <v>-1</v>
      </c>
      <c r="CO17" s="4">
        <f>IF(OR(boulazac[[#This Row],[Result]]="L",boulazac[[#This Row],[Result]]="dl"),boulazac[[#This Row],[lose]]-1,-1)</f>
        <v>0.1399999999999999</v>
      </c>
      <c r="CP17" s="4">
        <f>IF(OR((boulazac[[#This Row],[Home_scored]]+boulazac[[#This Row],[Away_scored]])&gt;boulazac[[#This Row],[total]],OR(boulazac[[#This Row],[Result]]="dw",boulazac[[#This Row],[Result]]="dl")),1,0)</f>
        <v>0</v>
      </c>
      <c r="CQ17" s="4">
        <f>ABS((boulazac[[#This Row],[Home_scored]]+boulazac[[#This Row],[Away_scored]])-boulazac[[#This Row],[total]])+0.5</f>
        <v>5</v>
      </c>
    </row>
    <row r="18" spans="1:95" x14ac:dyDescent="0.25">
      <c r="A18" s="2" t="s">
        <v>349</v>
      </c>
      <c r="B18" s="2" t="s">
        <v>323</v>
      </c>
      <c r="C18" s="3" t="s">
        <v>73</v>
      </c>
      <c r="D18" s="3">
        <v>45668</v>
      </c>
      <c r="E18" s="2" t="s">
        <v>140</v>
      </c>
      <c r="F18" s="2" t="s">
        <v>305</v>
      </c>
      <c r="G18" s="2" t="s">
        <v>139</v>
      </c>
      <c r="H18" s="11">
        <v>62</v>
      </c>
      <c r="I18" s="11">
        <v>65</v>
      </c>
      <c r="J18" s="11">
        <v>23</v>
      </c>
      <c r="K18" s="11">
        <v>63</v>
      </c>
      <c r="L18" s="12">
        <v>0.36509999999999998</v>
      </c>
      <c r="M18" s="11">
        <v>14</v>
      </c>
      <c r="N18" s="11">
        <v>27</v>
      </c>
      <c r="O18" s="12">
        <v>0.51849999999999996</v>
      </c>
      <c r="P18" s="11">
        <v>9</v>
      </c>
      <c r="Q18" s="11">
        <v>36</v>
      </c>
      <c r="R18" s="12">
        <v>0.25</v>
      </c>
      <c r="S18" s="11">
        <v>7</v>
      </c>
      <c r="T18" s="11">
        <v>10</v>
      </c>
      <c r="U18" s="12">
        <v>0.7</v>
      </c>
      <c r="V18" s="11">
        <v>9</v>
      </c>
      <c r="W18" s="11">
        <v>28</v>
      </c>
      <c r="X18" s="11">
        <v>37</v>
      </c>
      <c r="Y18" s="11">
        <v>19</v>
      </c>
      <c r="Z18" s="11">
        <v>10</v>
      </c>
      <c r="AA18" s="11">
        <v>5</v>
      </c>
      <c r="AB18" s="11">
        <v>15</v>
      </c>
      <c r="AC18" s="11">
        <v>18</v>
      </c>
      <c r="AD18" s="11">
        <v>24</v>
      </c>
      <c r="AE18" s="11">
        <v>59</v>
      </c>
      <c r="AF18" s="12">
        <v>0.40679999999999999</v>
      </c>
      <c r="AG18" s="11">
        <v>18</v>
      </c>
      <c r="AH18" s="11">
        <v>35</v>
      </c>
      <c r="AI18" s="12">
        <v>0.51429999999999998</v>
      </c>
      <c r="AJ18" s="11">
        <v>6</v>
      </c>
      <c r="AK18" s="11">
        <v>24</v>
      </c>
      <c r="AL18" s="12">
        <v>0.25</v>
      </c>
      <c r="AM18" s="11">
        <v>11</v>
      </c>
      <c r="AN18" s="11">
        <v>16</v>
      </c>
      <c r="AO18" s="12">
        <v>0.6875</v>
      </c>
      <c r="AP18" s="11">
        <v>10</v>
      </c>
      <c r="AQ18" s="11">
        <v>29</v>
      </c>
      <c r="AR18" s="11">
        <v>39</v>
      </c>
      <c r="AS18" s="11">
        <v>15</v>
      </c>
      <c r="AT18" s="11">
        <v>9</v>
      </c>
      <c r="AU18" s="11">
        <v>1</v>
      </c>
      <c r="AV18" s="11">
        <v>18</v>
      </c>
      <c r="AW18" s="11">
        <v>14</v>
      </c>
      <c r="AX18" s="12">
        <v>0.45989999999999998</v>
      </c>
      <c r="AY18" s="12">
        <v>0.4365</v>
      </c>
      <c r="AZ18" s="12">
        <v>0.23680000000000001</v>
      </c>
      <c r="BA18" s="12">
        <v>0.73680000000000001</v>
      </c>
      <c r="BB18" s="12">
        <v>0.48680000000000001</v>
      </c>
      <c r="BC18" s="4">
        <v>71.588999999999999</v>
      </c>
      <c r="BD18" s="12">
        <v>0.82609999999999995</v>
      </c>
      <c r="BE18" s="12">
        <v>0.1111</v>
      </c>
      <c r="BF18" s="12">
        <v>0.182</v>
      </c>
      <c r="BG18" s="4">
        <v>85.3</v>
      </c>
      <c r="BH18" s="4">
        <v>89.4</v>
      </c>
      <c r="BI18" s="4">
        <v>72.692999999999998</v>
      </c>
      <c r="BJ18" s="12">
        <v>0.49209999999999998</v>
      </c>
      <c r="BK18" s="12">
        <v>0.45760000000000001</v>
      </c>
      <c r="BL18" s="12">
        <v>0.26319999999999999</v>
      </c>
      <c r="BM18" s="12">
        <v>0.76319999999999999</v>
      </c>
      <c r="BN18" s="12">
        <v>0.51319999999999999</v>
      </c>
      <c r="BO18" s="4">
        <v>73.796999999999997</v>
      </c>
      <c r="BP18" s="12">
        <v>0.625</v>
      </c>
      <c r="BQ18" s="12">
        <v>0.18640000000000001</v>
      </c>
      <c r="BR18" s="12">
        <v>0.2142</v>
      </c>
      <c r="BS18" s="4">
        <v>89.4</v>
      </c>
      <c r="BT18" s="4">
        <v>85.3</v>
      </c>
      <c r="BU18" s="11">
        <v>15</v>
      </c>
      <c r="BV18" s="11">
        <v>11</v>
      </c>
      <c r="BW18" s="11">
        <v>20</v>
      </c>
      <c r="BX18" s="11">
        <v>16</v>
      </c>
      <c r="BY18" s="11">
        <v>13</v>
      </c>
      <c r="BZ18" s="11">
        <v>18</v>
      </c>
      <c r="CA18" s="11">
        <v>19</v>
      </c>
      <c r="CB18" s="11">
        <v>15</v>
      </c>
      <c r="CC18" s="11">
        <v>26</v>
      </c>
      <c r="CD18" s="11">
        <v>36</v>
      </c>
      <c r="CE18" s="11">
        <v>31</v>
      </c>
      <c r="CF18" s="11">
        <v>34</v>
      </c>
      <c r="CG18" s="4">
        <v>4.5</v>
      </c>
      <c r="CH18" s="13">
        <v>1.22</v>
      </c>
      <c r="CI18" s="4">
        <v>9.5</v>
      </c>
      <c r="CJ18" s="4">
        <v>-9.5</v>
      </c>
      <c r="CK18" s="4">
        <v>161.5</v>
      </c>
      <c r="CL18" s="2" t="s">
        <v>470</v>
      </c>
      <c r="CM18" s="4" t="str">
        <f>VLOOKUP(boulazac[[#This Row],[Away_team]],all[[Full name]:[Abbr]],3,FALSE)</f>
        <v>CHA</v>
      </c>
      <c r="CN18" s="4">
        <f>IF(OR(boulazac[[#This Row],[Result]]="w",boulazac[[#This Row],[Result]]="dw"),boulazac[[#This Row],[win]]-1,-1)</f>
        <v>-1</v>
      </c>
      <c r="CO18" s="4">
        <f>IF(OR(boulazac[[#This Row],[Result]]="L",boulazac[[#This Row],[Result]]="dl"),boulazac[[#This Row],[lose]]-1,-1)</f>
        <v>0.21999999999999997</v>
      </c>
      <c r="CP18" s="4">
        <f>IF(OR((boulazac[[#This Row],[Home_scored]]+boulazac[[#This Row],[Away_scored]])&gt;boulazac[[#This Row],[total]],OR(boulazac[[#This Row],[Result]]="dw",boulazac[[#This Row],[Result]]="dl")),1,0)</f>
        <v>0</v>
      </c>
      <c r="CQ18" s="4">
        <f>ABS((boulazac[[#This Row],[Home_scored]]+boulazac[[#This Row],[Away_scored]])-boulazac[[#This Row],[total]])+0.5</f>
        <v>35</v>
      </c>
    </row>
    <row r="19" spans="1:95" x14ac:dyDescent="0.25">
      <c r="A19" s="2" t="s">
        <v>349</v>
      </c>
      <c r="B19" s="2" t="s">
        <v>323</v>
      </c>
      <c r="C19" s="3" t="s">
        <v>73</v>
      </c>
      <c r="D19" s="3">
        <v>45676</v>
      </c>
      <c r="E19" s="2" t="s">
        <v>74</v>
      </c>
      <c r="F19" s="2" t="s">
        <v>339</v>
      </c>
      <c r="G19" s="2" t="s">
        <v>139</v>
      </c>
      <c r="H19" s="11">
        <v>73</v>
      </c>
      <c r="I19" s="11">
        <v>90</v>
      </c>
      <c r="J19" s="11">
        <v>24</v>
      </c>
      <c r="K19" s="11">
        <v>58</v>
      </c>
      <c r="L19" s="12">
        <v>0.4138</v>
      </c>
      <c r="M19" s="11">
        <v>21</v>
      </c>
      <c r="N19" s="11">
        <v>39</v>
      </c>
      <c r="O19" s="12">
        <v>0.53849999999999998</v>
      </c>
      <c r="P19" s="11">
        <v>3</v>
      </c>
      <c r="Q19" s="11">
        <v>19</v>
      </c>
      <c r="R19" s="12">
        <v>0.15790000000000001</v>
      </c>
      <c r="S19" s="11">
        <v>22</v>
      </c>
      <c r="T19" s="11">
        <v>22</v>
      </c>
      <c r="U19" s="12">
        <v>1</v>
      </c>
      <c r="V19" s="11">
        <v>7</v>
      </c>
      <c r="W19" s="11">
        <v>19</v>
      </c>
      <c r="X19" s="11">
        <v>26</v>
      </c>
      <c r="Y19" s="11">
        <v>20</v>
      </c>
      <c r="Z19" s="11">
        <v>11</v>
      </c>
      <c r="AA19" s="11">
        <v>3</v>
      </c>
      <c r="AB19" s="11">
        <v>9</v>
      </c>
      <c r="AC19" s="11">
        <v>17</v>
      </c>
      <c r="AD19" s="11">
        <v>29</v>
      </c>
      <c r="AE19" s="11">
        <v>66</v>
      </c>
      <c r="AF19" s="12">
        <v>0.43940000000000001</v>
      </c>
      <c r="AG19" s="11">
        <v>12</v>
      </c>
      <c r="AH19" s="11">
        <v>25</v>
      </c>
      <c r="AI19" s="12">
        <v>0.48</v>
      </c>
      <c r="AJ19" s="11">
        <v>17</v>
      </c>
      <c r="AK19" s="11">
        <v>41</v>
      </c>
      <c r="AL19" s="12">
        <v>0.41460000000000002</v>
      </c>
      <c r="AM19" s="11">
        <v>15</v>
      </c>
      <c r="AN19" s="11">
        <v>15</v>
      </c>
      <c r="AO19" s="12">
        <v>1</v>
      </c>
      <c r="AP19" s="11">
        <v>18</v>
      </c>
      <c r="AQ19" s="11">
        <v>31</v>
      </c>
      <c r="AR19" s="11">
        <v>49</v>
      </c>
      <c r="AS19" s="11">
        <v>18</v>
      </c>
      <c r="AT19" s="11">
        <v>5</v>
      </c>
      <c r="AU19" s="11">
        <v>2</v>
      </c>
      <c r="AV19" s="11">
        <v>21</v>
      </c>
      <c r="AW19" s="11">
        <v>26</v>
      </c>
      <c r="AX19" s="12">
        <v>0.5393</v>
      </c>
      <c r="AY19" s="12">
        <v>0.43969999999999998</v>
      </c>
      <c r="AZ19" s="12">
        <v>0.1842</v>
      </c>
      <c r="BA19" s="12">
        <v>0.51349999999999996</v>
      </c>
      <c r="BB19" s="12">
        <v>0.34670000000000001</v>
      </c>
      <c r="BC19" s="4">
        <v>66.004999999999995</v>
      </c>
      <c r="BD19" s="12">
        <v>0.83330000000000004</v>
      </c>
      <c r="BE19" s="12">
        <v>0.37930000000000003</v>
      </c>
      <c r="BF19" s="12">
        <v>0.1174</v>
      </c>
      <c r="BG19" s="4">
        <v>101.1</v>
      </c>
      <c r="BH19" s="4">
        <v>124.6</v>
      </c>
      <c r="BI19" s="4">
        <v>72.230999999999995</v>
      </c>
      <c r="BJ19" s="12">
        <v>0.61980000000000002</v>
      </c>
      <c r="BK19" s="12">
        <v>0.56820000000000004</v>
      </c>
      <c r="BL19" s="12">
        <v>0.48649999999999999</v>
      </c>
      <c r="BM19" s="12">
        <v>0.81579999999999997</v>
      </c>
      <c r="BN19" s="12">
        <v>0.65329999999999999</v>
      </c>
      <c r="BO19" s="4">
        <v>78.456999999999994</v>
      </c>
      <c r="BP19" s="12">
        <v>0.62070000000000003</v>
      </c>
      <c r="BQ19" s="12">
        <v>0.2273</v>
      </c>
      <c r="BR19" s="12">
        <v>0.22439999999999999</v>
      </c>
      <c r="BS19" s="4">
        <v>124.6</v>
      </c>
      <c r="BT19" s="4">
        <v>101.1</v>
      </c>
      <c r="BU19" s="11">
        <v>16</v>
      </c>
      <c r="BV19" s="11">
        <v>20</v>
      </c>
      <c r="BW19" s="11">
        <v>14</v>
      </c>
      <c r="BX19" s="11">
        <v>23</v>
      </c>
      <c r="BY19" s="11">
        <v>38</v>
      </c>
      <c r="BZ19" s="11">
        <v>13</v>
      </c>
      <c r="CA19" s="11">
        <v>28</v>
      </c>
      <c r="CB19" s="11">
        <v>11</v>
      </c>
      <c r="CC19" s="11">
        <v>36</v>
      </c>
      <c r="CD19" s="11">
        <v>37</v>
      </c>
      <c r="CE19" s="11">
        <v>51</v>
      </c>
      <c r="CF19" s="11">
        <v>39</v>
      </c>
      <c r="CG19" s="4">
        <v>5</v>
      </c>
      <c r="CH19" s="13">
        <v>1.18</v>
      </c>
      <c r="CI19" s="4">
        <v>10.5</v>
      </c>
      <c r="CJ19" s="4">
        <v>-10.5</v>
      </c>
      <c r="CK19" s="4">
        <v>164.5</v>
      </c>
      <c r="CL19" s="2" t="s">
        <v>480</v>
      </c>
      <c r="CM19" s="4" t="str">
        <f>VLOOKUP(boulazac[[#This Row],[Away_team]],all[[Full name]:[Abbr]],3,FALSE)</f>
        <v>PAR</v>
      </c>
      <c r="CN19" s="4">
        <f>IF(OR(boulazac[[#This Row],[Result]]="w",boulazac[[#This Row],[Result]]="dw"),boulazac[[#This Row],[win]]-1,-1)</f>
        <v>-1</v>
      </c>
      <c r="CO19" s="4">
        <f>IF(OR(boulazac[[#This Row],[Result]]="L",boulazac[[#This Row],[Result]]="dl"),boulazac[[#This Row],[lose]]-1,-1)</f>
        <v>0.17999999999999994</v>
      </c>
      <c r="CP19" s="4">
        <f>IF(OR((boulazac[[#This Row],[Home_scored]]+boulazac[[#This Row],[Away_scored]])&gt;boulazac[[#This Row],[total]],OR(boulazac[[#This Row],[Result]]="dw",boulazac[[#This Row],[Result]]="dl")),1,0)</f>
        <v>0</v>
      </c>
      <c r="CQ19" s="4">
        <f>ABS((boulazac[[#This Row],[Home_scored]]+boulazac[[#This Row],[Away_scored]])-boulazac[[#This Row],[total]])+0.5</f>
        <v>2</v>
      </c>
    </row>
    <row r="20" spans="1:95" x14ac:dyDescent="0.25">
      <c r="A20" s="2" t="s">
        <v>349</v>
      </c>
      <c r="B20" s="2" t="s">
        <v>323</v>
      </c>
      <c r="C20" s="3" t="s">
        <v>73</v>
      </c>
      <c r="D20" s="3">
        <v>45682</v>
      </c>
      <c r="E20" s="2" t="s">
        <v>140</v>
      </c>
      <c r="F20" s="2" t="s">
        <v>314</v>
      </c>
      <c r="G20" s="2" t="s">
        <v>139</v>
      </c>
      <c r="H20" s="11">
        <v>68</v>
      </c>
      <c r="I20" s="11">
        <v>94</v>
      </c>
      <c r="J20" s="11">
        <v>24</v>
      </c>
      <c r="K20" s="11">
        <v>54</v>
      </c>
      <c r="L20" s="12">
        <v>0.44440000000000002</v>
      </c>
      <c r="M20" s="11">
        <v>15</v>
      </c>
      <c r="N20" s="11">
        <v>32</v>
      </c>
      <c r="O20" s="12">
        <v>0.46879999999999999</v>
      </c>
      <c r="P20" s="11">
        <v>9</v>
      </c>
      <c r="Q20" s="11">
        <v>22</v>
      </c>
      <c r="R20" s="12">
        <v>0.40910000000000002</v>
      </c>
      <c r="S20" s="11">
        <v>11</v>
      </c>
      <c r="T20" s="11">
        <v>17</v>
      </c>
      <c r="U20" s="12">
        <v>0.64710000000000001</v>
      </c>
      <c r="V20" s="11">
        <v>5</v>
      </c>
      <c r="W20" s="11">
        <v>25</v>
      </c>
      <c r="X20" s="11">
        <v>30</v>
      </c>
      <c r="Y20" s="11">
        <v>14</v>
      </c>
      <c r="Z20" s="11">
        <v>5</v>
      </c>
      <c r="AA20" s="11">
        <v>1</v>
      </c>
      <c r="AB20" s="11">
        <v>16</v>
      </c>
      <c r="AC20" s="11">
        <v>19</v>
      </c>
      <c r="AD20" s="11">
        <v>34</v>
      </c>
      <c r="AE20" s="11">
        <v>69</v>
      </c>
      <c r="AF20" s="12">
        <v>0.49280000000000002</v>
      </c>
      <c r="AG20" s="11">
        <v>20</v>
      </c>
      <c r="AH20" s="11">
        <v>37</v>
      </c>
      <c r="AI20" s="12">
        <v>0.54049999999999998</v>
      </c>
      <c r="AJ20" s="11">
        <v>14</v>
      </c>
      <c r="AK20" s="11">
        <v>32</v>
      </c>
      <c r="AL20" s="12">
        <v>0.4375</v>
      </c>
      <c r="AM20" s="11">
        <v>12</v>
      </c>
      <c r="AN20" s="11">
        <v>18</v>
      </c>
      <c r="AO20" s="12">
        <v>0.66669999999999996</v>
      </c>
      <c r="AP20" s="11">
        <v>11</v>
      </c>
      <c r="AQ20" s="11">
        <v>29</v>
      </c>
      <c r="AR20" s="11">
        <v>40</v>
      </c>
      <c r="AS20" s="11">
        <v>21</v>
      </c>
      <c r="AT20" s="11">
        <v>7</v>
      </c>
      <c r="AU20" s="11">
        <v>2</v>
      </c>
      <c r="AV20" s="11">
        <v>13</v>
      </c>
      <c r="AW20" s="11">
        <v>22</v>
      </c>
      <c r="AX20" s="12">
        <v>0.55300000000000005</v>
      </c>
      <c r="AY20" s="12">
        <v>0.52780000000000005</v>
      </c>
      <c r="AZ20" s="12">
        <v>0.14710000000000001</v>
      </c>
      <c r="BA20" s="12">
        <v>0.69440000000000002</v>
      </c>
      <c r="BB20" s="12">
        <v>0.42859999999999998</v>
      </c>
      <c r="BC20" s="4">
        <v>71.45</v>
      </c>
      <c r="BD20" s="12">
        <v>0.58330000000000004</v>
      </c>
      <c r="BE20" s="12">
        <v>0.20369999999999999</v>
      </c>
      <c r="BF20" s="12">
        <v>0.20649999999999999</v>
      </c>
      <c r="BG20" s="4">
        <v>90.5</v>
      </c>
      <c r="BH20" s="4">
        <v>125</v>
      </c>
      <c r="BI20" s="4">
        <v>75.1755</v>
      </c>
      <c r="BJ20" s="12">
        <v>0.61099999999999999</v>
      </c>
      <c r="BK20" s="12">
        <v>0.59419999999999995</v>
      </c>
      <c r="BL20" s="12">
        <v>0.30559999999999998</v>
      </c>
      <c r="BM20" s="12">
        <v>0.85289999999999999</v>
      </c>
      <c r="BN20" s="12">
        <v>0.57140000000000002</v>
      </c>
      <c r="BO20" s="4">
        <v>78.900999999999996</v>
      </c>
      <c r="BP20" s="12">
        <v>0.61760000000000004</v>
      </c>
      <c r="BQ20" s="12">
        <v>0.1739</v>
      </c>
      <c r="BR20" s="12">
        <v>0.14460000000000001</v>
      </c>
      <c r="BS20" s="4">
        <v>125</v>
      </c>
      <c r="BT20" s="4">
        <v>90.5</v>
      </c>
      <c r="BU20" s="11">
        <v>27</v>
      </c>
      <c r="BV20" s="11">
        <v>18</v>
      </c>
      <c r="BW20" s="11">
        <v>11</v>
      </c>
      <c r="BX20" s="11">
        <v>12</v>
      </c>
      <c r="BY20" s="11">
        <v>18</v>
      </c>
      <c r="BZ20" s="11">
        <v>28</v>
      </c>
      <c r="CA20" s="11">
        <v>17</v>
      </c>
      <c r="CB20" s="11">
        <v>31</v>
      </c>
      <c r="CC20" s="11">
        <v>45</v>
      </c>
      <c r="CD20" s="11">
        <v>23</v>
      </c>
      <c r="CE20" s="11">
        <v>46</v>
      </c>
      <c r="CF20" s="11">
        <v>48</v>
      </c>
      <c r="CG20" s="4">
        <v>4.25</v>
      </c>
      <c r="CH20" s="13">
        <v>1.24</v>
      </c>
      <c r="CI20" s="4">
        <v>-9</v>
      </c>
      <c r="CJ20" s="4">
        <v>-9</v>
      </c>
      <c r="CK20" s="4">
        <v>154.5</v>
      </c>
      <c r="CL20" s="2" t="s">
        <v>484</v>
      </c>
      <c r="CM20" s="4" t="str">
        <f>VLOOKUP(boulazac[[#This Row],[Away_team]],all[[Full name]:[Abbr]],3,FALSE)</f>
        <v>DUN</v>
      </c>
      <c r="CN20" s="4">
        <f>IF(OR(boulazac[[#This Row],[Result]]="w",boulazac[[#This Row],[Result]]="dw"),boulazac[[#This Row],[win]]-1,-1)</f>
        <v>-1</v>
      </c>
      <c r="CO20" s="4">
        <f>IF(OR(boulazac[[#This Row],[Result]]="L",boulazac[[#This Row],[Result]]="dl"),boulazac[[#This Row],[lose]]-1,-1)</f>
        <v>0.24</v>
      </c>
      <c r="CP20" s="4">
        <f>IF(OR((boulazac[[#This Row],[Home_scored]]+boulazac[[#This Row],[Away_scored]])&gt;boulazac[[#This Row],[total]],OR(boulazac[[#This Row],[Result]]="dw",boulazac[[#This Row],[Result]]="dl")),1,0)</f>
        <v>1</v>
      </c>
      <c r="CQ20" s="4">
        <f>ABS((boulazac[[#This Row],[Home_scored]]+boulazac[[#This Row],[Away_scored]])-boulazac[[#This Row],[total]])+0.5</f>
        <v>8</v>
      </c>
    </row>
    <row r="21" spans="1:95" x14ac:dyDescent="0.25">
      <c r="A21" s="2" t="s">
        <v>349</v>
      </c>
      <c r="B21" s="2" t="s">
        <v>323</v>
      </c>
      <c r="C21" s="3" t="s">
        <v>73</v>
      </c>
      <c r="D21" s="3">
        <v>45689</v>
      </c>
      <c r="E21" s="2" t="s">
        <v>74</v>
      </c>
      <c r="F21" s="2" t="s">
        <v>311</v>
      </c>
      <c r="G21" s="2" t="s">
        <v>75</v>
      </c>
      <c r="H21" s="11">
        <v>92</v>
      </c>
      <c r="I21" s="11">
        <v>90</v>
      </c>
      <c r="J21" s="11">
        <v>30</v>
      </c>
      <c r="K21" s="11">
        <v>50</v>
      </c>
      <c r="L21" s="12">
        <v>0.6</v>
      </c>
      <c r="M21" s="11">
        <v>22</v>
      </c>
      <c r="N21" s="11">
        <v>32</v>
      </c>
      <c r="O21" s="12">
        <v>0.6875</v>
      </c>
      <c r="P21" s="11">
        <v>8</v>
      </c>
      <c r="Q21" s="11">
        <v>18</v>
      </c>
      <c r="R21" s="12">
        <v>0.44440000000000002</v>
      </c>
      <c r="S21" s="11">
        <v>24</v>
      </c>
      <c r="T21" s="11">
        <v>33</v>
      </c>
      <c r="U21" s="12">
        <v>0.72729999999999995</v>
      </c>
      <c r="V21" s="11">
        <v>4</v>
      </c>
      <c r="W21" s="11">
        <v>25</v>
      </c>
      <c r="X21" s="11">
        <v>29</v>
      </c>
      <c r="Y21" s="11">
        <v>21</v>
      </c>
      <c r="Z21" s="11">
        <v>7</v>
      </c>
      <c r="AA21" s="11">
        <v>4</v>
      </c>
      <c r="AB21" s="11">
        <v>17</v>
      </c>
      <c r="AC21" s="11">
        <v>19</v>
      </c>
      <c r="AD21" s="11">
        <v>29</v>
      </c>
      <c r="AE21" s="11">
        <v>64</v>
      </c>
      <c r="AF21" s="12">
        <v>0.4531</v>
      </c>
      <c r="AG21" s="11">
        <v>16</v>
      </c>
      <c r="AH21" s="11">
        <v>34</v>
      </c>
      <c r="AI21" s="12">
        <v>0.47060000000000002</v>
      </c>
      <c r="AJ21" s="11">
        <v>13</v>
      </c>
      <c r="AK21" s="11">
        <v>30</v>
      </c>
      <c r="AL21" s="12">
        <v>0.43330000000000002</v>
      </c>
      <c r="AM21" s="11">
        <v>19</v>
      </c>
      <c r="AN21" s="11">
        <v>20</v>
      </c>
      <c r="AO21" s="12">
        <v>0.95</v>
      </c>
      <c r="AP21" s="11">
        <v>10</v>
      </c>
      <c r="AQ21" s="11">
        <v>22</v>
      </c>
      <c r="AR21" s="11">
        <v>32</v>
      </c>
      <c r="AS21" s="11">
        <v>20</v>
      </c>
      <c r="AT21" s="11">
        <v>8</v>
      </c>
      <c r="AU21" s="11">
        <v>0</v>
      </c>
      <c r="AV21" s="11">
        <v>15</v>
      </c>
      <c r="AW21" s="11">
        <v>27</v>
      </c>
      <c r="AX21" s="12">
        <v>0.71299999999999997</v>
      </c>
      <c r="AY21" s="12">
        <v>0.68</v>
      </c>
      <c r="AZ21" s="12">
        <v>0.15379999999999999</v>
      </c>
      <c r="BA21" s="12">
        <v>0.71430000000000005</v>
      </c>
      <c r="BB21" s="12">
        <v>0.47539999999999999</v>
      </c>
      <c r="BC21" s="4">
        <v>77.248000000000005</v>
      </c>
      <c r="BD21" s="12">
        <v>0.7</v>
      </c>
      <c r="BE21" s="12">
        <v>0.48</v>
      </c>
      <c r="BF21" s="12">
        <v>0.20849999999999999</v>
      </c>
      <c r="BG21" s="4">
        <v>120.6</v>
      </c>
      <c r="BH21" s="4">
        <v>118</v>
      </c>
      <c r="BI21" s="4">
        <v>76.272499999999994</v>
      </c>
      <c r="BJ21" s="12">
        <v>0.61809999999999998</v>
      </c>
      <c r="BK21" s="12">
        <v>0.55469999999999997</v>
      </c>
      <c r="BL21" s="12">
        <v>0.28570000000000001</v>
      </c>
      <c r="BM21" s="12">
        <v>0.84619999999999995</v>
      </c>
      <c r="BN21" s="12">
        <v>0.52459999999999996</v>
      </c>
      <c r="BO21" s="4">
        <v>75.296999999999997</v>
      </c>
      <c r="BP21" s="12">
        <v>0.68969999999999998</v>
      </c>
      <c r="BQ21" s="12">
        <v>0.2969</v>
      </c>
      <c r="BR21" s="12">
        <v>0.17080000000000001</v>
      </c>
      <c r="BS21" s="4">
        <v>118</v>
      </c>
      <c r="BT21" s="4">
        <v>120.6</v>
      </c>
      <c r="BU21" s="11">
        <v>19</v>
      </c>
      <c r="BV21" s="11">
        <v>25</v>
      </c>
      <c r="BW21" s="11">
        <v>23</v>
      </c>
      <c r="BX21" s="11">
        <v>25</v>
      </c>
      <c r="BY21" s="11">
        <v>24</v>
      </c>
      <c r="BZ21" s="11">
        <v>23</v>
      </c>
      <c r="CA21" s="11">
        <v>15</v>
      </c>
      <c r="CB21" s="11">
        <v>28</v>
      </c>
      <c r="CC21" s="11">
        <v>44</v>
      </c>
      <c r="CD21" s="11">
        <v>48</v>
      </c>
      <c r="CE21" s="11">
        <v>47</v>
      </c>
      <c r="CF21" s="11">
        <v>43</v>
      </c>
      <c r="CG21" s="4">
        <v>3.5</v>
      </c>
      <c r="CH21" s="13">
        <v>1.32</v>
      </c>
      <c r="CI21" s="4">
        <v>7.5</v>
      </c>
      <c r="CJ21" s="4">
        <v>-7.5</v>
      </c>
      <c r="CK21" s="4">
        <v>160.5</v>
      </c>
      <c r="CL21" s="2" t="s">
        <v>492</v>
      </c>
      <c r="CM21" s="4" t="str">
        <f>VLOOKUP(boulazac[[#This Row],[Away_team]],all[[Full name]:[Abbr]],3,FALSE)</f>
        <v>DIJ</v>
      </c>
      <c r="CN21" s="4">
        <f>IF(OR(boulazac[[#This Row],[Result]]="w",boulazac[[#This Row],[Result]]="dw"),boulazac[[#This Row],[win]]-1,-1)</f>
        <v>2.5</v>
      </c>
      <c r="CO21" s="4">
        <f>IF(OR(boulazac[[#This Row],[Result]]="L",boulazac[[#This Row],[Result]]="dl"),boulazac[[#This Row],[lose]]-1,-1)</f>
        <v>-1</v>
      </c>
      <c r="CP21" s="4">
        <f>IF(OR((boulazac[[#This Row],[Home_scored]]+boulazac[[#This Row],[Away_scored]])&gt;boulazac[[#This Row],[total]],OR(boulazac[[#This Row],[Result]]="dw",boulazac[[#This Row],[Result]]="dl")),1,0)</f>
        <v>1</v>
      </c>
      <c r="CQ21" s="4">
        <f>ABS((boulazac[[#This Row],[Home_scored]]+boulazac[[#This Row],[Away_scored]])-boulazac[[#This Row],[total]])+0.5</f>
        <v>22</v>
      </c>
    </row>
    <row r="22" spans="1:95" x14ac:dyDescent="0.25">
      <c r="A22" s="2" t="s">
        <v>349</v>
      </c>
      <c r="B22" s="2" t="s">
        <v>323</v>
      </c>
      <c r="C22" s="3" t="s">
        <v>73</v>
      </c>
      <c r="D22" s="3">
        <v>45696</v>
      </c>
      <c r="E22" s="2" t="s">
        <v>74</v>
      </c>
      <c r="F22" s="2" t="s">
        <v>320</v>
      </c>
      <c r="G22" s="2" t="s">
        <v>75</v>
      </c>
      <c r="H22" s="11">
        <v>96</v>
      </c>
      <c r="I22" s="11">
        <v>73</v>
      </c>
      <c r="J22" s="11">
        <v>33</v>
      </c>
      <c r="K22" s="11">
        <v>57</v>
      </c>
      <c r="L22" s="12">
        <v>0.57889999999999997</v>
      </c>
      <c r="M22" s="11">
        <v>23</v>
      </c>
      <c r="N22" s="11">
        <v>35</v>
      </c>
      <c r="O22" s="12">
        <v>0.65710000000000002</v>
      </c>
      <c r="P22" s="11">
        <v>10</v>
      </c>
      <c r="Q22" s="11">
        <v>22</v>
      </c>
      <c r="R22" s="12">
        <v>0.45450000000000002</v>
      </c>
      <c r="S22" s="11">
        <v>20</v>
      </c>
      <c r="T22" s="11">
        <v>28</v>
      </c>
      <c r="U22" s="12">
        <v>0.71430000000000005</v>
      </c>
      <c r="V22" s="11">
        <v>9</v>
      </c>
      <c r="W22" s="11">
        <v>20</v>
      </c>
      <c r="X22" s="11">
        <v>29</v>
      </c>
      <c r="Y22" s="11">
        <v>29</v>
      </c>
      <c r="Z22" s="11">
        <v>9</v>
      </c>
      <c r="AA22" s="11">
        <v>1</v>
      </c>
      <c r="AB22" s="11">
        <v>10</v>
      </c>
      <c r="AC22" s="11">
        <v>19</v>
      </c>
      <c r="AD22" s="11">
        <v>26</v>
      </c>
      <c r="AE22" s="11">
        <v>58</v>
      </c>
      <c r="AF22" s="12">
        <v>0.44829999999999998</v>
      </c>
      <c r="AG22" s="11">
        <v>18</v>
      </c>
      <c r="AH22" s="11">
        <v>37</v>
      </c>
      <c r="AI22" s="12">
        <v>0.48649999999999999</v>
      </c>
      <c r="AJ22" s="11">
        <v>8</v>
      </c>
      <c r="AK22" s="11">
        <v>21</v>
      </c>
      <c r="AL22" s="12">
        <v>0.38100000000000001</v>
      </c>
      <c r="AM22" s="11">
        <v>13</v>
      </c>
      <c r="AN22" s="11">
        <v>13</v>
      </c>
      <c r="AO22" s="12">
        <v>1</v>
      </c>
      <c r="AP22" s="11">
        <v>11</v>
      </c>
      <c r="AQ22" s="11">
        <v>18</v>
      </c>
      <c r="AR22" s="11">
        <v>29</v>
      </c>
      <c r="AS22" s="11">
        <v>29</v>
      </c>
      <c r="AT22" s="11">
        <v>15</v>
      </c>
      <c r="AU22" s="11">
        <v>2</v>
      </c>
      <c r="AV22" s="11">
        <v>15</v>
      </c>
      <c r="AW22" s="11">
        <v>21</v>
      </c>
      <c r="AX22" s="12">
        <v>0.69240000000000002</v>
      </c>
      <c r="AY22" s="12">
        <v>0.66669999999999996</v>
      </c>
      <c r="AZ22" s="12">
        <v>0.33329999999999999</v>
      </c>
      <c r="BA22" s="12">
        <v>0.6452</v>
      </c>
      <c r="BB22" s="12">
        <v>0.5</v>
      </c>
      <c r="BC22" s="4">
        <v>70.23</v>
      </c>
      <c r="BD22" s="12">
        <v>0.87880000000000003</v>
      </c>
      <c r="BE22" s="12">
        <v>0.35089999999999999</v>
      </c>
      <c r="BF22" s="12">
        <v>0.12609999999999999</v>
      </c>
      <c r="BG22" s="4">
        <v>141.80000000000001</v>
      </c>
      <c r="BH22" s="4">
        <v>107.8</v>
      </c>
      <c r="BI22" s="4">
        <v>67.721000000000004</v>
      </c>
      <c r="BJ22" s="12">
        <v>0.57279999999999998</v>
      </c>
      <c r="BK22" s="12">
        <v>0.51719999999999999</v>
      </c>
      <c r="BL22" s="12">
        <v>0.3548</v>
      </c>
      <c r="BM22" s="12">
        <v>0.66669999999999996</v>
      </c>
      <c r="BN22" s="12">
        <v>0.5</v>
      </c>
      <c r="BO22" s="4">
        <v>65.212000000000003</v>
      </c>
      <c r="BP22" s="12">
        <v>1.1153999999999999</v>
      </c>
      <c r="BQ22" s="12">
        <v>0.22409999999999999</v>
      </c>
      <c r="BR22" s="12">
        <v>0.1905</v>
      </c>
      <c r="BS22" s="4">
        <v>107.8</v>
      </c>
      <c r="BT22" s="4">
        <v>141.80000000000001</v>
      </c>
      <c r="BU22" s="11">
        <v>26</v>
      </c>
      <c r="BV22" s="11">
        <v>21</v>
      </c>
      <c r="BW22" s="11">
        <v>23</v>
      </c>
      <c r="BX22" s="11">
        <v>26</v>
      </c>
      <c r="BY22" s="11">
        <v>16</v>
      </c>
      <c r="BZ22" s="11">
        <v>19</v>
      </c>
      <c r="CA22" s="11">
        <v>18</v>
      </c>
      <c r="CB22" s="11">
        <v>20</v>
      </c>
      <c r="CC22" s="11">
        <v>47</v>
      </c>
      <c r="CD22" s="11">
        <v>49</v>
      </c>
      <c r="CE22" s="11">
        <v>35</v>
      </c>
      <c r="CF22" s="11">
        <v>38</v>
      </c>
      <c r="CG22" s="4">
        <v>1.87</v>
      </c>
      <c r="CH22" s="13">
        <v>1.95</v>
      </c>
      <c r="CI22" s="4">
        <v>-1</v>
      </c>
      <c r="CJ22" s="4">
        <v>-1</v>
      </c>
      <c r="CK22" s="4">
        <v>155.5</v>
      </c>
      <c r="CL22" s="2" t="s">
        <v>500</v>
      </c>
      <c r="CM22" s="4" t="str">
        <f>VLOOKUP(boulazac[[#This Row],[Away_team]],all[[Full name]:[Abbr]],3,FALSE)</f>
        <v>POR</v>
      </c>
      <c r="CN22" s="4">
        <f>IF(OR(boulazac[[#This Row],[Result]]="w",boulazac[[#This Row],[Result]]="dw"),boulazac[[#This Row],[win]]-1,-1)</f>
        <v>0.87000000000000011</v>
      </c>
      <c r="CO22" s="4">
        <f>IF(OR(boulazac[[#This Row],[Result]]="L",boulazac[[#This Row],[Result]]="dl"),boulazac[[#This Row],[lose]]-1,-1)</f>
        <v>-1</v>
      </c>
      <c r="CP22" s="4">
        <f>IF(OR((boulazac[[#This Row],[Home_scored]]+boulazac[[#This Row],[Away_scored]])&gt;boulazac[[#This Row],[total]],OR(boulazac[[#This Row],[Result]]="dw",boulazac[[#This Row],[Result]]="dl")),1,0)</f>
        <v>1</v>
      </c>
      <c r="CQ22" s="4">
        <f>ABS((boulazac[[#This Row],[Home_scored]]+boulazac[[#This Row],[Away_scored]])-boulazac[[#This Row],[total]])+0.5</f>
        <v>14</v>
      </c>
    </row>
    <row r="23" spans="1:95" x14ac:dyDescent="0.25">
      <c r="A23" s="2" t="s">
        <v>349</v>
      </c>
      <c r="B23" s="2" t="s">
        <v>323</v>
      </c>
      <c r="C23" s="3" t="s">
        <v>73</v>
      </c>
      <c r="D23" s="3">
        <v>45718</v>
      </c>
      <c r="E23" s="2" t="s">
        <v>140</v>
      </c>
      <c r="F23" s="2" t="s">
        <v>327</v>
      </c>
      <c r="G23" s="2" t="s">
        <v>139</v>
      </c>
      <c r="H23" s="11">
        <v>75</v>
      </c>
      <c r="I23" s="11">
        <v>105</v>
      </c>
      <c r="J23" s="11">
        <v>26</v>
      </c>
      <c r="K23" s="11">
        <v>51</v>
      </c>
      <c r="L23" s="12">
        <v>0.50980000000000003</v>
      </c>
      <c r="M23" s="11">
        <v>17</v>
      </c>
      <c r="N23" s="11">
        <v>32</v>
      </c>
      <c r="O23" s="12">
        <v>0.53129999999999999</v>
      </c>
      <c r="P23" s="11">
        <v>9</v>
      </c>
      <c r="Q23" s="11">
        <v>19</v>
      </c>
      <c r="R23" s="12">
        <v>0.47370000000000001</v>
      </c>
      <c r="S23" s="11">
        <v>14</v>
      </c>
      <c r="T23" s="11">
        <v>21</v>
      </c>
      <c r="U23" s="12">
        <v>0.66669999999999996</v>
      </c>
      <c r="V23" s="11">
        <v>3</v>
      </c>
      <c r="W23" s="11">
        <v>23</v>
      </c>
      <c r="X23" s="11">
        <v>26</v>
      </c>
      <c r="Y23" s="11">
        <v>21</v>
      </c>
      <c r="Z23" s="11">
        <v>5</v>
      </c>
      <c r="AA23" s="11">
        <v>2</v>
      </c>
      <c r="AB23" s="11">
        <v>18</v>
      </c>
      <c r="AC23" s="11">
        <v>19</v>
      </c>
      <c r="AD23" s="11">
        <v>37</v>
      </c>
      <c r="AE23" s="11">
        <v>66</v>
      </c>
      <c r="AF23" s="12">
        <v>0.56059999999999999</v>
      </c>
      <c r="AG23" s="11">
        <v>24</v>
      </c>
      <c r="AH23" s="11">
        <v>39</v>
      </c>
      <c r="AI23" s="12">
        <v>0.61539999999999995</v>
      </c>
      <c r="AJ23" s="11">
        <v>13</v>
      </c>
      <c r="AK23" s="11">
        <v>27</v>
      </c>
      <c r="AL23" s="12">
        <v>0.48149999999999998</v>
      </c>
      <c r="AM23" s="11">
        <v>18</v>
      </c>
      <c r="AN23" s="11">
        <v>22</v>
      </c>
      <c r="AO23" s="12">
        <v>0.81820000000000004</v>
      </c>
      <c r="AP23" s="11">
        <v>9</v>
      </c>
      <c r="AQ23" s="11">
        <v>25</v>
      </c>
      <c r="AR23" s="11">
        <v>34</v>
      </c>
      <c r="AS23" s="11">
        <v>21</v>
      </c>
      <c r="AT23" s="11">
        <v>7</v>
      </c>
      <c r="AU23" s="11">
        <v>2</v>
      </c>
      <c r="AV23" s="11">
        <v>10</v>
      </c>
      <c r="AW23" s="11">
        <v>20</v>
      </c>
      <c r="AX23" s="12">
        <v>0.62250000000000005</v>
      </c>
      <c r="AY23" s="12">
        <v>0.59799999999999998</v>
      </c>
      <c r="AZ23" s="12">
        <v>0.1071</v>
      </c>
      <c r="BA23" s="12">
        <v>0.71879999999999999</v>
      </c>
      <c r="BB23" s="12">
        <v>0.43330000000000002</v>
      </c>
      <c r="BC23" s="4">
        <v>74.313000000000002</v>
      </c>
      <c r="BD23" s="12">
        <v>0.80769999999999997</v>
      </c>
      <c r="BE23" s="12">
        <v>0.27450000000000002</v>
      </c>
      <c r="BF23" s="12">
        <v>0.2301</v>
      </c>
      <c r="BG23" s="4">
        <v>99.4</v>
      </c>
      <c r="BH23" s="4">
        <v>139.19999999999999</v>
      </c>
      <c r="BI23" s="4">
        <v>75.4495</v>
      </c>
      <c r="BJ23" s="12">
        <v>0.69369999999999998</v>
      </c>
      <c r="BK23" s="12">
        <v>0.65910000000000002</v>
      </c>
      <c r="BL23" s="12">
        <v>0.28129999999999999</v>
      </c>
      <c r="BM23" s="12">
        <v>0.89290000000000003</v>
      </c>
      <c r="BN23" s="12">
        <v>0.56669999999999998</v>
      </c>
      <c r="BO23" s="4">
        <v>76.585999999999999</v>
      </c>
      <c r="BP23" s="12">
        <v>0.56759999999999999</v>
      </c>
      <c r="BQ23" s="12">
        <v>0.2727</v>
      </c>
      <c r="BR23" s="12">
        <v>0.1167</v>
      </c>
      <c r="BS23" s="4">
        <v>139.19999999999999</v>
      </c>
      <c r="BT23" s="4">
        <v>99.4</v>
      </c>
      <c r="BU23" s="11">
        <v>14</v>
      </c>
      <c r="BV23" s="11">
        <v>18</v>
      </c>
      <c r="BW23" s="11">
        <v>23</v>
      </c>
      <c r="BX23" s="11">
        <v>20</v>
      </c>
      <c r="BY23" s="11">
        <v>27</v>
      </c>
      <c r="BZ23" s="11">
        <v>31</v>
      </c>
      <c r="CA23" s="11">
        <v>27</v>
      </c>
      <c r="CB23" s="11">
        <v>20</v>
      </c>
      <c r="CC23" s="11">
        <v>32</v>
      </c>
      <c r="CD23" s="11">
        <v>43</v>
      </c>
      <c r="CE23" s="11">
        <v>58</v>
      </c>
      <c r="CF23" s="11">
        <v>47</v>
      </c>
      <c r="CG23" s="4">
        <v>10.45</v>
      </c>
      <c r="CH23" s="13">
        <v>1.06</v>
      </c>
      <c r="CI23" s="4">
        <v>-5.5</v>
      </c>
      <c r="CJ23" s="4">
        <v>5.5</v>
      </c>
      <c r="CK23" s="4">
        <v>163.5</v>
      </c>
      <c r="CL23" s="2" t="s">
        <v>513</v>
      </c>
      <c r="CM23" s="4" t="str">
        <f>VLOOKUP(boulazac[[#This Row],[Away_team]],all[[Full name]:[Abbr]],3,FALSE)</f>
        <v>LYO</v>
      </c>
      <c r="CN23" s="4">
        <f>IF(OR(boulazac[[#This Row],[Result]]="w",boulazac[[#This Row],[Result]]="dw"),boulazac[[#This Row],[win]]-1,-1)</f>
        <v>-1</v>
      </c>
      <c r="CO23" s="4">
        <f>IF(OR(boulazac[[#This Row],[Result]]="L",boulazac[[#This Row],[Result]]="dl"),boulazac[[#This Row],[lose]]-1,-1)</f>
        <v>6.0000000000000053E-2</v>
      </c>
      <c r="CP23" s="4">
        <f>IF(OR((boulazac[[#This Row],[Home_scored]]+boulazac[[#This Row],[Away_scored]])&gt;boulazac[[#This Row],[total]],OR(boulazac[[#This Row],[Result]]="dw",boulazac[[#This Row],[Result]]="dl")),1,0)</f>
        <v>1</v>
      </c>
      <c r="CQ23" s="4">
        <f>ABS((boulazac[[#This Row],[Home_scored]]+boulazac[[#This Row],[Away_scored]])-boulazac[[#This Row],[total]])+0.5</f>
        <v>17</v>
      </c>
    </row>
    <row r="24" spans="1:95" x14ac:dyDescent="0.25">
      <c r="A24" s="2" t="s">
        <v>349</v>
      </c>
      <c r="B24" s="2" t="s">
        <v>323</v>
      </c>
      <c r="C24" s="3" t="s">
        <v>73</v>
      </c>
      <c r="D24" s="3">
        <v>45725</v>
      </c>
      <c r="E24" s="2" t="s">
        <v>74</v>
      </c>
      <c r="F24" s="2" t="s">
        <v>305</v>
      </c>
      <c r="G24" s="2" t="s">
        <v>139</v>
      </c>
      <c r="H24" s="11">
        <v>77</v>
      </c>
      <c r="I24" s="11">
        <v>86</v>
      </c>
      <c r="J24" s="11">
        <v>28</v>
      </c>
      <c r="K24" s="11">
        <v>55</v>
      </c>
      <c r="L24" s="12">
        <v>0.5091</v>
      </c>
      <c r="M24" s="11">
        <v>20</v>
      </c>
      <c r="N24" s="11">
        <v>30</v>
      </c>
      <c r="O24" s="12">
        <v>0.66669999999999996</v>
      </c>
      <c r="P24" s="11">
        <v>8</v>
      </c>
      <c r="Q24" s="11">
        <v>25</v>
      </c>
      <c r="R24" s="12">
        <v>0.32</v>
      </c>
      <c r="S24" s="11">
        <v>13</v>
      </c>
      <c r="T24" s="11">
        <v>23</v>
      </c>
      <c r="U24" s="12">
        <v>0.56520000000000004</v>
      </c>
      <c r="V24" s="11">
        <v>5</v>
      </c>
      <c r="W24" s="11">
        <v>23</v>
      </c>
      <c r="X24" s="11">
        <v>28</v>
      </c>
      <c r="Y24" s="11">
        <v>22</v>
      </c>
      <c r="Z24" s="11">
        <v>5</v>
      </c>
      <c r="AA24" s="11">
        <v>2</v>
      </c>
      <c r="AB24" s="11">
        <v>15</v>
      </c>
      <c r="AC24" s="11">
        <v>20</v>
      </c>
      <c r="AD24" s="11">
        <v>32</v>
      </c>
      <c r="AE24" s="11">
        <v>66</v>
      </c>
      <c r="AF24" s="12">
        <v>0.48480000000000001</v>
      </c>
      <c r="AG24" s="11">
        <v>23</v>
      </c>
      <c r="AH24" s="11">
        <v>40</v>
      </c>
      <c r="AI24" s="12">
        <v>0.57499999999999996</v>
      </c>
      <c r="AJ24" s="11">
        <v>9</v>
      </c>
      <c r="AK24" s="11">
        <v>26</v>
      </c>
      <c r="AL24" s="12">
        <v>0.34620000000000001</v>
      </c>
      <c r="AM24" s="11">
        <v>13</v>
      </c>
      <c r="AN24" s="11">
        <v>16</v>
      </c>
      <c r="AO24" s="12">
        <v>0.8125</v>
      </c>
      <c r="AP24" s="11">
        <v>11</v>
      </c>
      <c r="AQ24" s="11">
        <v>26</v>
      </c>
      <c r="AR24" s="11">
        <v>37</v>
      </c>
      <c r="AS24" s="11">
        <v>22</v>
      </c>
      <c r="AT24" s="11">
        <v>9</v>
      </c>
      <c r="AU24" s="11">
        <v>1</v>
      </c>
      <c r="AV24" s="11">
        <v>14</v>
      </c>
      <c r="AW24" s="11">
        <v>22</v>
      </c>
      <c r="AX24" s="12">
        <v>0.59119999999999995</v>
      </c>
      <c r="AY24" s="12">
        <v>0.58179999999999998</v>
      </c>
      <c r="AZ24" s="12">
        <v>0.1613</v>
      </c>
      <c r="BA24" s="12">
        <v>0.67649999999999999</v>
      </c>
      <c r="BB24" s="12">
        <v>0.43080000000000002</v>
      </c>
      <c r="BC24" s="4">
        <v>74.040999999999997</v>
      </c>
      <c r="BD24" s="12">
        <v>0.78569999999999995</v>
      </c>
      <c r="BE24" s="12">
        <v>0.2364</v>
      </c>
      <c r="BF24" s="12">
        <v>0.18720000000000001</v>
      </c>
      <c r="BG24" s="4">
        <v>102.9</v>
      </c>
      <c r="BH24" s="4">
        <v>115</v>
      </c>
      <c r="BI24" s="4">
        <v>74.8125</v>
      </c>
      <c r="BJ24" s="12">
        <v>0.5887</v>
      </c>
      <c r="BK24" s="12">
        <v>0.55300000000000005</v>
      </c>
      <c r="BL24" s="12">
        <v>0.32350000000000001</v>
      </c>
      <c r="BM24" s="12">
        <v>0.8387</v>
      </c>
      <c r="BN24" s="12">
        <v>0.56920000000000004</v>
      </c>
      <c r="BO24" s="4">
        <v>75.584000000000003</v>
      </c>
      <c r="BP24" s="12">
        <v>0.6875</v>
      </c>
      <c r="BQ24" s="12">
        <v>0.19700000000000001</v>
      </c>
      <c r="BR24" s="12">
        <v>0.1608</v>
      </c>
      <c r="BS24" s="4">
        <v>115</v>
      </c>
      <c r="BT24" s="4">
        <v>102.9</v>
      </c>
      <c r="BU24" s="11">
        <v>22</v>
      </c>
      <c r="BV24" s="11">
        <v>23</v>
      </c>
      <c r="BW24" s="11">
        <v>18</v>
      </c>
      <c r="BX24" s="11">
        <v>14</v>
      </c>
      <c r="BY24" s="11">
        <v>28</v>
      </c>
      <c r="BZ24" s="11">
        <v>10</v>
      </c>
      <c r="CA24" s="11">
        <v>31</v>
      </c>
      <c r="CB24" s="11">
        <v>17</v>
      </c>
      <c r="CC24" s="11">
        <v>45</v>
      </c>
      <c r="CD24" s="11">
        <v>32</v>
      </c>
      <c r="CE24" s="11">
        <v>38</v>
      </c>
      <c r="CF24" s="11">
        <v>48</v>
      </c>
      <c r="CG24" s="4">
        <v>1.95</v>
      </c>
      <c r="CH24" s="13">
        <v>1.86</v>
      </c>
      <c r="CI24" s="4">
        <v>1</v>
      </c>
      <c r="CJ24" s="4">
        <v>-1</v>
      </c>
      <c r="CK24" s="4">
        <v>158.5</v>
      </c>
      <c r="CL24" s="2" t="s">
        <v>520</v>
      </c>
      <c r="CM24" s="4" t="str">
        <f>VLOOKUP(boulazac[[#This Row],[Away_team]],all[[Full name]:[Abbr]],3,FALSE)</f>
        <v>CHA</v>
      </c>
      <c r="CN24" s="4">
        <f>IF(OR(boulazac[[#This Row],[Result]]="w",boulazac[[#This Row],[Result]]="dw"),boulazac[[#This Row],[win]]-1,-1)</f>
        <v>-1</v>
      </c>
      <c r="CO24" s="4">
        <f>IF(OR(boulazac[[#This Row],[Result]]="L",boulazac[[#This Row],[Result]]="dl"),boulazac[[#This Row],[lose]]-1,-1)</f>
        <v>0.8600000000000001</v>
      </c>
      <c r="CP24" s="4">
        <f>IF(OR((boulazac[[#This Row],[Home_scored]]+boulazac[[#This Row],[Away_scored]])&gt;boulazac[[#This Row],[total]],OR(boulazac[[#This Row],[Result]]="dw",boulazac[[#This Row],[Result]]="dl")),1,0)</f>
        <v>1</v>
      </c>
      <c r="CQ24" s="4">
        <f>ABS((boulazac[[#This Row],[Home_scored]]+boulazac[[#This Row],[Away_scored]])-boulazac[[#This Row],[total]])+0.5</f>
        <v>5</v>
      </c>
    </row>
    <row r="25" spans="1:95" x14ac:dyDescent="0.25">
      <c r="A25" s="2" t="s">
        <v>349</v>
      </c>
      <c r="B25" s="2" t="s">
        <v>323</v>
      </c>
      <c r="C25" s="3" t="s">
        <v>73</v>
      </c>
      <c r="D25" s="3">
        <v>45738</v>
      </c>
      <c r="E25" s="2" t="s">
        <v>140</v>
      </c>
      <c r="F25" s="2" t="s">
        <v>308</v>
      </c>
      <c r="G25" s="2" t="s">
        <v>139</v>
      </c>
      <c r="H25" s="11">
        <v>77</v>
      </c>
      <c r="I25" s="11">
        <v>83</v>
      </c>
      <c r="J25" s="11">
        <v>26</v>
      </c>
      <c r="K25" s="11">
        <v>55</v>
      </c>
      <c r="L25" s="12">
        <v>0.47270000000000001</v>
      </c>
      <c r="M25" s="11">
        <v>19</v>
      </c>
      <c r="N25" s="11">
        <v>33</v>
      </c>
      <c r="O25" s="12">
        <v>0.57579999999999998</v>
      </c>
      <c r="P25" s="11">
        <v>7</v>
      </c>
      <c r="Q25" s="11">
        <v>22</v>
      </c>
      <c r="R25" s="12">
        <v>0.31819999999999998</v>
      </c>
      <c r="S25" s="11">
        <v>18</v>
      </c>
      <c r="T25" s="11">
        <v>24</v>
      </c>
      <c r="U25" s="12">
        <v>0.75</v>
      </c>
      <c r="V25" s="11">
        <v>12</v>
      </c>
      <c r="W25" s="11">
        <v>23</v>
      </c>
      <c r="X25" s="11">
        <v>35</v>
      </c>
      <c r="Y25" s="11">
        <v>17</v>
      </c>
      <c r="Z25" s="11">
        <v>4</v>
      </c>
      <c r="AA25" s="11">
        <v>1</v>
      </c>
      <c r="AB25" s="11">
        <v>14</v>
      </c>
      <c r="AC25" s="11">
        <v>15</v>
      </c>
      <c r="AD25" s="11">
        <v>32</v>
      </c>
      <c r="AE25" s="11">
        <v>73</v>
      </c>
      <c r="AF25" s="12">
        <v>0.43840000000000001</v>
      </c>
      <c r="AG25" s="11">
        <v>20</v>
      </c>
      <c r="AH25" s="11">
        <v>42</v>
      </c>
      <c r="AI25" s="12">
        <v>0.47620000000000001</v>
      </c>
      <c r="AJ25" s="11">
        <v>12</v>
      </c>
      <c r="AK25" s="11">
        <v>31</v>
      </c>
      <c r="AL25" s="12">
        <v>0.3871</v>
      </c>
      <c r="AM25" s="11">
        <v>7</v>
      </c>
      <c r="AN25" s="11">
        <v>8</v>
      </c>
      <c r="AO25" s="12">
        <v>0.875</v>
      </c>
      <c r="AP25" s="11">
        <v>19</v>
      </c>
      <c r="AQ25" s="11">
        <v>20</v>
      </c>
      <c r="AR25" s="11">
        <v>39</v>
      </c>
      <c r="AS25" s="11">
        <v>21</v>
      </c>
      <c r="AT25" s="11">
        <v>9</v>
      </c>
      <c r="AU25" s="11">
        <v>3</v>
      </c>
      <c r="AV25" s="11">
        <v>10</v>
      </c>
      <c r="AW25" s="11">
        <v>22</v>
      </c>
      <c r="AX25" s="12">
        <v>0.58720000000000006</v>
      </c>
      <c r="AY25" s="12">
        <v>0.53639999999999999</v>
      </c>
      <c r="AZ25" s="12">
        <v>0.375</v>
      </c>
      <c r="BA25" s="12">
        <v>0.54759999999999998</v>
      </c>
      <c r="BB25" s="12">
        <v>0.47299999999999998</v>
      </c>
      <c r="BC25" s="4">
        <v>67.960999999999999</v>
      </c>
      <c r="BD25" s="12">
        <v>0.65380000000000005</v>
      </c>
      <c r="BE25" s="12">
        <v>0.32729999999999998</v>
      </c>
      <c r="BF25" s="12">
        <v>0.17599999999999999</v>
      </c>
      <c r="BG25" s="4">
        <v>116</v>
      </c>
      <c r="BH25" s="4">
        <v>125</v>
      </c>
      <c r="BI25" s="4">
        <v>66.394000000000005</v>
      </c>
      <c r="BJ25" s="12">
        <v>0.5423</v>
      </c>
      <c r="BK25" s="12">
        <v>0.52049999999999996</v>
      </c>
      <c r="BL25" s="12">
        <v>0.45240000000000002</v>
      </c>
      <c r="BM25" s="12">
        <v>0.625</v>
      </c>
      <c r="BN25" s="12">
        <v>0.52700000000000002</v>
      </c>
      <c r="BO25" s="4">
        <v>64.826999999999998</v>
      </c>
      <c r="BP25" s="12">
        <v>0.65629999999999999</v>
      </c>
      <c r="BQ25" s="12">
        <v>9.5899999999999999E-2</v>
      </c>
      <c r="BR25" s="12">
        <v>0.11559999999999999</v>
      </c>
      <c r="BS25" s="4">
        <v>125</v>
      </c>
      <c r="BT25" s="4">
        <v>116</v>
      </c>
      <c r="BU25" s="11">
        <v>27</v>
      </c>
      <c r="BV25" s="11">
        <v>14</v>
      </c>
      <c r="BW25" s="11">
        <v>28</v>
      </c>
      <c r="BX25" s="11">
        <v>8</v>
      </c>
      <c r="BY25" s="11">
        <v>25</v>
      </c>
      <c r="BZ25" s="11">
        <v>17</v>
      </c>
      <c r="CA25" s="11">
        <v>18</v>
      </c>
      <c r="CB25" s="11">
        <v>23</v>
      </c>
      <c r="CC25" s="11">
        <v>41</v>
      </c>
      <c r="CD25" s="11">
        <v>36</v>
      </c>
      <c r="CE25" s="11">
        <v>42</v>
      </c>
      <c r="CF25" s="11">
        <v>41</v>
      </c>
      <c r="CG25" s="4">
        <v>7.25</v>
      </c>
      <c r="CH25" s="13">
        <v>1.1000000000000001</v>
      </c>
      <c r="CI25" s="4">
        <v>-13</v>
      </c>
      <c r="CJ25" s="4">
        <v>-13</v>
      </c>
      <c r="CK25" s="4">
        <v>161.5</v>
      </c>
      <c r="CL25" s="2" t="s">
        <v>526</v>
      </c>
      <c r="CM25" s="4" t="str">
        <f>VLOOKUP(boulazac[[#This Row],[Away_team]],all[[Full name]:[Abbr]],3,FALSE)</f>
        <v>CHO</v>
      </c>
      <c r="CN25" s="4">
        <f>IF(OR(boulazac[[#This Row],[Result]]="w",boulazac[[#This Row],[Result]]="dw"),boulazac[[#This Row],[win]]-1,-1)</f>
        <v>-1</v>
      </c>
      <c r="CO25" s="4">
        <f>IF(OR(boulazac[[#This Row],[Result]]="L",boulazac[[#This Row],[Result]]="dl"),boulazac[[#This Row],[lose]]-1,-1)</f>
        <v>0.10000000000000009</v>
      </c>
      <c r="CP25" s="4">
        <f>IF(OR((boulazac[[#This Row],[Home_scored]]+boulazac[[#This Row],[Away_scored]])&gt;boulazac[[#This Row],[total]],OR(boulazac[[#This Row],[Result]]="dw",boulazac[[#This Row],[Result]]="dl")),1,0)</f>
        <v>0</v>
      </c>
      <c r="CQ25" s="4">
        <f>ABS((boulazac[[#This Row],[Home_scored]]+boulazac[[#This Row],[Away_scored]])-boulazac[[#This Row],[total]])+0.5</f>
        <v>2</v>
      </c>
    </row>
    <row r="26" spans="1:95" x14ac:dyDescent="0.25">
      <c r="A26" s="2" t="s">
        <v>349</v>
      </c>
      <c r="B26" s="2" t="s">
        <v>323</v>
      </c>
      <c r="C26" s="3" t="s">
        <v>73</v>
      </c>
      <c r="D26" s="3">
        <v>45745</v>
      </c>
      <c r="E26" s="2" t="s">
        <v>140</v>
      </c>
      <c r="F26" s="2" t="s">
        <v>302</v>
      </c>
      <c r="G26" s="2" t="s">
        <v>139</v>
      </c>
      <c r="H26" s="11">
        <v>67</v>
      </c>
      <c r="I26" s="11">
        <v>87</v>
      </c>
      <c r="J26" s="11">
        <v>25</v>
      </c>
      <c r="K26" s="11">
        <v>55</v>
      </c>
      <c r="L26" s="12">
        <v>0.45450000000000002</v>
      </c>
      <c r="M26" s="11">
        <v>18</v>
      </c>
      <c r="N26" s="11">
        <v>33</v>
      </c>
      <c r="O26" s="12">
        <v>0.54549999999999998</v>
      </c>
      <c r="P26" s="11">
        <v>7</v>
      </c>
      <c r="Q26" s="11">
        <v>22</v>
      </c>
      <c r="R26" s="12">
        <v>0.31819999999999998</v>
      </c>
      <c r="S26" s="11">
        <v>10</v>
      </c>
      <c r="T26" s="11">
        <v>14</v>
      </c>
      <c r="U26" s="12">
        <v>0.71430000000000005</v>
      </c>
      <c r="V26" s="11">
        <v>4</v>
      </c>
      <c r="W26" s="11">
        <v>23</v>
      </c>
      <c r="X26" s="11">
        <v>27</v>
      </c>
      <c r="Y26" s="11">
        <v>17</v>
      </c>
      <c r="Z26" s="11">
        <v>7</v>
      </c>
      <c r="AA26" s="11">
        <v>2</v>
      </c>
      <c r="AB26" s="11">
        <v>16</v>
      </c>
      <c r="AC26" s="11">
        <v>26</v>
      </c>
      <c r="AD26" s="11">
        <v>32</v>
      </c>
      <c r="AE26" s="11">
        <v>66</v>
      </c>
      <c r="AF26" s="12">
        <v>0.48480000000000001</v>
      </c>
      <c r="AG26" s="11">
        <v>27</v>
      </c>
      <c r="AH26" s="11">
        <v>48</v>
      </c>
      <c r="AI26" s="12">
        <v>0.5625</v>
      </c>
      <c r="AJ26" s="11">
        <v>5</v>
      </c>
      <c r="AK26" s="11">
        <v>18</v>
      </c>
      <c r="AL26" s="12">
        <v>0.27779999999999999</v>
      </c>
      <c r="AM26" s="11">
        <v>18</v>
      </c>
      <c r="AN26" s="11">
        <v>31</v>
      </c>
      <c r="AO26" s="12">
        <v>0.5806</v>
      </c>
      <c r="AP26" s="11">
        <v>17</v>
      </c>
      <c r="AQ26" s="11">
        <v>27</v>
      </c>
      <c r="AR26" s="11">
        <v>44</v>
      </c>
      <c r="AS26" s="11">
        <v>22</v>
      </c>
      <c r="AT26" s="11">
        <v>5</v>
      </c>
      <c r="AU26" s="11">
        <v>4</v>
      </c>
      <c r="AV26" s="11">
        <v>10</v>
      </c>
      <c r="AW26" s="11">
        <v>16</v>
      </c>
      <c r="AX26" s="12">
        <v>0.54769999999999996</v>
      </c>
      <c r="AY26" s="12">
        <v>0.51819999999999999</v>
      </c>
      <c r="AZ26" s="12">
        <v>0.129</v>
      </c>
      <c r="BA26" s="12">
        <v>0.57499999999999996</v>
      </c>
      <c r="BB26" s="12">
        <v>0.38030000000000003</v>
      </c>
      <c r="BC26" s="4">
        <v>71.843999999999994</v>
      </c>
      <c r="BD26" s="12">
        <v>0.68</v>
      </c>
      <c r="BE26" s="12">
        <v>0.18179999999999999</v>
      </c>
      <c r="BF26" s="12">
        <v>0.2074</v>
      </c>
      <c r="BG26" s="4">
        <v>91.7</v>
      </c>
      <c r="BH26" s="4">
        <v>119</v>
      </c>
      <c r="BI26" s="4">
        <v>73.093999999999994</v>
      </c>
      <c r="BJ26" s="12">
        <v>0.54620000000000002</v>
      </c>
      <c r="BK26" s="12">
        <v>0.52270000000000005</v>
      </c>
      <c r="BL26" s="12">
        <v>0.42499999999999999</v>
      </c>
      <c r="BM26" s="12">
        <v>0.871</v>
      </c>
      <c r="BN26" s="12">
        <v>0.61970000000000003</v>
      </c>
      <c r="BO26" s="4">
        <v>74.343999999999994</v>
      </c>
      <c r="BP26" s="12">
        <v>0.6875</v>
      </c>
      <c r="BQ26" s="12">
        <v>0.2727</v>
      </c>
      <c r="BR26" s="12">
        <v>0.1116</v>
      </c>
      <c r="BS26" s="4">
        <v>119</v>
      </c>
      <c r="BT26" s="4">
        <v>91.7</v>
      </c>
      <c r="BU26" s="11">
        <v>13</v>
      </c>
      <c r="BV26" s="11">
        <v>15</v>
      </c>
      <c r="BW26" s="11">
        <v>18</v>
      </c>
      <c r="BX26" s="11">
        <v>21</v>
      </c>
      <c r="BY26" s="11">
        <v>23</v>
      </c>
      <c r="BZ26" s="11">
        <v>28</v>
      </c>
      <c r="CA26" s="11">
        <v>22</v>
      </c>
      <c r="CB26" s="11">
        <v>14</v>
      </c>
      <c r="CC26" s="11">
        <v>28</v>
      </c>
      <c r="CD26" s="11">
        <v>39</v>
      </c>
      <c r="CE26" s="11">
        <v>51</v>
      </c>
      <c r="CF26" s="11">
        <v>36</v>
      </c>
      <c r="CG26" s="4">
        <v>6</v>
      </c>
      <c r="CH26" s="13">
        <v>1.1399999999999999</v>
      </c>
      <c r="CI26" s="4">
        <v>11.5</v>
      </c>
      <c r="CJ26" s="4">
        <v>-11.5</v>
      </c>
      <c r="CK26" s="4">
        <v>161.5</v>
      </c>
      <c r="CL26" s="2" t="s">
        <v>531</v>
      </c>
      <c r="CM26" s="4" t="str">
        <f>VLOOKUP(boulazac[[#This Row],[Away_team]],all[[Full name]:[Abbr]],3,FALSE)</f>
        <v>BUR</v>
      </c>
      <c r="CN26" s="4">
        <f>IF(OR(boulazac[[#This Row],[Result]]="w",boulazac[[#This Row],[Result]]="dw"),boulazac[[#This Row],[win]]-1,-1)</f>
        <v>-1</v>
      </c>
      <c r="CO26" s="4">
        <f>IF(OR(boulazac[[#This Row],[Result]]="L",boulazac[[#This Row],[Result]]="dl"),boulazac[[#This Row],[lose]]-1,-1)</f>
        <v>0.1399999999999999</v>
      </c>
      <c r="CP26" s="4">
        <f>IF(OR((boulazac[[#This Row],[Home_scored]]+boulazac[[#This Row],[Away_scored]])&gt;boulazac[[#This Row],[total]],OR(boulazac[[#This Row],[Result]]="dw",boulazac[[#This Row],[Result]]="dl")),1,0)</f>
        <v>0</v>
      </c>
      <c r="CQ26" s="4">
        <f>ABS((boulazac[[#This Row],[Home_scored]]+boulazac[[#This Row],[Away_scored]])-boulazac[[#This Row],[total]])+0.5</f>
        <v>8</v>
      </c>
    </row>
    <row r="27" spans="1:95" x14ac:dyDescent="0.25">
      <c r="A27" s="2" t="s">
        <v>349</v>
      </c>
      <c r="B27" s="2" t="s">
        <v>323</v>
      </c>
      <c r="C27" s="3" t="s">
        <v>73</v>
      </c>
      <c r="D27" s="3">
        <v>45751</v>
      </c>
      <c r="E27" s="2" t="s">
        <v>74</v>
      </c>
      <c r="F27" s="2" t="s">
        <v>333</v>
      </c>
      <c r="G27" s="2" t="s">
        <v>139</v>
      </c>
      <c r="H27" s="11">
        <v>79</v>
      </c>
      <c r="I27" s="11">
        <v>88</v>
      </c>
      <c r="J27" s="11">
        <v>29</v>
      </c>
      <c r="K27" s="11">
        <v>64</v>
      </c>
      <c r="L27" s="12">
        <v>0.4531</v>
      </c>
      <c r="M27" s="11">
        <v>22</v>
      </c>
      <c r="N27" s="11">
        <v>38</v>
      </c>
      <c r="O27" s="12">
        <v>0.57889999999999997</v>
      </c>
      <c r="P27" s="11">
        <v>7</v>
      </c>
      <c r="Q27" s="11">
        <v>26</v>
      </c>
      <c r="R27" s="12">
        <v>0.26919999999999999</v>
      </c>
      <c r="S27" s="11">
        <v>14</v>
      </c>
      <c r="T27" s="11">
        <v>16</v>
      </c>
      <c r="U27" s="12">
        <v>0.875</v>
      </c>
      <c r="V27" s="11">
        <v>8</v>
      </c>
      <c r="W27" s="11">
        <v>26</v>
      </c>
      <c r="X27" s="11">
        <v>34</v>
      </c>
      <c r="Y27" s="11">
        <v>22</v>
      </c>
      <c r="Z27" s="11">
        <v>4</v>
      </c>
      <c r="AA27" s="11">
        <v>0</v>
      </c>
      <c r="AB27" s="11">
        <v>12</v>
      </c>
      <c r="AC27" s="11">
        <v>17</v>
      </c>
      <c r="AD27" s="11">
        <v>32</v>
      </c>
      <c r="AE27" s="11">
        <v>60</v>
      </c>
      <c r="AF27" s="12">
        <v>0.5333</v>
      </c>
      <c r="AG27" s="11">
        <v>20</v>
      </c>
      <c r="AH27" s="11">
        <v>32</v>
      </c>
      <c r="AI27" s="12">
        <v>0.625</v>
      </c>
      <c r="AJ27" s="11">
        <v>12</v>
      </c>
      <c r="AK27" s="11">
        <v>28</v>
      </c>
      <c r="AL27" s="12">
        <v>0.42859999999999998</v>
      </c>
      <c r="AM27" s="11">
        <v>12</v>
      </c>
      <c r="AN27" s="11">
        <v>15</v>
      </c>
      <c r="AO27" s="12">
        <v>0.8</v>
      </c>
      <c r="AP27" s="11">
        <v>4</v>
      </c>
      <c r="AQ27" s="11">
        <v>28</v>
      </c>
      <c r="AR27" s="11">
        <v>32</v>
      </c>
      <c r="AS27" s="11">
        <v>23</v>
      </c>
      <c r="AT27" s="11">
        <v>7</v>
      </c>
      <c r="AU27" s="11">
        <v>3</v>
      </c>
      <c r="AV27" s="11">
        <v>13</v>
      </c>
      <c r="AW27" s="11">
        <v>22</v>
      </c>
      <c r="AX27" s="12">
        <v>0.55600000000000005</v>
      </c>
      <c r="AY27" s="12">
        <v>0.50780000000000003</v>
      </c>
      <c r="AZ27" s="12">
        <v>0.22220000000000001</v>
      </c>
      <c r="BA27" s="12">
        <v>0.86670000000000003</v>
      </c>
      <c r="BB27" s="12">
        <v>0.51519999999999999</v>
      </c>
      <c r="BC27" s="4">
        <v>73.587999999999994</v>
      </c>
      <c r="BD27" s="12">
        <v>0.75860000000000005</v>
      </c>
      <c r="BE27" s="12">
        <v>0.21879999999999999</v>
      </c>
      <c r="BF27" s="12">
        <v>0.14449999999999999</v>
      </c>
      <c r="BG27" s="4">
        <v>106.2</v>
      </c>
      <c r="BH27" s="4">
        <v>118.2</v>
      </c>
      <c r="BI27" s="4">
        <v>74.421499999999995</v>
      </c>
      <c r="BJ27" s="12">
        <v>0.66069999999999995</v>
      </c>
      <c r="BK27" s="12">
        <v>0.63329999999999997</v>
      </c>
      <c r="BL27" s="12">
        <v>0.1333</v>
      </c>
      <c r="BM27" s="12">
        <v>0.77780000000000005</v>
      </c>
      <c r="BN27" s="12">
        <v>0.48480000000000001</v>
      </c>
      <c r="BO27" s="4">
        <v>75.254999999999995</v>
      </c>
      <c r="BP27" s="12">
        <v>0.71879999999999999</v>
      </c>
      <c r="BQ27" s="12">
        <v>0.2</v>
      </c>
      <c r="BR27" s="12">
        <v>0.1633</v>
      </c>
      <c r="BS27" s="4">
        <v>118.2</v>
      </c>
      <c r="BT27" s="4">
        <v>106.2</v>
      </c>
      <c r="BU27" s="11">
        <v>29</v>
      </c>
      <c r="BV27" s="11">
        <v>19</v>
      </c>
      <c r="BW27" s="11">
        <v>17</v>
      </c>
      <c r="BX27" s="11">
        <v>14</v>
      </c>
      <c r="BY27" s="11">
        <v>24</v>
      </c>
      <c r="BZ27" s="11">
        <v>15</v>
      </c>
      <c r="CA27" s="11">
        <v>23</v>
      </c>
      <c r="CB27" s="11">
        <v>26</v>
      </c>
      <c r="CC27" s="11">
        <v>48</v>
      </c>
      <c r="CD27" s="11">
        <v>31</v>
      </c>
      <c r="CE27" s="11">
        <v>39</v>
      </c>
      <c r="CF27" s="11">
        <v>49</v>
      </c>
      <c r="CG27" s="4">
        <v>2.6</v>
      </c>
      <c r="CH27" s="13">
        <v>1.52</v>
      </c>
      <c r="CI27" s="4">
        <v>4.5</v>
      </c>
      <c r="CJ27" s="4">
        <v>-4.5</v>
      </c>
      <c r="CK27" s="4">
        <v>161.5</v>
      </c>
      <c r="CL27" s="2" t="s">
        <v>538</v>
      </c>
      <c r="CM27" s="4" t="str">
        <f>VLOOKUP(boulazac[[#This Row],[Away_team]],all[[Full name]:[Abbr]],3,FALSE)</f>
        <v>NCY</v>
      </c>
      <c r="CN27" s="4">
        <f>IF(OR(boulazac[[#This Row],[Result]]="w",boulazac[[#This Row],[Result]]="dw"),boulazac[[#This Row],[win]]-1,-1)</f>
        <v>-1</v>
      </c>
      <c r="CO27" s="4">
        <f>IF(OR(boulazac[[#This Row],[Result]]="L",boulazac[[#This Row],[Result]]="dl"),boulazac[[#This Row],[lose]]-1,-1)</f>
        <v>0.52</v>
      </c>
      <c r="CP27" s="4">
        <f>IF(OR((boulazac[[#This Row],[Home_scored]]+boulazac[[#This Row],[Away_scored]])&gt;boulazac[[#This Row],[total]],OR(boulazac[[#This Row],[Result]]="dw",boulazac[[#This Row],[Result]]="dl")),1,0)</f>
        <v>1</v>
      </c>
      <c r="CQ27" s="4">
        <f>ABS((boulazac[[#This Row],[Home_scored]]+boulazac[[#This Row],[Away_scored]])-boulazac[[#This Row],[total]])+0.5</f>
        <v>6</v>
      </c>
    </row>
    <row r="28" spans="1:95" x14ac:dyDescent="0.25">
      <c r="A28" s="2" t="s">
        <v>349</v>
      </c>
      <c r="B28" s="2" t="s">
        <v>323</v>
      </c>
      <c r="C28" s="3" t="s">
        <v>73</v>
      </c>
      <c r="D28" s="3">
        <v>45758</v>
      </c>
      <c r="E28" s="2" t="s">
        <v>74</v>
      </c>
      <c r="F28" s="2" t="s">
        <v>324</v>
      </c>
      <c r="G28" s="2" t="s">
        <v>139</v>
      </c>
      <c r="H28" s="11">
        <v>80</v>
      </c>
      <c r="I28" s="11">
        <v>86</v>
      </c>
      <c r="J28" s="11">
        <v>27</v>
      </c>
      <c r="K28" s="11">
        <v>57</v>
      </c>
      <c r="L28" s="12">
        <v>0.47370000000000001</v>
      </c>
      <c r="M28" s="11">
        <v>17</v>
      </c>
      <c r="N28" s="11">
        <v>37</v>
      </c>
      <c r="O28" s="12">
        <v>0.45950000000000002</v>
      </c>
      <c r="P28" s="11">
        <v>10</v>
      </c>
      <c r="Q28" s="11">
        <v>20</v>
      </c>
      <c r="R28" s="12">
        <v>0.5</v>
      </c>
      <c r="S28" s="11">
        <v>16</v>
      </c>
      <c r="T28" s="11">
        <v>20</v>
      </c>
      <c r="U28" s="12">
        <v>0.8</v>
      </c>
      <c r="V28" s="11">
        <v>2</v>
      </c>
      <c r="W28" s="11">
        <v>26</v>
      </c>
      <c r="X28" s="11">
        <v>28</v>
      </c>
      <c r="Y28" s="11">
        <v>23</v>
      </c>
      <c r="Z28" s="11">
        <v>4</v>
      </c>
      <c r="AA28" s="11">
        <v>0</v>
      </c>
      <c r="AB28" s="11">
        <v>10</v>
      </c>
      <c r="AC28" s="11">
        <v>23</v>
      </c>
      <c r="AD28" s="11">
        <v>29</v>
      </c>
      <c r="AE28" s="11">
        <v>66</v>
      </c>
      <c r="AF28" s="12">
        <v>0.43940000000000001</v>
      </c>
      <c r="AG28" s="11">
        <v>21</v>
      </c>
      <c r="AH28" s="11">
        <v>40</v>
      </c>
      <c r="AI28" s="12">
        <v>0.52500000000000002</v>
      </c>
      <c r="AJ28" s="11">
        <v>8</v>
      </c>
      <c r="AK28" s="11">
        <v>26</v>
      </c>
      <c r="AL28" s="12">
        <v>0.30769999999999997</v>
      </c>
      <c r="AM28" s="11">
        <v>20</v>
      </c>
      <c r="AN28" s="11">
        <v>26</v>
      </c>
      <c r="AO28" s="12">
        <v>0.76919999999999999</v>
      </c>
      <c r="AP28" s="11">
        <v>14</v>
      </c>
      <c r="AQ28" s="11">
        <v>29</v>
      </c>
      <c r="AR28" s="11">
        <v>43</v>
      </c>
      <c r="AS28" s="11">
        <v>23</v>
      </c>
      <c r="AT28" s="11">
        <v>5</v>
      </c>
      <c r="AU28" s="11">
        <v>1</v>
      </c>
      <c r="AV28" s="11">
        <v>14</v>
      </c>
      <c r="AW28" s="11">
        <v>22</v>
      </c>
      <c r="AX28" s="12">
        <v>0.6079</v>
      </c>
      <c r="AY28" s="12">
        <v>0.56140000000000001</v>
      </c>
      <c r="AZ28" s="12">
        <v>6.4500000000000002E-2</v>
      </c>
      <c r="BA28" s="12">
        <v>0.65</v>
      </c>
      <c r="BB28" s="12">
        <v>0.39439999999999997</v>
      </c>
      <c r="BC28" s="4">
        <v>72.706999999999994</v>
      </c>
      <c r="BD28" s="12">
        <v>0.85189999999999999</v>
      </c>
      <c r="BE28" s="12">
        <v>0.28070000000000001</v>
      </c>
      <c r="BF28" s="12">
        <v>0.13189999999999999</v>
      </c>
      <c r="BG28" s="4">
        <v>106.5</v>
      </c>
      <c r="BH28" s="4">
        <v>114.5</v>
      </c>
      <c r="BI28" s="4">
        <v>75.108500000000006</v>
      </c>
      <c r="BJ28" s="12">
        <v>0.55530000000000002</v>
      </c>
      <c r="BK28" s="12">
        <v>0.5</v>
      </c>
      <c r="BL28" s="12">
        <v>0.35</v>
      </c>
      <c r="BM28" s="12">
        <v>0.9355</v>
      </c>
      <c r="BN28" s="12">
        <v>0.60560000000000003</v>
      </c>
      <c r="BO28" s="4">
        <v>77.510000000000005</v>
      </c>
      <c r="BP28" s="12">
        <v>0.79310000000000003</v>
      </c>
      <c r="BQ28" s="12">
        <v>0.30299999999999999</v>
      </c>
      <c r="BR28" s="12">
        <v>0.15310000000000001</v>
      </c>
      <c r="BS28" s="4">
        <v>114.5</v>
      </c>
      <c r="BT28" s="4">
        <v>106.5</v>
      </c>
      <c r="BU28" s="11">
        <v>24</v>
      </c>
      <c r="BV28" s="11">
        <v>22</v>
      </c>
      <c r="BW28" s="11">
        <v>11</v>
      </c>
      <c r="BX28" s="11">
        <v>23</v>
      </c>
      <c r="BY28" s="11">
        <v>19</v>
      </c>
      <c r="BZ28" s="11">
        <v>15</v>
      </c>
      <c r="CA28" s="11">
        <v>25</v>
      </c>
      <c r="CB28" s="11">
        <v>27</v>
      </c>
      <c r="CC28" s="11">
        <v>46</v>
      </c>
      <c r="CD28" s="11">
        <v>34</v>
      </c>
      <c r="CE28" s="11">
        <v>34</v>
      </c>
      <c r="CF28" s="11">
        <v>52</v>
      </c>
      <c r="CG28" s="4">
        <v>2.0499999999999998</v>
      </c>
      <c r="CH28" s="13">
        <v>1.8</v>
      </c>
      <c r="CI28" s="4">
        <v>1.5</v>
      </c>
      <c r="CJ28" s="4">
        <v>-1.5</v>
      </c>
      <c r="CK28" s="4">
        <v>160.5</v>
      </c>
      <c r="CL28" s="2" t="s">
        <v>546</v>
      </c>
      <c r="CM28" s="4" t="str">
        <f>VLOOKUP(boulazac[[#This Row],[Away_team]],all[[Full name]:[Abbr]],3,FALSE)</f>
        <v>LIM</v>
      </c>
      <c r="CN28" s="4">
        <f>IF(OR(boulazac[[#This Row],[Result]]="w",boulazac[[#This Row],[Result]]="dw"),boulazac[[#This Row],[win]]-1,-1)</f>
        <v>-1</v>
      </c>
      <c r="CO28" s="4">
        <f>IF(OR(boulazac[[#This Row],[Result]]="L",boulazac[[#This Row],[Result]]="dl"),boulazac[[#This Row],[lose]]-1,-1)</f>
        <v>0.8</v>
      </c>
      <c r="CP28" s="4">
        <f>IF(OR((boulazac[[#This Row],[Home_scored]]+boulazac[[#This Row],[Away_scored]])&gt;boulazac[[#This Row],[total]],OR(boulazac[[#This Row],[Result]]="dw",boulazac[[#This Row],[Result]]="dl")),1,0)</f>
        <v>1</v>
      </c>
      <c r="CQ28" s="4">
        <f>ABS((boulazac[[#This Row],[Home_scored]]+boulazac[[#This Row],[Away_scored]])-boulazac[[#This Row],[total]])+0.5</f>
        <v>6</v>
      </c>
    </row>
    <row r="29" spans="1:95" x14ac:dyDescent="0.25">
      <c r="A29" s="2" t="s">
        <v>349</v>
      </c>
      <c r="B29" s="2" t="s">
        <v>323</v>
      </c>
      <c r="C29" s="3" t="s">
        <v>73</v>
      </c>
      <c r="D29" s="3">
        <v>45766</v>
      </c>
      <c r="E29" s="2" t="s">
        <v>140</v>
      </c>
      <c r="F29" s="2" t="s">
        <v>336</v>
      </c>
      <c r="G29" s="2" t="s">
        <v>75</v>
      </c>
      <c r="H29" s="11">
        <v>76</v>
      </c>
      <c r="I29" s="11">
        <v>63</v>
      </c>
      <c r="J29" s="11">
        <v>24</v>
      </c>
      <c r="K29" s="11">
        <v>54</v>
      </c>
      <c r="L29" s="12">
        <v>0.44440000000000002</v>
      </c>
      <c r="M29" s="11">
        <v>15</v>
      </c>
      <c r="N29" s="11">
        <v>27</v>
      </c>
      <c r="O29" s="12">
        <v>0.55559999999999998</v>
      </c>
      <c r="P29" s="11">
        <v>9</v>
      </c>
      <c r="Q29" s="11">
        <v>27</v>
      </c>
      <c r="R29" s="12">
        <v>0.33329999999999999</v>
      </c>
      <c r="S29" s="11">
        <v>19</v>
      </c>
      <c r="T29" s="11">
        <v>26</v>
      </c>
      <c r="U29" s="12">
        <v>0.73080000000000001</v>
      </c>
      <c r="V29" s="11">
        <v>8</v>
      </c>
      <c r="W29" s="11">
        <v>23</v>
      </c>
      <c r="X29" s="11">
        <v>31</v>
      </c>
      <c r="Y29" s="11">
        <v>19</v>
      </c>
      <c r="Z29" s="11">
        <v>9</v>
      </c>
      <c r="AA29" s="11">
        <v>5</v>
      </c>
      <c r="AB29" s="11">
        <v>13</v>
      </c>
      <c r="AC29" s="11">
        <v>17</v>
      </c>
      <c r="AD29" s="11">
        <v>24</v>
      </c>
      <c r="AE29" s="11">
        <v>67</v>
      </c>
      <c r="AF29" s="12">
        <v>0.35820000000000002</v>
      </c>
      <c r="AG29" s="11">
        <v>15</v>
      </c>
      <c r="AH29" s="11">
        <v>39</v>
      </c>
      <c r="AI29" s="12">
        <v>0.3846</v>
      </c>
      <c r="AJ29" s="11">
        <v>9</v>
      </c>
      <c r="AK29" s="11">
        <v>28</v>
      </c>
      <c r="AL29" s="12">
        <v>0.32140000000000002</v>
      </c>
      <c r="AM29" s="11">
        <v>6</v>
      </c>
      <c r="AN29" s="11">
        <v>8</v>
      </c>
      <c r="AO29" s="12">
        <v>0.75</v>
      </c>
      <c r="AP29" s="11">
        <v>20</v>
      </c>
      <c r="AQ29" s="11">
        <v>27</v>
      </c>
      <c r="AR29" s="11">
        <v>47</v>
      </c>
      <c r="AS29" s="11">
        <v>18</v>
      </c>
      <c r="AT29" s="11">
        <v>9</v>
      </c>
      <c r="AU29" s="11">
        <v>3</v>
      </c>
      <c r="AV29" s="11">
        <v>20</v>
      </c>
      <c r="AW29" s="11">
        <v>24</v>
      </c>
      <c r="AX29" s="12">
        <v>0.58069999999999999</v>
      </c>
      <c r="AY29" s="12">
        <v>0.52780000000000005</v>
      </c>
      <c r="AZ29" s="12">
        <v>0.2286</v>
      </c>
      <c r="BA29" s="12">
        <v>0.53490000000000004</v>
      </c>
      <c r="BB29" s="12">
        <v>0.39739999999999998</v>
      </c>
      <c r="BC29" s="4">
        <v>69.116</v>
      </c>
      <c r="BD29" s="12">
        <v>0.79169999999999996</v>
      </c>
      <c r="BE29" s="12">
        <v>0.35189999999999999</v>
      </c>
      <c r="BF29" s="12">
        <v>0.16569999999999999</v>
      </c>
      <c r="BG29" s="4">
        <v>108.8</v>
      </c>
      <c r="BH29" s="4">
        <v>90.2</v>
      </c>
      <c r="BI29" s="4">
        <v>69.868499999999997</v>
      </c>
      <c r="BJ29" s="12">
        <v>0.44669999999999999</v>
      </c>
      <c r="BK29" s="12">
        <v>0.4254</v>
      </c>
      <c r="BL29" s="12">
        <v>0.46510000000000001</v>
      </c>
      <c r="BM29" s="12">
        <v>0.77139999999999997</v>
      </c>
      <c r="BN29" s="12">
        <v>0.60260000000000002</v>
      </c>
      <c r="BO29" s="4">
        <v>70.620999999999995</v>
      </c>
      <c r="BP29" s="12">
        <v>0.75</v>
      </c>
      <c r="BQ29" s="12">
        <v>8.9599999999999999E-2</v>
      </c>
      <c r="BR29" s="12">
        <v>0.22090000000000001</v>
      </c>
      <c r="BS29" s="4">
        <v>90.2</v>
      </c>
      <c r="BT29" s="4">
        <v>108.8</v>
      </c>
      <c r="BU29" s="11">
        <v>18</v>
      </c>
      <c r="BV29" s="11">
        <v>14</v>
      </c>
      <c r="BW29" s="11">
        <v>23</v>
      </c>
      <c r="BX29" s="11">
        <v>21</v>
      </c>
      <c r="BY29" s="11">
        <v>23</v>
      </c>
      <c r="BZ29" s="11">
        <v>16</v>
      </c>
      <c r="CA29" s="11">
        <v>14</v>
      </c>
      <c r="CB29" s="11">
        <v>10</v>
      </c>
      <c r="CC29" s="11">
        <v>32</v>
      </c>
      <c r="CD29" s="11">
        <v>44</v>
      </c>
      <c r="CE29" s="11">
        <v>39</v>
      </c>
      <c r="CF29" s="11">
        <v>24</v>
      </c>
      <c r="CG29" s="4">
        <v>4.75</v>
      </c>
      <c r="CH29" s="13">
        <v>1.2</v>
      </c>
      <c r="CI29" s="4">
        <v>-10</v>
      </c>
      <c r="CJ29" s="4">
        <v>-10</v>
      </c>
      <c r="CK29" s="4">
        <v>162.5</v>
      </c>
      <c r="CL29" s="2" t="s">
        <v>558</v>
      </c>
      <c r="CM29" s="4" t="str">
        <f>VLOOKUP(boulazac[[#This Row],[Away_team]],all[[Full name]:[Abbr]],3,FALSE)</f>
        <v>NAN</v>
      </c>
      <c r="CN29" s="4">
        <f>IF(OR(boulazac[[#This Row],[Result]]="w",boulazac[[#This Row],[Result]]="dw"),boulazac[[#This Row],[win]]-1,-1)</f>
        <v>3.75</v>
      </c>
      <c r="CO29" s="4">
        <f>IF(OR(boulazac[[#This Row],[Result]]="L",boulazac[[#This Row],[Result]]="dl"),boulazac[[#This Row],[lose]]-1,-1)</f>
        <v>-1</v>
      </c>
      <c r="CP29" s="4">
        <f>IF(OR((boulazac[[#This Row],[Home_scored]]+boulazac[[#This Row],[Away_scored]])&gt;boulazac[[#This Row],[total]],OR(boulazac[[#This Row],[Result]]="dw",boulazac[[#This Row],[Result]]="dl")),1,0)</f>
        <v>0</v>
      </c>
      <c r="CQ29" s="4">
        <f>ABS((boulazac[[#This Row],[Home_scored]]+boulazac[[#This Row],[Away_scored]])-boulazac[[#This Row],[total]])+0.5</f>
        <v>24</v>
      </c>
    </row>
    <row r="30" spans="1:95" x14ac:dyDescent="0.25">
      <c r="A30" s="2" t="s">
        <v>349</v>
      </c>
      <c r="B30" s="2" t="s">
        <v>323</v>
      </c>
      <c r="C30" s="3" t="s">
        <v>73</v>
      </c>
      <c r="D30" s="3">
        <v>45772</v>
      </c>
      <c r="E30" s="2" t="s">
        <v>140</v>
      </c>
      <c r="F30" s="2" t="s">
        <v>345</v>
      </c>
      <c r="G30" s="2" t="s">
        <v>139</v>
      </c>
      <c r="H30" s="11">
        <v>63</v>
      </c>
      <c r="I30" s="11">
        <v>71</v>
      </c>
      <c r="J30" s="11">
        <v>17</v>
      </c>
      <c r="K30" s="11">
        <v>51</v>
      </c>
      <c r="L30" s="12">
        <v>0.33329999999999999</v>
      </c>
      <c r="M30" s="11">
        <v>11</v>
      </c>
      <c r="N30" s="11">
        <v>32</v>
      </c>
      <c r="O30" s="12">
        <v>0.34379999999999999</v>
      </c>
      <c r="P30" s="11">
        <v>6</v>
      </c>
      <c r="Q30" s="11">
        <v>19</v>
      </c>
      <c r="R30" s="12">
        <v>0.31580000000000003</v>
      </c>
      <c r="S30" s="11">
        <v>23</v>
      </c>
      <c r="T30" s="11">
        <v>27</v>
      </c>
      <c r="U30" s="12">
        <v>0.85189999999999999</v>
      </c>
      <c r="V30" s="11">
        <v>7</v>
      </c>
      <c r="W30" s="11">
        <v>22</v>
      </c>
      <c r="X30" s="11">
        <v>29</v>
      </c>
      <c r="Y30" s="11">
        <v>19</v>
      </c>
      <c r="Z30" s="11">
        <v>7</v>
      </c>
      <c r="AA30" s="11">
        <v>1</v>
      </c>
      <c r="AB30" s="11">
        <v>13</v>
      </c>
      <c r="AC30" s="11">
        <v>17</v>
      </c>
      <c r="AD30" s="11">
        <v>28</v>
      </c>
      <c r="AE30" s="11">
        <v>59</v>
      </c>
      <c r="AF30" s="12">
        <v>0.47460000000000002</v>
      </c>
      <c r="AG30" s="11">
        <v>19</v>
      </c>
      <c r="AH30" s="11">
        <v>36</v>
      </c>
      <c r="AI30" s="12">
        <v>0.52780000000000005</v>
      </c>
      <c r="AJ30" s="11">
        <v>9</v>
      </c>
      <c r="AK30" s="11">
        <v>23</v>
      </c>
      <c r="AL30" s="12">
        <v>0.39129999999999998</v>
      </c>
      <c r="AM30" s="11">
        <v>6</v>
      </c>
      <c r="AN30" s="11">
        <v>7</v>
      </c>
      <c r="AO30" s="12">
        <v>0.85709999999999997</v>
      </c>
      <c r="AP30" s="11">
        <v>8</v>
      </c>
      <c r="AQ30" s="11">
        <v>27</v>
      </c>
      <c r="AR30" s="11">
        <v>35</v>
      </c>
      <c r="AS30" s="11">
        <v>15</v>
      </c>
      <c r="AT30" s="11">
        <v>6</v>
      </c>
      <c r="AU30" s="11">
        <v>6</v>
      </c>
      <c r="AV30" s="11">
        <v>13</v>
      </c>
      <c r="AW30" s="11">
        <v>26</v>
      </c>
      <c r="AX30" s="12">
        <v>0.501</v>
      </c>
      <c r="AY30" s="12">
        <v>0.39219999999999999</v>
      </c>
      <c r="AZ30" s="12">
        <v>0.2059</v>
      </c>
      <c r="BA30" s="12">
        <v>0.73329999999999995</v>
      </c>
      <c r="BB30" s="12">
        <v>0.4531</v>
      </c>
      <c r="BC30" s="4">
        <v>66.019000000000005</v>
      </c>
      <c r="BD30" s="12">
        <v>1.1175999999999999</v>
      </c>
      <c r="BE30" s="12">
        <v>0.45100000000000001</v>
      </c>
      <c r="BF30" s="12">
        <v>0.17130000000000001</v>
      </c>
      <c r="BG30" s="4">
        <v>94.6</v>
      </c>
      <c r="BH30" s="4">
        <v>106.6</v>
      </c>
      <c r="BI30" s="4">
        <v>66.618499999999997</v>
      </c>
      <c r="BJ30" s="12">
        <v>0.57179999999999997</v>
      </c>
      <c r="BK30" s="12">
        <v>0.55079999999999996</v>
      </c>
      <c r="BL30" s="12">
        <v>0.26669999999999999</v>
      </c>
      <c r="BM30" s="12">
        <v>0.79410000000000003</v>
      </c>
      <c r="BN30" s="12">
        <v>0.54690000000000005</v>
      </c>
      <c r="BO30" s="4">
        <v>67.218000000000004</v>
      </c>
      <c r="BP30" s="12">
        <v>0.53569999999999995</v>
      </c>
      <c r="BQ30" s="12">
        <v>0.1017</v>
      </c>
      <c r="BR30" s="12">
        <v>0.1731</v>
      </c>
      <c r="BS30" s="4">
        <v>106.6</v>
      </c>
      <c r="BT30" s="4">
        <v>94.6</v>
      </c>
      <c r="BU30" s="11">
        <v>20</v>
      </c>
      <c r="BV30" s="11">
        <v>16</v>
      </c>
      <c r="BW30" s="11">
        <v>16</v>
      </c>
      <c r="BX30" s="11">
        <v>11</v>
      </c>
      <c r="BY30" s="11">
        <v>13</v>
      </c>
      <c r="BZ30" s="11">
        <v>20</v>
      </c>
      <c r="CA30" s="11">
        <v>21</v>
      </c>
      <c r="CB30" s="11">
        <v>17</v>
      </c>
      <c r="CC30" s="11">
        <v>36</v>
      </c>
      <c r="CD30" s="11">
        <v>27</v>
      </c>
      <c r="CE30" s="11">
        <v>33</v>
      </c>
      <c r="CF30" s="11">
        <v>38</v>
      </c>
      <c r="CG30" s="4">
        <v>4</v>
      </c>
      <c r="CH30" s="13">
        <v>1.26</v>
      </c>
      <c r="CI30" s="4">
        <v>8.5</v>
      </c>
      <c r="CJ30" s="4">
        <v>-8.5</v>
      </c>
      <c r="CK30" s="4">
        <v>162.5</v>
      </c>
      <c r="CL30" s="2" t="s">
        <v>563</v>
      </c>
      <c r="CM30" s="4" t="str">
        <f>VLOOKUP(boulazac[[#This Row],[Away_team]],all[[Full name]:[Abbr]],3,FALSE)</f>
        <v>STR</v>
      </c>
      <c r="CN30" s="4">
        <f>IF(OR(boulazac[[#This Row],[Result]]="w",boulazac[[#This Row],[Result]]="dw"),boulazac[[#This Row],[win]]-1,-1)</f>
        <v>-1</v>
      </c>
      <c r="CO30" s="4">
        <f>IF(OR(boulazac[[#This Row],[Result]]="L",boulazac[[#This Row],[Result]]="dl"),boulazac[[#This Row],[lose]]-1,-1)</f>
        <v>0.26</v>
      </c>
      <c r="CP30" s="4">
        <f>IF(OR((boulazac[[#This Row],[Home_scored]]+boulazac[[#This Row],[Away_scored]])&gt;boulazac[[#This Row],[total]],OR(boulazac[[#This Row],[Result]]="dw",boulazac[[#This Row],[Result]]="dl")),1,0)</f>
        <v>0</v>
      </c>
      <c r="CQ30" s="4">
        <f>ABS((boulazac[[#This Row],[Home_scored]]+boulazac[[#This Row],[Away_scored]])-boulazac[[#This Row],[total]])+0.5</f>
        <v>29</v>
      </c>
    </row>
    <row r="31" spans="1:95" x14ac:dyDescent="0.25">
      <c r="A31" s="2" t="s">
        <v>349</v>
      </c>
      <c r="B31" s="2" t="s">
        <v>323</v>
      </c>
      <c r="C31" s="28" t="s">
        <v>73</v>
      </c>
      <c r="D31" s="28">
        <v>45786</v>
      </c>
      <c r="E31" s="2" t="s">
        <v>140</v>
      </c>
      <c r="F31" s="2" t="s">
        <v>342</v>
      </c>
      <c r="G31" s="2" t="s">
        <v>139</v>
      </c>
      <c r="H31" s="11">
        <v>59</v>
      </c>
      <c r="I31" s="11">
        <v>75</v>
      </c>
      <c r="J31" s="11">
        <v>16</v>
      </c>
      <c r="K31" s="11">
        <v>51</v>
      </c>
      <c r="L31" s="12">
        <v>0.31369999999999998</v>
      </c>
      <c r="M31" s="11">
        <v>8</v>
      </c>
      <c r="N31" s="11">
        <v>24</v>
      </c>
      <c r="O31" s="12">
        <v>0.33329999999999999</v>
      </c>
      <c r="P31" s="11">
        <v>8</v>
      </c>
      <c r="Q31" s="11">
        <v>27</v>
      </c>
      <c r="R31" s="12">
        <v>0.29630000000000001</v>
      </c>
      <c r="S31" s="11">
        <v>19</v>
      </c>
      <c r="T31" s="11">
        <v>25</v>
      </c>
      <c r="U31" s="12">
        <v>0.76</v>
      </c>
      <c r="V31" s="11">
        <v>11</v>
      </c>
      <c r="W31" s="11">
        <v>21</v>
      </c>
      <c r="X31" s="11">
        <v>32</v>
      </c>
      <c r="Y31" s="11">
        <v>18</v>
      </c>
      <c r="Z31" s="11">
        <v>6</v>
      </c>
      <c r="AA31" s="11">
        <v>1</v>
      </c>
      <c r="AB31" s="11">
        <v>19</v>
      </c>
      <c r="AC31" s="11">
        <v>20</v>
      </c>
      <c r="AD31" s="11">
        <v>29</v>
      </c>
      <c r="AE31" s="11">
        <v>61</v>
      </c>
      <c r="AF31" s="12">
        <v>0.47539999999999999</v>
      </c>
      <c r="AG31" s="11">
        <v>23</v>
      </c>
      <c r="AH31" s="11">
        <v>36</v>
      </c>
      <c r="AI31" s="12">
        <v>0.63890000000000002</v>
      </c>
      <c r="AJ31" s="11">
        <v>6</v>
      </c>
      <c r="AK31" s="11">
        <v>25</v>
      </c>
      <c r="AL31" s="12">
        <v>0.24</v>
      </c>
      <c r="AM31" s="11">
        <v>11</v>
      </c>
      <c r="AN31" s="11">
        <v>16</v>
      </c>
      <c r="AO31" s="12">
        <v>0.6875</v>
      </c>
      <c r="AP31" s="11">
        <v>11</v>
      </c>
      <c r="AQ31" s="11">
        <v>28</v>
      </c>
      <c r="AR31" s="11">
        <v>39</v>
      </c>
      <c r="AS31" s="11">
        <v>18</v>
      </c>
      <c r="AT31" s="11">
        <v>7</v>
      </c>
      <c r="AU31" s="11">
        <v>4</v>
      </c>
      <c r="AV31" s="11">
        <v>15</v>
      </c>
      <c r="AW31" s="11">
        <v>22</v>
      </c>
      <c r="AX31" s="12">
        <v>0.4758</v>
      </c>
      <c r="AY31" s="12">
        <v>0.39219999999999999</v>
      </c>
      <c r="AZ31" s="12">
        <v>0.28210000000000002</v>
      </c>
      <c r="BA31" s="12">
        <v>0.65629999999999999</v>
      </c>
      <c r="BB31" s="12">
        <v>0.45069999999999999</v>
      </c>
      <c r="BC31" s="4">
        <v>67.126999999999995</v>
      </c>
      <c r="BD31" s="12">
        <v>1.125</v>
      </c>
      <c r="BE31" s="12">
        <v>0.3725</v>
      </c>
      <c r="BF31" s="12">
        <v>0.2346</v>
      </c>
      <c r="BG31" s="4">
        <v>84.4</v>
      </c>
      <c r="BH31" s="4">
        <v>107.2</v>
      </c>
      <c r="BI31" s="4">
        <v>69.935000000000002</v>
      </c>
      <c r="BJ31" s="12">
        <v>0.55110000000000003</v>
      </c>
      <c r="BK31" s="12">
        <v>0.52459999999999996</v>
      </c>
      <c r="BL31" s="12">
        <v>0.34379999999999999</v>
      </c>
      <c r="BM31" s="12">
        <v>0.71789999999999998</v>
      </c>
      <c r="BN31" s="12">
        <v>0.54930000000000001</v>
      </c>
      <c r="BO31" s="4">
        <v>72.742999999999995</v>
      </c>
      <c r="BP31" s="12">
        <v>0.62070000000000003</v>
      </c>
      <c r="BQ31" s="12">
        <v>0.18029999999999999</v>
      </c>
      <c r="BR31" s="12">
        <v>0.18060000000000001</v>
      </c>
      <c r="BS31" s="4">
        <v>107.2</v>
      </c>
      <c r="BT31" s="4">
        <v>84.4</v>
      </c>
      <c r="BU31" s="11">
        <v>20</v>
      </c>
      <c r="BV31" s="11">
        <v>16</v>
      </c>
      <c r="BW31" s="11">
        <v>9</v>
      </c>
      <c r="BX31" s="11">
        <v>14</v>
      </c>
      <c r="BY31" s="11">
        <v>11</v>
      </c>
      <c r="BZ31" s="11">
        <v>20</v>
      </c>
      <c r="CA31" s="11">
        <v>21</v>
      </c>
      <c r="CB31" s="11">
        <v>23</v>
      </c>
      <c r="CC31" s="11">
        <v>36</v>
      </c>
      <c r="CD31" s="11">
        <v>23</v>
      </c>
      <c r="CE31" s="11">
        <v>31</v>
      </c>
      <c r="CF31" s="11">
        <v>44</v>
      </c>
      <c r="CG31" s="4">
        <v>5.5</v>
      </c>
      <c r="CH31" s="13">
        <v>1.1599999999999999</v>
      </c>
      <c r="CI31" s="4">
        <v>-11</v>
      </c>
      <c r="CJ31" s="4">
        <v>-11</v>
      </c>
      <c r="CK31" s="4">
        <v>153.5</v>
      </c>
      <c r="CL31" s="2" t="s">
        <v>576</v>
      </c>
      <c r="CM31" s="4" t="str">
        <f>VLOOKUP(boulazac[[#This Row],[Away_team]],all[[Full name]:[Abbr]],3,FALSE)</f>
        <v>SQU</v>
      </c>
      <c r="CN31" s="4">
        <f>IF(OR(boulazac[[#This Row],[Result]]="w",boulazac[[#This Row],[Result]]="dw"),boulazac[[#This Row],[win]]-1,-1)</f>
        <v>-1</v>
      </c>
      <c r="CO31" s="4">
        <f>IF(OR(boulazac[[#This Row],[Result]]="L",boulazac[[#This Row],[Result]]="dl"),boulazac[[#This Row],[lose]]-1,-1)</f>
        <v>0.15999999999999992</v>
      </c>
      <c r="CP31" s="4">
        <f>IF(OR((boulazac[[#This Row],[Home_scored]]+boulazac[[#This Row],[Away_scored]])&gt;boulazac[[#This Row],[total]],OR(boulazac[[#This Row],[Result]]="dw",boulazac[[#This Row],[Result]]="dl")),1,0)</f>
        <v>0</v>
      </c>
      <c r="CQ31" s="4">
        <f>ABS((boulazac[[#This Row],[Home_scored]]+boulazac[[#This Row],[Away_scored]])-boulazac[[#This Row],[total]])+0.5</f>
        <v>20</v>
      </c>
    </row>
    <row r="32" spans="1:95" x14ac:dyDescent="0.25">
      <c r="A32" s="2" t="s">
        <v>349</v>
      </c>
      <c r="B32" s="2" t="s">
        <v>323</v>
      </c>
      <c r="C32" s="28" t="s">
        <v>73</v>
      </c>
      <c r="D32" s="28">
        <v>45790</v>
      </c>
      <c r="E32" s="2" t="s">
        <v>74</v>
      </c>
      <c r="F32" s="2" t="s">
        <v>330</v>
      </c>
      <c r="G32" s="2" t="s">
        <v>139</v>
      </c>
      <c r="H32" s="11">
        <v>48</v>
      </c>
      <c r="I32" s="11">
        <v>86</v>
      </c>
      <c r="J32" s="11">
        <v>19</v>
      </c>
      <c r="K32" s="11">
        <v>63</v>
      </c>
      <c r="L32" s="12">
        <v>0.30159999999999998</v>
      </c>
      <c r="M32" s="11">
        <v>15</v>
      </c>
      <c r="N32" s="11">
        <v>41</v>
      </c>
      <c r="O32" s="12">
        <v>0.3659</v>
      </c>
      <c r="P32" s="11">
        <v>4</v>
      </c>
      <c r="Q32" s="11">
        <v>22</v>
      </c>
      <c r="R32" s="12">
        <v>0.18179999999999999</v>
      </c>
      <c r="S32" s="11">
        <v>6</v>
      </c>
      <c r="T32" s="11">
        <v>11</v>
      </c>
      <c r="U32" s="12">
        <v>0.54549999999999998</v>
      </c>
      <c r="V32" s="11">
        <v>9</v>
      </c>
      <c r="W32" s="11">
        <v>25</v>
      </c>
      <c r="X32" s="11">
        <v>34</v>
      </c>
      <c r="Y32" s="11">
        <v>15</v>
      </c>
      <c r="Z32" s="11">
        <v>6</v>
      </c>
      <c r="AA32" s="11">
        <v>2</v>
      </c>
      <c r="AB32" s="11">
        <v>14</v>
      </c>
      <c r="AC32" s="11">
        <v>16</v>
      </c>
      <c r="AD32" s="11">
        <v>33</v>
      </c>
      <c r="AE32" s="11">
        <v>62</v>
      </c>
      <c r="AF32" s="12">
        <v>0.5323</v>
      </c>
      <c r="AG32" s="11">
        <v>19</v>
      </c>
      <c r="AH32" s="11">
        <v>33</v>
      </c>
      <c r="AI32" s="12">
        <v>0.57579999999999998</v>
      </c>
      <c r="AJ32" s="11">
        <v>14</v>
      </c>
      <c r="AK32" s="11">
        <v>29</v>
      </c>
      <c r="AL32" s="12">
        <v>0.48280000000000001</v>
      </c>
      <c r="AM32" s="11">
        <v>6</v>
      </c>
      <c r="AN32" s="11">
        <v>10</v>
      </c>
      <c r="AO32" s="12">
        <v>0.6</v>
      </c>
      <c r="AP32" s="11">
        <v>5</v>
      </c>
      <c r="AQ32" s="11">
        <v>37</v>
      </c>
      <c r="AR32" s="11">
        <v>42</v>
      </c>
      <c r="AS32" s="11">
        <v>25</v>
      </c>
      <c r="AT32" s="11">
        <v>9</v>
      </c>
      <c r="AU32" s="11">
        <v>7</v>
      </c>
      <c r="AV32" s="11">
        <v>12</v>
      </c>
      <c r="AW32" s="11">
        <v>19</v>
      </c>
      <c r="AX32" s="12">
        <v>0.3538</v>
      </c>
      <c r="AY32" s="12">
        <v>0.33329999999999999</v>
      </c>
      <c r="AZ32" s="12">
        <v>0.19570000000000001</v>
      </c>
      <c r="BA32" s="12">
        <v>0.83330000000000004</v>
      </c>
      <c r="BB32" s="12">
        <v>0.44740000000000002</v>
      </c>
      <c r="BC32" s="4">
        <v>68.938000000000002</v>
      </c>
      <c r="BD32" s="12">
        <v>0.78949999999999998</v>
      </c>
      <c r="BE32" s="12">
        <v>9.5200000000000007E-2</v>
      </c>
      <c r="BF32" s="12">
        <v>0.1711</v>
      </c>
      <c r="BG32" s="4">
        <v>67</v>
      </c>
      <c r="BH32" s="4">
        <v>120.1</v>
      </c>
      <c r="BI32" s="4">
        <v>71.622</v>
      </c>
      <c r="BJ32" s="12">
        <v>0.64759999999999995</v>
      </c>
      <c r="BK32" s="12">
        <v>0.6452</v>
      </c>
      <c r="BL32" s="12">
        <v>0.16669999999999999</v>
      </c>
      <c r="BM32" s="12">
        <v>0.80430000000000001</v>
      </c>
      <c r="BN32" s="12">
        <v>0.55259999999999998</v>
      </c>
      <c r="BO32" s="4">
        <v>74.305999999999997</v>
      </c>
      <c r="BP32" s="12">
        <v>0.75760000000000005</v>
      </c>
      <c r="BQ32" s="12">
        <v>9.6799999999999997E-2</v>
      </c>
      <c r="BR32" s="12">
        <v>0.15310000000000001</v>
      </c>
      <c r="BS32" s="4">
        <v>120.1</v>
      </c>
      <c r="BT32" s="4">
        <v>67</v>
      </c>
      <c r="BU32" s="11">
        <v>16</v>
      </c>
      <c r="BV32" s="11">
        <v>13</v>
      </c>
      <c r="BW32" s="11">
        <v>7</v>
      </c>
      <c r="BX32" s="11">
        <v>12</v>
      </c>
      <c r="BY32" s="11">
        <v>23</v>
      </c>
      <c r="BZ32" s="11">
        <v>15</v>
      </c>
      <c r="CA32" s="11">
        <v>22</v>
      </c>
      <c r="CB32" s="11">
        <v>26</v>
      </c>
      <c r="CC32" s="11">
        <v>29</v>
      </c>
      <c r="CD32" s="11">
        <v>19</v>
      </c>
      <c r="CE32" s="11">
        <v>38</v>
      </c>
      <c r="CF32" s="11">
        <v>48</v>
      </c>
      <c r="CG32" s="4">
        <v>6</v>
      </c>
      <c r="CH32" s="13">
        <v>1.1399999999999999</v>
      </c>
      <c r="CI32" s="4">
        <v>11.5</v>
      </c>
      <c r="CJ32" s="4">
        <v>-11.5</v>
      </c>
      <c r="CK32" s="4">
        <v>159.5</v>
      </c>
      <c r="CL32" s="2" t="s">
        <v>584</v>
      </c>
      <c r="CM32" s="4" t="str">
        <f>VLOOKUP(boulazac[[#This Row],[Away_team]],all[[Full name]:[Abbr]],3,FALSE)</f>
        <v>MON</v>
      </c>
      <c r="CN32" s="4">
        <f>IF(OR(boulazac[[#This Row],[Result]]="w",boulazac[[#This Row],[Result]]="dw"),boulazac[[#This Row],[win]]-1,-1)</f>
        <v>-1</v>
      </c>
      <c r="CO32" s="4">
        <f>IF(OR(boulazac[[#This Row],[Result]]="L",boulazac[[#This Row],[Result]]="dl"),boulazac[[#This Row],[lose]]-1,-1)</f>
        <v>0.1399999999999999</v>
      </c>
      <c r="CP32" s="4">
        <f>IF(OR((boulazac[[#This Row],[Home_scored]]+boulazac[[#This Row],[Away_scored]])&gt;boulazac[[#This Row],[total]],OR(boulazac[[#This Row],[Result]]="dw",boulazac[[#This Row],[Result]]="dl")),1,0)</f>
        <v>0</v>
      </c>
      <c r="CQ32" s="4">
        <f>ABS((boulazac[[#This Row],[Home_scored]]+boulazac[[#This Row],[Away_scored]])-boulazac[[#This Row],[total]])+0.5</f>
        <v>26</v>
      </c>
    </row>
    <row r="33" spans="1:95" x14ac:dyDescent="0.25">
      <c r="A33" s="2" t="s">
        <v>349</v>
      </c>
      <c r="B33" s="2" t="s">
        <v>323</v>
      </c>
      <c r="C33" s="28" t="s">
        <v>73</v>
      </c>
      <c r="D33" s="28">
        <v>45794</v>
      </c>
      <c r="E33" s="2" t="s">
        <v>74</v>
      </c>
      <c r="F33" s="2" t="s">
        <v>317</v>
      </c>
      <c r="G33" s="2" t="s">
        <v>143</v>
      </c>
      <c r="H33" s="11">
        <v>88</v>
      </c>
      <c r="I33" s="11">
        <v>88</v>
      </c>
      <c r="J33" s="11">
        <v>30</v>
      </c>
      <c r="K33" s="11">
        <v>69</v>
      </c>
      <c r="L33" s="12">
        <v>0.43480000000000002</v>
      </c>
      <c r="M33" s="11">
        <v>17</v>
      </c>
      <c r="N33" s="11">
        <v>32</v>
      </c>
      <c r="O33" s="12">
        <v>0.53129999999999999</v>
      </c>
      <c r="P33" s="11">
        <v>13</v>
      </c>
      <c r="Q33" s="11">
        <v>37</v>
      </c>
      <c r="R33" s="12">
        <v>0.35139999999999999</v>
      </c>
      <c r="S33" s="11">
        <v>15</v>
      </c>
      <c r="T33" s="11">
        <v>20</v>
      </c>
      <c r="U33" s="12">
        <v>0.75</v>
      </c>
      <c r="V33" s="11">
        <v>10</v>
      </c>
      <c r="W33" s="11">
        <v>28</v>
      </c>
      <c r="X33" s="11">
        <v>38</v>
      </c>
      <c r="Y33" s="11">
        <v>23</v>
      </c>
      <c r="Z33" s="11">
        <v>7</v>
      </c>
      <c r="AA33" s="11">
        <v>2</v>
      </c>
      <c r="AB33" s="11">
        <v>15</v>
      </c>
      <c r="AC33" s="11">
        <v>21</v>
      </c>
      <c r="AD33" s="11">
        <v>31</v>
      </c>
      <c r="AE33" s="11">
        <v>68</v>
      </c>
      <c r="AF33" s="12">
        <v>0.45590000000000003</v>
      </c>
      <c r="AG33" s="11">
        <v>21</v>
      </c>
      <c r="AH33" s="11">
        <v>40</v>
      </c>
      <c r="AI33" s="12">
        <v>0.52500000000000002</v>
      </c>
      <c r="AJ33" s="11">
        <v>10</v>
      </c>
      <c r="AK33" s="11">
        <v>28</v>
      </c>
      <c r="AL33" s="12">
        <v>0.35709999999999997</v>
      </c>
      <c r="AM33" s="11">
        <v>16</v>
      </c>
      <c r="AN33" s="11">
        <v>26</v>
      </c>
      <c r="AO33" s="12">
        <v>0.61539999999999995</v>
      </c>
      <c r="AP33" s="11">
        <v>13</v>
      </c>
      <c r="AQ33" s="11">
        <v>30</v>
      </c>
      <c r="AR33" s="11">
        <v>43</v>
      </c>
      <c r="AS33" s="11">
        <v>21</v>
      </c>
      <c r="AT33" s="11">
        <v>9</v>
      </c>
      <c r="AU33" s="11">
        <v>2</v>
      </c>
      <c r="AV33" s="11">
        <v>16</v>
      </c>
      <c r="AW33" s="11">
        <v>18</v>
      </c>
      <c r="AX33" s="12">
        <v>0.56559999999999999</v>
      </c>
      <c r="AY33" s="12">
        <v>0.52900000000000003</v>
      </c>
      <c r="AZ33" s="12">
        <v>0.25</v>
      </c>
      <c r="BA33" s="12">
        <v>0.68289999999999995</v>
      </c>
      <c r="BB33" s="12">
        <v>0.46910000000000002</v>
      </c>
      <c r="BC33" s="4">
        <v>81.018000000000001</v>
      </c>
      <c r="BD33" s="12">
        <v>0.76670000000000005</v>
      </c>
      <c r="BE33" s="12">
        <v>0.21740000000000001</v>
      </c>
      <c r="BF33" s="12">
        <v>0.16159999999999999</v>
      </c>
      <c r="BG33" s="4">
        <v>107.7</v>
      </c>
      <c r="BH33" s="4">
        <v>107.7</v>
      </c>
      <c r="BI33" s="4">
        <v>81.724500000000006</v>
      </c>
      <c r="BJ33" s="12">
        <v>0.55389999999999995</v>
      </c>
      <c r="BK33" s="12">
        <v>0.52939999999999998</v>
      </c>
      <c r="BL33" s="12">
        <v>0.31709999999999999</v>
      </c>
      <c r="BM33" s="12">
        <v>0.75</v>
      </c>
      <c r="BN33" s="12">
        <v>0.53090000000000004</v>
      </c>
      <c r="BO33" s="4">
        <v>82.430999999999997</v>
      </c>
      <c r="BP33" s="12">
        <v>0.6774</v>
      </c>
      <c r="BQ33" s="12">
        <v>0.23530000000000001</v>
      </c>
      <c r="BR33" s="12">
        <v>0.1676</v>
      </c>
      <c r="BS33" s="4">
        <v>107.7</v>
      </c>
      <c r="BT33" s="4">
        <v>107.7</v>
      </c>
      <c r="BU33" s="11">
        <v>18</v>
      </c>
      <c r="BV33" s="11">
        <v>15</v>
      </c>
      <c r="BW33" s="11">
        <v>27</v>
      </c>
      <c r="BX33" s="11">
        <v>28</v>
      </c>
      <c r="BY33" s="11">
        <v>26</v>
      </c>
      <c r="BZ33" s="11">
        <v>27</v>
      </c>
      <c r="CA33" s="11">
        <v>22</v>
      </c>
      <c r="CB33" s="11">
        <v>13</v>
      </c>
      <c r="CC33" s="11">
        <v>33</v>
      </c>
      <c r="CD33" s="11">
        <v>55</v>
      </c>
      <c r="CE33" s="11">
        <v>53</v>
      </c>
      <c r="CF33" s="11">
        <v>35</v>
      </c>
      <c r="CG33" s="4">
        <v>4</v>
      </c>
      <c r="CH33" s="13">
        <v>1.26</v>
      </c>
      <c r="CI33" s="4">
        <v>8.5</v>
      </c>
      <c r="CJ33" s="4">
        <v>-8.5</v>
      </c>
      <c r="CK33" s="4">
        <v>160.5</v>
      </c>
      <c r="CL33" s="2" t="s">
        <v>588</v>
      </c>
      <c r="CM33" s="4" t="str">
        <f>VLOOKUP(boulazac[[#This Row],[Away_team]],all[[Full name]:[Abbr]],3,FALSE)</f>
        <v>LEM</v>
      </c>
      <c r="CN33" s="4">
        <f>IF(OR(boulazac[[#This Row],[Result]]="w",boulazac[[#This Row],[Result]]="dw"),boulazac[[#This Row],[win]]-1,-1)</f>
        <v>-1</v>
      </c>
      <c r="CO33" s="4">
        <f>IF(OR(boulazac[[#This Row],[Result]]="L",boulazac[[#This Row],[Result]]="dl"),boulazac[[#This Row],[lose]]-1,-1)</f>
        <v>0.26</v>
      </c>
      <c r="CP33" s="4">
        <f>IF(OR((boulazac[[#This Row],[Home_scored]]+boulazac[[#This Row],[Away_scored]])&gt;boulazac[[#This Row],[total]],OR(boulazac[[#This Row],[Result]]="dw",boulazac[[#This Row],[Result]]="dl")),1,0)</f>
        <v>1</v>
      </c>
      <c r="CQ33" s="4">
        <f>ABS((boulazac[[#This Row],[Home_scored]]+boulazac[[#This Row],[Away_scored]])-boulazac[[#This Row],[total]])+0.5</f>
        <v>16</v>
      </c>
    </row>
  </sheetData>
  <conditionalFormatting sqref="A4:A33">
    <cfRule type="expression" dxfId="368" priority="1">
      <formula>SUMPRODUCT(--ISERROR(B4:CL4))&gt;0</formula>
    </cfRule>
  </conditionalFormatting>
  <conditionalFormatting sqref="B4:B33">
    <cfRule type="uniqueValues" dxfId="367" priority="473"/>
  </conditionalFormatting>
  <conditionalFormatting sqref="D4:D33">
    <cfRule type="duplicateValues" dxfId="366" priority="474"/>
  </conditionalFormatting>
  <conditionalFormatting sqref="H4:H33">
    <cfRule type="expression" dxfId="365" priority="3">
      <formula>H4=BU4+BV4+BW4+BX4</formula>
    </cfRule>
  </conditionalFormatting>
  <conditionalFormatting sqref="I4:I33">
    <cfRule type="expression" dxfId="364" priority="2">
      <formula>I4=BY4+BZ4+CA4+CB4</formula>
    </cfRule>
  </conditionalFormatting>
  <hyperlinks>
    <hyperlink ref="A1" location="all_data!A1" display="ratings" xr:uid="{25330285-21E2-48ED-856C-FBB896D453D7}"/>
  </hyperlink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92915-A08B-430D-A6A4-93F9BDCE1E84}">
  <sheetPr codeName="Sheet12"/>
  <dimension ref="A1:CQ33"/>
  <sheetViews>
    <sheetView zoomScale="80" zoomScaleNormal="80" workbookViewId="0">
      <selection activeCell="A34" sqref="A34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349</v>
      </c>
      <c r="B4" s="2" t="s">
        <v>324</v>
      </c>
      <c r="C4" s="3" t="s">
        <v>73</v>
      </c>
      <c r="D4" s="3">
        <v>45557</v>
      </c>
      <c r="E4" s="2" t="s">
        <v>74</v>
      </c>
      <c r="F4" s="2" t="s">
        <v>336</v>
      </c>
      <c r="G4" s="2" t="s">
        <v>75</v>
      </c>
      <c r="H4" s="2">
        <v>90</v>
      </c>
      <c r="I4" s="2">
        <v>87</v>
      </c>
      <c r="J4" s="2">
        <v>28</v>
      </c>
      <c r="K4" s="2">
        <v>53</v>
      </c>
      <c r="L4" s="2">
        <v>0.52829999999999999</v>
      </c>
      <c r="M4" s="2">
        <v>18</v>
      </c>
      <c r="N4" s="2">
        <v>35</v>
      </c>
      <c r="O4" s="2">
        <v>0.51429999999999998</v>
      </c>
      <c r="P4" s="2">
        <v>10</v>
      </c>
      <c r="Q4" s="2">
        <v>18</v>
      </c>
      <c r="R4" s="2">
        <v>0.55559999999999998</v>
      </c>
      <c r="S4" s="2">
        <v>24</v>
      </c>
      <c r="T4" s="2">
        <v>31</v>
      </c>
      <c r="U4" s="2">
        <v>0.7742</v>
      </c>
      <c r="V4" s="2">
        <v>9</v>
      </c>
      <c r="W4" s="2">
        <v>19</v>
      </c>
      <c r="X4" s="2">
        <v>28</v>
      </c>
      <c r="Y4" s="2">
        <v>17</v>
      </c>
      <c r="Z4" s="2">
        <v>6</v>
      </c>
      <c r="AA4" s="2">
        <v>0</v>
      </c>
      <c r="AB4" s="2">
        <v>19</v>
      </c>
      <c r="AC4" s="2">
        <v>17</v>
      </c>
      <c r="AD4" s="2">
        <v>33</v>
      </c>
      <c r="AE4" s="2">
        <v>58</v>
      </c>
      <c r="AF4" s="2">
        <v>0.56899999999999995</v>
      </c>
      <c r="AG4" s="2">
        <v>27</v>
      </c>
      <c r="AH4" s="2">
        <v>39</v>
      </c>
      <c r="AI4" s="2">
        <v>0.69230000000000003</v>
      </c>
      <c r="AJ4" s="2">
        <v>6</v>
      </c>
      <c r="AK4" s="2">
        <v>19</v>
      </c>
      <c r="AL4" s="2">
        <v>0.31580000000000003</v>
      </c>
      <c r="AM4" s="2">
        <v>15</v>
      </c>
      <c r="AN4" s="2">
        <v>20</v>
      </c>
      <c r="AO4" s="2">
        <v>0.75</v>
      </c>
      <c r="AP4" s="2">
        <v>7</v>
      </c>
      <c r="AQ4" s="2">
        <v>19</v>
      </c>
      <c r="AR4" s="2">
        <v>26</v>
      </c>
      <c r="AS4" s="2">
        <v>26</v>
      </c>
      <c r="AT4" s="2">
        <v>11</v>
      </c>
      <c r="AU4" s="2">
        <v>1</v>
      </c>
      <c r="AV4" s="2">
        <v>12</v>
      </c>
      <c r="AW4" s="2">
        <v>26</v>
      </c>
      <c r="AX4" s="2">
        <v>0.67530000000000001</v>
      </c>
      <c r="AY4" s="2">
        <v>0.62260000000000004</v>
      </c>
      <c r="AZ4" s="2">
        <v>0.32140000000000002</v>
      </c>
      <c r="BA4" s="2">
        <v>0.73080000000000001</v>
      </c>
      <c r="BB4" s="2">
        <v>0.51849999999999996</v>
      </c>
      <c r="BC4" s="4">
        <v>75.802000000000007</v>
      </c>
      <c r="BD4" s="2">
        <v>0.60709999999999997</v>
      </c>
      <c r="BE4" s="2">
        <v>0.45279999999999998</v>
      </c>
      <c r="BF4" s="2">
        <v>0.22189999999999999</v>
      </c>
      <c r="BG4" s="2">
        <v>122.8</v>
      </c>
      <c r="BH4" s="2">
        <v>118.7</v>
      </c>
      <c r="BI4" s="2">
        <v>73.3</v>
      </c>
      <c r="BJ4" s="2">
        <v>0.6512</v>
      </c>
      <c r="BK4" s="2">
        <v>0.62070000000000003</v>
      </c>
      <c r="BL4" s="2">
        <v>0.26919999999999999</v>
      </c>
      <c r="BM4" s="2">
        <v>0.67859999999999998</v>
      </c>
      <c r="BN4" s="2">
        <v>0.48149999999999998</v>
      </c>
      <c r="BO4" s="4">
        <v>70.798000000000002</v>
      </c>
      <c r="BP4" s="2">
        <v>0.78790000000000004</v>
      </c>
      <c r="BQ4" s="2">
        <v>0.2586</v>
      </c>
      <c r="BR4" s="2">
        <v>0.15229999999999999</v>
      </c>
      <c r="BS4" s="2">
        <v>118.7</v>
      </c>
      <c r="BT4" s="2">
        <v>122.8</v>
      </c>
      <c r="BU4" s="2">
        <v>18</v>
      </c>
      <c r="BV4" s="2">
        <v>21</v>
      </c>
      <c r="BW4" s="2">
        <v>22</v>
      </c>
      <c r="BX4" s="2">
        <v>29</v>
      </c>
      <c r="BY4" s="2">
        <v>26</v>
      </c>
      <c r="BZ4" s="2">
        <v>19</v>
      </c>
      <c r="CA4" s="2">
        <v>18</v>
      </c>
      <c r="CB4" s="2">
        <v>24</v>
      </c>
      <c r="CC4" s="2">
        <v>39</v>
      </c>
      <c r="CD4" s="2">
        <v>51</v>
      </c>
      <c r="CE4" s="2">
        <v>45</v>
      </c>
      <c r="CF4" s="2">
        <v>42</v>
      </c>
      <c r="CG4" s="2">
        <v>1.61</v>
      </c>
      <c r="CH4" s="2">
        <v>2.4</v>
      </c>
      <c r="CI4" s="2">
        <v>-3.5</v>
      </c>
      <c r="CJ4" s="2">
        <v>3.5</v>
      </c>
      <c r="CK4" s="2">
        <v>160.5</v>
      </c>
      <c r="CL4" s="2" t="s">
        <v>414</v>
      </c>
      <c r="CM4" s="4" t="str">
        <f>VLOOKUP(limoneg[[#This Row],[Away_team]],all[[Full name]:[Abbr]],3,FALSE)</f>
        <v>NAN</v>
      </c>
      <c r="CN4" s="4">
        <f>IF(OR(limoneg[[#This Row],[Result]]="w",limoneg[[#This Row],[Result]]="dw"),limoneg[[#This Row],[win]]-1,-1)</f>
        <v>0.6100000000000001</v>
      </c>
      <c r="CO4" s="4">
        <f>IF(OR(limoneg[[#This Row],[Result]]="L",limoneg[[#This Row],[Result]]="dl"),limoneg[[#This Row],[lose]]-1,-1)</f>
        <v>-1</v>
      </c>
      <c r="CP4" s="4">
        <f>IF(OR((limoneg[[#This Row],[Home_scored]]+limoneg[[#This Row],[Away_scored]])&gt;limoneg[[#This Row],[total]],OR(limoneg[[#This Row],[Result]]="dw",limoneg[[#This Row],[Result]]="dl")),1,0)</f>
        <v>1</v>
      </c>
      <c r="CQ4" s="4">
        <f>ABS((limoneg[[#This Row],[Home_scored]]+limoneg[[#This Row],[Away_scored]])-limoneg[[#This Row],[total]])+0.5</f>
        <v>17</v>
      </c>
    </row>
    <row r="5" spans="1:95" x14ac:dyDescent="0.25">
      <c r="A5" s="2" t="s">
        <v>349</v>
      </c>
      <c r="B5" s="2" t="s">
        <v>324</v>
      </c>
      <c r="C5" s="3" t="s">
        <v>73</v>
      </c>
      <c r="D5" s="3">
        <v>45564</v>
      </c>
      <c r="E5" s="2" t="s">
        <v>140</v>
      </c>
      <c r="F5" s="2" t="s">
        <v>314</v>
      </c>
      <c r="G5" s="2" t="s">
        <v>139</v>
      </c>
      <c r="H5" s="11">
        <v>56</v>
      </c>
      <c r="I5" s="11">
        <v>70</v>
      </c>
      <c r="J5" s="11">
        <v>21</v>
      </c>
      <c r="K5" s="11">
        <v>62</v>
      </c>
      <c r="L5" s="12">
        <v>0.3387</v>
      </c>
      <c r="M5" s="11">
        <v>11</v>
      </c>
      <c r="N5" s="11">
        <v>34</v>
      </c>
      <c r="O5" s="12">
        <v>0.32350000000000001</v>
      </c>
      <c r="P5" s="11">
        <v>10</v>
      </c>
      <c r="Q5" s="11">
        <v>28</v>
      </c>
      <c r="R5" s="12">
        <v>0.35709999999999997</v>
      </c>
      <c r="S5" s="11">
        <v>4</v>
      </c>
      <c r="T5" s="11">
        <v>7</v>
      </c>
      <c r="U5" s="12">
        <v>0.57140000000000002</v>
      </c>
      <c r="V5" s="11">
        <v>12</v>
      </c>
      <c r="W5" s="11">
        <v>25</v>
      </c>
      <c r="X5" s="11">
        <v>37</v>
      </c>
      <c r="Y5" s="11">
        <v>13</v>
      </c>
      <c r="Z5" s="11">
        <v>2</v>
      </c>
      <c r="AA5" s="11">
        <v>5</v>
      </c>
      <c r="AB5" s="11">
        <v>16</v>
      </c>
      <c r="AC5" s="11">
        <v>19</v>
      </c>
      <c r="AD5" s="11">
        <v>23</v>
      </c>
      <c r="AE5" s="11">
        <v>61</v>
      </c>
      <c r="AF5" s="12">
        <v>0.377</v>
      </c>
      <c r="AG5" s="11">
        <v>14</v>
      </c>
      <c r="AH5" s="11">
        <v>37</v>
      </c>
      <c r="AI5" s="12">
        <v>0.37840000000000001</v>
      </c>
      <c r="AJ5" s="11">
        <v>9</v>
      </c>
      <c r="AK5" s="11">
        <v>24</v>
      </c>
      <c r="AL5" s="12">
        <v>0.375</v>
      </c>
      <c r="AM5" s="11">
        <v>15</v>
      </c>
      <c r="AN5" s="11">
        <v>17</v>
      </c>
      <c r="AO5" s="12">
        <v>0.88239999999999996</v>
      </c>
      <c r="AP5" s="11">
        <v>12</v>
      </c>
      <c r="AQ5" s="11">
        <v>30</v>
      </c>
      <c r="AR5" s="11">
        <v>42</v>
      </c>
      <c r="AS5" s="11">
        <v>15</v>
      </c>
      <c r="AT5" s="11">
        <v>10</v>
      </c>
      <c r="AU5" s="11">
        <v>4</v>
      </c>
      <c r="AV5" s="11">
        <v>11</v>
      </c>
      <c r="AW5" s="11">
        <v>18</v>
      </c>
      <c r="AX5" s="12">
        <v>0.43020000000000003</v>
      </c>
      <c r="AY5" s="12">
        <v>0.4194</v>
      </c>
      <c r="AZ5" s="12">
        <v>0.28570000000000001</v>
      </c>
      <c r="BA5" s="12">
        <v>0.67569999999999997</v>
      </c>
      <c r="BB5" s="12">
        <v>0.46839999999999998</v>
      </c>
      <c r="BC5" s="4">
        <v>66.572000000000003</v>
      </c>
      <c r="BD5" s="12">
        <v>0.61899999999999999</v>
      </c>
      <c r="BE5" s="12">
        <v>6.4500000000000002E-2</v>
      </c>
      <c r="BF5" s="12">
        <v>0.1973</v>
      </c>
      <c r="BG5" s="4">
        <v>83.7</v>
      </c>
      <c r="BH5" s="4">
        <v>104.7</v>
      </c>
      <c r="BI5" s="4">
        <v>66.877499999999998</v>
      </c>
      <c r="BJ5" s="12">
        <v>0.5111</v>
      </c>
      <c r="BK5" s="12">
        <v>0.45079999999999998</v>
      </c>
      <c r="BL5" s="12">
        <v>0.32429999999999998</v>
      </c>
      <c r="BM5" s="12">
        <v>0.71430000000000005</v>
      </c>
      <c r="BN5" s="12">
        <v>0.53159999999999996</v>
      </c>
      <c r="BO5" s="4">
        <v>67.183000000000007</v>
      </c>
      <c r="BP5" s="12">
        <v>0.6522</v>
      </c>
      <c r="BQ5" s="12">
        <v>0.24590000000000001</v>
      </c>
      <c r="BR5" s="12">
        <v>0.1384</v>
      </c>
      <c r="BS5" s="4">
        <v>104.7</v>
      </c>
      <c r="BT5" s="4">
        <v>83.7</v>
      </c>
      <c r="BU5" s="11">
        <v>9</v>
      </c>
      <c r="BV5" s="11">
        <v>13</v>
      </c>
      <c r="BW5" s="11">
        <v>9</v>
      </c>
      <c r="BX5" s="11">
        <v>25</v>
      </c>
      <c r="BY5" s="11">
        <v>23</v>
      </c>
      <c r="BZ5" s="11">
        <v>14</v>
      </c>
      <c r="CA5" s="11">
        <v>22</v>
      </c>
      <c r="CB5" s="11">
        <v>11</v>
      </c>
      <c r="CC5" s="11">
        <v>22</v>
      </c>
      <c r="CD5" s="11">
        <v>34</v>
      </c>
      <c r="CE5" s="11">
        <v>37</v>
      </c>
      <c r="CF5" s="11">
        <v>33</v>
      </c>
      <c r="CG5" s="4">
        <v>2.8</v>
      </c>
      <c r="CH5" s="13">
        <v>1.45</v>
      </c>
      <c r="CI5" s="4">
        <v>5.5</v>
      </c>
      <c r="CJ5" s="4">
        <v>-5.5</v>
      </c>
      <c r="CK5" s="4">
        <v>163.5</v>
      </c>
      <c r="CL5" s="2" t="s">
        <v>386</v>
      </c>
      <c r="CM5" s="4" t="str">
        <f>VLOOKUP(limoneg[[#This Row],[Away_team]],all[[Full name]:[Abbr]],3,FALSE)</f>
        <v>DUN</v>
      </c>
      <c r="CN5" s="4">
        <f>IF(OR(limoneg[[#This Row],[Result]]="w",limoneg[[#This Row],[Result]]="dw"),limoneg[[#This Row],[win]]-1,-1)</f>
        <v>-1</v>
      </c>
      <c r="CO5" s="4">
        <f>IF(OR(limoneg[[#This Row],[Result]]="L",limoneg[[#This Row],[Result]]="dl"),limoneg[[#This Row],[lose]]-1,-1)</f>
        <v>0.44999999999999996</v>
      </c>
      <c r="CP5" s="4">
        <f>IF(OR((limoneg[[#This Row],[Home_scored]]+limoneg[[#This Row],[Away_scored]])&gt;limoneg[[#This Row],[total]],OR(limoneg[[#This Row],[Result]]="dw",limoneg[[#This Row],[Result]]="dl")),1,0)</f>
        <v>0</v>
      </c>
      <c r="CQ5" s="4">
        <f>ABS((limoneg[[#This Row],[Home_scored]]+limoneg[[#This Row],[Away_scored]])-limoneg[[#This Row],[total]])+0.5</f>
        <v>38</v>
      </c>
    </row>
    <row r="6" spans="1:95" x14ac:dyDescent="0.25">
      <c r="A6" s="2" t="s">
        <v>349</v>
      </c>
      <c r="B6" s="2" t="s">
        <v>324</v>
      </c>
      <c r="C6" s="3" t="s">
        <v>73</v>
      </c>
      <c r="D6" s="3">
        <v>45570</v>
      </c>
      <c r="E6" s="2" t="s">
        <v>74</v>
      </c>
      <c r="F6" s="2" t="s">
        <v>311</v>
      </c>
      <c r="G6" s="2" t="s">
        <v>75</v>
      </c>
      <c r="H6" s="11">
        <v>87</v>
      </c>
      <c r="I6" s="11">
        <v>73</v>
      </c>
      <c r="J6" s="11">
        <v>33</v>
      </c>
      <c r="K6" s="11">
        <v>65</v>
      </c>
      <c r="L6" s="12">
        <v>0.50770000000000004</v>
      </c>
      <c r="M6" s="11">
        <v>24</v>
      </c>
      <c r="N6" s="11">
        <v>39</v>
      </c>
      <c r="O6" s="12">
        <v>0.61539999999999995</v>
      </c>
      <c r="P6" s="11">
        <v>9</v>
      </c>
      <c r="Q6" s="11">
        <v>26</v>
      </c>
      <c r="R6" s="12">
        <v>0.34620000000000001</v>
      </c>
      <c r="S6" s="11">
        <v>12</v>
      </c>
      <c r="T6" s="11">
        <v>16</v>
      </c>
      <c r="U6" s="12">
        <v>0.75</v>
      </c>
      <c r="V6" s="11">
        <v>9</v>
      </c>
      <c r="W6" s="11">
        <v>30</v>
      </c>
      <c r="X6" s="11">
        <v>39</v>
      </c>
      <c r="Y6" s="11">
        <v>22</v>
      </c>
      <c r="Z6" s="11">
        <v>3</v>
      </c>
      <c r="AA6" s="11">
        <v>4</v>
      </c>
      <c r="AB6" s="11">
        <v>10</v>
      </c>
      <c r="AC6" s="11">
        <v>13</v>
      </c>
      <c r="AD6" s="11">
        <v>27</v>
      </c>
      <c r="AE6" s="11">
        <v>66</v>
      </c>
      <c r="AF6" s="12">
        <v>0.40910000000000002</v>
      </c>
      <c r="AG6" s="11">
        <v>16</v>
      </c>
      <c r="AH6" s="11">
        <v>29</v>
      </c>
      <c r="AI6" s="12">
        <v>0.55169999999999997</v>
      </c>
      <c r="AJ6" s="11">
        <v>11</v>
      </c>
      <c r="AK6" s="11">
        <v>37</v>
      </c>
      <c r="AL6" s="12">
        <v>0.29730000000000001</v>
      </c>
      <c r="AM6" s="11">
        <v>8</v>
      </c>
      <c r="AN6" s="11">
        <v>10</v>
      </c>
      <c r="AO6" s="12">
        <v>0.8</v>
      </c>
      <c r="AP6" s="11">
        <v>9</v>
      </c>
      <c r="AQ6" s="11">
        <v>22</v>
      </c>
      <c r="AR6" s="11">
        <v>31</v>
      </c>
      <c r="AS6" s="11">
        <v>20</v>
      </c>
      <c r="AT6" s="11">
        <v>5</v>
      </c>
      <c r="AU6" s="11">
        <v>4</v>
      </c>
      <c r="AV6" s="11">
        <v>11</v>
      </c>
      <c r="AW6" s="11">
        <v>17</v>
      </c>
      <c r="AX6" s="12">
        <v>0.6038</v>
      </c>
      <c r="AY6" s="12">
        <v>0.57689999999999997</v>
      </c>
      <c r="AZ6" s="12">
        <v>0.2903</v>
      </c>
      <c r="BA6" s="12">
        <v>0.76919999999999999</v>
      </c>
      <c r="BB6" s="12">
        <v>0.55710000000000004</v>
      </c>
      <c r="BC6" s="4">
        <v>73.498000000000005</v>
      </c>
      <c r="BD6" s="12">
        <v>0.66669999999999996</v>
      </c>
      <c r="BE6" s="12">
        <v>0.18459999999999999</v>
      </c>
      <c r="BF6" s="12">
        <v>0.12189999999999999</v>
      </c>
      <c r="BG6" s="4">
        <v>122.2</v>
      </c>
      <c r="BH6" s="4">
        <v>102.5</v>
      </c>
      <c r="BI6" s="4">
        <v>71.191500000000005</v>
      </c>
      <c r="BJ6" s="12">
        <v>0.51849999999999996</v>
      </c>
      <c r="BK6" s="12">
        <v>0.4924</v>
      </c>
      <c r="BL6" s="12">
        <v>0.23080000000000001</v>
      </c>
      <c r="BM6" s="12">
        <v>0.7097</v>
      </c>
      <c r="BN6" s="12">
        <v>0.44290000000000002</v>
      </c>
      <c r="BO6" s="4">
        <v>68.885000000000005</v>
      </c>
      <c r="BP6" s="12">
        <v>0.74070000000000003</v>
      </c>
      <c r="BQ6" s="12">
        <v>0.1212</v>
      </c>
      <c r="BR6" s="12">
        <v>0.1351</v>
      </c>
      <c r="BS6" s="4">
        <v>102.5</v>
      </c>
      <c r="BT6" s="4">
        <v>122.2</v>
      </c>
      <c r="BU6" s="11">
        <v>15</v>
      </c>
      <c r="BV6" s="11">
        <v>20</v>
      </c>
      <c r="BW6" s="11">
        <v>25</v>
      </c>
      <c r="BX6" s="11">
        <v>27</v>
      </c>
      <c r="BY6" s="11">
        <v>22</v>
      </c>
      <c r="BZ6" s="11">
        <v>13</v>
      </c>
      <c r="CA6" s="11">
        <v>19</v>
      </c>
      <c r="CB6" s="11">
        <v>19</v>
      </c>
      <c r="CC6" s="11">
        <v>35</v>
      </c>
      <c r="CD6" s="11">
        <v>52</v>
      </c>
      <c r="CE6" s="11">
        <v>35</v>
      </c>
      <c r="CF6" s="11">
        <v>38</v>
      </c>
      <c r="CG6" s="4">
        <v>2.6</v>
      </c>
      <c r="CH6" s="13">
        <v>1.53</v>
      </c>
      <c r="CI6" s="4">
        <v>4.5</v>
      </c>
      <c r="CJ6" s="4">
        <v>-4.5</v>
      </c>
      <c r="CK6" s="4">
        <v>159.5</v>
      </c>
      <c r="CL6" s="2" t="s">
        <v>378</v>
      </c>
      <c r="CM6" s="4" t="str">
        <f>VLOOKUP(limoneg[[#This Row],[Away_team]],all[[Full name]:[Abbr]],3,FALSE)</f>
        <v>DIJ</v>
      </c>
      <c r="CN6" s="4">
        <f>IF(OR(limoneg[[#This Row],[Result]]="w",limoneg[[#This Row],[Result]]="dw"),limoneg[[#This Row],[win]]-1,-1)</f>
        <v>1.6</v>
      </c>
      <c r="CO6" s="4">
        <f>IF(OR(limoneg[[#This Row],[Result]]="L",limoneg[[#This Row],[Result]]="dl"),limoneg[[#This Row],[lose]]-1,-1)</f>
        <v>-1</v>
      </c>
      <c r="CP6" s="4">
        <f>IF(OR((limoneg[[#This Row],[Home_scored]]+limoneg[[#This Row],[Away_scored]])&gt;limoneg[[#This Row],[total]],OR(limoneg[[#This Row],[Result]]="dw",limoneg[[#This Row],[Result]]="dl")),1,0)</f>
        <v>1</v>
      </c>
      <c r="CQ6" s="4">
        <f>ABS((limoneg[[#This Row],[Home_scored]]+limoneg[[#This Row],[Away_scored]])-limoneg[[#This Row],[total]])+0.5</f>
        <v>1</v>
      </c>
    </row>
    <row r="7" spans="1:95" x14ac:dyDescent="0.25">
      <c r="A7" s="2" t="s">
        <v>349</v>
      </c>
      <c r="B7" s="2" t="s">
        <v>324</v>
      </c>
      <c r="C7" s="3" t="s">
        <v>73</v>
      </c>
      <c r="D7" s="3">
        <v>45577</v>
      </c>
      <c r="E7" s="2" t="s">
        <v>140</v>
      </c>
      <c r="F7" s="2" t="s">
        <v>302</v>
      </c>
      <c r="G7" s="2" t="s">
        <v>139</v>
      </c>
      <c r="H7" s="11">
        <v>70</v>
      </c>
      <c r="I7" s="11">
        <v>74</v>
      </c>
      <c r="J7" s="11">
        <v>24</v>
      </c>
      <c r="K7" s="11">
        <v>58</v>
      </c>
      <c r="L7" s="12">
        <v>0.4138</v>
      </c>
      <c r="M7" s="11">
        <v>15</v>
      </c>
      <c r="N7" s="11">
        <v>33</v>
      </c>
      <c r="O7" s="12">
        <v>0.45450000000000002</v>
      </c>
      <c r="P7" s="11">
        <v>9</v>
      </c>
      <c r="Q7" s="11">
        <v>25</v>
      </c>
      <c r="R7" s="12">
        <v>0.36</v>
      </c>
      <c r="S7" s="11">
        <v>13</v>
      </c>
      <c r="T7" s="11">
        <v>21</v>
      </c>
      <c r="U7" s="12">
        <v>0.61899999999999999</v>
      </c>
      <c r="V7" s="11">
        <v>9</v>
      </c>
      <c r="W7" s="11">
        <v>23</v>
      </c>
      <c r="X7" s="11">
        <v>32</v>
      </c>
      <c r="Y7" s="11">
        <v>18</v>
      </c>
      <c r="Z7" s="11">
        <v>10</v>
      </c>
      <c r="AA7" s="11">
        <v>6</v>
      </c>
      <c r="AB7" s="11">
        <v>16</v>
      </c>
      <c r="AC7" s="11">
        <v>19</v>
      </c>
      <c r="AD7" s="11">
        <v>28</v>
      </c>
      <c r="AE7" s="11">
        <v>67</v>
      </c>
      <c r="AF7" s="12">
        <v>0.41789999999999999</v>
      </c>
      <c r="AG7" s="11">
        <v>20</v>
      </c>
      <c r="AH7" s="11">
        <v>40</v>
      </c>
      <c r="AI7" s="12">
        <v>0.5</v>
      </c>
      <c r="AJ7" s="11">
        <v>8</v>
      </c>
      <c r="AK7" s="11">
        <v>27</v>
      </c>
      <c r="AL7" s="12">
        <v>0.29630000000000001</v>
      </c>
      <c r="AM7" s="11">
        <v>10</v>
      </c>
      <c r="AN7" s="11">
        <v>17</v>
      </c>
      <c r="AO7" s="12">
        <v>0.58819999999999995</v>
      </c>
      <c r="AP7" s="11">
        <v>19</v>
      </c>
      <c r="AQ7" s="11">
        <v>27</v>
      </c>
      <c r="AR7" s="11">
        <v>46</v>
      </c>
      <c r="AS7" s="11">
        <v>16</v>
      </c>
      <c r="AT7" s="11">
        <v>6</v>
      </c>
      <c r="AU7" s="11">
        <v>3</v>
      </c>
      <c r="AV7" s="11">
        <v>17</v>
      </c>
      <c r="AW7" s="11">
        <v>20</v>
      </c>
      <c r="AX7" s="12">
        <v>0.52049999999999996</v>
      </c>
      <c r="AY7" s="12">
        <v>0.4914</v>
      </c>
      <c r="AZ7" s="12">
        <v>0.25</v>
      </c>
      <c r="BA7" s="12">
        <v>0.54759999999999998</v>
      </c>
      <c r="BB7" s="12">
        <v>0.4103</v>
      </c>
      <c r="BC7" s="4">
        <v>72.168000000000006</v>
      </c>
      <c r="BD7" s="12">
        <v>0.75</v>
      </c>
      <c r="BE7" s="12">
        <v>0.22409999999999999</v>
      </c>
      <c r="BF7" s="12">
        <v>0.19220000000000001</v>
      </c>
      <c r="BG7" s="4">
        <v>96.1</v>
      </c>
      <c r="BH7" s="4">
        <v>101.6</v>
      </c>
      <c r="BI7" s="4">
        <v>72.866</v>
      </c>
      <c r="BJ7" s="12">
        <v>0.49680000000000002</v>
      </c>
      <c r="BK7" s="12">
        <v>0.47760000000000002</v>
      </c>
      <c r="BL7" s="12">
        <v>0.45240000000000002</v>
      </c>
      <c r="BM7" s="12">
        <v>0.75</v>
      </c>
      <c r="BN7" s="12">
        <v>0.5897</v>
      </c>
      <c r="BO7" s="4">
        <v>73.563999999999993</v>
      </c>
      <c r="BP7" s="12">
        <v>0.57140000000000002</v>
      </c>
      <c r="BQ7" s="12">
        <v>0.14929999999999999</v>
      </c>
      <c r="BR7" s="12">
        <v>0.18579999999999999</v>
      </c>
      <c r="BS7" s="4">
        <v>101.6</v>
      </c>
      <c r="BT7" s="4">
        <v>96.1</v>
      </c>
      <c r="BU7" s="11">
        <v>23</v>
      </c>
      <c r="BV7" s="11">
        <v>16</v>
      </c>
      <c r="BW7" s="11">
        <v>16</v>
      </c>
      <c r="BX7" s="11">
        <v>15</v>
      </c>
      <c r="BY7" s="11">
        <v>10</v>
      </c>
      <c r="BZ7" s="11">
        <v>26</v>
      </c>
      <c r="CA7" s="11">
        <v>19</v>
      </c>
      <c r="CB7" s="11">
        <v>19</v>
      </c>
      <c r="CC7" s="11">
        <v>39</v>
      </c>
      <c r="CD7" s="11">
        <v>31</v>
      </c>
      <c r="CE7" s="11">
        <v>36</v>
      </c>
      <c r="CF7" s="11">
        <v>38</v>
      </c>
      <c r="CG7" s="4">
        <v>6</v>
      </c>
      <c r="CH7" s="13">
        <v>1.1399999999999999</v>
      </c>
      <c r="CI7" s="4">
        <v>11.5</v>
      </c>
      <c r="CJ7" s="4">
        <v>-11.5</v>
      </c>
      <c r="CK7" s="4">
        <v>164.5</v>
      </c>
      <c r="CL7" s="2" t="s">
        <v>353</v>
      </c>
      <c r="CM7" s="4" t="str">
        <f>VLOOKUP(limoneg[[#This Row],[Away_team]],all[[Full name]:[Abbr]],3,FALSE)</f>
        <v>BUR</v>
      </c>
      <c r="CN7" s="4">
        <f>IF(OR(limoneg[[#This Row],[Result]]="w",limoneg[[#This Row],[Result]]="dw"),limoneg[[#This Row],[win]]-1,-1)</f>
        <v>-1</v>
      </c>
      <c r="CO7" s="4">
        <f>IF(OR(limoneg[[#This Row],[Result]]="L",limoneg[[#This Row],[Result]]="dl"),limoneg[[#This Row],[lose]]-1,-1)</f>
        <v>0.1399999999999999</v>
      </c>
      <c r="CP7" s="4">
        <f>IF(OR((limoneg[[#This Row],[Home_scored]]+limoneg[[#This Row],[Away_scored]])&gt;limoneg[[#This Row],[total]],OR(limoneg[[#This Row],[Result]]="dw",limoneg[[#This Row],[Result]]="dl")),1,0)</f>
        <v>0</v>
      </c>
      <c r="CQ7" s="4">
        <f>ABS((limoneg[[#This Row],[Home_scored]]+limoneg[[#This Row],[Away_scored]])-limoneg[[#This Row],[total]])+0.5</f>
        <v>21</v>
      </c>
    </row>
    <row r="8" spans="1:95" x14ac:dyDescent="0.25">
      <c r="A8" s="2" t="s">
        <v>349</v>
      </c>
      <c r="B8" s="2" t="s">
        <v>324</v>
      </c>
      <c r="C8" s="3" t="s">
        <v>73</v>
      </c>
      <c r="D8" s="3">
        <v>45584</v>
      </c>
      <c r="E8" s="2" t="s">
        <v>74</v>
      </c>
      <c r="F8" s="2" t="s">
        <v>317</v>
      </c>
      <c r="G8" s="2" t="s">
        <v>146</v>
      </c>
      <c r="H8" s="11">
        <v>75</v>
      </c>
      <c r="I8" s="11">
        <v>75</v>
      </c>
      <c r="J8" s="11">
        <v>24</v>
      </c>
      <c r="K8" s="11">
        <v>61</v>
      </c>
      <c r="L8" s="12">
        <v>0.39340000000000003</v>
      </c>
      <c r="M8" s="11">
        <v>13</v>
      </c>
      <c r="N8" s="11">
        <v>33</v>
      </c>
      <c r="O8" s="12">
        <v>0.39389999999999997</v>
      </c>
      <c r="P8" s="11">
        <v>11</v>
      </c>
      <c r="Q8" s="11">
        <v>28</v>
      </c>
      <c r="R8" s="12">
        <v>0.39290000000000003</v>
      </c>
      <c r="S8" s="11">
        <v>16</v>
      </c>
      <c r="T8" s="11">
        <v>26</v>
      </c>
      <c r="U8" s="12">
        <v>0.61539999999999995</v>
      </c>
      <c r="V8" s="11">
        <v>16</v>
      </c>
      <c r="W8" s="11">
        <v>18</v>
      </c>
      <c r="X8" s="11">
        <v>34</v>
      </c>
      <c r="Y8" s="11">
        <v>22</v>
      </c>
      <c r="Z8" s="11">
        <v>5</v>
      </c>
      <c r="AA8" s="11">
        <v>1</v>
      </c>
      <c r="AB8" s="11">
        <v>8</v>
      </c>
      <c r="AC8" s="11">
        <v>20</v>
      </c>
      <c r="AD8" s="11">
        <v>29</v>
      </c>
      <c r="AE8" s="11">
        <v>63</v>
      </c>
      <c r="AF8" s="12">
        <v>0.46029999999999999</v>
      </c>
      <c r="AG8" s="11">
        <v>25</v>
      </c>
      <c r="AH8" s="11">
        <v>38</v>
      </c>
      <c r="AI8" s="12">
        <v>0.65790000000000004</v>
      </c>
      <c r="AJ8" s="11">
        <v>4</v>
      </c>
      <c r="AK8" s="11">
        <v>25</v>
      </c>
      <c r="AL8" s="12">
        <v>0.16</v>
      </c>
      <c r="AM8" s="11">
        <v>13</v>
      </c>
      <c r="AN8" s="11">
        <v>18</v>
      </c>
      <c r="AO8" s="12">
        <v>0.72219999999999995</v>
      </c>
      <c r="AP8" s="11">
        <v>16</v>
      </c>
      <c r="AQ8" s="11">
        <v>27</v>
      </c>
      <c r="AR8" s="11">
        <v>43</v>
      </c>
      <c r="AS8" s="11">
        <v>16</v>
      </c>
      <c r="AT8" s="11">
        <v>5</v>
      </c>
      <c r="AU8" s="11">
        <v>4</v>
      </c>
      <c r="AV8" s="11">
        <v>11</v>
      </c>
      <c r="AW8" s="11">
        <v>19</v>
      </c>
      <c r="AX8" s="12">
        <v>0.51770000000000005</v>
      </c>
      <c r="AY8" s="12">
        <v>0.48359999999999997</v>
      </c>
      <c r="AZ8" s="12">
        <v>0.37209999999999999</v>
      </c>
      <c r="BA8" s="12">
        <v>0.52939999999999998</v>
      </c>
      <c r="BB8" s="12">
        <v>0.44159999999999999</v>
      </c>
      <c r="BC8" s="4">
        <v>60.768999999999998</v>
      </c>
      <c r="BD8" s="12">
        <v>0.91669999999999996</v>
      </c>
      <c r="BE8" s="12">
        <v>0.26229999999999998</v>
      </c>
      <c r="BF8" s="12">
        <v>9.9500000000000005E-2</v>
      </c>
      <c r="BG8" s="4">
        <v>116.8</v>
      </c>
      <c r="BH8" s="4">
        <v>116.8</v>
      </c>
      <c r="BI8" s="4">
        <v>64.215999999999994</v>
      </c>
      <c r="BJ8" s="12">
        <v>0.52880000000000005</v>
      </c>
      <c r="BK8" s="12">
        <v>0.49209999999999998</v>
      </c>
      <c r="BL8" s="12">
        <v>0.47060000000000002</v>
      </c>
      <c r="BM8" s="12">
        <v>0.62790000000000001</v>
      </c>
      <c r="BN8" s="12">
        <v>0.55840000000000001</v>
      </c>
      <c r="BO8" s="4">
        <v>67.662999999999997</v>
      </c>
      <c r="BP8" s="12">
        <v>0.55169999999999997</v>
      </c>
      <c r="BQ8" s="12">
        <v>0.20630000000000001</v>
      </c>
      <c r="BR8" s="12">
        <v>0.1343</v>
      </c>
      <c r="BS8" s="4">
        <v>116.8</v>
      </c>
      <c r="BT8" s="4">
        <v>116.8</v>
      </c>
      <c r="BU8" s="11">
        <v>19</v>
      </c>
      <c r="BV8" s="11">
        <v>14</v>
      </c>
      <c r="BW8" s="11">
        <v>22</v>
      </c>
      <c r="BX8" s="11">
        <v>20</v>
      </c>
      <c r="BY8" s="11">
        <v>20</v>
      </c>
      <c r="BZ8" s="11">
        <v>19</v>
      </c>
      <c r="CA8" s="11">
        <v>17</v>
      </c>
      <c r="CB8" s="11">
        <v>19</v>
      </c>
      <c r="CC8" s="11">
        <v>33</v>
      </c>
      <c r="CD8" s="11">
        <v>42</v>
      </c>
      <c r="CE8" s="11">
        <v>39</v>
      </c>
      <c r="CF8" s="11">
        <v>36</v>
      </c>
      <c r="CG8" s="4">
        <v>1.65</v>
      </c>
      <c r="CH8" s="13">
        <v>2.2999999999999998</v>
      </c>
      <c r="CI8" s="4">
        <v>-3</v>
      </c>
      <c r="CJ8" s="4">
        <v>-3</v>
      </c>
      <c r="CK8" s="4">
        <v>158.5</v>
      </c>
      <c r="CL8" s="2" t="s">
        <v>398</v>
      </c>
      <c r="CM8" s="4" t="str">
        <f>VLOOKUP(limoneg[[#This Row],[Away_team]],all[[Full name]:[Abbr]],3,FALSE)</f>
        <v>LEM</v>
      </c>
      <c r="CN8" s="4">
        <f>IF(OR(limoneg[[#This Row],[Result]]="w",limoneg[[#This Row],[Result]]="dw"),limoneg[[#This Row],[win]]-1,-1)</f>
        <v>0.64999999999999991</v>
      </c>
      <c r="CO8" s="4">
        <f>IF(OR(limoneg[[#This Row],[Result]]="L",limoneg[[#This Row],[Result]]="dl"),limoneg[[#This Row],[lose]]-1,-1)</f>
        <v>-1</v>
      </c>
      <c r="CP8" s="4">
        <f>IF(OR((limoneg[[#This Row],[Home_scored]]+limoneg[[#This Row],[Away_scored]])&gt;limoneg[[#This Row],[total]],OR(limoneg[[#This Row],[Result]]="dw",limoneg[[#This Row],[Result]]="dl")),1,0)</f>
        <v>1</v>
      </c>
      <c r="CQ8" s="4">
        <f>ABS((limoneg[[#This Row],[Home_scored]]+limoneg[[#This Row],[Away_scored]])-limoneg[[#This Row],[total]])+0.5</f>
        <v>9</v>
      </c>
    </row>
    <row r="9" spans="1:95" x14ac:dyDescent="0.25">
      <c r="A9" s="2" t="s">
        <v>349</v>
      </c>
      <c r="B9" s="2" t="s">
        <v>324</v>
      </c>
      <c r="C9" s="3" t="s">
        <v>73</v>
      </c>
      <c r="D9" s="3">
        <v>45590</v>
      </c>
      <c r="E9" s="2" t="s">
        <v>140</v>
      </c>
      <c r="F9" s="2" t="s">
        <v>345</v>
      </c>
      <c r="G9" s="2" t="s">
        <v>139</v>
      </c>
      <c r="H9" s="11">
        <v>90</v>
      </c>
      <c r="I9" s="11">
        <v>110</v>
      </c>
      <c r="J9" s="11">
        <v>33</v>
      </c>
      <c r="K9" s="11">
        <v>61</v>
      </c>
      <c r="L9" s="12">
        <v>0.54100000000000004</v>
      </c>
      <c r="M9" s="11">
        <v>25</v>
      </c>
      <c r="N9" s="11">
        <v>41</v>
      </c>
      <c r="O9" s="12">
        <v>0.60980000000000001</v>
      </c>
      <c r="P9" s="11">
        <v>8</v>
      </c>
      <c r="Q9" s="11">
        <v>20</v>
      </c>
      <c r="R9" s="12">
        <v>0.4</v>
      </c>
      <c r="S9" s="11">
        <v>16</v>
      </c>
      <c r="T9" s="11">
        <v>23</v>
      </c>
      <c r="U9" s="12">
        <v>0.69569999999999999</v>
      </c>
      <c r="V9" s="11">
        <v>4</v>
      </c>
      <c r="W9" s="11">
        <v>20</v>
      </c>
      <c r="X9" s="11">
        <v>24</v>
      </c>
      <c r="Y9" s="11">
        <v>19</v>
      </c>
      <c r="Z9" s="11">
        <v>5</v>
      </c>
      <c r="AA9" s="11">
        <v>2</v>
      </c>
      <c r="AB9" s="11">
        <v>10</v>
      </c>
      <c r="AC9" s="11">
        <v>24</v>
      </c>
      <c r="AD9" s="11">
        <v>38</v>
      </c>
      <c r="AE9" s="11">
        <v>65</v>
      </c>
      <c r="AF9" s="12">
        <v>0.58460000000000001</v>
      </c>
      <c r="AG9" s="11">
        <v>27</v>
      </c>
      <c r="AH9" s="11">
        <v>36</v>
      </c>
      <c r="AI9" s="12">
        <v>0.75</v>
      </c>
      <c r="AJ9" s="11">
        <v>11</v>
      </c>
      <c r="AK9" s="11">
        <v>29</v>
      </c>
      <c r="AL9" s="12">
        <v>0.37930000000000003</v>
      </c>
      <c r="AM9" s="11">
        <v>23</v>
      </c>
      <c r="AN9" s="11">
        <v>32</v>
      </c>
      <c r="AO9" s="12">
        <v>0.71879999999999999</v>
      </c>
      <c r="AP9" s="11">
        <v>9</v>
      </c>
      <c r="AQ9" s="11">
        <v>27</v>
      </c>
      <c r="AR9" s="11">
        <v>36</v>
      </c>
      <c r="AS9" s="11">
        <v>29</v>
      </c>
      <c r="AT9" s="11">
        <v>3</v>
      </c>
      <c r="AU9" s="11">
        <v>1</v>
      </c>
      <c r="AV9" s="11">
        <v>9</v>
      </c>
      <c r="AW9" s="11">
        <v>24</v>
      </c>
      <c r="AX9" s="12">
        <v>0.63270000000000004</v>
      </c>
      <c r="AY9" s="12">
        <v>0.60660000000000003</v>
      </c>
      <c r="AZ9" s="12">
        <v>0.129</v>
      </c>
      <c r="BA9" s="12">
        <v>0.68969999999999998</v>
      </c>
      <c r="BB9" s="12">
        <v>0.4</v>
      </c>
      <c r="BC9" s="4">
        <v>75.206999999999994</v>
      </c>
      <c r="BD9" s="12">
        <v>0.57579999999999998</v>
      </c>
      <c r="BE9" s="12">
        <v>0.26229999999999998</v>
      </c>
      <c r="BF9" s="12">
        <v>0.12330000000000001</v>
      </c>
      <c r="BG9" s="4">
        <v>116.3</v>
      </c>
      <c r="BH9" s="4">
        <v>142.1</v>
      </c>
      <c r="BI9" s="4">
        <v>77.392499999999998</v>
      </c>
      <c r="BJ9" s="12">
        <v>0.69550000000000001</v>
      </c>
      <c r="BK9" s="12">
        <v>0.66920000000000002</v>
      </c>
      <c r="BL9" s="12">
        <v>0.31030000000000002</v>
      </c>
      <c r="BM9" s="12">
        <v>0.871</v>
      </c>
      <c r="BN9" s="12">
        <v>0.6</v>
      </c>
      <c r="BO9" s="4">
        <v>79.578000000000003</v>
      </c>
      <c r="BP9" s="12">
        <v>0.76319999999999999</v>
      </c>
      <c r="BQ9" s="12">
        <v>0.3538</v>
      </c>
      <c r="BR9" s="12">
        <v>0.1022</v>
      </c>
      <c r="BS9" s="4">
        <v>142.1</v>
      </c>
      <c r="BT9" s="4">
        <v>116.3</v>
      </c>
      <c r="BU9" s="11">
        <v>19</v>
      </c>
      <c r="BV9" s="11">
        <v>17</v>
      </c>
      <c r="BW9" s="11">
        <v>22</v>
      </c>
      <c r="BX9" s="11">
        <v>32</v>
      </c>
      <c r="BY9" s="11">
        <v>26</v>
      </c>
      <c r="BZ9" s="11">
        <v>25</v>
      </c>
      <c r="CA9" s="11">
        <v>22</v>
      </c>
      <c r="CB9" s="11">
        <v>37</v>
      </c>
      <c r="CC9" s="11">
        <v>36</v>
      </c>
      <c r="CD9" s="11">
        <v>54</v>
      </c>
      <c r="CE9" s="11">
        <v>51</v>
      </c>
      <c r="CF9" s="11">
        <v>59</v>
      </c>
      <c r="CG9" s="4">
        <v>2.5</v>
      </c>
      <c r="CH9" s="13">
        <v>1.56</v>
      </c>
      <c r="CI9" s="4">
        <v>-4</v>
      </c>
      <c r="CJ9" s="4">
        <v>-4</v>
      </c>
      <c r="CK9" s="4">
        <v>159.5</v>
      </c>
      <c r="CL9" s="2" t="s">
        <v>415</v>
      </c>
      <c r="CM9" s="4" t="str">
        <f>VLOOKUP(limoneg[[#This Row],[Away_team]],all[[Full name]:[Abbr]],3,FALSE)</f>
        <v>STR</v>
      </c>
      <c r="CN9" s="4">
        <f>IF(OR(limoneg[[#This Row],[Result]]="w",limoneg[[#This Row],[Result]]="dw"),limoneg[[#This Row],[win]]-1,-1)</f>
        <v>-1</v>
      </c>
      <c r="CO9" s="4">
        <f>IF(OR(limoneg[[#This Row],[Result]]="L",limoneg[[#This Row],[Result]]="dl"),limoneg[[#This Row],[lose]]-1,-1)</f>
        <v>0.56000000000000005</v>
      </c>
      <c r="CP9" s="4">
        <f>IF(OR((limoneg[[#This Row],[Home_scored]]+limoneg[[#This Row],[Away_scored]])&gt;limoneg[[#This Row],[total]],OR(limoneg[[#This Row],[Result]]="dw",limoneg[[#This Row],[Result]]="dl")),1,0)</f>
        <v>1</v>
      </c>
      <c r="CQ9" s="4">
        <f>ABS((limoneg[[#This Row],[Home_scored]]+limoneg[[#This Row],[Away_scored]])-limoneg[[#This Row],[total]])+0.5</f>
        <v>41</v>
      </c>
    </row>
    <row r="10" spans="1:95" x14ac:dyDescent="0.25">
      <c r="A10" s="2" t="s">
        <v>349</v>
      </c>
      <c r="B10" s="2" t="s">
        <v>324</v>
      </c>
      <c r="C10" s="3" t="s">
        <v>73</v>
      </c>
      <c r="D10" s="3">
        <v>45597</v>
      </c>
      <c r="E10" s="2" t="s">
        <v>74</v>
      </c>
      <c r="F10" s="2" t="s">
        <v>305</v>
      </c>
      <c r="G10" s="2" t="s">
        <v>75</v>
      </c>
      <c r="H10" s="11">
        <v>74</v>
      </c>
      <c r="I10" s="11">
        <v>68</v>
      </c>
      <c r="J10" s="11">
        <v>28</v>
      </c>
      <c r="K10" s="11">
        <v>65</v>
      </c>
      <c r="L10" s="12">
        <v>0.43080000000000002</v>
      </c>
      <c r="M10" s="11">
        <v>19</v>
      </c>
      <c r="N10" s="11">
        <v>38</v>
      </c>
      <c r="O10" s="12">
        <v>0.5</v>
      </c>
      <c r="P10" s="11">
        <v>9</v>
      </c>
      <c r="Q10" s="11">
        <v>27</v>
      </c>
      <c r="R10" s="12">
        <v>0.33329999999999999</v>
      </c>
      <c r="S10" s="11">
        <v>9</v>
      </c>
      <c r="T10" s="11">
        <v>11</v>
      </c>
      <c r="U10" s="12">
        <v>0.81820000000000004</v>
      </c>
      <c r="V10" s="11">
        <v>7</v>
      </c>
      <c r="W10" s="11">
        <v>24</v>
      </c>
      <c r="X10" s="11">
        <v>31</v>
      </c>
      <c r="Y10" s="11">
        <v>22</v>
      </c>
      <c r="Z10" s="11">
        <v>6</v>
      </c>
      <c r="AA10" s="11">
        <v>2</v>
      </c>
      <c r="AB10" s="11">
        <v>8</v>
      </c>
      <c r="AC10" s="11">
        <v>19</v>
      </c>
      <c r="AD10" s="11">
        <v>23</v>
      </c>
      <c r="AE10" s="11">
        <v>53</v>
      </c>
      <c r="AF10" s="12">
        <v>0.434</v>
      </c>
      <c r="AG10" s="11">
        <v>14</v>
      </c>
      <c r="AH10" s="11">
        <v>32</v>
      </c>
      <c r="AI10" s="12">
        <v>0.4375</v>
      </c>
      <c r="AJ10" s="11">
        <v>9</v>
      </c>
      <c r="AK10" s="11">
        <v>21</v>
      </c>
      <c r="AL10" s="12">
        <v>0.42859999999999998</v>
      </c>
      <c r="AM10" s="11">
        <v>13</v>
      </c>
      <c r="AN10" s="11">
        <v>17</v>
      </c>
      <c r="AO10" s="12">
        <v>0.76470000000000005</v>
      </c>
      <c r="AP10" s="11">
        <v>5</v>
      </c>
      <c r="AQ10" s="11">
        <v>28</v>
      </c>
      <c r="AR10" s="11">
        <v>33</v>
      </c>
      <c r="AS10" s="11">
        <v>19</v>
      </c>
      <c r="AT10" s="11">
        <v>5</v>
      </c>
      <c r="AU10" s="11">
        <v>2</v>
      </c>
      <c r="AV10" s="11">
        <v>16</v>
      </c>
      <c r="AW10" s="11">
        <v>18</v>
      </c>
      <c r="AX10" s="12">
        <v>0.52980000000000005</v>
      </c>
      <c r="AY10" s="12">
        <v>0.5</v>
      </c>
      <c r="AZ10" s="12">
        <v>0.2</v>
      </c>
      <c r="BA10" s="12">
        <v>0.8276</v>
      </c>
      <c r="BB10" s="12">
        <v>0.4844</v>
      </c>
      <c r="BC10" s="4">
        <v>68.459999999999994</v>
      </c>
      <c r="BD10" s="12">
        <v>0.78569999999999995</v>
      </c>
      <c r="BE10" s="12">
        <v>0.13850000000000001</v>
      </c>
      <c r="BF10" s="12">
        <v>0.1028</v>
      </c>
      <c r="BG10" s="4">
        <v>106.2</v>
      </c>
      <c r="BH10" s="4">
        <v>97.6</v>
      </c>
      <c r="BI10" s="4">
        <v>69.697999999999993</v>
      </c>
      <c r="BJ10" s="12">
        <v>0.56220000000000003</v>
      </c>
      <c r="BK10" s="12">
        <v>0.51890000000000003</v>
      </c>
      <c r="BL10" s="12">
        <v>0.1724</v>
      </c>
      <c r="BM10" s="12">
        <v>0.8</v>
      </c>
      <c r="BN10" s="12">
        <v>0.51559999999999995</v>
      </c>
      <c r="BO10" s="4">
        <v>70.936000000000007</v>
      </c>
      <c r="BP10" s="12">
        <v>0.82609999999999995</v>
      </c>
      <c r="BQ10" s="12">
        <v>0.24529999999999999</v>
      </c>
      <c r="BR10" s="12">
        <v>0.2092</v>
      </c>
      <c r="BS10" s="4">
        <v>97.6</v>
      </c>
      <c r="BT10" s="4">
        <v>106.2</v>
      </c>
      <c r="BU10" s="11">
        <v>19</v>
      </c>
      <c r="BV10" s="11">
        <v>16</v>
      </c>
      <c r="BW10" s="11">
        <v>20</v>
      </c>
      <c r="BX10" s="11">
        <v>19</v>
      </c>
      <c r="BY10" s="11">
        <v>17</v>
      </c>
      <c r="BZ10" s="11">
        <v>14</v>
      </c>
      <c r="CA10" s="11">
        <v>20</v>
      </c>
      <c r="CB10" s="11">
        <v>17</v>
      </c>
      <c r="CC10" s="11">
        <v>35</v>
      </c>
      <c r="CD10" s="11">
        <v>39</v>
      </c>
      <c r="CE10" s="11">
        <v>31</v>
      </c>
      <c r="CF10" s="11">
        <v>37</v>
      </c>
      <c r="CG10" s="4">
        <v>1.45</v>
      </c>
      <c r="CH10" s="13">
        <v>2.8</v>
      </c>
      <c r="CI10" s="4">
        <v>-5.5</v>
      </c>
      <c r="CJ10" s="4">
        <v>5.5</v>
      </c>
      <c r="CK10" s="4">
        <v>161.5</v>
      </c>
      <c r="CL10" s="2" t="s">
        <v>367</v>
      </c>
      <c r="CM10" s="4" t="str">
        <f>VLOOKUP(limoneg[[#This Row],[Away_team]],all[[Full name]:[Abbr]],3,FALSE)</f>
        <v>CHA</v>
      </c>
      <c r="CN10" s="4">
        <f>IF(OR(limoneg[[#This Row],[Result]]="w",limoneg[[#This Row],[Result]]="dw"),limoneg[[#This Row],[win]]-1,-1)</f>
        <v>0.44999999999999996</v>
      </c>
      <c r="CO10" s="4">
        <f>IF(OR(limoneg[[#This Row],[Result]]="L",limoneg[[#This Row],[Result]]="dl"),limoneg[[#This Row],[lose]]-1,-1)</f>
        <v>-1</v>
      </c>
      <c r="CP10" s="4">
        <f>IF(OR((limoneg[[#This Row],[Home_scored]]+limoneg[[#This Row],[Away_scored]])&gt;limoneg[[#This Row],[total]],OR(limoneg[[#This Row],[Result]]="dw",limoneg[[#This Row],[Result]]="dl")),1,0)</f>
        <v>0</v>
      </c>
      <c r="CQ10" s="4">
        <f>ABS((limoneg[[#This Row],[Home_scored]]+limoneg[[#This Row],[Away_scored]])-limoneg[[#This Row],[total]])+0.5</f>
        <v>20</v>
      </c>
    </row>
    <row r="11" spans="1:95" x14ac:dyDescent="0.25">
      <c r="A11" s="2" t="s">
        <v>349</v>
      </c>
      <c r="B11" s="2" t="s">
        <v>324</v>
      </c>
      <c r="C11" s="3" t="s">
        <v>73</v>
      </c>
      <c r="D11" s="3">
        <v>45605</v>
      </c>
      <c r="E11" s="2" t="s">
        <v>74</v>
      </c>
      <c r="F11" s="2" t="s">
        <v>308</v>
      </c>
      <c r="G11" s="2" t="s">
        <v>139</v>
      </c>
      <c r="H11" s="11">
        <v>69</v>
      </c>
      <c r="I11" s="11">
        <v>75</v>
      </c>
      <c r="J11" s="11">
        <v>22</v>
      </c>
      <c r="K11" s="11">
        <v>59</v>
      </c>
      <c r="L11" s="12">
        <v>0.37290000000000001</v>
      </c>
      <c r="M11" s="11">
        <v>15</v>
      </c>
      <c r="N11" s="11">
        <v>34</v>
      </c>
      <c r="O11" s="12">
        <v>0.44119999999999998</v>
      </c>
      <c r="P11" s="11">
        <v>7</v>
      </c>
      <c r="Q11" s="11">
        <v>25</v>
      </c>
      <c r="R11" s="12">
        <v>0.28000000000000003</v>
      </c>
      <c r="S11" s="11">
        <v>18</v>
      </c>
      <c r="T11" s="11">
        <v>24</v>
      </c>
      <c r="U11" s="12">
        <v>0.75</v>
      </c>
      <c r="V11" s="11">
        <v>8</v>
      </c>
      <c r="W11" s="11">
        <v>27</v>
      </c>
      <c r="X11" s="11">
        <v>35</v>
      </c>
      <c r="Y11" s="11">
        <v>20</v>
      </c>
      <c r="Z11" s="11">
        <v>7</v>
      </c>
      <c r="AA11" s="11">
        <v>2</v>
      </c>
      <c r="AB11" s="11">
        <v>17</v>
      </c>
      <c r="AC11" s="11">
        <v>21</v>
      </c>
      <c r="AD11" s="11">
        <v>30</v>
      </c>
      <c r="AE11" s="11">
        <v>63</v>
      </c>
      <c r="AF11" s="12">
        <v>0.47620000000000001</v>
      </c>
      <c r="AG11" s="11">
        <v>23</v>
      </c>
      <c r="AH11" s="11">
        <v>42</v>
      </c>
      <c r="AI11" s="12">
        <v>0.54759999999999998</v>
      </c>
      <c r="AJ11" s="11">
        <v>7</v>
      </c>
      <c r="AK11" s="11">
        <v>21</v>
      </c>
      <c r="AL11" s="12">
        <v>0.33329999999999999</v>
      </c>
      <c r="AM11" s="11">
        <v>8</v>
      </c>
      <c r="AN11" s="11">
        <v>13</v>
      </c>
      <c r="AO11" s="12">
        <v>0.61539999999999995</v>
      </c>
      <c r="AP11" s="11">
        <v>7</v>
      </c>
      <c r="AQ11" s="11">
        <v>29</v>
      </c>
      <c r="AR11" s="11">
        <v>36</v>
      </c>
      <c r="AS11" s="11">
        <v>25</v>
      </c>
      <c r="AT11" s="11">
        <v>7</v>
      </c>
      <c r="AU11" s="11">
        <v>0</v>
      </c>
      <c r="AV11" s="11">
        <v>19</v>
      </c>
      <c r="AW11" s="11">
        <v>23</v>
      </c>
      <c r="AX11" s="12">
        <v>0.496</v>
      </c>
      <c r="AY11" s="12">
        <v>0.43219999999999997</v>
      </c>
      <c r="AZ11" s="12">
        <v>0.2162</v>
      </c>
      <c r="BA11" s="12">
        <v>0.79410000000000003</v>
      </c>
      <c r="BB11" s="12">
        <v>0.49299999999999999</v>
      </c>
      <c r="BC11" s="4">
        <v>76.551000000000002</v>
      </c>
      <c r="BD11" s="12">
        <v>0.90910000000000002</v>
      </c>
      <c r="BE11" s="12">
        <v>0.30509999999999998</v>
      </c>
      <c r="BF11" s="12">
        <v>0.19639999999999999</v>
      </c>
      <c r="BG11" s="4">
        <v>88</v>
      </c>
      <c r="BH11" s="4">
        <v>95.6</v>
      </c>
      <c r="BI11" s="4">
        <v>78.442499999999995</v>
      </c>
      <c r="BJ11" s="12">
        <v>0.54569999999999996</v>
      </c>
      <c r="BK11" s="12">
        <v>0.53169999999999995</v>
      </c>
      <c r="BL11" s="12">
        <v>0.2059</v>
      </c>
      <c r="BM11" s="12">
        <v>0.78380000000000005</v>
      </c>
      <c r="BN11" s="12">
        <v>0.50700000000000001</v>
      </c>
      <c r="BO11" s="4">
        <v>80.334000000000003</v>
      </c>
      <c r="BP11" s="12">
        <v>0.83330000000000004</v>
      </c>
      <c r="BQ11" s="12">
        <v>0.127</v>
      </c>
      <c r="BR11" s="12">
        <v>0.21659999999999999</v>
      </c>
      <c r="BS11" s="4">
        <v>95.6</v>
      </c>
      <c r="BT11" s="4">
        <v>88</v>
      </c>
      <c r="BU11" s="11">
        <v>18</v>
      </c>
      <c r="BV11" s="11">
        <v>16</v>
      </c>
      <c r="BW11" s="11">
        <v>12</v>
      </c>
      <c r="BX11" s="11">
        <v>23</v>
      </c>
      <c r="BY11" s="11">
        <v>20</v>
      </c>
      <c r="BZ11" s="11">
        <v>16</v>
      </c>
      <c r="CA11" s="11">
        <v>26</v>
      </c>
      <c r="CB11" s="11">
        <v>13</v>
      </c>
      <c r="CC11" s="11">
        <v>34</v>
      </c>
      <c r="CD11" s="11">
        <v>35</v>
      </c>
      <c r="CE11" s="11">
        <v>36</v>
      </c>
      <c r="CF11" s="11">
        <v>39</v>
      </c>
      <c r="CG11" s="4">
        <v>2.0499999999999998</v>
      </c>
      <c r="CH11" s="13">
        <v>1.8</v>
      </c>
      <c r="CI11" s="4">
        <v>1.5</v>
      </c>
      <c r="CJ11" s="4">
        <v>-1.5</v>
      </c>
      <c r="CK11" s="4">
        <v>157.5</v>
      </c>
      <c r="CL11" s="2" t="s">
        <v>376</v>
      </c>
      <c r="CM11" s="4" t="str">
        <f>VLOOKUP(limoneg[[#This Row],[Away_team]],all[[Full name]:[Abbr]],3,FALSE)</f>
        <v>CHO</v>
      </c>
      <c r="CN11" s="4">
        <f>IF(OR(limoneg[[#This Row],[Result]]="w",limoneg[[#This Row],[Result]]="dw"),limoneg[[#This Row],[win]]-1,-1)</f>
        <v>-1</v>
      </c>
      <c r="CO11" s="4">
        <f>IF(OR(limoneg[[#This Row],[Result]]="L",limoneg[[#This Row],[Result]]="dl"),limoneg[[#This Row],[lose]]-1,-1)</f>
        <v>0.8</v>
      </c>
      <c r="CP11" s="4">
        <f>IF(OR((limoneg[[#This Row],[Home_scored]]+limoneg[[#This Row],[Away_scored]])&gt;limoneg[[#This Row],[total]],OR(limoneg[[#This Row],[Result]]="dw",limoneg[[#This Row],[Result]]="dl")),1,0)</f>
        <v>0</v>
      </c>
      <c r="CQ11" s="4">
        <f>ABS((limoneg[[#This Row],[Home_scored]]+limoneg[[#This Row],[Away_scored]])-limoneg[[#This Row],[total]])+0.5</f>
        <v>14</v>
      </c>
    </row>
    <row r="12" spans="1:95" x14ac:dyDescent="0.25">
      <c r="A12" s="2" t="s">
        <v>349</v>
      </c>
      <c r="B12" s="2" t="s">
        <v>324</v>
      </c>
      <c r="C12" s="3" t="s">
        <v>73</v>
      </c>
      <c r="D12" s="3">
        <v>45612</v>
      </c>
      <c r="E12" s="2" t="s">
        <v>140</v>
      </c>
      <c r="F12" s="2" t="s">
        <v>333</v>
      </c>
      <c r="G12" s="2" t="s">
        <v>143</v>
      </c>
      <c r="H12" s="11">
        <v>75</v>
      </c>
      <c r="I12" s="11">
        <v>75</v>
      </c>
      <c r="J12" s="11">
        <v>29</v>
      </c>
      <c r="K12" s="11">
        <v>59</v>
      </c>
      <c r="L12" s="12">
        <v>0.49149999999999999</v>
      </c>
      <c r="M12" s="11">
        <v>16</v>
      </c>
      <c r="N12" s="11">
        <v>30</v>
      </c>
      <c r="O12" s="12">
        <v>0.5333</v>
      </c>
      <c r="P12" s="11">
        <v>13</v>
      </c>
      <c r="Q12" s="11">
        <v>29</v>
      </c>
      <c r="R12" s="12">
        <v>0.44829999999999998</v>
      </c>
      <c r="S12" s="11">
        <v>4</v>
      </c>
      <c r="T12" s="11">
        <v>12</v>
      </c>
      <c r="U12" s="12">
        <v>0.33329999999999999</v>
      </c>
      <c r="V12" s="11">
        <v>10</v>
      </c>
      <c r="W12" s="11">
        <v>29</v>
      </c>
      <c r="X12" s="11">
        <v>39</v>
      </c>
      <c r="Y12" s="11">
        <v>25</v>
      </c>
      <c r="Z12" s="11">
        <v>2</v>
      </c>
      <c r="AA12" s="11">
        <v>4</v>
      </c>
      <c r="AB12" s="11">
        <v>12</v>
      </c>
      <c r="AC12" s="11">
        <v>17</v>
      </c>
      <c r="AD12" s="11">
        <v>28</v>
      </c>
      <c r="AE12" s="11">
        <v>57</v>
      </c>
      <c r="AF12" s="12">
        <v>0.49120000000000003</v>
      </c>
      <c r="AG12" s="11">
        <v>22</v>
      </c>
      <c r="AH12" s="11">
        <v>36</v>
      </c>
      <c r="AI12" s="12">
        <v>0.61109999999999998</v>
      </c>
      <c r="AJ12" s="11">
        <v>6</v>
      </c>
      <c r="AK12" s="11">
        <v>21</v>
      </c>
      <c r="AL12" s="12">
        <v>0.28570000000000001</v>
      </c>
      <c r="AM12" s="11">
        <v>13</v>
      </c>
      <c r="AN12" s="11">
        <v>20</v>
      </c>
      <c r="AO12" s="12">
        <v>0.65</v>
      </c>
      <c r="AP12" s="11">
        <v>6</v>
      </c>
      <c r="AQ12" s="11">
        <v>23</v>
      </c>
      <c r="AR12" s="11">
        <v>29</v>
      </c>
      <c r="AS12" s="11">
        <v>16</v>
      </c>
      <c r="AT12" s="11">
        <v>4</v>
      </c>
      <c r="AU12" s="11">
        <v>3</v>
      </c>
      <c r="AV12" s="11">
        <v>7</v>
      </c>
      <c r="AW12" s="11">
        <v>17</v>
      </c>
      <c r="AX12" s="12">
        <v>0.58340000000000003</v>
      </c>
      <c r="AY12" s="12">
        <v>0.60170000000000001</v>
      </c>
      <c r="AZ12" s="12">
        <v>0.30299999999999999</v>
      </c>
      <c r="BA12" s="12">
        <v>0.8286</v>
      </c>
      <c r="BB12" s="12">
        <v>0.57350000000000001</v>
      </c>
      <c r="BC12" s="4">
        <v>67.569000000000003</v>
      </c>
      <c r="BD12" s="12">
        <v>0.86209999999999998</v>
      </c>
      <c r="BE12" s="12">
        <v>6.7799999999999999E-2</v>
      </c>
      <c r="BF12" s="12">
        <v>0.1573</v>
      </c>
      <c r="BG12" s="4">
        <v>112.7</v>
      </c>
      <c r="BH12" s="4">
        <v>112.7</v>
      </c>
      <c r="BI12" s="4">
        <v>66.5745</v>
      </c>
      <c r="BJ12" s="12">
        <v>0.56989999999999996</v>
      </c>
      <c r="BK12" s="12">
        <v>0.54390000000000005</v>
      </c>
      <c r="BL12" s="12">
        <v>0.1714</v>
      </c>
      <c r="BM12" s="12">
        <v>0.69699999999999995</v>
      </c>
      <c r="BN12" s="12">
        <v>0.42649999999999999</v>
      </c>
      <c r="BO12" s="4">
        <v>65.58</v>
      </c>
      <c r="BP12" s="12">
        <v>0.57140000000000002</v>
      </c>
      <c r="BQ12" s="12">
        <v>0.2281</v>
      </c>
      <c r="BR12" s="12">
        <v>9.6199999999999994E-2</v>
      </c>
      <c r="BS12" s="4">
        <v>112.7</v>
      </c>
      <c r="BT12" s="4">
        <v>112.7</v>
      </c>
      <c r="BU12" s="11">
        <v>14</v>
      </c>
      <c r="BV12" s="11">
        <v>19</v>
      </c>
      <c r="BW12" s="11">
        <v>18</v>
      </c>
      <c r="BX12" s="11">
        <v>24</v>
      </c>
      <c r="BY12" s="11">
        <v>21</v>
      </c>
      <c r="BZ12" s="11">
        <v>18</v>
      </c>
      <c r="CA12" s="11">
        <v>17</v>
      </c>
      <c r="CB12" s="11">
        <v>19</v>
      </c>
      <c r="CC12" s="11">
        <v>33</v>
      </c>
      <c r="CD12" s="11">
        <v>42</v>
      </c>
      <c r="CE12" s="11">
        <v>39</v>
      </c>
      <c r="CF12" s="11">
        <v>36</v>
      </c>
      <c r="CG12" s="4">
        <v>2.0499999999999998</v>
      </c>
      <c r="CH12" s="13">
        <v>1.8</v>
      </c>
      <c r="CI12" s="4">
        <v>1.5</v>
      </c>
      <c r="CJ12" s="4">
        <v>-1.5</v>
      </c>
      <c r="CK12" s="4">
        <v>161.5</v>
      </c>
      <c r="CL12" s="2" t="s">
        <v>416</v>
      </c>
      <c r="CM12" s="4" t="str">
        <f>VLOOKUP(limoneg[[#This Row],[Away_team]],all[[Full name]:[Abbr]],3,FALSE)</f>
        <v>NCY</v>
      </c>
      <c r="CN12" s="4">
        <f>IF(OR(limoneg[[#This Row],[Result]]="w",limoneg[[#This Row],[Result]]="dw"),limoneg[[#This Row],[win]]-1,-1)</f>
        <v>-1</v>
      </c>
      <c r="CO12" s="4">
        <f>IF(OR(limoneg[[#This Row],[Result]]="L",limoneg[[#This Row],[Result]]="dl"),limoneg[[#This Row],[lose]]-1,-1)</f>
        <v>0.8</v>
      </c>
      <c r="CP12" s="4">
        <f>IF(OR((limoneg[[#This Row],[Home_scored]]+limoneg[[#This Row],[Away_scored]])&gt;limoneg[[#This Row],[total]],OR(limoneg[[#This Row],[Result]]="dw",limoneg[[#This Row],[Result]]="dl")),1,0)</f>
        <v>1</v>
      </c>
      <c r="CQ12" s="4">
        <f>ABS((limoneg[[#This Row],[Home_scored]]+limoneg[[#This Row],[Away_scored]])-limoneg[[#This Row],[total]])+0.5</f>
        <v>12</v>
      </c>
    </row>
    <row r="13" spans="1:95" x14ac:dyDescent="0.25">
      <c r="A13" s="2" t="s">
        <v>349</v>
      </c>
      <c r="B13" s="2" t="s">
        <v>324</v>
      </c>
      <c r="C13" s="3" t="s">
        <v>73</v>
      </c>
      <c r="D13" s="3">
        <v>45626</v>
      </c>
      <c r="E13" s="2" t="s">
        <v>74</v>
      </c>
      <c r="F13" s="2" t="s">
        <v>323</v>
      </c>
      <c r="G13" s="2" t="s">
        <v>75</v>
      </c>
      <c r="H13" s="11">
        <v>83</v>
      </c>
      <c r="I13" s="11">
        <v>62</v>
      </c>
      <c r="J13" s="11">
        <v>26</v>
      </c>
      <c r="K13" s="11">
        <v>61</v>
      </c>
      <c r="L13" s="12">
        <v>0.42620000000000002</v>
      </c>
      <c r="M13" s="11">
        <v>12</v>
      </c>
      <c r="N13" s="11">
        <v>32</v>
      </c>
      <c r="O13" s="12">
        <v>0.375</v>
      </c>
      <c r="P13" s="11">
        <v>14</v>
      </c>
      <c r="Q13" s="11">
        <v>29</v>
      </c>
      <c r="R13" s="12">
        <v>0.48280000000000001</v>
      </c>
      <c r="S13" s="11">
        <v>17</v>
      </c>
      <c r="T13" s="11">
        <v>21</v>
      </c>
      <c r="U13" s="12">
        <v>0.8095</v>
      </c>
      <c r="V13" s="11">
        <v>9</v>
      </c>
      <c r="W13" s="11">
        <v>33</v>
      </c>
      <c r="X13" s="11">
        <v>42</v>
      </c>
      <c r="Y13" s="11">
        <v>23</v>
      </c>
      <c r="Z13" s="11">
        <v>4</v>
      </c>
      <c r="AA13" s="11">
        <v>3</v>
      </c>
      <c r="AB13" s="11">
        <v>9</v>
      </c>
      <c r="AC13" s="11">
        <v>18</v>
      </c>
      <c r="AD13" s="11">
        <v>20</v>
      </c>
      <c r="AE13" s="11">
        <v>55</v>
      </c>
      <c r="AF13" s="12">
        <v>0.36359999999999998</v>
      </c>
      <c r="AG13" s="11">
        <v>16</v>
      </c>
      <c r="AH13" s="11">
        <v>32</v>
      </c>
      <c r="AI13" s="12">
        <v>0.5</v>
      </c>
      <c r="AJ13" s="11">
        <v>4</v>
      </c>
      <c r="AK13" s="11">
        <v>23</v>
      </c>
      <c r="AL13" s="12">
        <v>0.1739</v>
      </c>
      <c r="AM13" s="11">
        <v>18</v>
      </c>
      <c r="AN13" s="11">
        <v>23</v>
      </c>
      <c r="AO13" s="12">
        <v>0.78259999999999996</v>
      </c>
      <c r="AP13" s="11">
        <v>5</v>
      </c>
      <c r="AQ13" s="11">
        <v>26</v>
      </c>
      <c r="AR13" s="11">
        <v>31</v>
      </c>
      <c r="AS13" s="11">
        <v>20</v>
      </c>
      <c r="AT13" s="11">
        <v>6</v>
      </c>
      <c r="AU13" s="11">
        <v>2</v>
      </c>
      <c r="AV13" s="11">
        <v>9</v>
      </c>
      <c r="AW13" s="11">
        <v>21</v>
      </c>
      <c r="AX13" s="12">
        <v>0.59079999999999999</v>
      </c>
      <c r="AY13" s="12">
        <v>0.54100000000000004</v>
      </c>
      <c r="AZ13" s="12">
        <v>0.2571</v>
      </c>
      <c r="BA13" s="12">
        <v>0.86839999999999995</v>
      </c>
      <c r="BB13" s="12">
        <v>0.57530000000000003</v>
      </c>
      <c r="BC13" s="4">
        <v>70.375</v>
      </c>
      <c r="BD13" s="12">
        <v>0.88460000000000005</v>
      </c>
      <c r="BE13" s="12">
        <v>0.2787</v>
      </c>
      <c r="BF13" s="12">
        <v>0.11360000000000001</v>
      </c>
      <c r="BG13" s="4">
        <v>120.7</v>
      </c>
      <c r="BH13" s="4">
        <v>90.2</v>
      </c>
      <c r="BI13" s="4">
        <v>68.767499999999998</v>
      </c>
      <c r="BJ13" s="12">
        <v>0.47599999999999998</v>
      </c>
      <c r="BK13" s="12">
        <v>0.4</v>
      </c>
      <c r="BL13" s="12">
        <v>0.13159999999999999</v>
      </c>
      <c r="BM13" s="12">
        <v>0.7429</v>
      </c>
      <c r="BN13" s="12">
        <v>0.42470000000000002</v>
      </c>
      <c r="BO13" s="4">
        <v>67.16</v>
      </c>
      <c r="BP13" s="12">
        <v>1</v>
      </c>
      <c r="BQ13" s="12">
        <v>0.32729999999999998</v>
      </c>
      <c r="BR13" s="12">
        <v>0.12139999999999999</v>
      </c>
      <c r="BS13" s="4">
        <v>90.2</v>
      </c>
      <c r="BT13" s="4">
        <v>120.7</v>
      </c>
      <c r="BU13" s="11">
        <v>25</v>
      </c>
      <c r="BV13" s="11">
        <v>19</v>
      </c>
      <c r="BW13" s="11">
        <v>18</v>
      </c>
      <c r="BX13" s="11">
        <v>21</v>
      </c>
      <c r="BY13" s="11">
        <v>16</v>
      </c>
      <c r="BZ13" s="11">
        <v>19</v>
      </c>
      <c r="CA13" s="11">
        <v>18</v>
      </c>
      <c r="CB13" s="11">
        <v>9</v>
      </c>
      <c r="CC13" s="11">
        <v>44</v>
      </c>
      <c r="CD13" s="11">
        <v>39</v>
      </c>
      <c r="CE13" s="11">
        <v>35</v>
      </c>
      <c r="CF13" s="11">
        <v>27</v>
      </c>
      <c r="CG13" s="4">
        <v>1.22</v>
      </c>
      <c r="CH13" s="13">
        <v>4.5</v>
      </c>
      <c r="CI13" s="4">
        <v>-9.5</v>
      </c>
      <c r="CJ13" s="4">
        <v>9.5</v>
      </c>
      <c r="CK13" s="4">
        <v>153.5</v>
      </c>
      <c r="CL13" s="2" t="s">
        <v>413</v>
      </c>
      <c r="CM13" s="4" t="e">
        <f>VLOOKUP(limoneg[[#This Row],[Away_team]],all[[Full name]:[Abbr]],3,FALSE)</f>
        <v>#N/A</v>
      </c>
      <c r="CN13" s="4">
        <f>IF(OR(limoneg[[#This Row],[Result]]="w",limoneg[[#This Row],[Result]]="dw"),limoneg[[#This Row],[win]]-1,-1)</f>
        <v>0.21999999999999997</v>
      </c>
      <c r="CO13" s="4">
        <f>IF(OR(limoneg[[#This Row],[Result]]="L",limoneg[[#This Row],[Result]]="dl"),limoneg[[#This Row],[lose]]-1,-1)</f>
        <v>-1</v>
      </c>
      <c r="CP13" s="4">
        <f>IF(OR((limoneg[[#This Row],[Home_scored]]+limoneg[[#This Row],[Away_scored]])&gt;limoneg[[#This Row],[total]],OR(limoneg[[#This Row],[Result]]="dw",limoneg[[#This Row],[Result]]="dl")),1,0)</f>
        <v>0</v>
      </c>
      <c r="CQ13" s="4">
        <f>ABS((limoneg[[#This Row],[Home_scored]]+limoneg[[#This Row],[Away_scored]])-limoneg[[#This Row],[total]])+0.5</f>
        <v>9</v>
      </c>
    </row>
    <row r="14" spans="1:95" x14ac:dyDescent="0.25">
      <c r="A14" s="2" t="s">
        <v>349</v>
      </c>
      <c r="B14" s="2" t="s">
        <v>324</v>
      </c>
      <c r="C14" s="3" t="s">
        <v>73</v>
      </c>
      <c r="D14" s="3">
        <v>45634</v>
      </c>
      <c r="E14" s="2" t="s">
        <v>140</v>
      </c>
      <c r="F14" s="2" t="s">
        <v>327</v>
      </c>
      <c r="G14" s="2" t="s">
        <v>139</v>
      </c>
      <c r="H14" s="11">
        <v>69</v>
      </c>
      <c r="I14" s="11">
        <v>84</v>
      </c>
      <c r="J14" s="11">
        <v>21</v>
      </c>
      <c r="K14" s="11">
        <v>64</v>
      </c>
      <c r="L14" s="12">
        <v>0.3281</v>
      </c>
      <c r="M14" s="11">
        <v>14</v>
      </c>
      <c r="N14" s="11">
        <v>32</v>
      </c>
      <c r="O14" s="12">
        <v>0.4375</v>
      </c>
      <c r="P14" s="11">
        <v>7</v>
      </c>
      <c r="Q14" s="11">
        <v>32</v>
      </c>
      <c r="R14" s="12">
        <v>0.21879999999999999</v>
      </c>
      <c r="S14" s="11">
        <v>20</v>
      </c>
      <c r="T14" s="11">
        <v>23</v>
      </c>
      <c r="U14" s="12">
        <v>0.86960000000000004</v>
      </c>
      <c r="V14" s="11">
        <v>14</v>
      </c>
      <c r="W14" s="11">
        <v>28</v>
      </c>
      <c r="X14" s="11">
        <v>42</v>
      </c>
      <c r="Y14" s="11">
        <v>14</v>
      </c>
      <c r="Z14" s="11">
        <v>3</v>
      </c>
      <c r="AA14" s="11">
        <v>0</v>
      </c>
      <c r="AB14" s="11">
        <v>13</v>
      </c>
      <c r="AC14" s="11">
        <v>18</v>
      </c>
      <c r="AD14" s="11">
        <v>30</v>
      </c>
      <c r="AE14" s="11">
        <v>65</v>
      </c>
      <c r="AF14" s="12">
        <v>0.46150000000000002</v>
      </c>
      <c r="AG14" s="11">
        <v>22</v>
      </c>
      <c r="AH14" s="11">
        <v>39</v>
      </c>
      <c r="AI14" s="12">
        <v>0.56410000000000005</v>
      </c>
      <c r="AJ14" s="11">
        <v>8</v>
      </c>
      <c r="AK14" s="11">
        <v>26</v>
      </c>
      <c r="AL14" s="12">
        <v>0.30769999999999997</v>
      </c>
      <c r="AM14" s="11">
        <v>16</v>
      </c>
      <c r="AN14" s="11">
        <v>19</v>
      </c>
      <c r="AO14" s="12">
        <v>0.84209999999999996</v>
      </c>
      <c r="AP14" s="11">
        <v>7</v>
      </c>
      <c r="AQ14" s="11">
        <v>28</v>
      </c>
      <c r="AR14" s="11">
        <v>35</v>
      </c>
      <c r="AS14" s="11">
        <v>22</v>
      </c>
      <c r="AT14" s="11">
        <v>6</v>
      </c>
      <c r="AU14" s="11">
        <v>5</v>
      </c>
      <c r="AV14" s="11">
        <v>10</v>
      </c>
      <c r="AW14" s="11">
        <v>17</v>
      </c>
      <c r="AX14" s="12">
        <v>0.46550000000000002</v>
      </c>
      <c r="AY14" s="12">
        <v>0.38279999999999997</v>
      </c>
      <c r="AZ14" s="12">
        <v>0.33329999999999999</v>
      </c>
      <c r="BA14" s="12">
        <v>0.8</v>
      </c>
      <c r="BB14" s="12">
        <v>0.54549999999999998</v>
      </c>
      <c r="BC14" s="4">
        <v>70.863</v>
      </c>
      <c r="BD14" s="12">
        <v>0.66669999999999996</v>
      </c>
      <c r="BE14" s="12">
        <v>0.3125</v>
      </c>
      <c r="BF14" s="12">
        <v>0.1492</v>
      </c>
      <c r="BG14" s="4">
        <v>94.5</v>
      </c>
      <c r="BH14" s="4">
        <v>115.1</v>
      </c>
      <c r="BI14" s="4">
        <v>72.986500000000007</v>
      </c>
      <c r="BJ14" s="12">
        <v>0.57250000000000001</v>
      </c>
      <c r="BK14" s="12">
        <v>0.52310000000000001</v>
      </c>
      <c r="BL14" s="12">
        <v>0.2</v>
      </c>
      <c r="BM14" s="12">
        <v>0.66669999999999996</v>
      </c>
      <c r="BN14" s="12">
        <v>0.45450000000000002</v>
      </c>
      <c r="BO14" s="4">
        <v>75.11</v>
      </c>
      <c r="BP14" s="12">
        <v>0.73329999999999995</v>
      </c>
      <c r="BQ14" s="12">
        <v>0.2462</v>
      </c>
      <c r="BR14" s="12">
        <v>0.12</v>
      </c>
      <c r="BS14" s="4">
        <v>115.1</v>
      </c>
      <c r="BT14" s="4">
        <v>94.5</v>
      </c>
      <c r="BU14" s="11">
        <v>13</v>
      </c>
      <c r="BV14" s="11">
        <v>20</v>
      </c>
      <c r="BW14" s="11">
        <v>15</v>
      </c>
      <c r="BX14" s="11">
        <v>21</v>
      </c>
      <c r="BY14" s="11">
        <v>21</v>
      </c>
      <c r="BZ14" s="11">
        <v>24</v>
      </c>
      <c r="CA14" s="11">
        <v>21</v>
      </c>
      <c r="CB14" s="11">
        <v>18</v>
      </c>
      <c r="CC14" s="11">
        <v>33</v>
      </c>
      <c r="CD14" s="11">
        <v>36</v>
      </c>
      <c r="CE14" s="11">
        <v>45</v>
      </c>
      <c r="CF14" s="11">
        <v>39</v>
      </c>
      <c r="CG14" s="4">
        <v>5</v>
      </c>
      <c r="CH14" s="13">
        <v>1.18</v>
      </c>
      <c r="CI14" s="4">
        <v>10.5</v>
      </c>
      <c r="CJ14" s="4">
        <v>-10.5</v>
      </c>
      <c r="CK14" s="4">
        <v>164.5</v>
      </c>
      <c r="CL14" s="2" t="s">
        <v>439</v>
      </c>
      <c r="CM14" s="4" t="str">
        <f>VLOOKUP(limoneg[[#This Row],[Away_team]],all[[Full name]:[Abbr]],3,FALSE)</f>
        <v>LYO</v>
      </c>
      <c r="CN14" s="4">
        <f>IF(OR(limoneg[[#This Row],[Result]]="w",limoneg[[#This Row],[Result]]="dw"),limoneg[[#This Row],[win]]-1,-1)</f>
        <v>-1</v>
      </c>
      <c r="CO14" s="4">
        <f>IF(OR(limoneg[[#This Row],[Result]]="L",limoneg[[#This Row],[Result]]="dl"),limoneg[[#This Row],[lose]]-1,-1)</f>
        <v>0.17999999999999994</v>
      </c>
      <c r="CP14" s="4">
        <f>IF(OR((limoneg[[#This Row],[Home_scored]]+limoneg[[#This Row],[Away_scored]])&gt;limoneg[[#This Row],[total]],OR(limoneg[[#This Row],[Result]]="dw",limoneg[[#This Row],[Result]]="dl")),1,0)</f>
        <v>0</v>
      </c>
      <c r="CQ14" s="4">
        <f>ABS((limoneg[[#This Row],[Home_scored]]+limoneg[[#This Row],[Away_scored]])-limoneg[[#This Row],[total]])+0.5</f>
        <v>12</v>
      </c>
    </row>
    <row r="15" spans="1:95" x14ac:dyDescent="0.25">
      <c r="A15" s="2" t="s">
        <v>349</v>
      </c>
      <c r="B15" s="2" t="s">
        <v>324</v>
      </c>
      <c r="C15" s="3" t="s">
        <v>73</v>
      </c>
      <c r="D15" s="3">
        <v>45640</v>
      </c>
      <c r="E15" s="2" t="s">
        <v>140</v>
      </c>
      <c r="F15" s="2" t="s">
        <v>342</v>
      </c>
      <c r="G15" s="2" t="s">
        <v>139</v>
      </c>
      <c r="H15" s="11">
        <v>67</v>
      </c>
      <c r="I15" s="11">
        <v>72</v>
      </c>
      <c r="J15" s="11">
        <v>24</v>
      </c>
      <c r="K15" s="11">
        <v>55</v>
      </c>
      <c r="L15" s="12">
        <v>0.43640000000000001</v>
      </c>
      <c r="M15" s="11">
        <v>14</v>
      </c>
      <c r="N15" s="11">
        <v>25</v>
      </c>
      <c r="O15" s="12">
        <v>0.56000000000000005</v>
      </c>
      <c r="P15" s="11">
        <v>10</v>
      </c>
      <c r="Q15" s="11">
        <v>30</v>
      </c>
      <c r="R15" s="12">
        <v>0.33329999999999999</v>
      </c>
      <c r="S15" s="11">
        <v>9</v>
      </c>
      <c r="T15" s="11">
        <v>15</v>
      </c>
      <c r="U15" s="12">
        <v>0.6</v>
      </c>
      <c r="V15" s="11">
        <v>7</v>
      </c>
      <c r="W15" s="11">
        <v>24</v>
      </c>
      <c r="X15" s="11">
        <v>31</v>
      </c>
      <c r="Y15" s="11">
        <v>16</v>
      </c>
      <c r="Z15" s="11">
        <v>8</v>
      </c>
      <c r="AA15" s="11">
        <v>1</v>
      </c>
      <c r="AB15" s="11">
        <v>17</v>
      </c>
      <c r="AC15" s="11">
        <v>14</v>
      </c>
      <c r="AD15" s="11">
        <v>26</v>
      </c>
      <c r="AE15" s="11">
        <v>60</v>
      </c>
      <c r="AF15" s="12">
        <v>0.43330000000000002</v>
      </c>
      <c r="AG15" s="11">
        <v>18</v>
      </c>
      <c r="AH15" s="11">
        <v>30</v>
      </c>
      <c r="AI15" s="12">
        <v>0.6</v>
      </c>
      <c r="AJ15" s="11">
        <v>8</v>
      </c>
      <c r="AK15" s="11">
        <v>30</v>
      </c>
      <c r="AL15" s="12">
        <v>0.26669999999999999</v>
      </c>
      <c r="AM15" s="11">
        <v>12</v>
      </c>
      <c r="AN15" s="11">
        <v>16</v>
      </c>
      <c r="AO15" s="12">
        <v>0.75</v>
      </c>
      <c r="AP15" s="11">
        <v>9</v>
      </c>
      <c r="AQ15" s="11">
        <v>25</v>
      </c>
      <c r="AR15" s="11">
        <v>34</v>
      </c>
      <c r="AS15" s="11">
        <v>19</v>
      </c>
      <c r="AT15" s="11">
        <v>6</v>
      </c>
      <c r="AU15" s="11">
        <v>2</v>
      </c>
      <c r="AV15" s="11">
        <v>14</v>
      </c>
      <c r="AW15" s="11">
        <v>19</v>
      </c>
      <c r="AX15" s="12">
        <v>0.54379999999999995</v>
      </c>
      <c r="AY15" s="12">
        <v>0.52729999999999999</v>
      </c>
      <c r="AZ15" s="12">
        <v>0.21879999999999999</v>
      </c>
      <c r="BA15" s="12">
        <v>0.72729999999999995</v>
      </c>
      <c r="BB15" s="12">
        <v>0.47689999999999999</v>
      </c>
      <c r="BC15" s="4">
        <v>70.510000000000005</v>
      </c>
      <c r="BD15" s="12">
        <v>0.66669999999999996</v>
      </c>
      <c r="BE15" s="12">
        <v>0.1636</v>
      </c>
      <c r="BF15" s="12">
        <v>0.21629999999999999</v>
      </c>
      <c r="BG15" s="4">
        <v>94.8</v>
      </c>
      <c r="BH15" s="4">
        <v>101.9</v>
      </c>
      <c r="BI15" s="4">
        <v>70.64</v>
      </c>
      <c r="BJ15" s="12">
        <v>0.53700000000000003</v>
      </c>
      <c r="BK15" s="12">
        <v>0.5</v>
      </c>
      <c r="BL15" s="12">
        <v>0.2727</v>
      </c>
      <c r="BM15" s="12">
        <v>0.78129999999999999</v>
      </c>
      <c r="BN15" s="12">
        <v>0.52310000000000001</v>
      </c>
      <c r="BO15" s="4">
        <v>70.77</v>
      </c>
      <c r="BP15" s="12">
        <v>0.73080000000000001</v>
      </c>
      <c r="BQ15" s="12">
        <v>0.2</v>
      </c>
      <c r="BR15" s="12">
        <v>0.17280000000000001</v>
      </c>
      <c r="BS15" s="4">
        <v>101.9</v>
      </c>
      <c r="BT15" s="4">
        <v>94.8</v>
      </c>
      <c r="BU15" s="11">
        <v>15</v>
      </c>
      <c r="BV15" s="11">
        <v>26</v>
      </c>
      <c r="BW15" s="11">
        <v>9</v>
      </c>
      <c r="BX15" s="11">
        <v>17</v>
      </c>
      <c r="BY15" s="11">
        <v>20</v>
      </c>
      <c r="BZ15" s="11">
        <v>16</v>
      </c>
      <c r="CA15" s="11">
        <v>15</v>
      </c>
      <c r="CB15" s="11">
        <v>21</v>
      </c>
      <c r="CC15" s="11">
        <v>41</v>
      </c>
      <c r="CD15" s="11">
        <v>26</v>
      </c>
      <c r="CE15" s="11">
        <v>36</v>
      </c>
      <c r="CF15" s="11">
        <v>36</v>
      </c>
      <c r="CG15" s="4">
        <v>2.8</v>
      </c>
      <c r="CH15" s="13">
        <v>1.45</v>
      </c>
      <c r="CI15" s="4">
        <v>5.5</v>
      </c>
      <c r="CJ15" s="4">
        <v>-5.5</v>
      </c>
      <c r="CK15" s="4">
        <v>158.5</v>
      </c>
      <c r="CL15" s="2" t="s">
        <v>443</v>
      </c>
      <c r="CM15" s="4" t="str">
        <f>VLOOKUP(limoneg[[#This Row],[Away_team]],all[[Full name]:[Abbr]],3,FALSE)</f>
        <v>SQU</v>
      </c>
      <c r="CN15" s="4">
        <f>IF(OR(limoneg[[#This Row],[Result]]="w",limoneg[[#This Row],[Result]]="dw"),limoneg[[#This Row],[win]]-1,-1)</f>
        <v>-1</v>
      </c>
      <c r="CO15" s="4">
        <f>IF(OR(limoneg[[#This Row],[Result]]="L",limoneg[[#This Row],[Result]]="dl"),limoneg[[#This Row],[lose]]-1,-1)</f>
        <v>0.44999999999999996</v>
      </c>
      <c r="CP15" s="4">
        <f>IF(OR((limoneg[[#This Row],[Home_scored]]+limoneg[[#This Row],[Away_scored]])&gt;limoneg[[#This Row],[total]],OR(limoneg[[#This Row],[Result]]="dw",limoneg[[#This Row],[Result]]="dl")),1,0)</f>
        <v>0</v>
      </c>
      <c r="CQ15" s="4">
        <f>ABS((limoneg[[#This Row],[Home_scored]]+limoneg[[#This Row],[Away_scored]])-limoneg[[#This Row],[total]])+0.5</f>
        <v>20</v>
      </c>
    </row>
    <row r="16" spans="1:95" x14ac:dyDescent="0.25">
      <c r="A16" s="2" t="s">
        <v>349</v>
      </c>
      <c r="B16" s="2" t="s">
        <v>324</v>
      </c>
      <c r="C16" s="3" t="s">
        <v>73</v>
      </c>
      <c r="D16" s="3">
        <v>45647</v>
      </c>
      <c r="E16" s="2" t="s">
        <v>74</v>
      </c>
      <c r="F16" s="2" t="s">
        <v>330</v>
      </c>
      <c r="G16" s="2" t="s">
        <v>139</v>
      </c>
      <c r="H16" s="11">
        <v>84</v>
      </c>
      <c r="I16" s="11">
        <v>96</v>
      </c>
      <c r="J16" s="11">
        <v>31</v>
      </c>
      <c r="K16" s="11">
        <v>63</v>
      </c>
      <c r="L16" s="12">
        <v>0.49209999999999998</v>
      </c>
      <c r="M16" s="11">
        <v>21</v>
      </c>
      <c r="N16" s="11">
        <v>39</v>
      </c>
      <c r="O16" s="12">
        <v>0.53849999999999998</v>
      </c>
      <c r="P16" s="11">
        <v>10</v>
      </c>
      <c r="Q16" s="11">
        <v>24</v>
      </c>
      <c r="R16" s="12">
        <v>0.41670000000000001</v>
      </c>
      <c r="S16" s="11">
        <v>12</v>
      </c>
      <c r="T16" s="11">
        <v>20</v>
      </c>
      <c r="U16" s="12">
        <v>0.6</v>
      </c>
      <c r="V16" s="11">
        <v>9</v>
      </c>
      <c r="W16" s="11">
        <v>20</v>
      </c>
      <c r="X16" s="11">
        <v>29</v>
      </c>
      <c r="Y16" s="11">
        <v>25</v>
      </c>
      <c r="Z16" s="11">
        <v>8</v>
      </c>
      <c r="AA16" s="11">
        <v>4</v>
      </c>
      <c r="AB16" s="11">
        <v>9</v>
      </c>
      <c r="AC16" s="11">
        <v>20</v>
      </c>
      <c r="AD16" s="11">
        <v>34</v>
      </c>
      <c r="AE16" s="11">
        <v>65</v>
      </c>
      <c r="AF16" s="12">
        <v>0.52310000000000001</v>
      </c>
      <c r="AG16" s="11">
        <v>18</v>
      </c>
      <c r="AH16" s="11">
        <v>31</v>
      </c>
      <c r="AI16" s="12">
        <v>0.5806</v>
      </c>
      <c r="AJ16" s="11">
        <v>16</v>
      </c>
      <c r="AK16" s="11">
        <v>34</v>
      </c>
      <c r="AL16" s="12">
        <v>0.47060000000000002</v>
      </c>
      <c r="AM16" s="11">
        <v>12</v>
      </c>
      <c r="AN16" s="11">
        <v>18</v>
      </c>
      <c r="AO16" s="12">
        <v>0.66669999999999996</v>
      </c>
      <c r="AP16" s="11">
        <v>12</v>
      </c>
      <c r="AQ16" s="11">
        <v>25</v>
      </c>
      <c r="AR16" s="11">
        <v>37</v>
      </c>
      <c r="AS16" s="11">
        <v>23</v>
      </c>
      <c r="AT16" s="11">
        <v>7</v>
      </c>
      <c r="AU16" s="11">
        <v>2</v>
      </c>
      <c r="AV16" s="11">
        <v>15</v>
      </c>
      <c r="AW16" s="11">
        <v>23</v>
      </c>
      <c r="AX16" s="12">
        <v>0.58499999999999996</v>
      </c>
      <c r="AY16" s="12">
        <v>0.57140000000000002</v>
      </c>
      <c r="AZ16" s="12">
        <v>0.26469999999999999</v>
      </c>
      <c r="BA16" s="12">
        <v>0.625</v>
      </c>
      <c r="BB16" s="12">
        <v>0.43940000000000001</v>
      </c>
      <c r="BC16" s="4">
        <v>69.373999999999995</v>
      </c>
      <c r="BD16" s="12">
        <v>0.80649999999999999</v>
      </c>
      <c r="BE16" s="12">
        <v>0.1905</v>
      </c>
      <c r="BF16" s="12">
        <v>0.1114</v>
      </c>
      <c r="BG16" s="4">
        <v>115.2</v>
      </c>
      <c r="BH16" s="4">
        <v>131.69999999999999</v>
      </c>
      <c r="BI16" s="4">
        <v>72.908000000000001</v>
      </c>
      <c r="BJ16" s="12">
        <v>0.6583</v>
      </c>
      <c r="BK16" s="12">
        <v>0.6462</v>
      </c>
      <c r="BL16" s="12">
        <v>0.375</v>
      </c>
      <c r="BM16" s="12">
        <v>0.73529999999999995</v>
      </c>
      <c r="BN16" s="12">
        <v>0.56059999999999999</v>
      </c>
      <c r="BO16" s="4">
        <v>76.441999999999993</v>
      </c>
      <c r="BP16" s="12">
        <v>0.67649999999999999</v>
      </c>
      <c r="BQ16" s="12">
        <v>0.18459999999999999</v>
      </c>
      <c r="BR16" s="12">
        <v>0.1706</v>
      </c>
      <c r="BS16" s="4">
        <v>131.69999999999999</v>
      </c>
      <c r="BT16" s="4">
        <v>115.2</v>
      </c>
      <c r="BU16" s="11">
        <v>21</v>
      </c>
      <c r="BV16" s="11">
        <v>23</v>
      </c>
      <c r="BW16" s="11">
        <v>17</v>
      </c>
      <c r="BX16" s="11">
        <v>23</v>
      </c>
      <c r="BY16" s="11">
        <v>28</v>
      </c>
      <c r="BZ16" s="11">
        <v>28</v>
      </c>
      <c r="CA16" s="11">
        <v>15</v>
      </c>
      <c r="CB16" s="11">
        <v>25</v>
      </c>
      <c r="CC16" s="11">
        <v>44</v>
      </c>
      <c r="CD16" s="11">
        <v>40</v>
      </c>
      <c r="CE16" s="11">
        <v>56</v>
      </c>
      <c r="CF16" s="11">
        <v>40</v>
      </c>
      <c r="CG16" s="4">
        <v>3.5</v>
      </c>
      <c r="CH16" s="13">
        <v>1.32</v>
      </c>
      <c r="CI16" s="4">
        <v>7.5</v>
      </c>
      <c r="CJ16" s="4">
        <v>-7.5</v>
      </c>
      <c r="CK16" s="4">
        <v>159.5</v>
      </c>
      <c r="CL16" s="2" t="s">
        <v>454</v>
      </c>
      <c r="CM16" s="4" t="str">
        <f>VLOOKUP(limoneg[[#This Row],[Away_team]],all[[Full name]:[Abbr]],3,FALSE)</f>
        <v>MON</v>
      </c>
      <c r="CN16" s="4">
        <f>IF(OR(limoneg[[#This Row],[Result]]="w",limoneg[[#This Row],[Result]]="dw"),limoneg[[#This Row],[win]]-1,-1)</f>
        <v>-1</v>
      </c>
      <c r="CO16" s="4">
        <f>IF(OR(limoneg[[#This Row],[Result]]="L",limoneg[[#This Row],[Result]]="dl"),limoneg[[#This Row],[lose]]-1,-1)</f>
        <v>0.32000000000000006</v>
      </c>
      <c r="CP16" s="4">
        <f>IF(OR((limoneg[[#This Row],[Home_scored]]+limoneg[[#This Row],[Away_scored]])&gt;limoneg[[#This Row],[total]],OR(limoneg[[#This Row],[Result]]="dw",limoneg[[#This Row],[Result]]="dl")),1,0)</f>
        <v>1</v>
      </c>
      <c r="CQ16" s="4">
        <f>ABS((limoneg[[#This Row],[Home_scored]]+limoneg[[#This Row],[Away_scored]])-limoneg[[#This Row],[total]])+0.5</f>
        <v>21</v>
      </c>
    </row>
    <row r="17" spans="1:95" x14ac:dyDescent="0.25">
      <c r="A17" s="2" t="s">
        <v>349</v>
      </c>
      <c r="B17" s="2" t="s">
        <v>324</v>
      </c>
      <c r="C17" s="3" t="s">
        <v>73</v>
      </c>
      <c r="D17" s="3">
        <v>45649</v>
      </c>
      <c r="E17" s="2" t="s">
        <v>140</v>
      </c>
      <c r="F17" s="2" t="s">
        <v>339</v>
      </c>
      <c r="G17" s="2" t="s">
        <v>139</v>
      </c>
      <c r="H17" s="11">
        <v>88</v>
      </c>
      <c r="I17" s="11">
        <v>96</v>
      </c>
      <c r="J17" s="11">
        <v>33</v>
      </c>
      <c r="K17" s="11">
        <v>68</v>
      </c>
      <c r="L17" s="12">
        <v>0.48530000000000001</v>
      </c>
      <c r="M17" s="11">
        <v>23</v>
      </c>
      <c r="N17" s="11">
        <v>38</v>
      </c>
      <c r="O17" s="12">
        <v>0.60529999999999995</v>
      </c>
      <c r="P17" s="11">
        <v>10</v>
      </c>
      <c r="Q17" s="11">
        <v>30</v>
      </c>
      <c r="R17" s="12">
        <v>0.33329999999999999</v>
      </c>
      <c r="S17" s="11">
        <v>12</v>
      </c>
      <c r="T17" s="11">
        <v>17</v>
      </c>
      <c r="U17" s="12">
        <v>0.70589999999999997</v>
      </c>
      <c r="V17" s="11">
        <v>11</v>
      </c>
      <c r="W17" s="11">
        <v>27</v>
      </c>
      <c r="X17" s="11">
        <v>38</v>
      </c>
      <c r="Y17" s="11">
        <v>20</v>
      </c>
      <c r="Z17" s="11">
        <v>6</v>
      </c>
      <c r="AA17" s="11">
        <v>1</v>
      </c>
      <c r="AB17" s="11">
        <v>13</v>
      </c>
      <c r="AC17" s="11">
        <v>17</v>
      </c>
      <c r="AD17" s="11">
        <v>36</v>
      </c>
      <c r="AE17" s="11">
        <v>72</v>
      </c>
      <c r="AF17" s="12">
        <v>0.5</v>
      </c>
      <c r="AG17" s="11">
        <v>21</v>
      </c>
      <c r="AH17" s="11">
        <v>33</v>
      </c>
      <c r="AI17" s="12">
        <v>0.63639999999999997</v>
      </c>
      <c r="AJ17" s="11">
        <v>15</v>
      </c>
      <c r="AK17" s="11">
        <v>39</v>
      </c>
      <c r="AL17" s="12">
        <v>0.3846</v>
      </c>
      <c r="AM17" s="11">
        <v>9</v>
      </c>
      <c r="AN17" s="11">
        <v>17</v>
      </c>
      <c r="AO17" s="12">
        <v>0.52939999999999998</v>
      </c>
      <c r="AP17" s="11">
        <v>14</v>
      </c>
      <c r="AQ17" s="11">
        <v>26</v>
      </c>
      <c r="AR17" s="11">
        <v>40</v>
      </c>
      <c r="AS17" s="11">
        <v>19</v>
      </c>
      <c r="AT17" s="11">
        <v>6</v>
      </c>
      <c r="AU17" s="11">
        <v>2</v>
      </c>
      <c r="AV17" s="11">
        <v>12</v>
      </c>
      <c r="AW17" s="11">
        <v>14</v>
      </c>
      <c r="AX17" s="12">
        <v>0.58289999999999997</v>
      </c>
      <c r="AY17" s="12">
        <v>0.55879999999999996</v>
      </c>
      <c r="AZ17" s="12">
        <v>0.29730000000000001</v>
      </c>
      <c r="BA17" s="12">
        <v>0.65849999999999997</v>
      </c>
      <c r="BB17" s="12">
        <v>0.48720000000000002</v>
      </c>
      <c r="BC17" s="4">
        <v>76.959000000000003</v>
      </c>
      <c r="BD17" s="12">
        <v>0.60609999999999997</v>
      </c>
      <c r="BE17" s="12">
        <v>0.17649999999999999</v>
      </c>
      <c r="BF17" s="12">
        <v>0.1469</v>
      </c>
      <c r="BG17" s="4">
        <v>114.1</v>
      </c>
      <c r="BH17" s="4">
        <v>124.5</v>
      </c>
      <c r="BI17" s="4">
        <v>77.138499999999993</v>
      </c>
      <c r="BJ17" s="12">
        <v>0.60389999999999999</v>
      </c>
      <c r="BK17" s="12">
        <v>0.60419999999999996</v>
      </c>
      <c r="BL17" s="12">
        <v>0.34150000000000003</v>
      </c>
      <c r="BM17" s="12">
        <v>0.70269999999999999</v>
      </c>
      <c r="BN17" s="12">
        <v>0.51280000000000003</v>
      </c>
      <c r="BO17" s="4">
        <v>77.317999999999998</v>
      </c>
      <c r="BP17" s="12">
        <v>0.52780000000000005</v>
      </c>
      <c r="BQ17" s="12">
        <v>0.125</v>
      </c>
      <c r="BR17" s="12">
        <v>0.13120000000000001</v>
      </c>
      <c r="BS17" s="4">
        <v>124.5</v>
      </c>
      <c r="BT17" s="4">
        <v>114.1</v>
      </c>
      <c r="BU17" s="11">
        <v>16</v>
      </c>
      <c r="BV17" s="11">
        <v>29</v>
      </c>
      <c r="BW17" s="11">
        <v>23</v>
      </c>
      <c r="BX17" s="11">
        <v>20</v>
      </c>
      <c r="BY17" s="11">
        <v>23</v>
      </c>
      <c r="BZ17" s="11">
        <v>17</v>
      </c>
      <c r="CA17" s="11">
        <v>28</v>
      </c>
      <c r="CB17" s="11">
        <v>28</v>
      </c>
      <c r="CC17" s="11">
        <v>45</v>
      </c>
      <c r="CD17" s="11">
        <v>43</v>
      </c>
      <c r="CE17" s="11">
        <v>40</v>
      </c>
      <c r="CF17" s="11">
        <v>56</v>
      </c>
      <c r="CG17" s="4">
        <v>6</v>
      </c>
      <c r="CH17" s="13">
        <v>1.1399999999999999</v>
      </c>
      <c r="CI17" s="4">
        <v>11.5</v>
      </c>
      <c r="CJ17" s="4">
        <v>-11.5</v>
      </c>
      <c r="CK17" s="4">
        <v>171.5</v>
      </c>
      <c r="CL17" s="2" t="s">
        <v>458</v>
      </c>
      <c r="CM17" s="4" t="str">
        <f>VLOOKUP(limoneg[[#This Row],[Away_team]],all[[Full name]:[Abbr]],3,FALSE)</f>
        <v>PAR</v>
      </c>
      <c r="CN17" s="4">
        <f>IF(OR(limoneg[[#This Row],[Result]]="w",limoneg[[#This Row],[Result]]="dw"),limoneg[[#This Row],[win]]-1,-1)</f>
        <v>-1</v>
      </c>
      <c r="CO17" s="4">
        <f>IF(OR(limoneg[[#This Row],[Result]]="L",limoneg[[#This Row],[Result]]="dl"),limoneg[[#This Row],[lose]]-1,-1)</f>
        <v>0.1399999999999999</v>
      </c>
      <c r="CP17" s="4">
        <f>IF(OR((limoneg[[#This Row],[Home_scored]]+limoneg[[#This Row],[Away_scored]])&gt;limoneg[[#This Row],[total]],OR(limoneg[[#This Row],[Result]]="dw",limoneg[[#This Row],[Result]]="dl")),1,0)</f>
        <v>1</v>
      </c>
      <c r="CQ17" s="4">
        <f>ABS((limoneg[[#This Row],[Home_scored]]+limoneg[[#This Row],[Away_scored]])-limoneg[[#This Row],[total]])+0.5</f>
        <v>13</v>
      </c>
    </row>
    <row r="18" spans="1:95" x14ac:dyDescent="0.25">
      <c r="A18" s="2" t="s">
        <v>349</v>
      </c>
      <c r="B18" s="2" t="s">
        <v>324</v>
      </c>
      <c r="C18" s="3" t="s">
        <v>73</v>
      </c>
      <c r="D18" s="3">
        <v>45669</v>
      </c>
      <c r="E18" s="2" t="s">
        <v>74</v>
      </c>
      <c r="F18" s="2" t="s">
        <v>320</v>
      </c>
      <c r="G18" s="2" t="s">
        <v>139</v>
      </c>
      <c r="H18" s="11">
        <v>77</v>
      </c>
      <c r="I18" s="11">
        <v>98</v>
      </c>
      <c r="J18" s="11">
        <v>29</v>
      </c>
      <c r="K18" s="11">
        <v>67</v>
      </c>
      <c r="L18" s="12">
        <v>0.43280000000000002</v>
      </c>
      <c r="M18" s="11">
        <v>24</v>
      </c>
      <c r="N18" s="11">
        <v>45</v>
      </c>
      <c r="O18" s="12">
        <v>0.5333</v>
      </c>
      <c r="P18" s="11">
        <v>5</v>
      </c>
      <c r="Q18" s="11">
        <v>22</v>
      </c>
      <c r="R18" s="12">
        <v>0.2273</v>
      </c>
      <c r="S18" s="11">
        <v>14</v>
      </c>
      <c r="T18" s="11">
        <v>20</v>
      </c>
      <c r="U18" s="12">
        <v>0.7</v>
      </c>
      <c r="V18" s="11">
        <v>16</v>
      </c>
      <c r="W18" s="11">
        <v>24</v>
      </c>
      <c r="X18" s="11">
        <v>40</v>
      </c>
      <c r="Y18" s="11">
        <v>24</v>
      </c>
      <c r="Z18" s="11">
        <v>3</v>
      </c>
      <c r="AA18" s="11">
        <v>0</v>
      </c>
      <c r="AB18" s="11">
        <v>16</v>
      </c>
      <c r="AC18" s="11">
        <v>19</v>
      </c>
      <c r="AD18" s="11">
        <v>36</v>
      </c>
      <c r="AE18" s="11">
        <v>65</v>
      </c>
      <c r="AF18" s="12">
        <v>0.55379999999999996</v>
      </c>
      <c r="AG18" s="11">
        <v>26</v>
      </c>
      <c r="AH18" s="11">
        <v>44</v>
      </c>
      <c r="AI18" s="12">
        <v>0.59089999999999998</v>
      </c>
      <c r="AJ18" s="11">
        <v>10</v>
      </c>
      <c r="AK18" s="11">
        <v>21</v>
      </c>
      <c r="AL18" s="12">
        <v>0.47620000000000001</v>
      </c>
      <c r="AM18" s="11">
        <v>16</v>
      </c>
      <c r="AN18" s="11">
        <v>20</v>
      </c>
      <c r="AO18" s="12">
        <v>0.8</v>
      </c>
      <c r="AP18" s="11">
        <v>5</v>
      </c>
      <c r="AQ18" s="11">
        <v>26</v>
      </c>
      <c r="AR18" s="11">
        <v>31</v>
      </c>
      <c r="AS18" s="11">
        <v>30</v>
      </c>
      <c r="AT18" s="11">
        <v>8</v>
      </c>
      <c r="AU18" s="11">
        <v>2</v>
      </c>
      <c r="AV18" s="11">
        <v>6</v>
      </c>
      <c r="AW18" s="11">
        <v>22</v>
      </c>
      <c r="AX18" s="12">
        <v>0.50790000000000002</v>
      </c>
      <c r="AY18" s="12">
        <v>0.47010000000000002</v>
      </c>
      <c r="AZ18" s="12">
        <v>0.38100000000000001</v>
      </c>
      <c r="BA18" s="12">
        <v>0.8276</v>
      </c>
      <c r="BB18" s="12">
        <v>0.56340000000000001</v>
      </c>
      <c r="BC18" s="4">
        <v>74.736000000000004</v>
      </c>
      <c r="BD18" s="12">
        <v>0.8276</v>
      </c>
      <c r="BE18" s="12">
        <v>0.20899999999999999</v>
      </c>
      <c r="BF18" s="12">
        <v>0.17430000000000001</v>
      </c>
      <c r="BG18" s="4">
        <v>103.5</v>
      </c>
      <c r="BH18" s="4">
        <v>131.80000000000001</v>
      </c>
      <c r="BI18" s="4">
        <v>74.365499999999997</v>
      </c>
      <c r="BJ18" s="12">
        <v>0.66400000000000003</v>
      </c>
      <c r="BK18" s="12">
        <v>0.63080000000000003</v>
      </c>
      <c r="BL18" s="12">
        <v>0.1724</v>
      </c>
      <c r="BM18" s="12">
        <v>0.61899999999999999</v>
      </c>
      <c r="BN18" s="12">
        <v>0.43659999999999999</v>
      </c>
      <c r="BO18" s="4">
        <v>73.995000000000005</v>
      </c>
      <c r="BP18" s="12">
        <v>0.83330000000000004</v>
      </c>
      <c r="BQ18" s="12">
        <v>0.2462</v>
      </c>
      <c r="BR18" s="12">
        <v>7.5200000000000003E-2</v>
      </c>
      <c r="BS18" s="4">
        <v>131.80000000000001</v>
      </c>
      <c r="BT18" s="4">
        <v>103.5</v>
      </c>
      <c r="BU18" s="11">
        <v>15</v>
      </c>
      <c r="BV18" s="11">
        <v>25</v>
      </c>
      <c r="BW18" s="11">
        <v>23</v>
      </c>
      <c r="BX18" s="11">
        <v>14</v>
      </c>
      <c r="BY18" s="11">
        <v>18</v>
      </c>
      <c r="BZ18" s="11">
        <v>32</v>
      </c>
      <c r="CA18" s="11">
        <v>24</v>
      </c>
      <c r="CB18" s="11">
        <v>24</v>
      </c>
      <c r="CC18" s="11">
        <v>40</v>
      </c>
      <c r="CD18" s="11">
        <v>37</v>
      </c>
      <c r="CE18" s="11">
        <v>50</v>
      </c>
      <c r="CF18" s="11">
        <v>48</v>
      </c>
      <c r="CG18" s="4">
        <v>1.32</v>
      </c>
      <c r="CH18" s="13">
        <v>3.55</v>
      </c>
      <c r="CI18" s="4">
        <v>-7.5</v>
      </c>
      <c r="CJ18" s="4">
        <v>7.5</v>
      </c>
      <c r="CK18" s="4">
        <v>153.5</v>
      </c>
      <c r="CL18" s="2" t="s">
        <v>473</v>
      </c>
      <c r="CM18" s="4" t="str">
        <f>VLOOKUP(limoneg[[#This Row],[Away_team]],all[[Full name]:[Abbr]],3,FALSE)</f>
        <v>POR</v>
      </c>
      <c r="CN18" s="4">
        <f>IF(OR(limoneg[[#This Row],[Result]]="w",limoneg[[#This Row],[Result]]="dw"),limoneg[[#This Row],[win]]-1,-1)</f>
        <v>-1</v>
      </c>
      <c r="CO18" s="4">
        <f>IF(OR(limoneg[[#This Row],[Result]]="L",limoneg[[#This Row],[Result]]="dl"),limoneg[[#This Row],[lose]]-1,-1)</f>
        <v>2.5499999999999998</v>
      </c>
      <c r="CP18" s="4">
        <f>IF(OR((limoneg[[#This Row],[Home_scored]]+limoneg[[#This Row],[Away_scored]])&gt;limoneg[[#This Row],[total]],OR(limoneg[[#This Row],[Result]]="dw",limoneg[[#This Row],[Result]]="dl")),1,0)</f>
        <v>1</v>
      </c>
      <c r="CQ18" s="4">
        <f>ABS((limoneg[[#This Row],[Home_scored]]+limoneg[[#This Row],[Away_scored]])-limoneg[[#This Row],[total]])+0.5</f>
        <v>22</v>
      </c>
    </row>
    <row r="19" spans="1:95" x14ac:dyDescent="0.25">
      <c r="A19" s="2" t="s">
        <v>349</v>
      </c>
      <c r="B19" s="2" t="s">
        <v>324</v>
      </c>
      <c r="C19" s="3" t="s">
        <v>73</v>
      </c>
      <c r="D19" s="3">
        <v>45675</v>
      </c>
      <c r="E19" s="2" t="s">
        <v>140</v>
      </c>
      <c r="F19" s="2" t="s">
        <v>308</v>
      </c>
      <c r="G19" s="2" t="s">
        <v>139</v>
      </c>
      <c r="H19" s="11">
        <v>86</v>
      </c>
      <c r="I19" s="11">
        <v>96</v>
      </c>
      <c r="J19" s="11">
        <v>35</v>
      </c>
      <c r="K19" s="11">
        <v>69</v>
      </c>
      <c r="L19" s="12">
        <v>0.50719999999999998</v>
      </c>
      <c r="M19" s="11">
        <v>23</v>
      </c>
      <c r="N19" s="11">
        <v>40</v>
      </c>
      <c r="O19" s="12">
        <v>0.57499999999999996</v>
      </c>
      <c r="P19" s="11">
        <v>12</v>
      </c>
      <c r="Q19" s="11">
        <v>29</v>
      </c>
      <c r="R19" s="12">
        <v>0.4138</v>
      </c>
      <c r="S19" s="11">
        <v>4</v>
      </c>
      <c r="T19" s="11">
        <v>6</v>
      </c>
      <c r="U19" s="12">
        <v>0.66669999999999996</v>
      </c>
      <c r="V19" s="11">
        <v>10</v>
      </c>
      <c r="W19" s="11">
        <v>16</v>
      </c>
      <c r="X19" s="11">
        <v>26</v>
      </c>
      <c r="Y19" s="11">
        <v>20</v>
      </c>
      <c r="Z19" s="11">
        <v>6</v>
      </c>
      <c r="AA19" s="11">
        <v>3</v>
      </c>
      <c r="AB19" s="11">
        <v>14</v>
      </c>
      <c r="AC19" s="11">
        <v>20</v>
      </c>
      <c r="AD19" s="11">
        <v>32</v>
      </c>
      <c r="AE19" s="11">
        <v>64</v>
      </c>
      <c r="AF19" s="12">
        <v>0.5</v>
      </c>
      <c r="AG19" s="11">
        <v>20</v>
      </c>
      <c r="AH19" s="11">
        <v>35</v>
      </c>
      <c r="AI19" s="12">
        <v>0.57140000000000002</v>
      </c>
      <c r="AJ19" s="11">
        <v>12</v>
      </c>
      <c r="AK19" s="11">
        <v>29</v>
      </c>
      <c r="AL19" s="12">
        <v>0.4138</v>
      </c>
      <c r="AM19" s="11">
        <v>20</v>
      </c>
      <c r="AN19" s="11">
        <v>26</v>
      </c>
      <c r="AO19" s="12">
        <v>0.76919999999999999</v>
      </c>
      <c r="AP19" s="11">
        <v>17</v>
      </c>
      <c r="AQ19" s="11">
        <v>23</v>
      </c>
      <c r="AR19" s="11">
        <v>40</v>
      </c>
      <c r="AS19" s="11">
        <v>23</v>
      </c>
      <c r="AT19" s="11">
        <v>7</v>
      </c>
      <c r="AU19" s="11">
        <v>3</v>
      </c>
      <c r="AV19" s="11">
        <v>17</v>
      </c>
      <c r="AW19" s="11">
        <v>12</v>
      </c>
      <c r="AX19" s="12">
        <v>0.60019999999999996</v>
      </c>
      <c r="AY19" s="12">
        <v>0.59419999999999995</v>
      </c>
      <c r="AZ19" s="12">
        <v>0.30299999999999999</v>
      </c>
      <c r="BA19" s="12">
        <v>0.48480000000000001</v>
      </c>
      <c r="BB19" s="12">
        <v>0.39389999999999997</v>
      </c>
      <c r="BC19" s="4">
        <v>71.408000000000001</v>
      </c>
      <c r="BD19" s="12">
        <v>0.57140000000000002</v>
      </c>
      <c r="BE19" s="12">
        <v>5.8000000000000003E-2</v>
      </c>
      <c r="BF19" s="12">
        <v>0.16350000000000001</v>
      </c>
      <c r="BG19" s="4">
        <v>116</v>
      </c>
      <c r="BH19" s="4">
        <v>129.5</v>
      </c>
      <c r="BI19" s="4">
        <v>74.128</v>
      </c>
      <c r="BJ19" s="12">
        <v>0.63629999999999998</v>
      </c>
      <c r="BK19" s="12">
        <v>0.59379999999999999</v>
      </c>
      <c r="BL19" s="12">
        <v>0.51519999999999999</v>
      </c>
      <c r="BM19" s="12">
        <v>0.69699999999999995</v>
      </c>
      <c r="BN19" s="12">
        <v>0.60609999999999997</v>
      </c>
      <c r="BO19" s="4">
        <v>76.847999999999999</v>
      </c>
      <c r="BP19" s="12">
        <v>0.71879999999999999</v>
      </c>
      <c r="BQ19" s="12">
        <v>0.3125</v>
      </c>
      <c r="BR19" s="12">
        <v>0.18390000000000001</v>
      </c>
      <c r="BS19" s="4">
        <v>129.5</v>
      </c>
      <c r="BT19" s="4">
        <v>116</v>
      </c>
      <c r="BU19" s="11">
        <v>21</v>
      </c>
      <c r="BV19" s="11">
        <v>13</v>
      </c>
      <c r="BW19" s="11">
        <v>23</v>
      </c>
      <c r="BX19" s="11">
        <v>29</v>
      </c>
      <c r="BY19" s="11">
        <v>22</v>
      </c>
      <c r="BZ19" s="11">
        <v>19</v>
      </c>
      <c r="CA19" s="11">
        <v>28</v>
      </c>
      <c r="CB19" s="11">
        <v>27</v>
      </c>
      <c r="CC19" s="11">
        <v>34</v>
      </c>
      <c r="CD19" s="11">
        <v>52</v>
      </c>
      <c r="CE19" s="11">
        <v>41</v>
      </c>
      <c r="CF19" s="11">
        <v>55</v>
      </c>
      <c r="CG19" s="4">
        <v>3.5</v>
      </c>
      <c r="CH19" s="13">
        <v>1.32</v>
      </c>
      <c r="CI19" s="4">
        <v>7.5</v>
      </c>
      <c r="CJ19" s="4">
        <v>-7.5</v>
      </c>
      <c r="CK19" s="4">
        <v>161.5</v>
      </c>
      <c r="CL19" s="2" t="s">
        <v>476</v>
      </c>
      <c r="CM19" s="4" t="str">
        <f>VLOOKUP(limoneg[[#This Row],[Away_team]],all[[Full name]:[Abbr]],3,FALSE)</f>
        <v>CHO</v>
      </c>
      <c r="CN19" s="4">
        <f>IF(OR(limoneg[[#This Row],[Result]]="w",limoneg[[#This Row],[Result]]="dw"),limoneg[[#This Row],[win]]-1,-1)</f>
        <v>-1</v>
      </c>
      <c r="CO19" s="4">
        <f>IF(OR(limoneg[[#This Row],[Result]]="L",limoneg[[#This Row],[Result]]="dl"),limoneg[[#This Row],[lose]]-1,-1)</f>
        <v>0.32000000000000006</v>
      </c>
      <c r="CP19" s="4">
        <f>IF(OR((limoneg[[#This Row],[Home_scored]]+limoneg[[#This Row],[Away_scored]])&gt;limoneg[[#This Row],[total]],OR(limoneg[[#This Row],[Result]]="dw",limoneg[[#This Row],[Result]]="dl")),1,0)</f>
        <v>1</v>
      </c>
      <c r="CQ19" s="4">
        <f>ABS((limoneg[[#This Row],[Home_scored]]+limoneg[[#This Row],[Away_scored]])-limoneg[[#This Row],[total]])+0.5</f>
        <v>21</v>
      </c>
    </row>
    <row r="20" spans="1:95" x14ac:dyDescent="0.25">
      <c r="A20" s="2" t="s">
        <v>349</v>
      </c>
      <c r="B20" s="2" t="s">
        <v>324</v>
      </c>
      <c r="C20" s="3" t="s">
        <v>73</v>
      </c>
      <c r="D20" s="3">
        <v>45681</v>
      </c>
      <c r="E20" s="2" t="s">
        <v>140</v>
      </c>
      <c r="F20" s="2" t="s">
        <v>305</v>
      </c>
      <c r="G20" s="2" t="s">
        <v>139</v>
      </c>
      <c r="H20" s="11">
        <v>76</v>
      </c>
      <c r="I20" s="11">
        <v>92</v>
      </c>
      <c r="J20" s="11">
        <v>29</v>
      </c>
      <c r="K20" s="11">
        <v>72</v>
      </c>
      <c r="L20" s="12">
        <v>0.40279999999999999</v>
      </c>
      <c r="M20" s="11">
        <v>21</v>
      </c>
      <c r="N20" s="11">
        <v>43</v>
      </c>
      <c r="O20" s="12">
        <v>0.4884</v>
      </c>
      <c r="P20" s="11">
        <v>8</v>
      </c>
      <c r="Q20" s="11">
        <v>29</v>
      </c>
      <c r="R20" s="12">
        <v>0.27589999999999998</v>
      </c>
      <c r="S20" s="11">
        <v>10</v>
      </c>
      <c r="T20" s="11">
        <v>15</v>
      </c>
      <c r="U20" s="12">
        <v>0.66669999999999996</v>
      </c>
      <c r="V20" s="11">
        <v>16</v>
      </c>
      <c r="W20" s="11">
        <v>14</v>
      </c>
      <c r="X20" s="11">
        <v>30</v>
      </c>
      <c r="Y20" s="11">
        <v>16</v>
      </c>
      <c r="Z20" s="11">
        <v>8</v>
      </c>
      <c r="AA20" s="11">
        <v>3</v>
      </c>
      <c r="AB20" s="11">
        <v>8</v>
      </c>
      <c r="AC20" s="11">
        <v>27</v>
      </c>
      <c r="AD20" s="11">
        <v>28</v>
      </c>
      <c r="AE20" s="11">
        <v>53</v>
      </c>
      <c r="AF20" s="12">
        <v>0.52829999999999999</v>
      </c>
      <c r="AG20" s="11">
        <v>18</v>
      </c>
      <c r="AH20" s="11">
        <v>28</v>
      </c>
      <c r="AI20" s="12">
        <v>0.64290000000000003</v>
      </c>
      <c r="AJ20" s="11">
        <v>10</v>
      </c>
      <c r="AK20" s="11">
        <v>25</v>
      </c>
      <c r="AL20" s="12">
        <v>0.4</v>
      </c>
      <c r="AM20" s="11">
        <v>26</v>
      </c>
      <c r="AN20" s="11">
        <v>32</v>
      </c>
      <c r="AO20" s="12">
        <v>0.8125</v>
      </c>
      <c r="AP20" s="11">
        <v>13</v>
      </c>
      <c r="AQ20" s="11">
        <v>29</v>
      </c>
      <c r="AR20" s="11">
        <v>42</v>
      </c>
      <c r="AS20" s="11">
        <v>21</v>
      </c>
      <c r="AT20" s="11">
        <v>4</v>
      </c>
      <c r="AU20" s="11">
        <v>2</v>
      </c>
      <c r="AV20" s="11">
        <v>17</v>
      </c>
      <c r="AW20" s="11">
        <v>18</v>
      </c>
      <c r="AX20" s="12">
        <v>0.48349999999999999</v>
      </c>
      <c r="AY20" s="12">
        <v>0.45829999999999999</v>
      </c>
      <c r="AZ20" s="12">
        <v>0.35560000000000003</v>
      </c>
      <c r="BA20" s="12">
        <v>0.51849999999999996</v>
      </c>
      <c r="BB20" s="12">
        <v>0.41670000000000001</v>
      </c>
      <c r="BC20" s="4">
        <v>61.460999999999999</v>
      </c>
      <c r="BD20" s="12">
        <v>0.55169999999999997</v>
      </c>
      <c r="BE20" s="12">
        <v>0.1389</v>
      </c>
      <c r="BF20" s="12">
        <v>9.2399999999999996E-2</v>
      </c>
      <c r="BG20" s="4">
        <v>111.8</v>
      </c>
      <c r="BH20" s="4">
        <v>135.30000000000001</v>
      </c>
      <c r="BI20" s="4">
        <v>67.990499999999997</v>
      </c>
      <c r="BJ20" s="12">
        <v>0.68569999999999998</v>
      </c>
      <c r="BK20" s="12">
        <v>0.62260000000000004</v>
      </c>
      <c r="BL20" s="12">
        <v>0.48149999999999998</v>
      </c>
      <c r="BM20" s="12">
        <v>0.64439999999999997</v>
      </c>
      <c r="BN20" s="12">
        <v>0.58330000000000004</v>
      </c>
      <c r="BO20" s="4">
        <v>74.52</v>
      </c>
      <c r="BP20" s="12">
        <v>0.75</v>
      </c>
      <c r="BQ20" s="12">
        <v>0.49059999999999998</v>
      </c>
      <c r="BR20" s="12">
        <v>0.20219999999999999</v>
      </c>
      <c r="BS20" s="4">
        <v>135.30000000000001</v>
      </c>
      <c r="BT20" s="4">
        <v>111.8</v>
      </c>
      <c r="BU20" s="11">
        <v>19</v>
      </c>
      <c r="BV20" s="11">
        <v>14</v>
      </c>
      <c r="BW20" s="11">
        <v>14</v>
      </c>
      <c r="BX20" s="11">
        <v>29</v>
      </c>
      <c r="BY20" s="11">
        <v>18</v>
      </c>
      <c r="BZ20" s="11">
        <v>16</v>
      </c>
      <c r="CA20" s="11">
        <v>30</v>
      </c>
      <c r="CB20" s="11">
        <v>28</v>
      </c>
      <c r="CC20" s="11">
        <v>33</v>
      </c>
      <c r="CD20" s="11">
        <v>43</v>
      </c>
      <c r="CE20" s="11">
        <v>34</v>
      </c>
      <c r="CF20" s="11">
        <v>58</v>
      </c>
      <c r="CG20" s="4">
        <v>2.7</v>
      </c>
      <c r="CH20" s="13">
        <v>1.49</v>
      </c>
      <c r="CI20" s="4">
        <v>-5</v>
      </c>
      <c r="CJ20" s="4">
        <v>-5</v>
      </c>
      <c r="CK20" s="4">
        <v>163.5</v>
      </c>
      <c r="CL20" s="2" t="s">
        <v>483</v>
      </c>
      <c r="CM20" s="4" t="str">
        <f>VLOOKUP(limoneg[[#This Row],[Away_team]],all[[Full name]:[Abbr]],3,FALSE)</f>
        <v>CHA</v>
      </c>
      <c r="CN20" s="4">
        <f>IF(OR(limoneg[[#This Row],[Result]]="w",limoneg[[#This Row],[Result]]="dw"),limoneg[[#This Row],[win]]-1,-1)</f>
        <v>-1</v>
      </c>
      <c r="CO20" s="4">
        <f>IF(OR(limoneg[[#This Row],[Result]]="L",limoneg[[#This Row],[Result]]="dl"),limoneg[[#This Row],[lose]]-1,-1)</f>
        <v>0.49</v>
      </c>
      <c r="CP20" s="4">
        <f>IF(OR((limoneg[[#This Row],[Home_scored]]+limoneg[[#This Row],[Away_scored]])&gt;limoneg[[#This Row],[total]],OR(limoneg[[#This Row],[Result]]="dw",limoneg[[#This Row],[Result]]="dl")),1,0)</f>
        <v>1</v>
      </c>
      <c r="CQ20" s="4">
        <f>ABS((limoneg[[#This Row],[Home_scored]]+limoneg[[#This Row],[Away_scored]])-limoneg[[#This Row],[total]])+0.5</f>
        <v>5</v>
      </c>
    </row>
    <row r="21" spans="1:95" x14ac:dyDescent="0.25">
      <c r="A21" s="2" t="s">
        <v>349</v>
      </c>
      <c r="B21" s="2" t="s">
        <v>324</v>
      </c>
      <c r="C21" s="3" t="s">
        <v>73</v>
      </c>
      <c r="D21" s="3">
        <v>45689</v>
      </c>
      <c r="E21" s="2" t="s">
        <v>74</v>
      </c>
      <c r="F21" s="2" t="s">
        <v>327</v>
      </c>
      <c r="G21" s="2" t="s">
        <v>75</v>
      </c>
      <c r="H21" s="11">
        <v>84</v>
      </c>
      <c r="I21" s="11">
        <v>81</v>
      </c>
      <c r="J21" s="11">
        <v>30</v>
      </c>
      <c r="K21" s="11">
        <v>59</v>
      </c>
      <c r="L21" s="12">
        <v>0.50849999999999995</v>
      </c>
      <c r="M21" s="11">
        <v>22</v>
      </c>
      <c r="N21" s="11">
        <v>36</v>
      </c>
      <c r="O21" s="12">
        <v>0.61109999999999998</v>
      </c>
      <c r="P21" s="11">
        <v>8</v>
      </c>
      <c r="Q21" s="11">
        <v>23</v>
      </c>
      <c r="R21" s="12">
        <v>0.3478</v>
      </c>
      <c r="S21" s="11">
        <v>16</v>
      </c>
      <c r="T21" s="11">
        <v>21</v>
      </c>
      <c r="U21" s="12">
        <v>0.76190000000000002</v>
      </c>
      <c r="V21" s="11">
        <v>10</v>
      </c>
      <c r="W21" s="11">
        <v>24</v>
      </c>
      <c r="X21" s="11">
        <v>34</v>
      </c>
      <c r="Y21" s="11">
        <v>24</v>
      </c>
      <c r="Z21" s="11">
        <v>5</v>
      </c>
      <c r="AA21" s="11">
        <v>1</v>
      </c>
      <c r="AB21" s="11">
        <v>15</v>
      </c>
      <c r="AC21" s="11">
        <v>22</v>
      </c>
      <c r="AD21" s="11">
        <v>29</v>
      </c>
      <c r="AE21" s="11">
        <v>55</v>
      </c>
      <c r="AF21" s="12">
        <v>0.52729999999999999</v>
      </c>
      <c r="AG21" s="11">
        <v>22</v>
      </c>
      <c r="AH21" s="11">
        <v>34</v>
      </c>
      <c r="AI21" s="12">
        <v>0.64710000000000001</v>
      </c>
      <c r="AJ21" s="11">
        <v>7</v>
      </c>
      <c r="AK21" s="11">
        <v>21</v>
      </c>
      <c r="AL21" s="12">
        <v>0.33329999999999999</v>
      </c>
      <c r="AM21" s="11">
        <v>16</v>
      </c>
      <c r="AN21" s="11">
        <v>25</v>
      </c>
      <c r="AO21" s="12">
        <v>0.64</v>
      </c>
      <c r="AP21" s="11">
        <v>6</v>
      </c>
      <c r="AQ21" s="11">
        <v>19</v>
      </c>
      <c r="AR21" s="11">
        <v>25</v>
      </c>
      <c r="AS21" s="11">
        <v>13</v>
      </c>
      <c r="AT21" s="11">
        <v>2</v>
      </c>
      <c r="AU21" s="11">
        <v>4</v>
      </c>
      <c r="AV21" s="11">
        <v>13</v>
      </c>
      <c r="AW21" s="11">
        <v>27</v>
      </c>
      <c r="AX21" s="12">
        <v>0.61550000000000005</v>
      </c>
      <c r="AY21" s="12">
        <v>0.57630000000000003</v>
      </c>
      <c r="AZ21" s="12">
        <v>0.3448</v>
      </c>
      <c r="BA21" s="12">
        <v>0.8</v>
      </c>
      <c r="BB21" s="12">
        <v>0.57630000000000003</v>
      </c>
      <c r="BC21" s="4">
        <v>73.274000000000001</v>
      </c>
      <c r="BD21" s="12">
        <v>0.8</v>
      </c>
      <c r="BE21" s="12">
        <v>0.2712</v>
      </c>
      <c r="BF21" s="12">
        <v>0.1802</v>
      </c>
      <c r="BG21" s="4">
        <v>116.2</v>
      </c>
      <c r="BH21" s="4">
        <v>112</v>
      </c>
      <c r="BI21" s="4">
        <v>72.298500000000004</v>
      </c>
      <c r="BJ21" s="12">
        <v>0.61360000000000003</v>
      </c>
      <c r="BK21" s="12">
        <v>0.59089999999999998</v>
      </c>
      <c r="BL21" s="12">
        <v>0.2</v>
      </c>
      <c r="BM21" s="12">
        <v>0.6552</v>
      </c>
      <c r="BN21" s="12">
        <v>0.42370000000000002</v>
      </c>
      <c r="BO21" s="4">
        <v>71.322999999999993</v>
      </c>
      <c r="BP21" s="12">
        <v>0.44829999999999998</v>
      </c>
      <c r="BQ21" s="12">
        <v>0.29089999999999999</v>
      </c>
      <c r="BR21" s="12">
        <v>0.1646</v>
      </c>
      <c r="BS21" s="4">
        <v>112</v>
      </c>
      <c r="BT21" s="4">
        <v>116.2</v>
      </c>
      <c r="BU21" s="11">
        <v>21</v>
      </c>
      <c r="BV21" s="11">
        <v>22</v>
      </c>
      <c r="BW21" s="11">
        <v>18</v>
      </c>
      <c r="BX21" s="11">
        <v>23</v>
      </c>
      <c r="BY21" s="11">
        <v>22</v>
      </c>
      <c r="BZ21" s="11">
        <v>14</v>
      </c>
      <c r="CA21" s="11">
        <v>22</v>
      </c>
      <c r="CB21" s="11">
        <v>23</v>
      </c>
      <c r="CC21" s="11">
        <v>43</v>
      </c>
      <c r="CD21" s="11">
        <v>41</v>
      </c>
      <c r="CE21" s="11">
        <v>36</v>
      </c>
      <c r="CF21" s="11">
        <v>45</v>
      </c>
      <c r="CG21" s="4">
        <v>4.5</v>
      </c>
      <c r="CH21" s="13">
        <v>1.22</v>
      </c>
      <c r="CI21" s="4">
        <v>9.5</v>
      </c>
      <c r="CJ21" s="4">
        <v>-9.5</v>
      </c>
      <c r="CK21" s="4">
        <v>162.5</v>
      </c>
      <c r="CL21" s="2" t="s">
        <v>494</v>
      </c>
      <c r="CM21" s="4" t="str">
        <f>VLOOKUP(limoneg[[#This Row],[Away_team]],all[[Full name]:[Abbr]],3,FALSE)</f>
        <v>LYO</v>
      </c>
      <c r="CN21" s="4">
        <f>IF(OR(limoneg[[#This Row],[Result]]="w",limoneg[[#This Row],[Result]]="dw"),limoneg[[#This Row],[win]]-1,-1)</f>
        <v>3.5</v>
      </c>
      <c r="CO21" s="4">
        <f>IF(OR(limoneg[[#This Row],[Result]]="L",limoneg[[#This Row],[Result]]="dl"),limoneg[[#This Row],[lose]]-1,-1)</f>
        <v>-1</v>
      </c>
      <c r="CP21" s="4">
        <f>IF(OR((limoneg[[#This Row],[Home_scored]]+limoneg[[#This Row],[Away_scored]])&gt;limoneg[[#This Row],[total]],OR(limoneg[[#This Row],[Result]]="dw",limoneg[[#This Row],[Result]]="dl")),1,0)</f>
        <v>1</v>
      </c>
      <c r="CQ21" s="4">
        <f>ABS((limoneg[[#This Row],[Home_scored]]+limoneg[[#This Row],[Away_scored]])-limoneg[[#This Row],[total]])+0.5</f>
        <v>3</v>
      </c>
    </row>
    <row r="22" spans="1:95" x14ac:dyDescent="0.25">
      <c r="A22" s="2" t="s">
        <v>349</v>
      </c>
      <c r="B22" s="2" t="s">
        <v>324</v>
      </c>
      <c r="C22" s="3" t="s">
        <v>73</v>
      </c>
      <c r="D22" s="3">
        <v>45697</v>
      </c>
      <c r="E22" s="2" t="s">
        <v>74</v>
      </c>
      <c r="F22" s="2" t="s">
        <v>333</v>
      </c>
      <c r="G22" s="2" t="s">
        <v>75</v>
      </c>
      <c r="H22" s="11">
        <v>97</v>
      </c>
      <c r="I22" s="11">
        <v>89</v>
      </c>
      <c r="J22" s="11">
        <v>35</v>
      </c>
      <c r="K22" s="11">
        <v>68</v>
      </c>
      <c r="L22" s="12">
        <v>0.51470000000000005</v>
      </c>
      <c r="M22" s="11">
        <v>21</v>
      </c>
      <c r="N22" s="11">
        <v>42</v>
      </c>
      <c r="O22" s="12">
        <v>0.5</v>
      </c>
      <c r="P22" s="11">
        <v>14</v>
      </c>
      <c r="Q22" s="11">
        <v>26</v>
      </c>
      <c r="R22" s="12">
        <v>0.53849999999999998</v>
      </c>
      <c r="S22" s="11">
        <v>13</v>
      </c>
      <c r="T22" s="11">
        <v>15</v>
      </c>
      <c r="U22" s="12">
        <v>0.86670000000000003</v>
      </c>
      <c r="V22" s="11">
        <v>14</v>
      </c>
      <c r="W22" s="11">
        <v>23</v>
      </c>
      <c r="X22" s="11">
        <v>37</v>
      </c>
      <c r="Y22" s="11">
        <v>23</v>
      </c>
      <c r="Z22" s="11">
        <v>6</v>
      </c>
      <c r="AA22" s="11">
        <v>4</v>
      </c>
      <c r="AB22" s="11">
        <v>11</v>
      </c>
      <c r="AC22" s="11">
        <v>19</v>
      </c>
      <c r="AD22" s="11">
        <v>30</v>
      </c>
      <c r="AE22" s="11">
        <v>61</v>
      </c>
      <c r="AF22" s="12">
        <v>0.49180000000000001</v>
      </c>
      <c r="AG22" s="11">
        <v>19</v>
      </c>
      <c r="AH22" s="11">
        <v>35</v>
      </c>
      <c r="AI22" s="12">
        <v>0.54290000000000005</v>
      </c>
      <c r="AJ22" s="11">
        <v>11</v>
      </c>
      <c r="AK22" s="11">
        <v>26</v>
      </c>
      <c r="AL22" s="12">
        <v>0.42309999999999998</v>
      </c>
      <c r="AM22" s="11">
        <v>18</v>
      </c>
      <c r="AN22" s="11">
        <v>26</v>
      </c>
      <c r="AO22" s="12">
        <v>0.69230000000000003</v>
      </c>
      <c r="AP22" s="11">
        <v>10</v>
      </c>
      <c r="AQ22" s="11">
        <v>20</v>
      </c>
      <c r="AR22" s="11">
        <v>30</v>
      </c>
      <c r="AS22" s="11">
        <v>20</v>
      </c>
      <c r="AT22" s="11">
        <v>5</v>
      </c>
      <c r="AU22" s="11">
        <v>2</v>
      </c>
      <c r="AV22" s="11">
        <v>10</v>
      </c>
      <c r="AW22" s="11">
        <v>16</v>
      </c>
      <c r="AX22" s="12">
        <v>0.65010000000000001</v>
      </c>
      <c r="AY22" s="12">
        <v>0.61760000000000004</v>
      </c>
      <c r="AZ22" s="12">
        <v>0.4118</v>
      </c>
      <c r="BA22" s="12">
        <v>0.69699999999999995</v>
      </c>
      <c r="BB22" s="12">
        <v>0.55220000000000002</v>
      </c>
      <c r="BC22" s="4">
        <v>71.638999999999996</v>
      </c>
      <c r="BD22" s="12">
        <v>0.65710000000000002</v>
      </c>
      <c r="BE22" s="12">
        <v>0.19120000000000001</v>
      </c>
      <c r="BF22" s="12">
        <v>0.1285</v>
      </c>
      <c r="BG22" s="4">
        <v>136.6</v>
      </c>
      <c r="BH22" s="4">
        <v>125.4</v>
      </c>
      <c r="BI22" s="4">
        <v>70.991</v>
      </c>
      <c r="BJ22" s="12">
        <v>0.61429999999999996</v>
      </c>
      <c r="BK22" s="12">
        <v>0.58199999999999996</v>
      </c>
      <c r="BL22" s="12">
        <v>0.30299999999999999</v>
      </c>
      <c r="BM22" s="12">
        <v>0.58819999999999995</v>
      </c>
      <c r="BN22" s="12">
        <v>0.44779999999999998</v>
      </c>
      <c r="BO22" s="4">
        <v>70.343000000000004</v>
      </c>
      <c r="BP22" s="12">
        <v>0.66669999999999996</v>
      </c>
      <c r="BQ22" s="12">
        <v>0.29509999999999997</v>
      </c>
      <c r="BR22" s="12">
        <v>0.12130000000000001</v>
      </c>
      <c r="BS22" s="4">
        <v>125.4</v>
      </c>
      <c r="BT22" s="4">
        <v>136.6</v>
      </c>
      <c r="BU22" s="11">
        <v>23</v>
      </c>
      <c r="BV22" s="11">
        <v>29</v>
      </c>
      <c r="BW22" s="11">
        <v>19</v>
      </c>
      <c r="BX22" s="11">
        <v>26</v>
      </c>
      <c r="BY22" s="11">
        <v>19</v>
      </c>
      <c r="BZ22" s="11">
        <v>14</v>
      </c>
      <c r="CA22" s="11">
        <v>37</v>
      </c>
      <c r="CB22" s="11">
        <v>19</v>
      </c>
      <c r="CC22" s="11">
        <v>52</v>
      </c>
      <c r="CD22" s="11">
        <v>45</v>
      </c>
      <c r="CE22" s="11">
        <v>33</v>
      </c>
      <c r="CF22" s="11">
        <v>56</v>
      </c>
      <c r="CG22" s="4">
        <v>1.71</v>
      </c>
      <c r="CH22" s="13">
        <v>2.2000000000000002</v>
      </c>
      <c r="CI22" s="4">
        <v>-2.5</v>
      </c>
      <c r="CJ22" s="4">
        <v>2.5</v>
      </c>
      <c r="CK22" s="4">
        <v>168.5</v>
      </c>
      <c r="CL22" s="2" t="s">
        <v>504</v>
      </c>
      <c r="CM22" s="4" t="str">
        <f>VLOOKUP(limoneg[[#This Row],[Away_team]],all[[Full name]:[Abbr]],3,FALSE)</f>
        <v>NCY</v>
      </c>
      <c r="CN22" s="4">
        <f>IF(OR(limoneg[[#This Row],[Result]]="w",limoneg[[#This Row],[Result]]="dw"),limoneg[[#This Row],[win]]-1,-1)</f>
        <v>0.71</v>
      </c>
      <c r="CO22" s="4">
        <f>IF(OR(limoneg[[#This Row],[Result]]="L",limoneg[[#This Row],[Result]]="dl"),limoneg[[#This Row],[lose]]-1,-1)</f>
        <v>-1</v>
      </c>
      <c r="CP22" s="4">
        <f>IF(OR((limoneg[[#This Row],[Home_scored]]+limoneg[[#This Row],[Away_scored]])&gt;limoneg[[#This Row],[total]],OR(limoneg[[#This Row],[Result]]="dw",limoneg[[#This Row],[Result]]="dl")),1,0)</f>
        <v>1</v>
      </c>
      <c r="CQ22" s="4">
        <f>ABS((limoneg[[#This Row],[Home_scored]]+limoneg[[#This Row],[Away_scored]])-limoneg[[#This Row],[total]])+0.5</f>
        <v>18</v>
      </c>
    </row>
    <row r="23" spans="1:95" x14ac:dyDescent="0.25">
      <c r="A23" s="2" t="s">
        <v>349</v>
      </c>
      <c r="B23" s="2" t="s">
        <v>324</v>
      </c>
      <c r="C23" s="3" t="s">
        <v>73</v>
      </c>
      <c r="D23" s="3">
        <v>45717</v>
      </c>
      <c r="E23" s="2" t="s">
        <v>140</v>
      </c>
      <c r="F23" s="2" t="s">
        <v>317</v>
      </c>
      <c r="G23" s="2" t="s">
        <v>139</v>
      </c>
      <c r="H23" s="11">
        <v>77</v>
      </c>
      <c r="I23" s="11">
        <v>101</v>
      </c>
      <c r="J23" s="11">
        <v>29</v>
      </c>
      <c r="K23" s="11">
        <v>57</v>
      </c>
      <c r="L23" s="12">
        <v>0.50880000000000003</v>
      </c>
      <c r="M23" s="11">
        <v>25</v>
      </c>
      <c r="N23" s="11">
        <v>39</v>
      </c>
      <c r="O23" s="12">
        <v>0.64100000000000001</v>
      </c>
      <c r="P23" s="11">
        <v>4</v>
      </c>
      <c r="Q23" s="11">
        <v>18</v>
      </c>
      <c r="R23" s="12">
        <v>0.22220000000000001</v>
      </c>
      <c r="S23" s="11">
        <v>15</v>
      </c>
      <c r="T23" s="11">
        <v>22</v>
      </c>
      <c r="U23" s="12">
        <v>0.68179999999999996</v>
      </c>
      <c r="V23" s="11">
        <v>8</v>
      </c>
      <c r="W23" s="11">
        <v>19</v>
      </c>
      <c r="X23" s="11">
        <v>27</v>
      </c>
      <c r="Y23" s="11">
        <v>11</v>
      </c>
      <c r="Z23" s="11">
        <v>10</v>
      </c>
      <c r="AA23" s="11">
        <v>3</v>
      </c>
      <c r="AB23" s="11">
        <v>17</v>
      </c>
      <c r="AC23" s="11">
        <v>15</v>
      </c>
      <c r="AD23" s="11">
        <v>40</v>
      </c>
      <c r="AE23" s="11">
        <v>71</v>
      </c>
      <c r="AF23" s="12">
        <v>0.56340000000000001</v>
      </c>
      <c r="AG23" s="11">
        <v>26</v>
      </c>
      <c r="AH23" s="11">
        <v>42</v>
      </c>
      <c r="AI23" s="12">
        <v>0.61899999999999999</v>
      </c>
      <c r="AJ23" s="11">
        <v>14</v>
      </c>
      <c r="AK23" s="11">
        <v>29</v>
      </c>
      <c r="AL23" s="12">
        <v>0.48280000000000001</v>
      </c>
      <c r="AM23" s="11">
        <v>7</v>
      </c>
      <c r="AN23" s="11">
        <v>12</v>
      </c>
      <c r="AO23" s="12">
        <v>0.58330000000000004</v>
      </c>
      <c r="AP23" s="11">
        <v>14</v>
      </c>
      <c r="AQ23" s="11">
        <v>23</v>
      </c>
      <c r="AR23" s="11">
        <v>37</v>
      </c>
      <c r="AS23" s="11">
        <v>23</v>
      </c>
      <c r="AT23" s="11">
        <v>6</v>
      </c>
      <c r="AU23" s="11">
        <v>5</v>
      </c>
      <c r="AV23" s="11">
        <v>12</v>
      </c>
      <c r="AW23" s="11">
        <v>20</v>
      </c>
      <c r="AX23" s="12">
        <v>0.57740000000000002</v>
      </c>
      <c r="AY23" s="12">
        <v>0.54390000000000005</v>
      </c>
      <c r="AZ23" s="12">
        <v>0.2581</v>
      </c>
      <c r="BA23" s="12">
        <v>0.57579999999999998</v>
      </c>
      <c r="BB23" s="12">
        <v>0.4219</v>
      </c>
      <c r="BC23" s="4">
        <v>73.923000000000002</v>
      </c>
      <c r="BD23" s="12">
        <v>0.37930000000000003</v>
      </c>
      <c r="BE23" s="12">
        <v>0.26319999999999999</v>
      </c>
      <c r="BF23" s="12">
        <v>0.20319999999999999</v>
      </c>
      <c r="BG23" s="4">
        <v>103.2</v>
      </c>
      <c r="BH23" s="4">
        <v>135.4</v>
      </c>
      <c r="BI23" s="4">
        <v>74.585999999999999</v>
      </c>
      <c r="BJ23" s="12">
        <v>0.66200000000000003</v>
      </c>
      <c r="BK23" s="12">
        <v>0.66200000000000003</v>
      </c>
      <c r="BL23" s="12">
        <v>0.42420000000000002</v>
      </c>
      <c r="BM23" s="12">
        <v>0.7419</v>
      </c>
      <c r="BN23" s="12">
        <v>0.57809999999999995</v>
      </c>
      <c r="BO23" s="4">
        <v>75.248999999999995</v>
      </c>
      <c r="BP23" s="12">
        <v>0.57499999999999996</v>
      </c>
      <c r="BQ23" s="12">
        <v>9.8599999999999993E-2</v>
      </c>
      <c r="BR23" s="12">
        <v>0.13589999999999999</v>
      </c>
      <c r="BS23" s="4">
        <v>135.4</v>
      </c>
      <c r="BT23" s="4">
        <v>103.2</v>
      </c>
      <c r="BU23" s="11">
        <v>15</v>
      </c>
      <c r="BV23" s="11">
        <v>20</v>
      </c>
      <c r="BW23" s="11">
        <v>15</v>
      </c>
      <c r="BX23" s="11">
        <v>27</v>
      </c>
      <c r="BY23" s="11">
        <v>27</v>
      </c>
      <c r="BZ23" s="11">
        <v>21</v>
      </c>
      <c r="CA23" s="11">
        <v>24</v>
      </c>
      <c r="CB23" s="11">
        <v>29</v>
      </c>
      <c r="CC23" s="11">
        <v>35</v>
      </c>
      <c r="CD23" s="11">
        <v>42</v>
      </c>
      <c r="CE23" s="11">
        <v>48</v>
      </c>
      <c r="CF23" s="11">
        <v>53</v>
      </c>
      <c r="CG23" s="4">
        <v>3.5</v>
      </c>
      <c r="CH23" s="13">
        <v>1.32</v>
      </c>
      <c r="CI23" s="4">
        <v>7.5</v>
      </c>
      <c r="CJ23" s="4">
        <v>-7.5</v>
      </c>
      <c r="CK23" s="4">
        <v>165.5</v>
      </c>
      <c r="CL23" s="2" t="s">
        <v>510</v>
      </c>
      <c r="CM23" s="4" t="str">
        <f>VLOOKUP(limoneg[[#This Row],[Away_team]],all[[Full name]:[Abbr]],3,FALSE)</f>
        <v>LEM</v>
      </c>
      <c r="CN23" s="4">
        <f>IF(OR(limoneg[[#This Row],[Result]]="w",limoneg[[#This Row],[Result]]="dw"),limoneg[[#This Row],[win]]-1,-1)</f>
        <v>-1</v>
      </c>
      <c r="CO23" s="4">
        <f>IF(OR(limoneg[[#This Row],[Result]]="L",limoneg[[#This Row],[Result]]="dl"),limoneg[[#This Row],[lose]]-1,-1)</f>
        <v>0.32000000000000006</v>
      </c>
      <c r="CP23" s="4">
        <f>IF(OR((limoneg[[#This Row],[Home_scored]]+limoneg[[#This Row],[Away_scored]])&gt;limoneg[[#This Row],[total]],OR(limoneg[[#This Row],[Result]]="dw",limoneg[[#This Row],[Result]]="dl")),1,0)</f>
        <v>1</v>
      </c>
      <c r="CQ23" s="4">
        <f>ABS((limoneg[[#This Row],[Home_scored]]+limoneg[[#This Row],[Away_scored]])-limoneg[[#This Row],[total]])+0.5</f>
        <v>13</v>
      </c>
    </row>
    <row r="24" spans="1:95" x14ac:dyDescent="0.25">
      <c r="A24" s="2" t="s">
        <v>349</v>
      </c>
      <c r="B24" s="2" t="s">
        <v>324</v>
      </c>
      <c r="C24" s="3" t="s">
        <v>73</v>
      </c>
      <c r="D24" s="3">
        <v>45724</v>
      </c>
      <c r="E24" s="2" t="s">
        <v>140</v>
      </c>
      <c r="F24" s="2" t="s">
        <v>320</v>
      </c>
      <c r="G24" s="2" t="s">
        <v>75</v>
      </c>
      <c r="H24" s="11">
        <v>89</v>
      </c>
      <c r="I24" s="11">
        <v>79</v>
      </c>
      <c r="J24" s="11">
        <v>31</v>
      </c>
      <c r="K24" s="11">
        <v>57</v>
      </c>
      <c r="L24" s="12">
        <v>0.54390000000000005</v>
      </c>
      <c r="M24" s="11">
        <v>20</v>
      </c>
      <c r="N24" s="11">
        <v>38</v>
      </c>
      <c r="O24" s="12">
        <v>0.52629999999999999</v>
      </c>
      <c r="P24" s="11">
        <v>11</v>
      </c>
      <c r="Q24" s="11">
        <v>19</v>
      </c>
      <c r="R24" s="12">
        <v>0.57889999999999997</v>
      </c>
      <c r="S24" s="11">
        <v>16</v>
      </c>
      <c r="T24" s="11">
        <v>22</v>
      </c>
      <c r="U24" s="12">
        <v>0.72729999999999995</v>
      </c>
      <c r="V24" s="11">
        <v>7</v>
      </c>
      <c r="W24" s="11">
        <v>20</v>
      </c>
      <c r="X24" s="11">
        <v>27</v>
      </c>
      <c r="Y24" s="11">
        <v>16</v>
      </c>
      <c r="Z24" s="11">
        <v>8</v>
      </c>
      <c r="AA24" s="11">
        <v>1</v>
      </c>
      <c r="AB24" s="11">
        <v>10</v>
      </c>
      <c r="AC24" s="11">
        <v>22</v>
      </c>
      <c r="AD24" s="11">
        <v>27</v>
      </c>
      <c r="AE24" s="11">
        <v>57</v>
      </c>
      <c r="AF24" s="12">
        <v>0.47370000000000001</v>
      </c>
      <c r="AG24" s="11">
        <v>22</v>
      </c>
      <c r="AH24" s="11">
        <v>37</v>
      </c>
      <c r="AI24" s="12">
        <v>0.59460000000000002</v>
      </c>
      <c r="AJ24" s="11">
        <v>5</v>
      </c>
      <c r="AK24" s="11">
        <v>20</v>
      </c>
      <c r="AL24" s="12">
        <v>0.25</v>
      </c>
      <c r="AM24" s="11">
        <v>20</v>
      </c>
      <c r="AN24" s="11">
        <v>27</v>
      </c>
      <c r="AO24" s="12">
        <v>0.74070000000000003</v>
      </c>
      <c r="AP24" s="11">
        <v>12</v>
      </c>
      <c r="AQ24" s="11">
        <v>22</v>
      </c>
      <c r="AR24" s="11">
        <v>34</v>
      </c>
      <c r="AS24" s="11">
        <v>15</v>
      </c>
      <c r="AT24" s="11">
        <v>3</v>
      </c>
      <c r="AU24" s="11">
        <v>3</v>
      </c>
      <c r="AV24" s="11">
        <v>15</v>
      </c>
      <c r="AW24" s="11">
        <v>23</v>
      </c>
      <c r="AX24" s="12">
        <v>0.66739999999999999</v>
      </c>
      <c r="AY24" s="12">
        <v>0.64039999999999997</v>
      </c>
      <c r="AZ24" s="12">
        <v>0.2414</v>
      </c>
      <c r="BA24" s="12">
        <v>0.625</v>
      </c>
      <c r="BB24" s="12">
        <v>0.44259999999999999</v>
      </c>
      <c r="BC24" s="4">
        <v>68.587000000000003</v>
      </c>
      <c r="BD24" s="12">
        <v>0.5161</v>
      </c>
      <c r="BE24" s="12">
        <v>0.28070000000000001</v>
      </c>
      <c r="BF24" s="12">
        <v>0.13039999999999999</v>
      </c>
      <c r="BG24" s="4">
        <v>127.1</v>
      </c>
      <c r="BH24" s="4">
        <v>112.8</v>
      </c>
      <c r="BI24" s="4">
        <v>70.028999999999996</v>
      </c>
      <c r="BJ24" s="12">
        <v>0.57350000000000001</v>
      </c>
      <c r="BK24" s="12">
        <v>0.51749999999999996</v>
      </c>
      <c r="BL24" s="12">
        <v>0.375</v>
      </c>
      <c r="BM24" s="12">
        <v>0.75860000000000005</v>
      </c>
      <c r="BN24" s="12">
        <v>0.55740000000000001</v>
      </c>
      <c r="BO24" s="4">
        <v>71.471000000000004</v>
      </c>
      <c r="BP24" s="12">
        <v>0.55559999999999998</v>
      </c>
      <c r="BQ24" s="12">
        <v>0.35089999999999999</v>
      </c>
      <c r="BR24" s="12">
        <v>0.17879999999999999</v>
      </c>
      <c r="BS24" s="4">
        <v>112.8</v>
      </c>
      <c r="BT24" s="4">
        <v>127.1</v>
      </c>
      <c r="BU24" s="11">
        <v>24</v>
      </c>
      <c r="BV24" s="11">
        <v>24</v>
      </c>
      <c r="BW24" s="11">
        <v>26</v>
      </c>
      <c r="BX24" s="11">
        <v>15</v>
      </c>
      <c r="BY24" s="11">
        <v>20</v>
      </c>
      <c r="BZ24" s="11">
        <v>21</v>
      </c>
      <c r="CA24" s="11">
        <v>17</v>
      </c>
      <c r="CB24" s="11">
        <v>21</v>
      </c>
      <c r="CC24" s="11">
        <v>48</v>
      </c>
      <c r="CD24" s="11">
        <v>41</v>
      </c>
      <c r="CE24" s="11">
        <v>41</v>
      </c>
      <c r="CF24" s="11">
        <v>38</v>
      </c>
      <c r="CG24" s="4">
        <v>2.2000000000000002</v>
      </c>
      <c r="CH24" s="13">
        <v>1.71</v>
      </c>
      <c r="CI24" s="4">
        <v>2.5</v>
      </c>
      <c r="CJ24" s="4">
        <v>-2.5</v>
      </c>
      <c r="CK24" s="4">
        <v>161.5</v>
      </c>
      <c r="CL24" s="2" t="s">
        <v>516</v>
      </c>
      <c r="CM24" s="4" t="str">
        <f>VLOOKUP(limoneg[[#This Row],[Away_team]],all[[Full name]:[Abbr]],3,FALSE)</f>
        <v>POR</v>
      </c>
      <c r="CN24" s="4">
        <f>IF(OR(limoneg[[#This Row],[Result]]="w",limoneg[[#This Row],[Result]]="dw"),limoneg[[#This Row],[win]]-1,-1)</f>
        <v>1.2000000000000002</v>
      </c>
      <c r="CO24" s="4">
        <f>IF(OR(limoneg[[#This Row],[Result]]="L",limoneg[[#This Row],[Result]]="dl"),limoneg[[#This Row],[lose]]-1,-1)</f>
        <v>-1</v>
      </c>
      <c r="CP24" s="4">
        <f>IF(OR((limoneg[[#This Row],[Home_scored]]+limoneg[[#This Row],[Away_scored]])&gt;limoneg[[#This Row],[total]],OR(limoneg[[#This Row],[Result]]="dw",limoneg[[#This Row],[Result]]="dl")),1,0)</f>
        <v>1</v>
      </c>
      <c r="CQ24" s="4">
        <f>ABS((limoneg[[#This Row],[Home_scored]]+limoneg[[#This Row],[Away_scored]])-limoneg[[#This Row],[total]])+0.5</f>
        <v>7</v>
      </c>
    </row>
    <row r="25" spans="1:95" x14ac:dyDescent="0.25">
      <c r="A25" s="2" t="s">
        <v>349</v>
      </c>
      <c r="B25" s="2" t="s">
        <v>324</v>
      </c>
      <c r="C25" s="3" t="s">
        <v>73</v>
      </c>
      <c r="D25" s="3">
        <v>45738</v>
      </c>
      <c r="E25" s="2" t="s">
        <v>74</v>
      </c>
      <c r="F25" s="2" t="s">
        <v>302</v>
      </c>
      <c r="G25" s="2" t="s">
        <v>139</v>
      </c>
      <c r="H25" s="11">
        <v>63</v>
      </c>
      <c r="I25" s="11">
        <v>87</v>
      </c>
      <c r="J25" s="11">
        <v>22</v>
      </c>
      <c r="K25" s="11">
        <v>62</v>
      </c>
      <c r="L25" s="12">
        <v>0.3548</v>
      </c>
      <c r="M25" s="11">
        <v>16</v>
      </c>
      <c r="N25" s="11">
        <v>40</v>
      </c>
      <c r="O25" s="12">
        <v>0.4</v>
      </c>
      <c r="P25" s="11">
        <v>6</v>
      </c>
      <c r="Q25" s="11">
        <v>22</v>
      </c>
      <c r="R25" s="12">
        <v>0.2727</v>
      </c>
      <c r="S25" s="11">
        <v>13</v>
      </c>
      <c r="T25" s="11">
        <v>21</v>
      </c>
      <c r="U25" s="12">
        <v>0.61899999999999999</v>
      </c>
      <c r="V25" s="11">
        <v>14</v>
      </c>
      <c r="W25" s="11">
        <v>20</v>
      </c>
      <c r="X25" s="11">
        <v>34</v>
      </c>
      <c r="Y25" s="11">
        <v>21</v>
      </c>
      <c r="Z25" s="11">
        <v>5</v>
      </c>
      <c r="AA25" s="11">
        <v>2</v>
      </c>
      <c r="AB25" s="11">
        <v>15</v>
      </c>
      <c r="AC25" s="11">
        <v>17</v>
      </c>
      <c r="AD25" s="11">
        <v>36</v>
      </c>
      <c r="AE25" s="11">
        <v>71</v>
      </c>
      <c r="AF25" s="12">
        <v>0.50700000000000001</v>
      </c>
      <c r="AG25" s="11">
        <v>31</v>
      </c>
      <c r="AH25" s="11">
        <v>50</v>
      </c>
      <c r="AI25" s="12">
        <v>0.62</v>
      </c>
      <c r="AJ25" s="11">
        <v>5</v>
      </c>
      <c r="AK25" s="11">
        <v>21</v>
      </c>
      <c r="AL25" s="12">
        <v>0.23810000000000001</v>
      </c>
      <c r="AM25" s="11">
        <v>10</v>
      </c>
      <c r="AN25" s="11">
        <v>18</v>
      </c>
      <c r="AO25" s="12">
        <v>0.55559999999999998</v>
      </c>
      <c r="AP25" s="11">
        <v>18</v>
      </c>
      <c r="AQ25" s="11">
        <v>31</v>
      </c>
      <c r="AR25" s="11">
        <v>49</v>
      </c>
      <c r="AS25" s="11">
        <v>27</v>
      </c>
      <c r="AT25" s="11">
        <v>9</v>
      </c>
      <c r="AU25" s="11">
        <v>2</v>
      </c>
      <c r="AV25" s="11">
        <v>13</v>
      </c>
      <c r="AW25" s="11">
        <v>19</v>
      </c>
      <c r="AX25" s="12">
        <v>0.44219999999999998</v>
      </c>
      <c r="AY25" s="12">
        <v>0.4032</v>
      </c>
      <c r="AZ25" s="12">
        <v>0.31109999999999999</v>
      </c>
      <c r="BA25" s="12">
        <v>0.52629999999999999</v>
      </c>
      <c r="BB25" s="12">
        <v>0.40960000000000002</v>
      </c>
      <c r="BC25" s="4">
        <v>67.775999999999996</v>
      </c>
      <c r="BD25" s="12">
        <v>0.95450000000000002</v>
      </c>
      <c r="BE25" s="12">
        <v>0.2097</v>
      </c>
      <c r="BF25" s="12">
        <v>0.1739</v>
      </c>
      <c r="BG25" s="4">
        <v>86.8</v>
      </c>
      <c r="BH25" s="4">
        <v>119.8</v>
      </c>
      <c r="BI25" s="4">
        <v>72.609499999999997</v>
      </c>
      <c r="BJ25" s="12">
        <v>0.55120000000000002</v>
      </c>
      <c r="BK25" s="12">
        <v>0.5423</v>
      </c>
      <c r="BL25" s="12">
        <v>0.47370000000000001</v>
      </c>
      <c r="BM25" s="12">
        <v>0.68889999999999996</v>
      </c>
      <c r="BN25" s="12">
        <v>0.59040000000000004</v>
      </c>
      <c r="BO25" s="4">
        <v>77.442999999999998</v>
      </c>
      <c r="BP25" s="12">
        <v>0.75</v>
      </c>
      <c r="BQ25" s="12">
        <v>0.14080000000000001</v>
      </c>
      <c r="BR25" s="12">
        <v>0.1414</v>
      </c>
      <c r="BS25" s="4">
        <v>119.8</v>
      </c>
      <c r="BT25" s="4">
        <v>86.8</v>
      </c>
      <c r="BU25" s="11">
        <v>18</v>
      </c>
      <c r="BV25" s="11">
        <v>17</v>
      </c>
      <c r="BW25" s="11">
        <v>12</v>
      </c>
      <c r="BX25" s="11">
        <v>16</v>
      </c>
      <c r="BY25" s="11">
        <v>29</v>
      </c>
      <c r="BZ25" s="11">
        <v>20</v>
      </c>
      <c r="CA25" s="11">
        <v>22</v>
      </c>
      <c r="CB25" s="11">
        <v>16</v>
      </c>
      <c r="CC25" s="11">
        <v>35</v>
      </c>
      <c r="CD25" s="11">
        <v>28</v>
      </c>
      <c r="CE25" s="11">
        <v>49</v>
      </c>
      <c r="CF25" s="11">
        <v>38</v>
      </c>
      <c r="CG25" s="4">
        <v>2.6</v>
      </c>
      <c r="CH25" s="13">
        <v>1.52</v>
      </c>
      <c r="CI25" s="4">
        <v>4.5</v>
      </c>
      <c r="CJ25" s="4">
        <v>-4.5</v>
      </c>
      <c r="CK25" s="4">
        <v>165.5</v>
      </c>
      <c r="CL25" s="2" t="s">
        <v>524</v>
      </c>
      <c r="CM25" s="4" t="str">
        <f>VLOOKUP(limoneg[[#This Row],[Away_team]],all[[Full name]:[Abbr]],3,FALSE)</f>
        <v>BUR</v>
      </c>
      <c r="CN25" s="4">
        <f>IF(OR(limoneg[[#This Row],[Result]]="w",limoneg[[#This Row],[Result]]="dw"),limoneg[[#This Row],[win]]-1,-1)</f>
        <v>-1</v>
      </c>
      <c r="CO25" s="4">
        <f>IF(OR(limoneg[[#This Row],[Result]]="L",limoneg[[#This Row],[Result]]="dl"),limoneg[[#This Row],[lose]]-1,-1)</f>
        <v>0.52</v>
      </c>
      <c r="CP25" s="4">
        <f>IF(OR((limoneg[[#This Row],[Home_scored]]+limoneg[[#This Row],[Away_scored]])&gt;limoneg[[#This Row],[total]],OR(limoneg[[#This Row],[Result]]="dw",limoneg[[#This Row],[Result]]="dl")),1,0)</f>
        <v>0</v>
      </c>
      <c r="CQ25" s="4">
        <f>ABS((limoneg[[#This Row],[Home_scored]]+limoneg[[#This Row],[Away_scored]])-limoneg[[#This Row],[total]])+0.5</f>
        <v>16</v>
      </c>
    </row>
    <row r="26" spans="1:95" x14ac:dyDescent="0.25">
      <c r="A26" s="2" t="s">
        <v>349</v>
      </c>
      <c r="B26" s="2" t="s">
        <v>324</v>
      </c>
      <c r="C26" s="3" t="s">
        <v>73</v>
      </c>
      <c r="D26" s="3">
        <v>45744</v>
      </c>
      <c r="E26" s="2" t="s">
        <v>140</v>
      </c>
      <c r="F26" s="2" t="s">
        <v>336</v>
      </c>
      <c r="G26" s="2" t="s">
        <v>139</v>
      </c>
      <c r="H26" s="11">
        <v>87</v>
      </c>
      <c r="I26" s="11">
        <v>96</v>
      </c>
      <c r="J26" s="11">
        <v>30</v>
      </c>
      <c r="K26" s="11">
        <v>60</v>
      </c>
      <c r="L26" s="12">
        <v>0.5</v>
      </c>
      <c r="M26" s="11">
        <v>25</v>
      </c>
      <c r="N26" s="11">
        <v>40</v>
      </c>
      <c r="O26" s="12">
        <v>0.625</v>
      </c>
      <c r="P26" s="11">
        <v>5</v>
      </c>
      <c r="Q26" s="11">
        <v>20</v>
      </c>
      <c r="R26" s="12">
        <v>0.25</v>
      </c>
      <c r="S26" s="11">
        <v>22</v>
      </c>
      <c r="T26" s="11">
        <v>26</v>
      </c>
      <c r="U26" s="12">
        <v>0.84619999999999995</v>
      </c>
      <c r="V26" s="11">
        <v>9</v>
      </c>
      <c r="W26" s="11">
        <v>17</v>
      </c>
      <c r="X26" s="11">
        <v>26</v>
      </c>
      <c r="Y26" s="11">
        <v>20</v>
      </c>
      <c r="Z26" s="11">
        <v>11</v>
      </c>
      <c r="AA26" s="11">
        <v>3</v>
      </c>
      <c r="AB26" s="11">
        <v>12</v>
      </c>
      <c r="AC26" s="11">
        <v>16</v>
      </c>
      <c r="AD26" s="11">
        <v>39</v>
      </c>
      <c r="AE26" s="11">
        <v>66</v>
      </c>
      <c r="AF26" s="12">
        <v>0.59089999999999998</v>
      </c>
      <c r="AG26" s="11">
        <v>31</v>
      </c>
      <c r="AH26" s="11">
        <v>45</v>
      </c>
      <c r="AI26" s="12">
        <v>0.68889999999999996</v>
      </c>
      <c r="AJ26" s="11">
        <v>8</v>
      </c>
      <c r="AK26" s="11">
        <v>21</v>
      </c>
      <c r="AL26" s="12">
        <v>0.38100000000000001</v>
      </c>
      <c r="AM26" s="11">
        <v>10</v>
      </c>
      <c r="AN26" s="11">
        <v>12</v>
      </c>
      <c r="AO26" s="12">
        <v>0.83330000000000004</v>
      </c>
      <c r="AP26" s="11">
        <v>10</v>
      </c>
      <c r="AQ26" s="11">
        <v>23</v>
      </c>
      <c r="AR26" s="11">
        <v>33</v>
      </c>
      <c r="AS26" s="11">
        <v>26</v>
      </c>
      <c r="AT26" s="11">
        <v>7</v>
      </c>
      <c r="AU26" s="11">
        <v>1</v>
      </c>
      <c r="AV26" s="11">
        <v>15</v>
      </c>
      <c r="AW26" s="11">
        <v>22</v>
      </c>
      <c r="AX26" s="12">
        <v>0.6089</v>
      </c>
      <c r="AY26" s="12">
        <v>0.54169999999999996</v>
      </c>
      <c r="AZ26" s="12">
        <v>0.28129999999999999</v>
      </c>
      <c r="BA26" s="12">
        <v>0.62960000000000005</v>
      </c>
      <c r="BB26" s="12">
        <v>0.44069999999999998</v>
      </c>
      <c r="BC26" s="4">
        <v>71.287999999999997</v>
      </c>
      <c r="BD26" s="12">
        <v>0.66669999999999996</v>
      </c>
      <c r="BE26" s="12">
        <v>0.36670000000000003</v>
      </c>
      <c r="BF26" s="12">
        <v>0.14380000000000001</v>
      </c>
      <c r="BG26" s="4">
        <v>117.3</v>
      </c>
      <c r="BH26" s="4">
        <v>129.4</v>
      </c>
      <c r="BI26" s="4">
        <v>74.166499999999999</v>
      </c>
      <c r="BJ26" s="12">
        <v>0.6734</v>
      </c>
      <c r="BK26" s="12">
        <v>0.65149999999999997</v>
      </c>
      <c r="BL26" s="12">
        <v>0.37040000000000001</v>
      </c>
      <c r="BM26" s="12">
        <v>0.71879999999999999</v>
      </c>
      <c r="BN26" s="12">
        <v>0.55930000000000002</v>
      </c>
      <c r="BO26" s="4">
        <v>77.045000000000002</v>
      </c>
      <c r="BP26" s="12">
        <v>0.66669999999999996</v>
      </c>
      <c r="BQ26" s="12">
        <v>0.1515</v>
      </c>
      <c r="BR26" s="12">
        <v>0.1739</v>
      </c>
      <c r="BS26" s="4">
        <v>129.4</v>
      </c>
      <c r="BT26" s="4">
        <v>117.3</v>
      </c>
      <c r="BU26" s="11">
        <v>30</v>
      </c>
      <c r="BV26" s="11">
        <v>18</v>
      </c>
      <c r="BW26" s="11">
        <v>18</v>
      </c>
      <c r="BX26" s="11">
        <v>21</v>
      </c>
      <c r="BY26" s="11">
        <v>27</v>
      </c>
      <c r="BZ26" s="11">
        <v>19</v>
      </c>
      <c r="CA26" s="11">
        <v>22</v>
      </c>
      <c r="CB26" s="11">
        <v>28</v>
      </c>
      <c r="CC26" s="11">
        <v>48</v>
      </c>
      <c r="CD26" s="11">
        <v>39</v>
      </c>
      <c r="CE26" s="11">
        <v>46</v>
      </c>
      <c r="CF26" s="11">
        <v>50</v>
      </c>
      <c r="CG26" s="4">
        <v>2.6</v>
      </c>
      <c r="CH26" s="13">
        <v>1.52</v>
      </c>
      <c r="CI26" s="4">
        <v>4.5</v>
      </c>
      <c r="CJ26" s="4">
        <v>-4.5</v>
      </c>
      <c r="CK26" s="4">
        <v>166.5</v>
      </c>
      <c r="CL26" s="2" t="s">
        <v>530</v>
      </c>
      <c r="CM26" s="4" t="str">
        <f>VLOOKUP(limoneg[[#This Row],[Away_team]],all[[Full name]:[Abbr]],3,FALSE)</f>
        <v>NAN</v>
      </c>
      <c r="CN26" s="4">
        <f>IF(OR(limoneg[[#This Row],[Result]]="w",limoneg[[#This Row],[Result]]="dw"),limoneg[[#This Row],[win]]-1,-1)</f>
        <v>-1</v>
      </c>
      <c r="CO26" s="4">
        <f>IF(OR(limoneg[[#This Row],[Result]]="L",limoneg[[#This Row],[Result]]="dl"),limoneg[[#This Row],[lose]]-1,-1)</f>
        <v>0.52</v>
      </c>
      <c r="CP26" s="4">
        <f>IF(OR((limoneg[[#This Row],[Home_scored]]+limoneg[[#This Row],[Away_scored]])&gt;limoneg[[#This Row],[total]],OR(limoneg[[#This Row],[Result]]="dw",limoneg[[#This Row],[Result]]="dl")),1,0)</f>
        <v>1</v>
      </c>
      <c r="CQ26" s="4">
        <f>ABS((limoneg[[#This Row],[Home_scored]]+limoneg[[#This Row],[Away_scored]])-limoneg[[#This Row],[total]])+0.5</f>
        <v>17</v>
      </c>
    </row>
    <row r="27" spans="1:95" x14ac:dyDescent="0.25">
      <c r="A27" s="2" t="s">
        <v>349</v>
      </c>
      <c r="B27" s="2" t="s">
        <v>324</v>
      </c>
      <c r="C27" s="3" t="s">
        <v>73</v>
      </c>
      <c r="D27" s="3">
        <v>45752</v>
      </c>
      <c r="E27" s="2" t="s">
        <v>74</v>
      </c>
      <c r="F27" s="2" t="s">
        <v>345</v>
      </c>
      <c r="G27" s="2" t="s">
        <v>139</v>
      </c>
      <c r="H27" s="11">
        <v>80</v>
      </c>
      <c r="I27" s="11">
        <v>87</v>
      </c>
      <c r="J27" s="11">
        <v>30</v>
      </c>
      <c r="K27" s="11">
        <v>61</v>
      </c>
      <c r="L27" s="12">
        <v>0.49180000000000001</v>
      </c>
      <c r="M27" s="11">
        <v>22</v>
      </c>
      <c r="N27" s="11">
        <v>35</v>
      </c>
      <c r="O27" s="12">
        <v>0.62860000000000005</v>
      </c>
      <c r="P27" s="11">
        <v>8</v>
      </c>
      <c r="Q27" s="11">
        <v>26</v>
      </c>
      <c r="R27" s="12">
        <v>0.30769999999999997</v>
      </c>
      <c r="S27" s="11">
        <v>12</v>
      </c>
      <c r="T27" s="11">
        <v>17</v>
      </c>
      <c r="U27" s="12">
        <v>0.70589999999999997</v>
      </c>
      <c r="V27" s="11">
        <v>11</v>
      </c>
      <c r="W27" s="11">
        <v>22</v>
      </c>
      <c r="X27" s="11">
        <v>33</v>
      </c>
      <c r="Y27" s="11">
        <v>26</v>
      </c>
      <c r="Z27" s="11">
        <v>7</v>
      </c>
      <c r="AA27" s="11">
        <v>0</v>
      </c>
      <c r="AB27" s="11">
        <v>13</v>
      </c>
      <c r="AC27" s="11">
        <v>19</v>
      </c>
      <c r="AD27" s="11">
        <v>31</v>
      </c>
      <c r="AE27" s="11">
        <v>59</v>
      </c>
      <c r="AF27" s="12">
        <v>0.52539999999999998</v>
      </c>
      <c r="AG27" s="11">
        <v>20</v>
      </c>
      <c r="AH27" s="11">
        <v>33</v>
      </c>
      <c r="AI27" s="12">
        <v>0.60609999999999997</v>
      </c>
      <c r="AJ27" s="11">
        <v>11</v>
      </c>
      <c r="AK27" s="11">
        <v>26</v>
      </c>
      <c r="AL27" s="12">
        <v>0.42309999999999998</v>
      </c>
      <c r="AM27" s="11">
        <v>14</v>
      </c>
      <c r="AN27" s="11">
        <v>17</v>
      </c>
      <c r="AO27" s="12">
        <v>0.82350000000000001</v>
      </c>
      <c r="AP27" s="11">
        <v>7</v>
      </c>
      <c r="AQ27" s="11">
        <v>21</v>
      </c>
      <c r="AR27" s="11">
        <v>28</v>
      </c>
      <c r="AS27" s="11">
        <v>23</v>
      </c>
      <c r="AT27" s="11">
        <v>6</v>
      </c>
      <c r="AU27" s="11">
        <v>2</v>
      </c>
      <c r="AV27" s="11">
        <v>15</v>
      </c>
      <c r="AW27" s="11">
        <v>17</v>
      </c>
      <c r="AX27" s="12">
        <v>0.58409999999999995</v>
      </c>
      <c r="AY27" s="12">
        <v>0.55740000000000001</v>
      </c>
      <c r="AZ27" s="12">
        <v>0.34379999999999999</v>
      </c>
      <c r="BA27" s="12">
        <v>0.75860000000000005</v>
      </c>
      <c r="BB27" s="12">
        <v>0.54100000000000004</v>
      </c>
      <c r="BC27" s="4">
        <v>69.742999999999995</v>
      </c>
      <c r="BD27" s="12">
        <v>0.86670000000000003</v>
      </c>
      <c r="BE27" s="12">
        <v>0.19670000000000001</v>
      </c>
      <c r="BF27" s="12">
        <v>0.1595</v>
      </c>
      <c r="BG27" s="4">
        <v>111.8</v>
      </c>
      <c r="BH27" s="4">
        <v>121.6</v>
      </c>
      <c r="BI27" s="4">
        <v>71.526499999999999</v>
      </c>
      <c r="BJ27" s="12">
        <v>0.65429999999999999</v>
      </c>
      <c r="BK27" s="12">
        <v>0.61860000000000004</v>
      </c>
      <c r="BL27" s="12">
        <v>0.2414</v>
      </c>
      <c r="BM27" s="12">
        <v>0.65629999999999999</v>
      </c>
      <c r="BN27" s="12">
        <v>0.45900000000000002</v>
      </c>
      <c r="BO27" s="4">
        <v>73.31</v>
      </c>
      <c r="BP27" s="12">
        <v>0.7419</v>
      </c>
      <c r="BQ27" s="12">
        <v>0.23730000000000001</v>
      </c>
      <c r="BR27" s="12">
        <v>0.18410000000000001</v>
      </c>
      <c r="BS27" s="4">
        <v>121.6</v>
      </c>
      <c r="BT27" s="4">
        <v>111.8</v>
      </c>
      <c r="BU27" s="11">
        <v>18</v>
      </c>
      <c r="BV27" s="11">
        <v>18</v>
      </c>
      <c r="BW27" s="11">
        <v>20</v>
      </c>
      <c r="BX27" s="11">
        <v>24</v>
      </c>
      <c r="BY27" s="11">
        <v>14</v>
      </c>
      <c r="BZ27" s="11">
        <v>21</v>
      </c>
      <c r="CA27" s="11">
        <v>27</v>
      </c>
      <c r="CB27" s="11">
        <v>25</v>
      </c>
      <c r="CC27" s="11">
        <v>36</v>
      </c>
      <c r="CD27" s="11">
        <v>44</v>
      </c>
      <c r="CE27" s="11">
        <v>35</v>
      </c>
      <c r="CF27" s="11">
        <v>52</v>
      </c>
      <c r="CG27" s="4">
        <v>1.71</v>
      </c>
      <c r="CH27" s="13">
        <v>2.2000000000000002</v>
      </c>
      <c r="CI27" s="4">
        <v>-2.5</v>
      </c>
      <c r="CJ27" s="4">
        <v>2.5</v>
      </c>
      <c r="CK27" s="4">
        <v>163.5</v>
      </c>
      <c r="CL27" s="2" t="s">
        <v>542</v>
      </c>
      <c r="CM27" s="4" t="str">
        <f>VLOOKUP(limoneg[[#This Row],[Away_team]],all[[Full name]:[Abbr]],3,FALSE)</f>
        <v>STR</v>
      </c>
      <c r="CN27" s="4">
        <f>IF(OR(limoneg[[#This Row],[Result]]="w",limoneg[[#This Row],[Result]]="dw"),limoneg[[#This Row],[win]]-1,-1)</f>
        <v>-1</v>
      </c>
      <c r="CO27" s="4">
        <f>IF(OR(limoneg[[#This Row],[Result]]="L",limoneg[[#This Row],[Result]]="dl"),limoneg[[#This Row],[lose]]-1,-1)</f>
        <v>1.2000000000000002</v>
      </c>
      <c r="CP27" s="4">
        <f>IF(OR((limoneg[[#This Row],[Home_scored]]+limoneg[[#This Row],[Away_scored]])&gt;limoneg[[#This Row],[total]],OR(limoneg[[#This Row],[Result]]="dw",limoneg[[#This Row],[Result]]="dl")),1,0)</f>
        <v>1</v>
      </c>
      <c r="CQ27" s="4">
        <f>ABS((limoneg[[#This Row],[Home_scored]]+limoneg[[#This Row],[Away_scored]])-limoneg[[#This Row],[total]])+0.5</f>
        <v>4</v>
      </c>
    </row>
    <row r="28" spans="1:95" x14ac:dyDescent="0.25">
      <c r="A28" s="2" t="s">
        <v>349</v>
      </c>
      <c r="B28" s="2" t="s">
        <v>324</v>
      </c>
      <c r="C28" s="3" t="s">
        <v>73</v>
      </c>
      <c r="D28" s="3">
        <v>45758</v>
      </c>
      <c r="E28" s="2" t="s">
        <v>140</v>
      </c>
      <c r="F28" s="2" t="s">
        <v>323</v>
      </c>
      <c r="G28" s="2" t="s">
        <v>75</v>
      </c>
      <c r="H28" s="11">
        <v>86</v>
      </c>
      <c r="I28" s="11">
        <v>80</v>
      </c>
      <c r="J28" s="11">
        <v>29</v>
      </c>
      <c r="K28" s="11">
        <v>66</v>
      </c>
      <c r="L28" s="12">
        <v>0.43940000000000001</v>
      </c>
      <c r="M28" s="11">
        <v>21</v>
      </c>
      <c r="N28" s="11">
        <v>40</v>
      </c>
      <c r="O28" s="12">
        <v>0.52500000000000002</v>
      </c>
      <c r="P28" s="11">
        <v>8</v>
      </c>
      <c r="Q28" s="11">
        <v>26</v>
      </c>
      <c r="R28" s="12">
        <v>0.30769999999999997</v>
      </c>
      <c r="S28" s="11">
        <v>20</v>
      </c>
      <c r="T28" s="11">
        <v>26</v>
      </c>
      <c r="U28" s="12">
        <v>0.76919999999999999</v>
      </c>
      <c r="V28" s="11">
        <v>14</v>
      </c>
      <c r="W28" s="11">
        <v>29</v>
      </c>
      <c r="X28" s="11">
        <v>43</v>
      </c>
      <c r="Y28" s="11">
        <v>23</v>
      </c>
      <c r="Z28" s="11">
        <v>5</v>
      </c>
      <c r="AA28" s="11">
        <v>1</v>
      </c>
      <c r="AB28" s="11">
        <v>14</v>
      </c>
      <c r="AC28" s="11">
        <v>22</v>
      </c>
      <c r="AD28" s="11">
        <v>27</v>
      </c>
      <c r="AE28" s="11">
        <v>57</v>
      </c>
      <c r="AF28" s="12">
        <v>0.47370000000000001</v>
      </c>
      <c r="AG28" s="11">
        <v>17</v>
      </c>
      <c r="AH28" s="11">
        <v>37</v>
      </c>
      <c r="AI28" s="12">
        <v>0.45950000000000002</v>
      </c>
      <c r="AJ28" s="11">
        <v>10</v>
      </c>
      <c r="AK28" s="11">
        <v>20</v>
      </c>
      <c r="AL28" s="12">
        <v>0.5</v>
      </c>
      <c r="AM28" s="11">
        <v>16</v>
      </c>
      <c r="AN28" s="11">
        <v>20</v>
      </c>
      <c r="AO28" s="12">
        <v>0.8</v>
      </c>
      <c r="AP28" s="11">
        <v>2</v>
      </c>
      <c r="AQ28" s="11">
        <v>26</v>
      </c>
      <c r="AR28" s="11">
        <v>28</v>
      </c>
      <c r="AS28" s="11">
        <v>23</v>
      </c>
      <c r="AT28" s="11">
        <v>4</v>
      </c>
      <c r="AU28" s="11">
        <v>0</v>
      </c>
      <c r="AV28" s="11">
        <v>10</v>
      </c>
      <c r="AW28" s="11">
        <v>23</v>
      </c>
      <c r="AX28" s="12">
        <v>0.55530000000000002</v>
      </c>
      <c r="AY28" s="12">
        <v>0.5</v>
      </c>
      <c r="AZ28" s="12">
        <v>0.35</v>
      </c>
      <c r="BA28" s="12">
        <v>0.9355</v>
      </c>
      <c r="BB28" s="12">
        <v>0.60560000000000003</v>
      </c>
      <c r="BC28" s="4">
        <v>77.510000000000005</v>
      </c>
      <c r="BD28" s="12">
        <v>0.79310000000000003</v>
      </c>
      <c r="BE28" s="12">
        <v>0.30299999999999999</v>
      </c>
      <c r="BF28" s="12">
        <v>0.15310000000000001</v>
      </c>
      <c r="BG28" s="4">
        <v>114.5</v>
      </c>
      <c r="BH28" s="4">
        <v>106.5</v>
      </c>
      <c r="BI28" s="4">
        <v>75.108500000000006</v>
      </c>
      <c r="BJ28" s="12">
        <v>0.6079</v>
      </c>
      <c r="BK28" s="12">
        <v>0.56140000000000001</v>
      </c>
      <c r="BL28" s="12">
        <v>6.4500000000000002E-2</v>
      </c>
      <c r="BM28" s="12">
        <v>0.65</v>
      </c>
      <c r="BN28" s="12">
        <v>0.39439999999999997</v>
      </c>
      <c r="BO28" s="4">
        <v>72.706999999999994</v>
      </c>
      <c r="BP28" s="12">
        <v>0.85189999999999999</v>
      </c>
      <c r="BQ28" s="12">
        <v>0.28070000000000001</v>
      </c>
      <c r="BR28" s="12">
        <v>0.13189999999999999</v>
      </c>
      <c r="BS28" s="4">
        <v>106.5</v>
      </c>
      <c r="BT28" s="4">
        <v>114.5</v>
      </c>
      <c r="BU28" s="11">
        <v>19</v>
      </c>
      <c r="BV28" s="11">
        <v>15</v>
      </c>
      <c r="BW28" s="11">
        <v>25</v>
      </c>
      <c r="BX28" s="11">
        <v>27</v>
      </c>
      <c r="BY28" s="11">
        <v>24</v>
      </c>
      <c r="BZ28" s="11">
        <v>22</v>
      </c>
      <c r="CA28" s="11">
        <v>11</v>
      </c>
      <c r="CB28" s="11">
        <v>23</v>
      </c>
      <c r="CC28" s="11">
        <v>34</v>
      </c>
      <c r="CD28" s="11">
        <v>52</v>
      </c>
      <c r="CE28" s="11">
        <v>46</v>
      </c>
      <c r="CF28" s="11">
        <v>34</v>
      </c>
      <c r="CG28" s="4">
        <v>1.8</v>
      </c>
      <c r="CH28" s="13">
        <v>2.0499999999999998</v>
      </c>
      <c r="CI28" s="4">
        <v>-1.5</v>
      </c>
      <c r="CJ28" s="4">
        <v>1.5</v>
      </c>
      <c r="CK28" s="4">
        <v>160.5</v>
      </c>
      <c r="CL28" s="2" t="s">
        <v>546</v>
      </c>
      <c r="CM28" s="4" t="e">
        <f>VLOOKUP(limoneg[[#This Row],[Away_team]],all[[Full name]:[Abbr]],3,FALSE)</f>
        <v>#N/A</v>
      </c>
      <c r="CN28" s="4">
        <f>IF(OR(limoneg[[#This Row],[Result]]="w",limoneg[[#This Row],[Result]]="dw"),limoneg[[#This Row],[win]]-1,-1)</f>
        <v>0.8</v>
      </c>
      <c r="CO28" s="4">
        <f>IF(OR(limoneg[[#This Row],[Result]]="L",limoneg[[#This Row],[Result]]="dl"),limoneg[[#This Row],[lose]]-1,-1)</f>
        <v>-1</v>
      </c>
      <c r="CP28" s="4">
        <f>IF(OR((limoneg[[#This Row],[Home_scored]]+limoneg[[#This Row],[Away_scored]])&gt;limoneg[[#This Row],[total]],OR(limoneg[[#This Row],[Result]]="dw",limoneg[[#This Row],[Result]]="dl")),1,0)</f>
        <v>1</v>
      </c>
      <c r="CQ28" s="4">
        <f>ABS((limoneg[[#This Row],[Home_scored]]+limoneg[[#This Row],[Away_scored]])-limoneg[[#This Row],[total]])+0.5</f>
        <v>6</v>
      </c>
    </row>
    <row r="29" spans="1:95" x14ac:dyDescent="0.25">
      <c r="A29" s="2" t="s">
        <v>349</v>
      </c>
      <c r="B29" s="2" t="s">
        <v>324</v>
      </c>
      <c r="C29" s="3" t="s">
        <v>73</v>
      </c>
      <c r="D29" s="3">
        <v>45767</v>
      </c>
      <c r="E29" s="2" t="s">
        <v>74</v>
      </c>
      <c r="F29" s="2" t="s">
        <v>314</v>
      </c>
      <c r="G29" s="2" t="s">
        <v>143</v>
      </c>
      <c r="H29" s="11">
        <v>83</v>
      </c>
      <c r="I29" s="11">
        <v>83</v>
      </c>
      <c r="J29" s="11">
        <v>29</v>
      </c>
      <c r="K29" s="11">
        <v>65</v>
      </c>
      <c r="L29" s="12">
        <v>0.44619999999999999</v>
      </c>
      <c r="M29" s="11">
        <v>22</v>
      </c>
      <c r="N29" s="11">
        <v>44</v>
      </c>
      <c r="O29" s="12">
        <v>0.5</v>
      </c>
      <c r="P29" s="11">
        <v>7</v>
      </c>
      <c r="Q29" s="11">
        <v>21</v>
      </c>
      <c r="R29" s="12">
        <v>0.33329999999999999</v>
      </c>
      <c r="S29" s="11">
        <v>18</v>
      </c>
      <c r="T29" s="11">
        <v>27</v>
      </c>
      <c r="U29" s="12">
        <v>0.66669999999999996</v>
      </c>
      <c r="V29" s="11">
        <v>10</v>
      </c>
      <c r="W29" s="11">
        <v>26</v>
      </c>
      <c r="X29" s="11">
        <v>36</v>
      </c>
      <c r="Y29" s="11">
        <v>27</v>
      </c>
      <c r="Z29" s="11">
        <v>7</v>
      </c>
      <c r="AA29" s="11">
        <v>5</v>
      </c>
      <c r="AB29" s="11">
        <v>5</v>
      </c>
      <c r="AC29" s="11">
        <v>21</v>
      </c>
      <c r="AD29" s="11">
        <v>30</v>
      </c>
      <c r="AE29" s="11">
        <v>68</v>
      </c>
      <c r="AF29" s="12">
        <v>0.44119999999999998</v>
      </c>
      <c r="AG29" s="11">
        <v>19</v>
      </c>
      <c r="AH29" s="11">
        <v>35</v>
      </c>
      <c r="AI29" s="12">
        <v>0.54290000000000005</v>
      </c>
      <c r="AJ29" s="11">
        <v>11</v>
      </c>
      <c r="AK29" s="11">
        <v>33</v>
      </c>
      <c r="AL29" s="12">
        <v>0.33329999999999999</v>
      </c>
      <c r="AM29" s="11">
        <v>12</v>
      </c>
      <c r="AN29" s="11">
        <v>17</v>
      </c>
      <c r="AO29" s="12">
        <v>0.70589999999999997</v>
      </c>
      <c r="AP29" s="11">
        <v>15</v>
      </c>
      <c r="AQ29" s="11">
        <v>29</v>
      </c>
      <c r="AR29" s="11">
        <v>44</v>
      </c>
      <c r="AS29" s="11">
        <v>15</v>
      </c>
      <c r="AT29" s="11">
        <v>2</v>
      </c>
      <c r="AU29" s="11">
        <v>1</v>
      </c>
      <c r="AV29" s="11">
        <v>13</v>
      </c>
      <c r="AW29" s="11">
        <v>28</v>
      </c>
      <c r="AX29" s="12">
        <v>0.53979999999999995</v>
      </c>
      <c r="AY29" s="12">
        <v>0.5</v>
      </c>
      <c r="AZ29" s="12">
        <v>0.25640000000000002</v>
      </c>
      <c r="BA29" s="12">
        <v>0.6341</v>
      </c>
      <c r="BB29" s="12">
        <v>0.45</v>
      </c>
      <c r="BC29" s="4">
        <v>70.099999999999994</v>
      </c>
      <c r="BD29" s="12">
        <v>0.93100000000000005</v>
      </c>
      <c r="BE29" s="12">
        <v>0.27689999999999998</v>
      </c>
      <c r="BF29" s="12">
        <v>6.1100000000000002E-2</v>
      </c>
      <c r="BG29" s="4">
        <v>115.2</v>
      </c>
      <c r="BH29" s="4">
        <v>115.2</v>
      </c>
      <c r="BI29" s="4">
        <v>72.019499999999994</v>
      </c>
      <c r="BJ29" s="12">
        <v>0.54979999999999996</v>
      </c>
      <c r="BK29" s="12">
        <v>0.52210000000000001</v>
      </c>
      <c r="BL29" s="12">
        <v>0.3659</v>
      </c>
      <c r="BM29" s="12">
        <v>0.74360000000000004</v>
      </c>
      <c r="BN29" s="12">
        <v>0.55000000000000004</v>
      </c>
      <c r="BO29" s="4">
        <v>73.938999999999993</v>
      </c>
      <c r="BP29" s="12">
        <v>0.5</v>
      </c>
      <c r="BQ29" s="12">
        <v>0.17649999999999999</v>
      </c>
      <c r="BR29" s="12">
        <v>0.1469</v>
      </c>
      <c r="BS29" s="4">
        <v>115.2</v>
      </c>
      <c r="BT29" s="4">
        <v>115.2</v>
      </c>
      <c r="BU29" s="11">
        <v>20</v>
      </c>
      <c r="BV29" s="11">
        <v>24</v>
      </c>
      <c r="BW29" s="11">
        <v>12</v>
      </c>
      <c r="BX29" s="11">
        <v>27</v>
      </c>
      <c r="BY29" s="11">
        <v>21</v>
      </c>
      <c r="BZ29" s="11">
        <v>18</v>
      </c>
      <c r="CA29" s="11">
        <v>19</v>
      </c>
      <c r="CB29" s="11">
        <v>25</v>
      </c>
      <c r="CC29" s="11">
        <v>44</v>
      </c>
      <c r="CD29" s="11">
        <v>39</v>
      </c>
      <c r="CE29" s="11">
        <v>39</v>
      </c>
      <c r="CF29" s="11">
        <v>44</v>
      </c>
      <c r="CG29" s="4">
        <v>1.6</v>
      </c>
      <c r="CH29" s="13">
        <v>2.4</v>
      </c>
      <c r="CI29" s="4">
        <v>-3.5</v>
      </c>
      <c r="CJ29" s="4">
        <v>3.5</v>
      </c>
      <c r="CK29" s="4">
        <v>162.5</v>
      </c>
      <c r="CL29" s="2" t="s">
        <v>561</v>
      </c>
      <c r="CM29" s="4" t="str">
        <f>VLOOKUP(limoneg[[#This Row],[Away_team]],all[[Full name]:[Abbr]],3,FALSE)</f>
        <v>DUN</v>
      </c>
      <c r="CN29" s="4">
        <f>IF(OR(limoneg[[#This Row],[Result]]="w",limoneg[[#This Row],[Result]]="dw"),limoneg[[#This Row],[win]]-1,-1)</f>
        <v>-1</v>
      </c>
      <c r="CO29" s="4">
        <f>IF(OR(limoneg[[#This Row],[Result]]="L",limoneg[[#This Row],[Result]]="dl"),limoneg[[#This Row],[lose]]-1,-1)</f>
        <v>1.4</v>
      </c>
      <c r="CP29" s="4">
        <f>IF(OR((limoneg[[#This Row],[Home_scored]]+limoneg[[#This Row],[Away_scored]])&gt;limoneg[[#This Row],[total]],OR(limoneg[[#This Row],[Result]]="dw",limoneg[[#This Row],[Result]]="dl")),1,0)</f>
        <v>1</v>
      </c>
      <c r="CQ29" s="4">
        <f>ABS((limoneg[[#This Row],[Home_scored]]+limoneg[[#This Row],[Away_scored]])-limoneg[[#This Row],[total]])+0.5</f>
        <v>4</v>
      </c>
    </row>
    <row r="30" spans="1:95" x14ac:dyDescent="0.25">
      <c r="A30" s="2" t="s">
        <v>349</v>
      </c>
      <c r="B30" s="2" t="s">
        <v>324</v>
      </c>
      <c r="C30" s="3" t="s">
        <v>73</v>
      </c>
      <c r="D30" s="3">
        <v>45774</v>
      </c>
      <c r="E30" s="2" t="s">
        <v>140</v>
      </c>
      <c r="F30" s="2" t="s">
        <v>330</v>
      </c>
      <c r="G30" s="2" t="s">
        <v>139</v>
      </c>
      <c r="H30" s="11">
        <v>52</v>
      </c>
      <c r="I30" s="11">
        <v>91</v>
      </c>
      <c r="J30" s="11">
        <v>20</v>
      </c>
      <c r="K30" s="11">
        <v>65</v>
      </c>
      <c r="L30" s="12">
        <v>0.30769999999999997</v>
      </c>
      <c r="M30" s="11">
        <v>14</v>
      </c>
      <c r="N30" s="11">
        <v>37</v>
      </c>
      <c r="O30" s="12">
        <v>0.37840000000000001</v>
      </c>
      <c r="P30" s="11">
        <v>6</v>
      </c>
      <c r="Q30" s="11">
        <v>28</v>
      </c>
      <c r="R30" s="12">
        <v>0.21429999999999999</v>
      </c>
      <c r="S30" s="11">
        <v>6</v>
      </c>
      <c r="T30" s="11">
        <v>9</v>
      </c>
      <c r="U30" s="12">
        <v>0.66669999999999996</v>
      </c>
      <c r="V30" s="11">
        <v>14</v>
      </c>
      <c r="W30" s="11">
        <v>22</v>
      </c>
      <c r="X30" s="11">
        <v>36</v>
      </c>
      <c r="Y30" s="11">
        <v>13</v>
      </c>
      <c r="Z30" s="11">
        <v>13</v>
      </c>
      <c r="AA30" s="11">
        <v>3</v>
      </c>
      <c r="AB30" s="11">
        <v>18</v>
      </c>
      <c r="AC30" s="11">
        <v>13</v>
      </c>
      <c r="AD30" s="11">
        <v>34</v>
      </c>
      <c r="AE30" s="11">
        <v>67</v>
      </c>
      <c r="AF30" s="12">
        <v>0.50749999999999995</v>
      </c>
      <c r="AG30" s="11">
        <v>19</v>
      </c>
      <c r="AH30" s="11">
        <v>37</v>
      </c>
      <c r="AI30" s="12">
        <v>0.51349999999999996</v>
      </c>
      <c r="AJ30" s="11">
        <v>15</v>
      </c>
      <c r="AK30" s="11">
        <v>30</v>
      </c>
      <c r="AL30" s="12">
        <v>0.5</v>
      </c>
      <c r="AM30" s="11">
        <v>8</v>
      </c>
      <c r="AN30" s="11">
        <v>10</v>
      </c>
      <c r="AO30" s="12">
        <v>0.8</v>
      </c>
      <c r="AP30" s="11">
        <v>11</v>
      </c>
      <c r="AQ30" s="11">
        <v>31</v>
      </c>
      <c r="AR30" s="11">
        <v>42</v>
      </c>
      <c r="AS30" s="11">
        <v>21</v>
      </c>
      <c r="AT30" s="11">
        <v>21</v>
      </c>
      <c r="AU30" s="11">
        <v>5</v>
      </c>
      <c r="AV30" s="11">
        <v>10</v>
      </c>
      <c r="AW30" s="11">
        <v>18</v>
      </c>
      <c r="AX30" s="12">
        <v>0.377</v>
      </c>
      <c r="AY30" s="12">
        <v>0.3538</v>
      </c>
      <c r="AZ30" s="12">
        <v>0.31109999999999999</v>
      </c>
      <c r="BA30" s="12">
        <v>0.66669999999999996</v>
      </c>
      <c r="BB30" s="12">
        <v>0.46150000000000002</v>
      </c>
      <c r="BC30" s="4">
        <v>67.875</v>
      </c>
      <c r="BD30" s="12">
        <v>0.65</v>
      </c>
      <c r="BE30" s="12">
        <v>9.2299999999999993E-2</v>
      </c>
      <c r="BF30" s="12">
        <v>0.20699999999999999</v>
      </c>
      <c r="BG30" s="4">
        <v>74.5</v>
      </c>
      <c r="BH30" s="4">
        <v>130.30000000000001</v>
      </c>
      <c r="BI30" s="4">
        <v>69.813500000000005</v>
      </c>
      <c r="BJ30" s="12">
        <v>0.63729999999999998</v>
      </c>
      <c r="BK30" s="12">
        <v>0.61939999999999995</v>
      </c>
      <c r="BL30" s="12">
        <v>0.33329999999999999</v>
      </c>
      <c r="BM30" s="12">
        <v>0.68889999999999996</v>
      </c>
      <c r="BN30" s="12">
        <v>0.53849999999999998</v>
      </c>
      <c r="BO30" s="4">
        <v>71.751999999999995</v>
      </c>
      <c r="BP30" s="12">
        <v>0.61760000000000004</v>
      </c>
      <c r="BQ30" s="12">
        <v>0.11940000000000001</v>
      </c>
      <c r="BR30" s="12">
        <v>0.1229</v>
      </c>
      <c r="BS30" s="4">
        <v>130.30000000000001</v>
      </c>
      <c r="BT30" s="4">
        <v>74.5</v>
      </c>
      <c r="BU30" s="11">
        <v>16</v>
      </c>
      <c r="BV30" s="11">
        <v>4</v>
      </c>
      <c r="BW30" s="11">
        <v>16</v>
      </c>
      <c r="BX30" s="11">
        <v>16</v>
      </c>
      <c r="BY30" s="11">
        <v>27</v>
      </c>
      <c r="BZ30" s="11">
        <v>20</v>
      </c>
      <c r="CA30" s="11">
        <v>26</v>
      </c>
      <c r="CB30" s="11">
        <v>18</v>
      </c>
      <c r="CC30" s="11">
        <v>20</v>
      </c>
      <c r="CD30" s="11">
        <v>32</v>
      </c>
      <c r="CE30" s="11">
        <v>47</v>
      </c>
      <c r="CF30" s="11">
        <v>44</v>
      </c>
      <c r="CG30" s="4">
        <v>9.5</v>
      </c>
      <c r="CH30" s="13">
        <v>1.07</v>
      </c>
      <c r="CI30" s="4">
        <v>14.5</v>
      </c>
      <c r="CJ30" s="4">
        <v>-14.5</v>
      </c>
      <c r="CK30" s="4">
        <v>163.5</v>
      </c>
      <c r="CL30" s="2" t="s">
        <v>565</v>
      </c>
      <c r="CM30" s="4" t="str">
        <f>VLOOKUP(limoneg[[#This Row],[Away_team]],all[[Full name]:[Abbr]],3,FALSE)</f>
        <v>MON</v>
      </c>
      <c r="CN30" s="4">
        <f>IF(OR(limoneg[[#This Row],[Result]]="w",limoneg[[#This Row],[Result]]="dw"),limoneg[[#This Row],[win]]-1,-1)</f>
        <v>-1</v>
      </c>
      <c r="CO30" s="4">
        <f>IF(OR(limoneg[[#This Row],[Result]]="L",limoneg[[#This Row],[Result]]="dl"),limoneg[[#This Row],[lose]]-1,-1)</f>
        <v>7.0000000000000062E-2</v>
      </c>
      <c r="CP30" s="4">
        <f>IF(OR((limoneg[[#This Row],[Home_scored]]+limoneg[[#This Row],[Away_scored]])&gt;limoneg[[#This Row],[total]],OR(limoneg[[#This Row],[Result]]="dw",limoneg[[#This Row],[Result]]="dl")),1,0)</f>
        <v>0</v>
      </c>
      <c r="CQ30" s="4">
        <f>ABS((limoneg[[#This Row],[Home_scored]]+limoneg[[#This Row],[Away_scored]])-limoneg[[#This Row],[total]])+0.5</f>
        <v>21</v>
      </c>
    </row>
    <row r="31" spans="1:95" x14ac:dyDescent="0.25">
      <c r="A31" s="2" t="s">
        <v>349</v>
      </c>
      <c r="B31" s="2" t="s">
        <v>324</v>
      </c>
      <c r="C31" s="3" t="s">
        <v>73</v>
      </c>
      <c r="D31" s="3">
        <v>45781</v>
      </c>
      <c r="E31" s="2" t="s">
        <v>74</v>
      </c>
      <c r="F31" s="2" t="s">
        <v>339</v>
      </c>
      <c r="G31" s="2" t="s">
        <v>139</v>
      </c>
      <c r="H31" s="11">
        <v>71</v>
      </c>
      <c r="I31" s="11">
        <v>78</v>
      </c>
      <c r="J31" s="11">
        <v>24</v>
      </c>
      <c r="K31" s="11">
        <v>57</v>
      </c>
      <c r="L31" s="12">
        <v>0.42109999999999997</v>
      </c>
      <c r="M31" s="11">
        <v>18</v>
      </c>
      <c r="N31" s="11">
        <v>35</v>
      </c>
      <c r="O31" s="12">
        <v>0.51429999999999998</v>
      </c>
      <c r="P31" s="11">
        <v>6</v>
      </c>
      <c r="Q31" s="11">
        <v>22</v>
      </c>
      <c r="R31" s="12">
        <v>0.2727</v>
      </c>
      <c r="S31" s="11">
        <v>17</v>
      </c>
      <c r="T31" s="11">
        <v>22</v>
      </c>
      <c r="U31" s="12">
        <v>0.77270000000000005</v>
      </c>
      <c r="V31" s="11">
        <v>7</v>
      </c>
      <c r="W31" s="11">
        <v>30</v>
      </c>
      <c r="X31" s="11">
        <v>37</v>
      </c>
      <c r="Y31" s="11">
        <v>18</v>
      </c>
      <c r="Z31" s="11">
        <v>2</v>
      </c>
      <c r="AA31" s="11">
        <v>4</v>
      </c>
      <c r="AB31" s="11">
        <v>15</v>
      </c>
      <c r="AC31" s="11">
        <v>22</v>
      </c>
      <c r="AD31" s="11">
        <v>26</v>
      </c>
      <c r="AE31" s="11">
        <v>68</v>
      </c>
      <c r="AF31" s="12">
        <v>0.38240000000000002</v>
      </c>
      <c r="AG31" s="11">
        <v>20</v>
      </c>
      <c r="AH31" s="11">
        <v>39</v>
      </c>
      <c r="AI31" s="12">
        <v>0.51280000000000003</v>
      </c>
      <c r="AJ31" s="11">
        <v>6</v>
      </c>
      <c r="AK31" s="11">
        <v>29</v>
      </c>
      <c r="AL31" s="12">
        <v>0.2069</v>
      </c>
      <c r="AM31" s="11">
        <v>20</v>
      </c>
      <c r="AN31" s="11">
        <v>24</v>
      </c>
      <c r="AO31" s="12">
        <v>0.83330000000000004</v>
      </c>
      <c r="AP31" s="11">
        <v>15</v>
      </c>
      <c r="AQ31" s="11">
        <v>27</v>
      </c>
      <c r="AR31" s="11">
        <v>42</v>
      </c>
      <c r="AS31" s="11">
        <v>16</v>
      </c>
      <c r="AT31" s="11">
        <v>10</v>
      </c>
      <c r="AU31" s="11">
        <v>1</v>
      </c>
      <c r="AV31" s="11">
        <v>7</v>
      </c>
      <c r="AW31" s="11">
        <v>21</v>
      </c>
      <c r="AX31" s="12">
        <v>0.53239999999999998</v>
      </c>
      <c r="AY31" s="12">
        <v>0.47370000000000001</v>
      </c>
      <c r="AZ31" s="12">
        <v>0.2059</v>
      </c>
      <c r="BA31" s="12">
        <v>0.66669999999999996</v>
      </c>
      <c r="BB31" s="12">
        <v>0.46839999999999998</v>
      </c>
      <c r="BC31" s="4">
        <v>74.12</v>
      </c>
      <c r="BD31" s="12">
        <v>0.75</v>
      </c>
      <c r="BE31" s="12">
        <v>0.29820000000000002</v>
      </c>
      <c r="BF31" s="12">
        <v>0.18360000000000001</v>
      </c>
      <c r="BG31" s="4">
        <v>99.5</v>
      </c>
      <c r="BH31" s="4">
        <v>109.3</v>
      </c>
      <c r="BI31" s="4">
        <v>71.334999999999994</v>
      </c>
      <c r="BJ31" s="12">
        <v>0.49640000000000001</v>
      </c>
      <c r="BK31" s="12">
        <v>0.42649999999999999</v>
      </c>
      <c r="BL31" s="12">
        <v>0.33329999999999999</v>
      </c>
      <c r="BM31" s="12">
        <v>0.79410000000000003</v>
      </c>
      <c r="BN31" s="12">
        <v>0.53159999999999996</v>
      </c>
      <c r="BO31" s="4">
        <v>68.55</v>
      </c>
      <c r="BP31" s="12">
        <v>0.61539999999999995</v>
      </c>
      <c r="BQ31" s="12">
        <v>0.29409999999999997</v>
      </c>
      <c r="BR31" s="12">
        <v>8.1799999999999998E-2</v>
      </c>
      <c r="BS31" s="4">
        <v>109.3</v>
      </c>
      <c r="BT31" s="4">
        <v>99.5</v>
      </c>
      <c r="BU31" s="11">
        <v>11</v>
      </c>
      <c r="BV31" s="11">
        <v>26</v>
      </c>
      <c r="BW31" s="11">
        <v>17</v>
      </c>
      <c r="BX31" s="11">
        <v>17</v>
      </c>
      <c r="BY31" s="11">
        <v>17</v>
      </c>
      <c r="BZ31" s="11">
        <v>21</v>
      </c>
      <c r="CA31" s="11">
        <v>18</v>
      </c>
      <c r="CB31" s="11">
        <v>22</v>
      </c>
      <c r="CC31" s="11">
        <v>37</v>
      </c>
      <c r="CD31" s="11">
        <v>34</v>
      </c>
      <c r="CE31" s="11">
        <v>38</v>
      </c>
      <c r="CF31" s="11">
        <v>40</v>
      </c>
      <c r="CG31" s="4">
        <v>3.7</v>
      </c>
      <c r="CH31" s="13">
        <v>1.29</v>
      </c>
      <c r="CI31" s="4">
        <v>8</v>
      </c>
      <c r="CJ31" s="4">
        <v>-8</v>
      </c>
      <c r="CK31" s="4">
        <v>172.5</v>
      </c>
      <c r="CL31" s="2" t="s">
        <v>574</v>
      </c>
      <c r="CM31" s="4" t="str">
        <f>VLOOKUP(limoneg[[#This Row],[Away_team]],all[[Full name]:[Abbr]],3,FALSE)</f>
        <v>PAR</v>
      </c>
      <c r="CN31" s="4">
        <f>IF(OR(limoneg[[#This Row],[Result]]="w",limoneg[[#This Row],[Result]]="dw"),limoneg[[#This Row],[win]]-1,-1)</f>
        <v>-1</v>
      </c>
      <c r="CO31" s="4">
        <f>IF(OR(limoneg[[#This Row],[Result]]="L",limoneg[[#This Row],[Result]]="dl"),limoneg[[#This Row],[lose]]-1,-1)</f>
        <v>0.29000000000000004</v>
      </c>
      <c r="CP31" s="4">
        <f>IF(OR((limoneg[[#This Row],[Home_scored]]+limoneg[[#This Row],[Away_scored]])&gt;limoneg[[#This Row],[total]],OR(limoneg[[#This Row],[Result]]="dw",limoneg[[#This Row],[Result]]="dl")),1,0)</f>
        <v>0</v>
      </c>
      <c r="CQ31" s="4">
        <f>ABS((limoneg[[#This Row],[Home_scored]]+limoneg[[#This Row],[Away_scored]])-limoneg[[#This Row],[total]])+0.5</f>
        <v>24</v>
      </c>
    </row>
    <row r="32" spans="1:95" x14ac:dyDescent="0.25">
      <c r="A32" s="2" t="s">
        <v>349</v>
      </c>
      <c r="B32" s="2" t="s">
        <v>324</v>
      </c>
      <c r="C32" s="28" t="s">
        <v>73</v>
      </c>
      <c r="D32" s="28">
        <v>45787</v>
      </c>
      <c r="E32" s="2" t="s">
        <v>140</v>
      </c>
      <c r="F32" s="2" t="s">
        <v>311</v>
      </c>
      <c r="G32" s="2" t="s">
        <v>139</v>
      </c>
      <c r="H32" s="11">
        <v>83</v>
      </c>
      <c r="I32" s="11">
        <v>89</v>
      </c>
      <c r="J32" s="11">
        <v>26</v>
      </c>
      <c r="K32" s="11">
        <v>51</v>
      </c>
      <c r="L32" s="12">
        <v>0.50980000000000003</v>
      </c>
      <c r="M32" s="11">
        <v>13</v>
      </c>
      <c r="N32" s="11">
        <v>24</v>
      </c>
      <c r="O32" s="12">
        <v>0.54169999999999996</v>
      </c>
      <c r="P32" s="11">
        <v>13</v>
      </c>
      <c r="Q32" s="11">
        <v>27</v>
      </c>
      <c r="R32" s="12">
        <v>0.48149999999999998</v>
      </c>
      <c r="S32" s="11">
        <v>18</v>
      </c>
      <c r="T32" s="11">
        <v>23</v>
      </c>
      <c r="U32" s="12">
        <v>0.78259999999999996</v>
      </c>
      <c r="V32" s="11">
        <v>6</v>
      </c>
      <c r="W32" s="11">
        <v>23</v>
      </c>
      <c r="X32" s="11">
        <v>29</v>
      </c>
      <c r="Y32" s="11">
        <v>16</v>
      </c>
      <c r="Z32" s="11">
        <v>5</v>
      </c>
      <c r="AA32" s="11">
        <v>0</v>
      </c>
      <c r="AB32" s="11">
        <v>14</v>
      </c>
      <c r="AC32" s="11">
        <v>19</v>
      </c>
      <c r="AD32" s="11">
        <v>32</v>
      </c>
      <c r="AE32" s="11">
        <v>63</v>
      </c>
      <c r="AF32" s="12">
        <v>0.50790000000000002</v>
      </c>
      <c r="AG32" s="11">
        <v>21</v>
      </c>
      <c r="AH32" s="11">
        <v>35</v>
      </c>
      <c r="AI32" s="12">
        <v>0.6</v>
      </c>
      <c r="AJ32" s="11">
        <v>11</v>
      </c>
      <c r="AK32" s="11">
        <v>28</v>
      </c>
      <c r="AL32" s="12">
        <v>0.39290000000000003</v>
      </c>
      <c r="AM32" s="11">
        <v>14</v>
      </c>
      <c r="AN32" s="11">
        <v>21</v>
      </c>
      <c r="AO32" s="12">
        <v>0.66669999999999996</v>
      </c>
      <c r="AP32" s="11">
        <v>12</v>
      </c>
      <c r="AQ32" s="11">
        <v>23</v>
      </c>
      <c r="AR32" s="11">
        <v>35</v>
      </c>
      <c r="AS32" s="11">
        <v>23</v>
      </c>
      <c r="AT32" s="11">
        <v>6</v>
      </c>
      <c r="AU32" s="11">
        <v>0</v>
      </c>
      <c r="AV32" s="11">
        <v>8</v>
      </c>
      <c r="AW32" s="11">
        <v>19</v>
      </c>
      <c r="AX32" s="12">
        <v>0.67900000000000005</v>
      </c>
      <c r="AY32" s="12">
        <v>0.63729999999999998</v>
      </c>
      <c r="AZ32" s="12">
        <v>0.2069</v>
      </c>
      <c r="BA32" s="12">
        <v>0.65710000000000002</v>
      </c>
      <c r="BB32" s="12">
        <v>0.4531</v>
      </c>
      <c r="BC32" s="4">
        <v>68.665999999999997</v>
      </c>
      <c r="BD32" s="12">
        <v>0.61539999999999995</v>
      </c>
      <c r="BE32" s="12">
        <v>0.35289999999999999</v>
      </c>
      <c r="BF32" s="12">
        <v>0.18640000000000001</v>
      </c>
      <c r="BG32" s="4">
        <v>121.4</v>
      </c>
      <c r="BH32" s="4">
        <v>130.19999999999999</v>
      </c>
      <c r="BI32" s="4">
        <v>68.346500000000006</v>
      </c>
      <c r="BJ32" s="12">
        <v>0.61599999999999999</v>
      </c>
      <c r="BK32" s="12">
        <v>0.59519999999999995</v>
      </c>
      <c r="BL32" s="12">
        <v>0.34289999999999998</v>
      </c>
      <c r="BM32" s="12">
        <v>0.79310000000000003</v>
      </c>
      <c r="BN32" s="12">
        <v>0.54690000000000005</v>
      </c>
      <c r="BO32" s="4">
        <v>68.027000000000001</v>
      </c>
      <c r="BP32" s="12">
        <v>0.71879999999999999</v>
      </c>
      <c r="BQ32" s="12">
        <v>0.22220000000000001</v>
      </c>
      <c r="BR32" s="12">
        <v>9.9699999999999997E-2</v>
      </c>
      <c r="BS32" s="4">
        <v>130.19999999999999</v>
      </c>
      <c r="BT32" s="4">
        <v>121.4</v>
      </c>
      <c r="BU32" s="11">
        <v>21</v>
      </c>
      <c r="BV32" s="11">
        <v>22</v>
      </c>
      <c r="BW32" s="11">
        <v>18</v>
      </c>
      <c r="BX32" s="11">
        <v>22</v>
      </c>
      <c r="BY32" s="11">
        <v>21</v>
      </c>
      <c r="BZ32" s="11">
        <v>29</v>
      </c>
      <c r="CA32" s="11">
        <v>19</v>
      </c>
      <c r="CB32" s="11">
        <v>20</v>
      </c>
      <c r="CC32" s="11">
        <v>43</v>
      </c>
      <c r="CD32" s="11">
        <v>40</v>
      </c>
      <c r="CE32" s="11">
        <v>50</v>
      </c>
      <c r="CF32" s="11">
        <v>39</v>
      </c>
      <c r="CG32" s="4">
        <v>4.5</v>
      </c>
      <c r="CH32" s="13">
        <v>1.22</v>
      </c>
      <c r="CI32" s="4">
        <v>9.5</v>
      </c>
      <c r="CJ32" s="4">
        <v>-9.5</v>
      </c>
      <c r="CK32" s="4">
        <v>162.5</v>
      </c>
      <c r="CL32" s="2" t="s">
        <v>578</v>
      </c>
      <c r="CM32" s="4" t="str">
        <f>VLOOKUP(limoneg[[#This Row],[Away_team]],all[[Full name]:[Abbr]],3,FALSE)</f>
        <v>DIJ</v>
      </c>
      <c r="CN32" s="4">
        <f>IF(OR(limoneg[[#This Row],[Result]]="w",limoneg[[#This Row],[Result]]="dw"),limoneg[[#This Row],[win]]-1,-1)</f>
        <v>-1</v>
      </c>
      <c r="CO32" s="4">
        <f>IF(OR(limoneg[[#This Row],[Result]]="L",limoneg[[#This Row],[Result]]="dl"),limoneg[[#This Row],[lose]]-1,-1)</f>
        <v>0.21999999999999997</v>
      </c>
      <c r="CP32" s="4">
        <f>IF(OR((limoneg[[#This Row],[Home_scored]]+limoneg[[#This Row],[Away_scored]])&gt;limoneg[[#This Row],[total]],OR(limoneg[[#This Row],[Result]]="dw",limoneg[[#This Row],[Result]]="dl")),1,0)</f>
        <v>1</v>
      </c>
      <c r="CQ32" s="4">
        <f>ABS((limoneg[[#This Row],[Home_scored]]+limoneg[[#This Row],[Away_scored]])-limoneg[[#This Row],[total]])+0.5</f>
        <v>10</v>
      </c>
    </row>
    <row r="33" spans="1:95" x14ac:dyDescent="0.25">
      <c r="A33" s="2" t="s">
        <v>349</v>
      </c>
      <c r="B33" s="2" t="s">
        <v>324</v>
      </c>
      <c r="C33" s="28" t="s">
        <v>73</v>
      </c>
      <c r="D33" s="28">
        <v>45794</v>
      </c>
      <c r="E33" s="2" t="s">
        <v>74</v>
      </c>
      <c r="F33" s="2" t="s">
        <v>342</v>
      </c>
      <c r="G33" s="2" t="s">
        <v>75</v>
      </c>
      <c r="H33" s="11">
        <v>74</v>
      </c>
      <c r="I33" s="11">
        <v>70</v>
      </c>
      <c r="J33" s="11">
        <v>26</v>
      </c>
      <c r="K33" s="11">
        <v>60</v>
      </c>
      <c r="L33" s="12">
        <v>0.43330000000000002</v>
      </c>
      <c r="M33" s="11">
        <v>17</v>
      </c>
      <c r="N33" s="11">
        <v>34</v>
      </c>
      <c r="O33" s="12">
        <v>0.5</v>
      </c>
      <c r="P33" s="11">
        <v>9</v>
      </c>
      <c r="Q33" s="11">
        <v>26</v>
      </c>
      <c r="R33" s="12">
        <v>0.34620000000000001</v>
      </c>
      <c r="S33" s="11">
        <v>13</v>
      </c>
      <c r="T33" s="11">
        <v>16</v>
      </c>
      <c r="U33" s="12">
        <v>0.8125</v>
      </c>
      <c r="V33" s="11">
        <v>11</v>
      </c>
      <c r="W33" s="11">
        <v>21</v>
      </c>
      <c r="X33" s="11">
        <v>32</v>
      </c>
      <c r="Y33" s="11">
        <v>20</v>
      </c>
      <c r="Z33" s="11">
        <v>5</v>
      </c>
      <c r="AA33" s="11">
        <v>4</v>
      </c>
      <c r="AB33" s="11">
        <v>8</v>
      </c>
      <c r="AC33" s="11">
        <v>18</v>
      </c>
      <c r="AD33" s="11">
        <v>26</v>
      </c>
      <c r="AE33" s="11">
        <v>62</v>
      </c>
      <c r="AF33" s="12">
        <v>0.4194</v>
      </c>
      <c r="AG33" s="11">
        <v>17</v>
      </c>
      <c r="AH33" s="11">
        <v>36</v>
      </c>
      <c r="AI33" s="12">
        <v>0.47220000000000001</v>
      </c>
      <c r="AJ33" s="11">
        <v>9</v>
      </c>
      <c r="AK33" s="11">
        <v>26</v>
      </c>
      <c r="AL33" s="12">
        <v>0.34620000000000001</v>
      </c>
      <c r="AM33" s="11">
        <v>9</v>
      </c>
      <c r="AN33" s="11">
        <v>13</v>
      </c>
      <c r="AO33" s="12">
        <v>0.69230000000000003</v>
      </c>
      <c r="AP33" s="11">
        <v>13</v>
      </c>
      <c r="AQ33" s="11">
        <v>25</v>
      </c>
      <c r="AR33" s="11">
        <v>38</v>
      </c>
      <c r="AS33" s="11">
        <v>13</v>
      </c>
      <c r="AT33" s="11">
        <v>2</v>
      </c>
      <c r="AU33" s="11">
        <v>2</v>
      </c>
      <c r="AV33" s="11">
        <v>12</v>
      </c>
      <c r="AW33" s="11">
        <v>16</v>
      </c>
      <c r="AX33" s="12">
        <v>0.55189999999999995</v>
      </c>
      <c r="AY33" s="12">
        <v>0.50829999999999997</v>
      </c>
      <c r="AZ33" s="12">
        <v>0.30559999999999998</v>
      </c>
      <c r="BA33" s="12">
        <v>0.61760000000000004</v>
      </c>
      <c r="BB33" s="12">
        <v>0.45710000000000001</v>
      </c>
      <c r="BC33" s="4">
        <v>61.893999999999998</v>
      </c>
      <c r="BD33" s="12">
        <v>0.76919999999999999</v>
      </c>
      <c r="BE33" s="12">
        <v>0.2167</v>
      </c>
      <c r="BF33" s="12">
        <v>0.1066</v>
      </c>
      <c r="BG33" s="4">
        <v>115.7</v>
      </c>
      <c r="BH33" s="4">
        <v>109.4</v>
      </c>
      <c r="BI33" s="4">
        <v>63.957999999999998</v>
      </c>
      <c r="BJ33" s="12">
        <v>0.51680000000000004</v>
      </c>
      <c r="BK33" s="12">
        <v>0.4919</v>
      </c>
      <c r="BL33" s="12">
        <v>0.38240000000000002</v>
      </c>
      <c r="BM33" s="12">
        <v>0.69440000000000002</v>
      </c>
      <c r="BN33" s="12">
        <v>0.54290000000000005</v>
      </c>
      <c r="BO33" s="4">
        <v>66.022000000000006</v>
      </c>
      <c r="BP33" s="12">
        <v>0.5</v>
      </c>
      <c r="BQ33" s="12">
        <v>0.1452</v>
      </c>
      <c r="BR33" s="12">
        <v>0.15049999999999999</v>
      </c>
      <c r="BS33" s="4">
        <v>109.4</v>
      </c>
      <c r="BT33" s="4">
        <v>115.7</v>
      </c>
      <c r="BU33" s="11">
        <v>17</v>
      </c>
      <c r="BV33" s="11">
        <v>25</v>
      </c>
      <c r="BW33" s="11">
        <v>12</v>
      </c>
      <c r="BX33" s="11">
        <v>20</v>
      </c>
      <c r="BY33" s="11">
        <v>24</v>
      </c>
      <c r="BZ33" s="11">
        <v>22</v>
      </c>
      <c r="CA33" s="11">
        <v>15</v>
      </c>
      <c r="CB33" s="11">
        <v>9</v>
      </c>
      <c r="CC33" s="11">
        <v>42</v>
      </c>
      <c r="CD33" s="11">
        <v>32</v>
      </c>
      <c r="CE33" s="11">
        <v>46</v>
      </c>
      <c r="CF33" s="11">
        <v>24</v>
      </c>
      <c r="CG33" s="4">
        <v>3.1</v>
      </c>
      <c r="CH33" s="13">
        <v>1.38</v>
      </c>
      <c r="CI33" s="4">
        <v>6.5</v>
      </c>
      <c r="CJ33" s="4">
        <v>-6.5</v>
      </c>
      <c r="CK33" s="4">
        <v>157.5</v>
      </c>
      <c r="CL33" s="2" t="s">
        <v>590</v>
      </c>
      <c r="CM33" s="4" t="str">
        <f>VLOOKUP(limoneg[[#This Row],[Away_team]],all[[Full name]:[Abbr]],3,FALSE)</f>
        <v>SQU</v>
      </c>
      <c r="CN33" s="4">
        <f>IF(OR(limoneg[[#This Row],[Result]]="w",limoneg[[#This Row],[Result]]="dw"),limoneg[[#This Row],[win]]-1,-1)</f>
        <v>2.1</v>
      </c>
      <c r="CO33" s="4">
        <f>IF(OR(limoneg[[#This Row],[Result]]="L",limoneg[[#This Row],[Result]]="dl"),limoneg[[#This Row],[lose]]-1,-1)</f>
        <v>-1</v>
      </c>
      <c r="CP33" s="4">
        <f>IF(OR((limoneg[[#This Row],[Home_scored]]+limoneg[[#This Row],[Away_scored]])&gt;limoneg[[#This Row],[total]],OR(limoneg[[#This Row],[Result]]="dw",limoneg[[#This Row],[Result]]="dl")),1,0)</f>
        <v>0</v>
      </c>
      <c r="CQ33" s="4">
        <f>ABS((limoneg[[#This Row],[Home_scored]]+limoneg[[#This Row],[Away_scored]])-limoneg[[#This Row],[total]])+0.5</f>
        <v>14</v>
      </c>
    </row>
  </sheetData>
  <conditionalFormatting sqref="A4:A33">
    <cfRule type="expression" dxfId="363" priority="1">
      <formula>SUMPRODUCT(--ISERROR(B4:CL4))&gt;0</formula>
    </cfRule>
  </conditionalFormatting>
  <conditionalFormatting sqref="B4:B33">
    <cfRule type="uniqueValues" dxfId="362" priority="476"/>
  </conditionalFormatting>
  <conditionalFormatting sqref="D4:D33">
    <cfRule type="duplicateValues" dxfId="361" priority="477"/>
  </conditionalFormatting>
  <conditionalFormatting sqref="H4:H33">
    <cfRule type="expression" dxfId="360" priority="3">
      <formula>H4=BU4+BV4+BW4+BX4</formula>
    </cfRule>
  </conditionalFormatting>
  <conditionalFormatting sqref="I4:I33">
    <cfRule type="expression" dxfId="359" priority="2">
      <formula>I4=BY4+BZ4+CA4+CB4</formula>
    </cfRule>
  </conditionalFormatting>
  <hyperlinks>
    <hyperlink ref="A1" location="all_data!A1" display="ratings" xr:uid="{0BD45619-DF07-40FD-B17A-447E9741645E}"/>
  </hyperlink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103</vt:i4>
      </vt:variant>
    </vt:vector>
  </HeadingPairs>
  <TitlesOfParts>
    <vt:vector size="122" baseType="lpstr">
      <vt:lpstr>bourg</vt:lpstr>
      <vt:lpstr>chalon</vt:lpstr>
      <vt:lpstr>cholet</vt:lpstr>
      <vt:lpstr>dijon</vt:lpstr>
      <vt:lpstr>dunker</vt:lpstr>
      <vt:lpstr>leman</vt:lpstr>
      <vt:lpstr>portel</vt:lpstr>
      <vt:lpstr>boulazac</vt:lpstr>
      <vt:lpstr>limoneg</vt:lpstr>
      <vt:lpstr>lyon</vt:lpstr>
      <vt:lpstr>monaco</vt:lpstr>
      <vt:lpstr>nancy</vt:lpstr>
      <vt:lpstr>nantere</vt:lpstr>
      <vt:lpstr>paris</vt:lpstr>
      <vt:lpstr>saintQ</vt:lpstr>
      <vt:lpstr>strasbourg</vt:lpstr>
      <vt:lpstr>check_data</vt:lpstr>
      <vt:lpstr>PvP</vt:lpstr>
      <vt:lpstr>all_data</vt:lpstr>
      <vt:lpstr>allowed</vt:lpstr>
      <vt:lpstr>allowed_a</vt:lpstr>
      <vt:lpstr>AST</vt:lpstr>
      <vt:lpstr>ast_a</vt:lpstr>
      <vt:lpstr>astp</vt:lpstr>
      <vt:lpstr>astp_a</vt:lpstr>
      <vt:lpstr>Away_scored</vt:lpstr>
      <vt:lpstr>Away_scored_a</vt:lpstr>
      <vt:lpstr>beta</vt:lpstr>
      <vt:lpstr>beta_a</vt:lpstr>
      <vt:lpstr>beth</vt:lpstr>
      <vt:lpstr>beth_a</vt:lpstr>
      <vt:lpstr>BLK</vt:lpstr>
      <vt:lpstr>blk_a</vt:lpstr>
      <vt:lpstr>deviation</vt:lpstr>
      <vt:lpstr>deviation_a</vt:lpstr>
      <vt:lpstr>DRB</vt:lpstr>
      <vt:lpstr>drb_a</vt:lpstr>
      <vt:lpstr>drtg</vt:lpstr>
      <vt:lpstr>drtg_a</vt:lpstr>
      <vt:lpstr>efgp</vt:lpstr>
      <vt:lpstr>efgp_a</vt:lpstr>
      <vt:lpstr>efgpo</vt:lpstr>
      <vt:lpstr>efgpo_a</vt:lpstr>
      <vt:lpstr>FGA</vt:lpstr>
      <vt:lpstr>FGA_a</vt:lpstr>
      <vt:lpstr>FGM</vt:lpstr>
      <vt:lpstr>FGM_a</vt:lpstr>
      <vt:lpstr>FGp</vt:lpstr>
      <vt:lpstr>FGp_a</vt:lpstr>
      <vt:lpstr>fht</vt:lpstr>
      <vt:lpstr>fht_a</vt:lpstr>
      <vt:lpstr>FTA</vt:lpstr>
      <vt:lpstr>fta_a</vt:lpstr>
      <vt:lpstr>ftfga</vt:lpstr>
      <vt:lpstr>ftfga_a</vt:lpstr>
      <vt:lpstr>ftfgao</vt:lpstr>
      <vt:lpstr>ftfgao_a</vt:lpstr>
      <vt:lpstr>FTM</vt:lpstr>
      <vt:lpstr>ftm_a</vt:lpstr>
      <vt:lpstr>FTp</vt:lpstr>
      <vt:lpstr>ftp_a</vt:lpstr>
      <vt:lpstr>Home_scored</vt:lpstr>
      <vt:lpstr>Home_scored_a</vt:lpstr>
      <vt:lpstr>ORB</vt:lpstr>
      <vt:lpstr>orb_a</vt:lpstr>
      <vt:lpstr>orbp</vt:lpstr>
      <vt:lpstr>orbp_a</vt:lpstr>
      <vt:lpstr>orbpo</vt:lpstr>
      <vt:lpstr>orbpo_a</vt:lpstr>
      <vt:lpstr>ortg</vt:lpstr>
      <vt:lpstr>ortg_a</vt:lpstr>
      <vt:lpstr>P2A</vt:lpstr>
      <vt:lpstr>P2A_a</vt:lpstr>
      <vt:lpstr>P2M</vt:lpstr>
      <vt:lpstr>P2M_a</vt:lpstr>
      <vt:lpstr>P2p</vt:lpstr>
      <vt:lpstr>p2p_a</vt:lpstr>
      <vt:lpstr>P3A</vt:lpstr>
      <vt:lpstr>p3a_a</vt:lpstr>
      <vt:lpstr>P3M</vt:lpstr>
      <vt:lpstr>p3m_a</vt:lpstr>
      <vt:lpstr>P3p</vt:lpstr>
      <vt:lpstr>p3p_a</vt:lpstr>
      <vt:lpstr>pace</vt:lpstr>
      <vt:lpstr>pace_a</vt:lpstr>
      <vt:lpstr>pf</vt:lpstr>
      <vt:lpstr>pf_a</vt:lpstr>
      <vt:lpstr>poss</vt:lpstr>
      <vt:lpstr>poss_a</vt:lpstr>
      <vt:lpstr>Q1T</vt:lpstr>
      <vt:lpstr>q1t_a</vt:lpstr>
      <vt:lpstr>q2t</vt:lpstr>
      <vt:lpstr>q2t_a</vt:lpstr>
      <vt:lpstr>q3t</vt:lpstr>
      <vt:lpstr>q3t_a</vt:lpstr>
      <vt:lpstr>q4t</vt:lpstr>
      <vt:lpstr>q4t_a</vt:lpstr>
      <vt:lpstr>Result</vt:lpstr>
      <vt:lpstr>result_a</vt:lpstr>
      <vt:lpstr>scored</vt:lpstr>
      <vt:lpstr>scored_a</vt:lpstr>
      <vt:lpstr>sht</vt:lpstr>
      <vt:lpstr>sht_a</vt:lpstr>
      <vt:lpstr>STL</vt:lpstr>
      <vt:lpstr>stl_a</vt:lpstr>
      <vt:lpstr>TeamsName</vt:lpstr>
      <vt:lpstr>total</vt:lpstr>
      <vt:lpstr>total_a</vt:lpstr>
      <vt:lpstr>tov</vt:lpstr>
      <vt:lpstr>tov_a</vt:lpstr>
      <vt:lpstr>tover</vt:lpstr>
      <vt:lpstr>tover_a</vt:lpstr>
      <vt:lpstr>tovp</vt:lpstr>
      <vt:lpstr>tovp_a</vt:lpstr>
      <vt:lpstr>tovpo</vt:lpstr>
      <vt:lpstr>tovpo_a</vt:lpstr>
      <vt:lpstr>TRB</vt:lpstr>
      <vt:lpstr>trb_a</vt:lpstr>
      <vt:lpstr>trbp</vt:lpstr>
      <vt:lpstr>trbp_a</vt:lpstr>
      <vt:lpstr>tsp</vt:lpstr>
      <vt:lpstr>tsp_a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Serhii Kyrylchuk</dc:creator>
  <cp:lastModifiedBy>Serhii Kyrylchuk</cp:lastModifiedBy>
  <dcterms:created xsi:type="dcterms:W3CDTF">2024-11-08T13:27:41Z</dcterms:created>
  <dcterms:modified xsi:type="dcterms:W3CDTF">2025-09-27T06:58:20Z</dcterms:modified>
</cp:coreProperties>
</file>